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6270" tabRatio="893"/>
  </bookViews>
  <sheets>
    <sheet name="Summary" sheetId="7" r:id="rId1"/>
    <sheet name="All Inc." sheetId="22" r:id="rId2"/>
    <sheet name="IS" sheetId="4" r:id="rId3"/>
    <sheet name="UnitData" sheetId="5" r:id="rId4"/>
    <sheet name="Detail" sheetId="14" r:id="rId5"/>
    <sheet name="Assumptions" sheetId="15" r:id="rId6"/>
    <sheet name="PPA" sheetId="18" r:id="rId7"/>
    <sheet name="CoalPrice" sheetId="16" r:id="rId8"/>
    <sheet name="PTax" sheetId="9" r:id="rId9"/>
    <sheet name="A&amp;G" sheetId="10" r:id="rId10"/>
    <sheet name="FOM" sheetId="6" r:id="rId11"/>
    <sheet name="Tax Depr" sheetId="11" r:id="rId12"/>
    <sheet name="Book Depr" sheetId="23" r:id="rId13"/>
    <sheet name="GAAP Beg Depreciation" sheetId="37" r:id="rId14"/>
    <sheet name="CapAds" sheetId="13" r:id="rId15"/>
    <sheet name="EnvData" sheetId="12" r:id="rId16"/>
    <sheet name="BaseLoad" sheetId="1" r:id="rId17"/>
    <sheet name="Peak" sheetId="19" r:id="rId18"/>
    <sheet name="Base Revenue" sheetId="3" r:id="rId19"/>
    <sheet name="Peak Revenue" sheetId="20" r:id="rId20"/>
    <sheet name="Base Hours" sheetId="2" r:id="rId21"/>
    <sheet name="Peak Hours" sheetId="21" r:id="rId22"/>
  </sheets>
  <externalReferences>
    <externalReference r:id="rId23"/>
  </externalReferences>
  <definedNames>
    <definedName name="AGCost">'A&amp;G'!$A$9:$V$43</definedName>
    <definedName name="allotval">EnvData!$A$245:$V$277</definedName>
    <definedName name="Answer">Summary!$D$17:$F$49</definedName>
    <definedName name="BookDep">'Book Depr'!$A$8:$V$42</definedName>
    <definedName name="CapAds" localSheetId="13">'[1]IP-Fixed Costs'!$CK$2:$DF$62</definedName>
    <definedName name="CapAds">CapAds!$A$9:$V$43</definedName>
    <definedName name="Coal">CoalPrice!$A$7:$V$41</definedName>
    <definedName name="Costs">FOM!$A$8:$V$42</definedName>
    <definedName name="decline">0.1</definedName>
    <definedName name="Depr">'Tax Depr'!$A$8:$V$42</definedName>
    <definedName name="discount_rate">0.12</definedName>
    <definedName name="EAValue">EnvData!$A$245:$W$277</definedName>
    <definedName name="ECapAds">EnvData!$A$9:$V$43</definedName>
    <definedName name="EnvFOM">EnvData!$A$86:$V$120</definedName>
    <definedName name="EnvVOM">EnvData!$A$48:$V$82</definedName>
    <definedName name="NOxRate">EnvData!$A$164:$V$198</definedName>
    <definedName name="_xlnm.Print_Area" localSheetId="1">'All Inc.'!$1:$64</definedName>
    <definedName name="_xlnm.Print_Area" localSheetId="2">IS!$A$1:$W$69</definedName>
    <definedName name="PTax">PTax!$A$7:$V$40</definedName>
    <definedName name="rate">0.1</definedName>
    <definedName name="SO2Rate">EnvData!$A$125:$V$159</definedName>
    <definedName name="solver_adj" localSheetId="3" hidden="1">UnitData!$E$29</definedName>
    <definedName name="solver_cvg" localSheetId="3" hidden="1">0.001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UnitData!$C$29</definedName>
    <definedName name="solver_pre" localSheetId="3" hidden="1">0.000001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0</definedName>
    <definedName name="UnitData">UnitData!$A$10:$O$42</definedName>
  </definedNames>
  <calcPr calcId="152511" fullCalcOnLoad="1"/>
</workbook>
</file>

<file path=xl/calcChain.xml><?xml version="1.0" encoding="utf-8"?>
<calcChain xmlns="http://schemas.openxmlformats.org/spreadsheetml/2006/main">
  <c r="A11" i="10" l="1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B3" i="22"/>
  <c r="A7" i="22"/>
  <c r="D8" i="22"/>
  <c r="E8" i="22"/>
  <c r="F8" i="22"/>
  <c r="G8" i="22"/>
  <c r="H8" i="22"/>
  <c r="I8" i="22"/>
  <c r="J8" i="22"/>
  <c r="K8" i="22"/>
  <c r="K13" i="22" s="1"/>
  <c r="K17" i="22" s="1"/>
  <c r="K20" i="22" s="1"/>
  <c r="L8" i="22"/>
  <c r="M8" i="22"/>
  <c r="N8" i="22"/>
  <c r="O8" i="22"/>
  <c r="P8" i="22"/>
  <c r="Q8" i="22"/>
  <c r="R8" i="22"/>
  <c r="S8" i="22"/>
  <c r="S13" i="22" s="1"/>
  <c r="S17" i="22" s="1"/>
  <c r="S20" i="22" s="1"/>
  <c r="T8" i="22"/>
  <c r="U8" i="22"/>
  <c r="V8" i="22"/>
  <c r="D9" i="22"/>
  <c r="E9" i="22"/>
  <c r="F9" i="22"/>
  <c r="G9" i="22"/>
  <c r="H9" i="22"/>
  <c r="H13" i="22" s="1"/>
  <c r="H17" i="22" s="1"/>
  <c r="H20" i="22" s="1"/>
  <c r="I9" i="22"/>
  <c r="J9" i="22"/>
  <c r="K9" i="22"/>
  <c r="L9" i="22"/>
  <c r="L13" i="22" s="1"/>
  <c r="M9" i="22"/>
  <c r="N9" i="22"/>
  <c r="O9" i="22"/>
  <c r="P9" i="22"/>
  <c r="P13" i="22" s="1"/>
  <c r="P17" i="22" s="1"/>
  <c r="P20" i="22" s="1"/>
  <c r="Q9" i="22"/>
  <c r="R9" i="22"/>
  <c r="S9" i="22"/>
  <c r="T9" i="22"/>
  <c r="T13" i="22" s="1"/>
  <c r="U9" i="22"/>
  <c r="V9" i="22"/>
  <c r="D10" i="22"/>
  <c r="E10" i="22"/>
  <c r="E13" i="22" s="1"/>
  <c r="E17" i="22" s="1"/>
  <c r="E20" i="22" s="1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D11" i="22"/>
  <c r="E11" i="22"/>
  <c r="F11" i="22"/>
  <c r="G11" i="22"/>
  <c r="H11" i="22"/>
  <c r="I11" i="22"/>
  <c r="J11" i="22"/>
  <c r="J13" i="22" s="1"/>
  <c r="J17" i="22" s="1"/>
  <c r="J20" i="22" s="1"/>
  <c r="K11" i="22"/>
  <c r="L11" i="22"/>
  <c r="M11" i="22"/>
  <c r="N11" i="22"/>
  <c r="O11" i="22"/>
  <c r="P11" i="22"/>
  <c r="Q11" i="22"/>
  <c r="R11" i="22"/>
  <c r="R13" i="22" s="1"/>
  <c r="R17" i="22" s="1"/>
  <c r="R20" i="22" s="1"/>
  <c r="S11" i="22"/>
  <c r="T11" i="22"/>
  <c r="U11" i="22"/>
  <c r="V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D13" i="22"/>
  <c r="D17" i="22" s="1"/>
  <c r="D20" i="22" s="1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D18" i="22"/>
  <c r="E18" i="22"/>
  <c r="E21" i="22" s="1"/>
  <c r="F18" i="22"/>
  <c r="G18" i="22"/>
  <c r="H18" i="22"/>
  <c r="H21" i="22" s="1"/>
  <c r="I18" i="22"/>
  <c r="J18" i="22"/>
  <c r="K18" i="22"/>
  <c r="K21" i="22" s="1"/>
  <c r="L18" i="22"/>
  <c r="M18" i="22"/>
  <c r="M21" i="22" s="1"/>
  <c r="N18" i="22"/>
  <c r="O18" i="22"/>
  <c r="P18" i="22"/>
  <c r="P21" i="22" s="1"/>
  <c r="Q18" i="22"/>
  <c r="R18" i="22"/>
  <c r="R21" i="22" s="1"/>
  <c r="S18" i="22"/>
  <c r="S21" i="22" s="1"/>
  <c r="T18" i="22"/>
  <c r="U18" i="22"/>
  <c r="U21" i="22" s="1"/>
  <c r="V18" i="22"/>
  <c r="D19" i="22"/>
  <c r="E19" i="22"/>
  <c r="E36" i="22" s="1"/>
  <c r="F19" i="22"/>
  <c r="G19" i="22"/>
  <c r="H19" i="22"/>
  <c r="I19" i="22"/>
  <c r="J19" i="22"/>
  <c r="K19" i="22"/>
  <c r="L19" i="22"/>
  <c r="M19" i="22"/>
  <c r="M36" i="22" s="1"/>
  <c r="N19" i="22"/>
  <c r="O19" i="22"/>
  <c r="P19" i="22"/>
  <c r="Q19" i="22"/>
  <c r="R19" i="22"/>
  <c r="S19" i="22"/>
  <c r="T19" i="22"/>
  <c r="U19" i="22"/>
  <c r="U36" i="22" s="1"/>
  <c r="V19" i="22"/>
  <c r="D21" i="22"/>
  <c r="D37" i="22" s="1"/>
  <c r="F21" i="22"/>
  <c r="G21" i="22"/>
  <c r="I21" i="22"/>
  <c r="I37" i="22" s="1"/>
  <c r="J21" i="22"/>
  <c r="L21" i="22"/>
  <c r="L37" i="22" s="1"/>
  <c r="N21" i="22"/>
  <c r="O21" i="22"/>
  <c r="O37" i="22" s="1"/>
  <c r="Q21" i="22"/>
  <c r="Q37" i="22" s="1"/>
  <c r="T21" i="22"/>
  <c r="T37" i="22" s="1"/>
  <c r="V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C25" i="22"/>
  <c r="W25" i="22"/>
  <c r="C29" i="22" s="1"/>
  <c r="G27" i="22"/>
  <c r="G28" i="22"/>
  <c r="G29" i="22"/>
  <c r="G30" i="22"/>
  <c r="G31" i="22"/>
  <c r="D36" i="22"/>
  <c r="F36" i="22"/>
  <c r="G36" i="22"/>
  <c r="H36" i="22"/>
  <c r="I36" i="22"/>
  <c r="J36" i="22"/>
  <c r="K36" i="22"/>
  <c r="L36" i="22"/>
  <c r="N36" i="22"/>
  <c r="O36" i="22"/>
  <c r="P36" i="22"/>
  <c r="Q36" i="22"/>
  <c r="R36" i="22"/>
  <c r="S36" i="22"/>
  <c r="T36" i="22"/>
  <c r="V36" i="22"/>
  <c r="E37" i="22"/>
  <c r="F37" i="22"/>
  <c r="G37" i="22"/>
  <c r="H37" i="22"/>
  <c r="J37" i="22"/>
  <c r="K37" i="22"/>
  <c r="M37" i="22"/>
  <c r="N37" i="22"/>
  <c r="P37" i="22"/>
  <c r="R37" i="22"/>
  <c r="S37" i="22"/>
  <c r="U37" i="22"/>
  <c r="V37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C46" i="22"/>
  <c r="C48" i="22"/>
  <c r="C50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S54" i="22" s="1"/>
  <c r="T51" i="22"/>
  <c r="U51" i="22"/>
  <c r="U54" i="22" s="1"/>
  <c r="V51" i="22"/>
  <c r="W51" i="22"/>
  <c r="T54" i="22"/>
  <c r="V54" i="22"/>
  <c r="W54" i="22"/>
  <c r="V8" i="2"/>
  <c r="A11" i="2"/>
  <c r="A12" i="2"/>
  <c r="A11" i="3"/>
  <c r="A12" i="3"/>
  <c r="A13" i="3" s="1"/>
  <c r="A14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/>
  <c r="A191" i="3" s="1"/>
  <c r="A192" i="3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/>
  <c r="A241" i="3" s="1"/>
  <c r="A242" i="3" s="1"/>
  <c r="A243" i="3" s="1"/>
  <c r="A244" i="3" s="1"/>
  <c r="A245" i="3" s="1"/>
  <c r="A246" i="3" s="1"/>
  <c r="A247" i="3" s="1"/>
  <c r="A248" i="3" s="1"/>
  <c r="A249" i="3" s="1"/>
  <c r="C1" i="1"/>
  <c r="AF9" i="1"/>
  <c r="A10" i="1"/>
  <c r="AF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K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F39" i="1"/>
  <c r="AF40" i="1"/>
  <c r="AF41" i="1"/>
  <c r="AD42" i="1"/>
  <c r="AF42" i="1"/>
  <c r="AF43" i="1"/>
  <c r="AI43" i="1"/>
  <c r="AF44" i="1"/>
  <c r="AD45" i="1"/>
  <c r="A49" i="1"/>
  <c r="A50" i="1" s="1"/>
  <c r="A51" i="1" s="1"/>
  <c r="AF49" i="1"/>
  <c r="AH49" i="1"/>
  <c r="AF50" i="1"/>
  <c r="AF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F52" i="1"/>
  <c r="AF53" i="1"/>
  <c r="AH56" i="1"/>
  <c r="AE58" i="1"/>
  <c r="AF61" i="1"/>
  <c r="AF62" i="1"/>
  <c r="AF63" i="1"/>
  <c r="AF64" i="1"/>
  <c r="AF65" i="1"/>
  <c r="AD70" i="1"/>
  <c r="AH71" i="1"/>
  <c r="AF73" i="1"/>
  <c r="AF74" i="1"/>
  <c r="AF75" i="1"/>
  <c r="AF76" i="1"/>
  <c r="AF77" i="1"/>
  <c r="AF85" i="1"/>
  <c r="AF86" i="1"/>
  <c r="AF87" i="1"/>
  <c r="AF88" i="1"/>
  <c r="AF89" i="1"/>
  <c r="AE93" i="1"/>
  <c r="AG93" i="1"/>
  <c r="AF97" i="1"/>
  <c r="AF98" i="1"/>
  <c r="AH98" i="1"/>
  <c r="AF99" i="1"/>
  <c r="AF100" i="1"/>
  <c r="AF101" i="1"/>
  <c r="AF102" i="1"/>
  <c r="AH103" i="1"/>
  <c r="AF109" i="1"/>
  <c r="AF110" i="1"/>
  <c r="AF111" i="1"/>
  <c r="AF112" i="1"/>
  <c r="AF113" i="1"/>
  <c r="AF115" i="1"/>
  <c r="AF121" i="1"/>
  <c r="AF122" i="1"/>
  <c r="AF123" i="1"/>
  <c r="AH123" i="1"/>
  <c r="AF124" i="1"/>
  <c r="AF125" i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F133" i="1"/>
  <c r="AF134" i="1"/>
  <c r="AF135" i="1"/>
  <c r="AF136" i="1"/>
  <c r="AF137" i="1"/>
  <c r="AF145" i="1"/>
  <c r="AF146" i="1"/>
  <c r="AH146" i="1"/>
  <c r="AF147" i="1"/>
  <c r="AF148" i="1"/>
  <c r="AF149" i="1"/>
  <c r="AI155" i="1"/>
  <c r="AF157" i="1"/>
  <c r="AF158" i="1"/>
  <c r="AF159" i="1"/>
  <c r="AF160" i="1"/>
  <c r="AF161" i="1"/>
  <c r="AH163" i="1"/>
  <c r="AI166" i="1"/>
  <c r="AI168" i="1"/>
  <c r="AF169" i="1"/>
  <c r="AI169" i="1"/>
  <c r="AF170" i="1"/>
  <c r="AF171" i="1"/>
  <c r="AF172" i="1"/>
  <c r="AF173" i="1"/>
  <c r="AF179" i="1"/>
  <c r="AF181" i="1"/>
  <c r="AF182" i="1"/>
  <c r="AF183" i="1"/>
  <c r="AF184" i="1"/>
  <c r="AF185" i="1"/>
  <c r="AF193" i="1"/>
  <c r="AF194" i="1"/>
  <c r="AF195" i="1"/>
  <c r="AI195" i="1"/>
  <c r="AF196" i="1"/>
  <c r="AF197" i="1"/>
  <c r="AI201" i="1"/>
  <c r="AF205" i="1"/>
  <c r="AF206" i="1"/>
  <c r="AF207" i="1"/>
  <c r="AF208" i="1"/>
  <c r="AF209" i="1"/>
  <c r="AH212" i="1"/>
  <c r="AF217" i="1"/>
  <c r="AF218" i="1"/>
  <c r="AF219" i="1"/>
  <c r="AI219" i="1"/>
  <c r="AF220" i="1"/>
  <c r="AF221" i="1"/>
  <c r="AI226" i="1"/>
  <c r="AH228" i="1"/>
  <c r="AF229" i="1"/>
  <c r="AF230" i="1"/>
  <c r="AF231" i="1"/>
  <c r="AF232" i="1"/>
  <c r="AI232" i="1"/>
  <c r="AF233" i="1"/>
  <c r="AH235" i="1"/>
  <c r="AF237" i="1"/>
  <c r="AH239" i="1"/>
  <c r="AI240" i="1"/>
  <c r="AF241" i="1"/>
  <c r="AF242" i="1"/>
  <c r="AF243" i="1"/>
  <c r="AF244" i="1"/>
  <c r="AF245" i="1"/>
  <c r="AI246" i="1"/>
  <c r="C10" i="23"/>
  <c r="C11" i="23"/>
  <c r="C12" i="23"/>
  <c r="C13" i="23"/>
  <c r="D13" i="23"/>
  <c r="C14" i="23"/>
  <c r="C15" i="23"/>
  <c r="C16" i="23"/>
  <c r="C27" i="23"/>
  <c r="C36" i="23"/>
  <c r="C37" i="23"/>
  <c r="C38" i="23"/>
  <c r="C39" i="23"/>
  <c r="C40" i="23"/>
  <c r="C41" i="23"/>
  <c r="C42" i="23"/>
  <c r="E57" i="23"/>
  <c r="F57" i="23"/>
  <c r="S64" i="23" s="1"/>
  <c r="T57" i="23"/>
  <c r="U78" i="23" s="1"/>
  <c r="B58" i="23"/>
  <c r="G64" i="23"/>
  <c r="I64" i="23"/>
  <c r="T64" i="23"/>
  <c r="J86" i="23"/>
  <c r="B87" i="23"/>
  <c r="C112" i="2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D86" i="23" s="1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A50" i="12"/>
  <c r="D50" i="12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D72" i="12"/>
  <c r="E72" i="12" s="1"/>
  <c r="F72" i="12" s="1"/>
  <c r="G72" i="12" s="1"/>
  <c r="H72" i="12" s="1"/>
  <c r="I72" i="12"/>
  <c r="J72" i="12" s="1"/>
  <c r="K72" i="12"/>
  <c r="L72" i="12" s="1"/>
  <c r="M72" i="12" s="1"/>
  <c r="N72" i="12" s="1"/>
  <c r="O72" i="12" s="1"/>
  <c r="P72" i="12" s="1"/>
  <c r="Q72" i="12" s="1"/>
  <c r="R72" i="12" s="1"/>
  <c r="S72" i="12" s="1"/>
  <c r="T72" i="12" s="1"/>
  <c r="U72" i="12" s="1"/>
  <c r="V72" i="12" s="1"/>
  <c r="A73" i="12"/>
  <c r="D73" i="12"/>
  <c r="E73" i="12"/>
  <c r="F73" i="12" s="1"/>
  <c r="G73" i="12"/>
  <c r="H73" i="12" s="1"/>
  <c r="I73" i="12" s="1"/>
  <c r="J73" i="12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A74" i="12"/>
  <c r="D74" i="12"/>
  <c r="E74" i="12"/>
  <c r="F74" i="12" s="1"/>
  <c r="G74" i="12" s="1"/>
  <c r="H74" i="12" s="1"/>
  <c r="I74" i="12" s="1"/>
  <c r="J74" i="12" s="1"/>
  <c r="K74" i="12"/>
  <c r="L74" i="12" s="1"/>
  <c r="M74" i="12" s="1"/>
  <c r="N74" i="12" s="1"/>
  <c r="O74" i="12" s="1"/>
  <c r="P74" i="12" s="1"/>
  <c r="Q74" i="12" s="1"/>
  <c r="R74" i="12" s="1"/>
  <c r="S74" i="12"/>
  <c r="T74" i="12" s="1"/>
  <c r="U74" i="12" s="1"/>
  <c r="V74" i="12" s="1"/>
  <c r="A75" i="12"/>
  <c r="D75" i="12"/>
  <c r="E75" i="12"/>
  <c r="F75" i="12" s="1"/>
  <c r="G75" i="12"/>
  <c r="H75" i="12" s="1"/>
  <c r="I75" i="12" s="1"/>
  <c r="J75" i="12" s="1"/>
  <c r="K75" i="12" s="1"/>
  <c r="L75" i="12" s="1"/>
  <c r="M75" i="12" s="1"/>
  <c r="N75" i="12" s="1"/>
  <c r="O75" i="12" s="1"/>
  <c r="P75" i="12" s="1"/>
  <c r="Q75" i="12" s="1"/>
  <c r="R75" i="12" s="1"/>
  <c r="S75" i="12" s="1"/>
  <c r="T75" i="12" s="1"/>
  <c r="U75" i="12" s="1"/>
  <c r="V75" i="12" s="1"/>
  <c r="A76" i="12"/>
  <c r="A77" i="12"/>
  <c r="A78" i="12"/>
  <c r="AC35" i="19" s="1"/>
  <c r="A79" i="12"/>
  <c r="A80" i="12"/>
  <c r="A81" i="12"/>
  <c r="A82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I159" i="12"/>
  <c r="J159" i="12"/>
  <c r="K159" i="12"/>
  <c r="A166" i="12"/>
  <c r="F166" i="12"/>
  <c r="G166" i="12" s="1"/>
  <c r="H166" i="12" s="1"/>
  <c r="I166" i="12" s="1"/>
  <c r="J166" i="12" s="1"/>
  <c r="K166" i="12" s="1"/>
  <c r="L166" i="12" s="1"/>
  <c r="M166" i="12" s="1"/>
  <c r="N166" i="12" s="1"/>
  <c r="O166" i="12" s="1"/>
  <c r="P166" i="12" s="1"/>
  <c r="Q166" i="12"/>
  <c r="R166" i="12" s="1"/>
  <c r="S166" i="12" s="1"/>
  <c r="T166" i="12" s="1"/>
  <c r="U166" i="12" s="1"/>
  <c r="V166" i="12" s="1"/>
  <c r="A167" i="12"/>
  <c r="F167" i="12"/>
  <c r="G167" i="12" s="1"/>
  <c r="H167" i="12" s="1"/>
  <c r="I167" i="12" s="1"/>
  <c r="J167" i="12" s="1"/>
  <c r="K167" i="12" s="1"/>
  <c r="L167" i="12" s="1"/>
  <c r="M167" i="12" s="1"/>
  <c r="N167" i="12" s="1"/>
  <c r="O167" i="12" s="1"/>
  <c r="P167" i="12" s="1"/>
  <c r="Q167" i="12" s="1"/>
  <c r="R167" i="12" s="1"/>
  <c r="S167" i="12" s="1"/>
  <c r="T167" i="12" s="1"/>
  <c r="U167" i="12" s="1"/>
  <c r="V167" i="12" s="1"/>
  <c r="A168" i="12"/>
  <c r="F168" i="12"/>
  <c r="G168" i="12" s="1"/>
  <c r="H168" i="12" s="1"/>
  <c r="I168" i="12" s="1"/>
  <c r="J168" i="12" s="1"/>
  <c r="K168" i="12" s="1"/>
  <c r="L168" i="12" s="1"/>
  <c r="M168" i="12" s="1"/>
  <c r="N168" i="12" s="1"/>
  <c r="O168" i="12" s="1"/>
  <c r="P168" i="12" s="1"/>
  <c r="Q168" i="12" s="1"/>
  <c r="R168" i="12"/>
  <c r="S168" i="12" s="1"/>
  <c r="T168" i="12" s="1"/>
  <c r="U168" i="12" s="1"/>
  <c r="V168" i="12" s="1"/>
  <c r="A169" i="12"/>
  <c r="F169" i="12"/>
  <c r="G169" i="12" s="1"/>
  <c r="H169" i="12" s="1"/>
  <c r="I169" i="12" s="1"/>
  <c r="J169" i="12"/>
  <c r="K169" i="12" s="1"/>
  <c r="L169" i="12" s="1"/>
  <c r="M169" i="12" s="1"/>
  <c r="N169" i="12" s="1"/>
  <c r="O169" i="12" s="1"/>
  <c r="P169" i="12" s="1"/>
  <c r="Q169" i="12" s="1"/>
  <c r="R169" i="12"/>
  <c r="S169" i="12" s="1"/>
  <c r="T169" i="12" s="1"/>
  <c r="U169" i="12" s="1"/>
  <c r="V169" i="12" s="1"/>
  <c r="A170" i="12"/>
  <c r="F170" i="12"/>
  <c r="G170" i="12" s="1"/>
  <c r="H170" i="12" s="1"/>
  <c r="I170" i="12" s="1"/>
  <c r="J170" i="12" s="1"/>
  <c r="K170" i="12" s="1"/>
  <c r="L170" i="12" s="1"/>
  <c r="M170" i="12" s="1"/>
  <c r="N170" i="12" s="1"/>
  <c r="O170" i="12" s="1"/>
  <c r="P170" i="12" s="1"/>
  <c r="Q170" i="12"/>
  <c r="R170" i="12" s="1"/>
  <c r="S170" i="12" s="1"/>
  <c r="T170" i="12" s="1"/>
  <c r="U170" i="12" s="1"/>
  <c r="V170" i="12" s="1"/>
  <c r="A171" i="12"/>
  <c r="F171" i="12"/>
  <c r="G171" i="12" s="1"/>
  <c r="H171" i="12" s="1"/>
  <c r="I171" i="12" s="1"/>
  <c r="J171" i="12" s="1"/>
  <c r="K171" i="12" s="1"/>
  <c r="L171" i="12" s="1"/>
  <c r="M171" i="12"/>
  <c r="N171" i="12" s="1"/>
  <c r="O171" i="12" s="1"/>
  <c r="P171" i="12" s="1"/>
  <c r="Q171" i="12" s="1"/>
  <c r="R171" i="12" s="1"/>
  <c r="S171" i="12" s="1"/>
  <c r="T171" i="12" s="1"/>
  <c r="U171" i="12" s="1"/>
  <c r="V171" i="12" s="1"/>
  <c r="A172" i="12"/>
  <c r="F172" i="12"/>
  <c r="G172" i="12" s="1"/>
  <c r="H172" i="12" s="1"/>
  <c r="I172" i="12" s="1"/>
  <c r="J172" i="12" s="1"/>
  <c r="K172" i="12" s="1"/>
  <c r="L172" i="12" s="1"/>
  <c r="M172" i="12" s="1"/>
  <c r="N172" i="12" s="1"/>
  <c r="O172" i="12" s="1"/>
  <c r="P172" i="12" s="1"/>
  <c r="Q172" i="12" s="1"/>
  <c r="R172" i="12" s="1"/>
  <c r="S172" i="12" s="1"/>
  <c r="T172" i="12" s="1"/>
  <c r="U172" i="12" s="1"/>
  <c r="V172" i="12" s="1"/>
  <c r="A173" i="12"/>
  <c r="F173" i="12"/>
  <c r="G173" i="12" s="1"/>
  <c r="H173" i="12" s="1"/>
  <c r="I173" i="12" s="1"/>
  <c r="J173" i="12"/>
  <c r="K173" i="12" s="1"/>
  <c r="L173" i="12" s="1"/>
  <c r="M173" i="12" s="1"/>
  <c r="N173" i="12" s="1"/>
  <c r="O173" i="12" s="1"/>
  <c r="P173" i="12" s="1"/>
  <c r="Q173" i="12" s="1"/>
  <c r="R173" i="12"/>
  <c r="S173" i="12" s="1"/>
  <c r="T173" i="12" s="1"/>
  <c r="U173" i="12" s="1"/>
  <c r="V173" i="12" s="1"/>
  <c r="A174" i="12"/>
  <c r="F174" i="12"/>
  <c r="G174" i="12" s="1"/>
  <c r="H174" i="12" s="1"/>
  <c r="I174" i="12" s="1"/>
  <c r="J174" i="12" s="1"/>
  <c r="K174" i="12" s="1"/>
  <c r="L174" i="12" s="1"/>
  <c r="M174" i="12" s="1"/>
  <c r="N174" i="12" s="1"/>
  <c r="O174" i="12" s="1"/>
  <c r="P174" i="12" s="1"/>
  <c r="Q174" i="12" s="1"/>
  <c r="R174" i="12" s="1"/>
  <c r="S174" i="12" s="1"/>
  <c r="T174" i="12" s="1"/>
  <c r="U174" i="12" s="1"/>
  <c r="V174" i="12" s="1"/>
  <c r="A175" i="12"/>
  <c r="F175" i="12"/>
  <c r="G175" i="12" s="1"/>
  <c r="H175" i="12" s="1"/>
  <c r="I175" i="12" s="1"/>
  <c r="J175" i="12" s="1"/>
  <c r="K175" i="12" s="1"/>
  <c r="L175" i="12" s="1"/>
  <c r="M175" i="12" s="1"/>
  <c r="N175" i="12" s="1"/>
  <c r="O175" i="12" s="1"/>
  <c r="P175" i="12" s="1"/>
  <c r="Q175" i="12" s="1"/>
  <c r="R175" i="12" s="1"/>
  <c r="S175" i="12" s="1"/>
  <c r="T175" i="12" s="1"/>
  <c r="U175" i="12" s="1"/>
  <c r="V175" i="12" s="1"/>
  <c r="A176" i="12"/>
  <c r="F176" i="12"/>
  <c r="G176" i="12" s="1"/>
  <c r="H176" i="12" s="1"/>
  <c r="I176" i="12" s="1"/>
  <c r="J176" i="12" s="1"/>
  <c r="K176" i="12" s="1"/>
  <c r="L176" i="12" s="1"/>
  <c r="M176" i="12" s="1"/>
  <c r="N176" i="12" s="1"/>
  <c r="O176" i="12" s="1"/>
  <c r="P176" i="12" s="1"/>
  <c r="Q176" i="12" s="1"/>
  <c r="R176" i="12" s="1"/>
  <c r="S176" i="12" s="1"/>
  <c r="T176" i="12" s="1"/>
  <c r="U176" i="12" s="1"/>
  <c r="V176" i="12" s="1"/>
  <c r="A177" i="12"/>
  <c r="F177" i="12"/>
  <c r="G177" i="12" s="1"/>
  <c r="H177" i="12" s="1"/>
  <c r="I177" i="12" s="1"/>
  <c r="J177" i="12"/>
  <c r="K177" i="12" s="1"/>
  <c r="L177" i="12" s="1"/>
  <c r="M177" i="12" s="1"/>
  <c r="N177" i="12" s="1"/>
  <c r="O177" i="12" s="1"/>
  <c r="P177" i="12" s="1"/>
  <c r="Q177" i="12" s="1"/>
  <c r="R177" i="12"/>
  <c r="S177" i="12" s="1"/>
  <c r="T177" i="12" s="1"/>
  <c r="U177" i="12" s="1"/>
  <c r="V177" i="12" s="1"/>
  <c r="A178" i="12"/>
  <c r="F178" i="12"/>
  <c r="G178" i="12" s="1"/>
  <c r="H178" i="12" s="1"/>
  <c r="I178" i="12" s="1"/>
  <c r="J178" i="12" s="1"/>
  <c r="K178" i="12" s="1"/>
  <c r="L178" i="12" s="1"/>
  <c r="M178" i="12" s="1"/>
  <c r="N178" i="12" s="1"/>
  <c r="O178" i="12" s="1"/>
  <c r="P178" i="12" s="1"/>
  <c r="Q178" i="12"/>
  <c r="R178" i="12" s="1"/>
  <c r="S178" i="12" s="1"/>
  <c r="T178" i="12" s="1"/>
  <c r="U178" i="12" s="1"/>
  <c r="V178" i="12" s="1"/>
  <c r="A179" i="12"/>
  <c r="F179" i="12"/>
  <c r="G179" i="12" s="1"/>
  <c r="H179" i="12" s="1"/>
  <c r="I179" i="12" s="1"/>
  <c r="J179" i="12" s="1"/>
  <c r="K179" i="12" s="1"/>
  <c r="L179" i="12" s="1"/>
  <c r="M179" i="12" s="1"/>
  <c r="N179" i="12" s="1"/>
  <c r="O179" i="12" s="1"/>
  <c r="P179" i="12" s="1"/>
  <c r="Q179" i="12" s="1"/>
  <c r="R179" i="12" s="1"/>
  <c r="S179" i="12" s="1"/>
  <c r="T179" i="12" s="1"/>
  <c r="U179" i="12" s="1"/>
  <c r="V179" i="12" s="1"/>
  <c r="A180" i="12"/>
  <c r="F180" i="12"/>
  <c r="G180" i="12" s="1"/>
  <c r="H180" i="12" s="1"/>
  <c r="I180" i="12" s="1"/>
  <c r="J180" i="12" s="1"/>
  <c r="K180" i="12" s="1"/>
  <c r="L180" i="12" s="1"/>
  <c r="M180" i="12" s="1"/>
  <c r="N180" i="12" s="1"/>
  <c r="O180" i="12" s="1"/>
  <c r="P180" i="12" s="1"/>
  <c r="Q180" i="12" s="1"/>
  <c r="R180" i="12" s="1"/>
  <c r="S180" i="12" s="1"/>
  <c r="T180" i="12" s="1"/>
  <c r="U180" i="12" s="1"/>
  <c r="V180" i="12" s="1"/>
  <c r="A181" i="12"/>
  <c r="F181" i="12"/>
  <c r="G181" i="12" s="1"/>
  <c r="H181" i="12" s="1"/>
  <c r="I181" i="12" s="1"/>
  <c r="J181" i="12"/>
  <c r="K181" i="12"/>
  <c r="L181" i="12" s="1"/>
  <c r="M181" i="12" s="1"/>
  <c r="N181" i="12" s="1"/>
  <c r="O181" i="12" s="1"/>
  <c r="P181" i="12" s="1"/>
  <c r="Q181" i="12" s="1"/>
  <c r="R181" i="12" s="1"/>
  <c r="S181" i="12" s="1"/>
  <c r="T181" i="12" s="1"/>
  <c r="U181" i="12" s="1"/>
  <c r="V181" i="12" s="1"/>
  <c r="A182" i="12"/>
  <c r="F182" i="12"/>
  <c r="G182" i="12" s="1"/>
  <c r="H182" i="12" s="1"/>
  <c r="I182" i="12" s="1"/>
  <c r="J182" i="12" s="1"/>
  <c r="K182" i="12" s="1"/>
  <c r="L182" i="12" s="1"/>
  <c r="M182" i="12" s="1"/>
  <c r="N182" i="12" s="1"/>
  <c r="O182" i="12" s="1"/>
  <c r="P182" i="12" s="1"/>
  <c r="Q182" i="12"/>
  <c r="R182" i="12" s="1"/>
  <c r="S182" i="12" s="1"/>
  <c r="T182" i="12" s="1"/>
  <c r="U182" i="12" s="1"/>
  <c r="V182" i="12" s="1"/>
  <c r="A183" i="12"/>
  <c r="F183" i="12"/>
  <c r="G183" i="12" s="1"/>
  <c r="H183" i="12" s="1"/>
  <c r="I183" i="12" s="1"/>
  <c r="J183" i="12" s="1"/>
  <c r="K183" i="12" s="1"/>
  <c r="L183" i="12"/>
  <c r="M183" i="12" s="1"/>
  <c r="N183" i="12" s="1"/>
  <c r="O183" i="12" s="1"/>
  <c r="P183" i="12" s="1"/>
  <c r="Q183" i="12" s="1"/>
  <c r="R183" i="12" s="1"/>
  <c r="S183" i="12" s="1"/>
  <c r="T183" i="12" s="1"/>
  <c r="U183" i="12" s="1"/>
  <c r="V183" i="12" s="1"/>
  <c r="A184" i="12"/>
  <c r="F184" i="12"/>
  <c r="G184" i="12" s="1"/>
  <c r="H184" i="12" s="1"/>
  <c r="I184" i="12" s="1"/>
  <c r="J184" i="12" s="1"/>
  <c r="K184" i="12" s="1"/>
  <c r="L184" i="12" s="1"/>
  <c r="M184" i="12" s="1"/>
  <c r="N184" i="12" s="1"/>
  <c r="O184" i="12" s="1"/>
  <c r="P184" i="12" s="1"/>
  <c r="Q184" i="12" s="1"/>
  <c r="R184" i="12" s="1"/>
  <c r="S184" i="12" s="1"/>
  <c r="T184" i="12" s="1"/>
  <c r="U184" i="12" s="1"/>
  <c r="V184" i="12" s="1"/>
  <c r="A185" i="12"/>
  <c r="F185" i="12"/>
  <c r="G185" i="12" s="1"/>
  <c r="H185" i="12" s="1"/>
  <c r="I185" i="12" s="1"/>
  <c r="J185" i="12"/>
  <c r="K185" i="12" s="1"/>
  <c r="L185" i="12" s="1"/>
  <c r="M185" i="12" s="1"/>
  <c r="N185" i="12" s="1"/>
  <c r="O185" i="12" s="1"/>
  <c r="P185" i="12" s="1"/>
  <c r="Q185" i="12" s="1"/>
  <c r="R185" i="12" s="1"/>
  <c r="S185" i="12" s="1"/>
  <c r="T185" i="12" s="1"/>
  <c r="U185" i="12" s="1"/>
  <c r="V185" i="12" s="1"/>
  <c r="A186" i="12"/>
  <c r="F186" i="12"/>
  <c r="G186" i="12" s="1"/>
  <c r="H186" i="12" s="1"/>
  <c r="I186" i="12" s="1"/>
  <c r="J186" i="12" s="1"/>
  <c r="K186" i="12" s="1"/>
  <c r="L186" i="12" s="1"/>
  <c r="M186" i="12" s="1"/>
  <c r="N186" i="12" s="1"/>
  <c r="O186" i="12" s="1"/>
  <c r="P186" i="12" s="1"/>
  <c r="Q186" i="12"/>
  <c r="R186" i="12" s="1"/>
  <c r="S186" i="12" s="1"/>
  <c r="T186" i="12" s="1"/>
  <c r="U186" i="12" s="1"/>
  <c r="V186" i="12" s="1"/>
  <c r="A187" i="12"/>
  <c r="F187" i="12"/>
  <c r="G187" i="12" s="1"/>
  <c r="H187" i="12" s="1"/>
  <c r="I187" i="12" s="1"/>
  <c r="J187" i="12" s="1"/>
  <c r="K187" i="12" s="1"/>
  <c r="L187" i="12" s="1"/>
  <c r="M187" i="12"/>
  <c r="N187" i="12" s="1"/>
  <c r="O187" i="12" s="1"/>
  <c r="P187" i="12" s="1"/>
  <c r="Q187" i="12" s="1"/>
  <c r="R187" i="12" s="1"/>
  <c r="S187" i="12" s="1"/>
  <c r="T187" i="12" s="1"/>
  <c r="U187" i="12" s="1"/>
  <c r="V187" i="12" s="1"/>
  <c r="A188" i="12"/>
  <c r="F188" i="12"/>
  <c r="G188" i="12" s="1"/>
  <c r="H188" i="12" s="1"/>
  <c r="I188" i="12" s="1"/>
  <c r="J188" i="12" s="1"/>
  <c r="K188" i="12" s="1"/>
  <c r="L188" i="12" s="1"/>
  <c r="M188" i="12" s="1"/>
  <c r="N188" i="12" s="1"/>
  <c r="O188" i="12" s="1"/>
  <c r="P188" i="12" s="1"/>
  <c r="Q188" i="12" s="1"/>
  <c r="R188" i="12"/>
  <c r="S188" i="12" s="1"/>
  <c r="T188" i="12" s="1"/>
  <c r="U188" i="12" s="1"/>
  <c r="V188" i="12" s="1"/>
  <c r="A189" i="12"/>
  <c r="F189" i="12"/>
  <c r="G189" i="12" s="1"/>
  <c r="H189" i="12" s="1"/>
  <c r="I189" i="12" s="1"/>
  <c r="J189" i="12"/>
  <c r="K189" i="12" s="1"/>
  <c r="L189" i="12" s="1"/>
  <c r="M189" i="12" s="1"/>
  <c r="N189" i="12" s="1"/>
  <c r="O189" i="12" s="1"/>
  <c r="P189" i="12" s="1"/>
  <c r="Q189" i="12" s="1"/>
  <c r="R189" i="12"/>
  <c r="S189" i="12" s="1"/>
  <c r="T189" i="12" s="1"/>
  <c r="U189" i="12" s="1"/>
  <c r="V189" i="12" s="1"/>
  <c r="A190" i="12"/>
  <c r="F190" i="12"/>
  <c r="G190" i="12" s="1"/>
  <c r="H190" i="12" s="1"/>
  <c r="I190" i="12" s="1"/>
  <c r="J190" i="12" s="1"/>
  <c r="K190" i="12" s="1"/>
  <c r="L190" i="12" s="1"/>
  <c r="M190" i="12" s="1"/>
  <c r="N190" i="12" s="1"/>
  <c r="O190" i="12" s="1"/>
  <c r="P190" i="12"/>
  <c r="Q190" i="12" s="1"/>
  <c r="R190" i="12" s="1"/>
  <c r="S190" i="12" s="1"/>
  <c r="T190" i="12" s="1"/>
  <c r="U190" i="12" s="1"/>
  <c r="V190" i="12" s="1"/>
  <c r="A191" i="12"/>
  <c r="F191" i="12"/>
  <c r="G191" i="12" s="1"/>
  <c r="H191" i="12" s="1"/>
  <c r="I191" i="12" s="1"/>
  <c r="J191" i="12" s="1"/>
  <c r="K191" i="12" s="1"/>
  <c r="L191" i="12" s="1"/>
  <c r="M191" i="12" s="1"/>
  <c r="N191" i="12" s="1"/>
  <c r="O191" i="12" s="1"/>
  <c r="P191" i="12" s="1"/>
  <c r="Q191" i="12" s="1"/>
  <c r="R191" i="12" s="1"/>
  <c r="S191" i="12" s="1"/>
  <c r="T191" i="12" s="1"/>
  <c r="U191" i="12" s="1"/>
  <c r="V191" i="12" s="1"/>
  <c r="A192" i="12"/>
  <c r="F192" i="12"/>
  <c r="G192" i="12" s="1"/>
  <c r="H192" i="12" s="1"/>
  <c r="I192" i="12" s="1"/>
  <c r="J192" i="12" s="1"/>
  <c r="K192" i="12" s="1"/>
  <c r="L192" i="12" s="1"/>
  <c r="M192" i="12" s="1"/>
  <c r="N192" i="12" s="1"/>
  <c r="O192" i="12" s="1"/>
  <c r="P192" i="12" s="1"/>
  <c r="Q192" i="12" s="1"/>
  <c r="R192" i="12" s="1"/>
  <c r="S192" i="12" s="1"/>
  <c r="T192" i="12" s="1"/>
  <c r="U192" i="12" s="1"/>
  <c r="V192" i="12" s="1"/>
  <c r="A193" i="12"/>
  <c r="F193" i="12"/>
  <c r="G193" i="12" s="1"/>
  <c r="H193" i="12" s="1"/>
  <c r="I193" i="12" s="1"/>
  <c r="J193" i="12"/>
  <c r="K193" i="12" s="1"/>
  <c r="L193" i="12" s="1"/>
  <c r="M193" i="12" s="1"/>
  <c r="N193" i="12" s="1"/>
  <c r="O193" i="12" s="1"/>
  <c r="P193" i="12" s="1"/>
  <c r="Q193" i="12" s="1"/>
  <c r="R193" i="12"/>
  <c r="S193" i="12" s="1"/>
  <c r="T193" i="12" s="1"/>
  <c r="U193" i="12" s="1"/>
  <c r="V193" i="12" s="1"/>
  <c r="A194" i="12"/>
  <c r="F194" i="12"/>
  <c r="G194" i="12" s="1"/>
  <c r="H194" i="12" s="1"/>
  <c r="I194" i="12" s="1"/>
  <c r="J194" i="12" s="1"/>
  <c r="K194" i="12" s="1"/>
  <c r="L194" i="12" s="1"/>
  <c r="M194" i="12" s="1"/>
  <c r="N194" i="12" s="1"/>
  <c r="O194" i="12" s="1"/>
  <c r="P194" i="12" s="1"/>
  <c r="Q194" i="12"/>
  <c r="R194" i="12" s="1"/>
  <c r="S194" i="12" s="1"/>
  <c r="T194" i="12" s="1"/>
  <c r="U194" i="12" s="1"/>
  <c r="V194" i="12" s="1"/>
  <c r="A195" i="12"/>
  <c r="F195" i="12"/>
  <c r="G195" i="12" s="1"/>
  <c r="H195" i="12" s="1"/>
  <c r="I195" i="12" s="1"/>
  <c r="J195" i="12" s="1"/>
  <c r="K195" i="12" s="1"/>
  <c r="L195" i="12" s="1"/>
  <c r="M195" i="12"/>
  <c r="N195" i="12" s="1"/>
  <c r="O195" i="12" s="1"/>
  <c r="P195" i="12" s="1"/>
  <c r="Q195" i="12" s="1"/>
  <c r="R195" i="12" s="1"/>
  <c r="S195" i="12" s="1"/>
  <c r="T195" i="12" s="1"/>
  <c r="U195" i="12" s="1"/>
  <c r="V195" i="12" s="1"/>
  <c r="A196" i="12"/>
  <c r="F196" i="12"/>
  <c r="G196" i="12" s="1"/>
  <c r="H196" i="12" s="1"/>
  <c r="I196" i="12" s="1"/>
  <c r="J196" i="12" s="1"/>
  <c r="K196" i="12" s="1"/>
  <c r="L196" i="12" s="1"/>
  <c r="M196" i="12" s="1"/>
  <c r="N196" i="12" s="1"/>
  <c r="O196" i="12" s="1"/>
  <c r="P196" i="12" s="1"/>
  <c r="Q196" i="12" s="1"/>
  <c r="R196" i="12" s="1"/>
  <c r="S196" i="12" s="1"/>
  <c r="T196" i="12" s="1"/>
  <c r="U196" i="12" s="1"/>
  <c r="V196" i="12" s="1"/>
  <c r="A197" i="12"/>
  <c r="F197" i="12"/>
  <c r="G197" i="12" s="1"/>
  <c r="H197" i="12" s="1"/>
  <c r="I197" i="12" s="1"/>
  <c r="J197" i="12"/>
  <c r="K197" i="12" s="1"/>
  <c r="L197" i="12" s="1"/>
  <c r="M197" i="12" s="1"/>
  <c r="N197" i="12" s="1"/>
  <c r="O197" i="12" s="1"/>
  <c r="P197" i="12" s="1"/>
  <c r="Q197" i="12" s="1"/>
  <c r="R197" i="12" s="1"/>
  <c r="S197" i="12" s="1"/>
  <c r="T197" i="12" s="1"/>
  <c r="U197" i="12" s="1"/>
  <c r="V197" i="12" s="1"/>
  <c r="A198" i="12"/>
  <c r="D198" i="12"/>
  <c r="E198" i="12" s="1"/>
  <c r="F198" i="12" s="1"/>
  <c r="G198" i="12" s="1"/>
  <c r="H198" i="12" s="1"/>
  <c r="I198" i="12" s="1"/>
  <c r="J198" i="12" s="1"/>
  <c r="K198" i="12" s="1"/>
  <c r="L198" i="12" s="1"/>
  <c r="M198" i="12" s="1"/>
  <c r="N198" i="12" s="1"/>
  <c r="O198" i="12"/>
  <c r="P198" i="12" s="1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C243" i="12"/>
  <c r="D243" i="12"/>
  <c r="D245" i="12" s="1"/>
  <c r="E243" i="12"/>
  <c r="E271" i="12" s="1"/>
  <c r="F243" i="12"/>
  <c r="F255" i="12" s="1"/>
  <c r="G243" i="12"/>
  <c r="G246" i="12" s="1"/>
  <c r="H243" i="12"/>
  <c r="I243" i="12"/>
  <c r="J243" i="12"/>
  <c r="K243" i="12"/>
  <c r="L243" i="12"/>
  <c r="L262" i="12" s="1"/>
  <c r="M243" i="12"/>
  <c r="M265" i="12" s="1"/>
  <c r="N243" i="12"/>
  <c r="N245" i="12" s="1"/>
  <c r="O243" i="12"/>
  <c r="O246" i="12" s="1"/>
  <c r="P243" i="12"/>
  <c r="Q243" i="12"/>
  <c r="R243" i="12"/>
  <c r="S243" i="12"/>
  <c r="T243" i="12"/>
  <c r="T245" i="12" s="1"/>
  <c r="U243" i="12"/>
  <c r="U248" i="12" s="1"/>
  <c r="V243" i="12"/>
  <c r="V252" i="12" s="1"/>
  <c r="A245" i="12"/>
  <c r="F245" i="12"/>
  <c r="G245" i="12"/>
  <c r="H245" i="12"/>
  <c r="I245" i="12"/>
  <c r="J245" i="12"/>
  <c r="O245" i="12"/>
  <c r="P245" i="12"/>
  <c r="R245" i="12"/>
  <c r="V245" i="12"/>
  <c r="A246" i="12"/>
  <c r="C246" i="12"/>
  <c r="F246" i="12"/>
  <c r="H246" i="12"/>
  <c r="J246" i="12"/>
  <c r="K246" i="12"/>
  <c r="N246" i="12"/>
  <c r="P246" i="12"/>
  <c r="Q246" i="12"/>
  <c r="R246" i="12"/>
  <c r="S246" i="12"/>
  <c r="A247" i="12"/>
  <c r="C247" i="12"/>
  <c r="H247" i="12"/>
  <c r="J247" i="12"/>
  <c r="K247" i="12"/>
  <c r="P247" i="12"/>
  <c r="R247" i="12"/>
  <c r="S247" i="12"/>
  <c r="T247" i="12"/>
  <c r="A248" i="12"/>
  <c r="E248" i="12"/>
  <c r="F248" i="12"/>
  <c r="G248" i="12"/>
  <c r="H248" i="12"/>
  <c r="J248" i="12"/>
  <c r="L248" i="12"/>
  <c r="O248" i="12"/>
  <c r="P248" i="12"/>
  <c r="R248" i="12"/>
  <c r="V248" i="12"/>
  <c r="A249" i="12"/>
  <c r="D249" i="12"/>
  <c r="F249" i="12"/>
  <c r="G249" i="12"/>
  <c r="H249" i="12"/>
  <c r="I249" i="12"/>
  <c r="J249" i="12"/>
  <c r="O249" i="12"/>
  <c r="P249" i="12"/>
  <c r="R249" i="12"/>
  <c r="T249" i="12"/>
  <c r="V249" i="12"/>
  <c r="A250" i="12"/>
  <c r="C250" i="12"/>
  <c r="F250" i="12"/>
  <c r="G250" i="12"/>
  <c r="H250" i="12"/>
  <c r="I250" i="12"/>
  <c r="J250" i="12"/>
  <c r="K250" i="12"/>
  <c r="O250" i="12"/>
  <c r="P250" i="12"/>
  <c r="R250" i="12"/>
  <c r="S250" i="12"/>
  <c r="V250" i="12"/>
  <c r="A251" i="12"/>
  <c r="C251" i="12"/>
  <c r="H251" i="12"/>
  <c r="J251" i="12"/>
  <c r="K251" i="12"/>
  <c r="L251" i="12"/>
  <c r="P251" i="12"/>
  <c r="R251" i="12"/>
  <c r="S251" i="12"/>
  <c r="A252" i="12"/>
  <c r="D252" i="12"/>
  <c r="G252" i="12"/>
  <c r="H252" i="12"/>
  <c r="J252" i="12"/>
  <c r="N252" i="12"/>
  <c r="O252" i="12"/>
  <c r="P252" i="12"/>
  <c r="R252" i="12"/>
  <c r="T252" i="12"/>
  <c r="A253" i="12"/>
  <c r="G253" i="12"/>
  <c r="H253" i="12"/>
  <c r="J253" i="12"/>
  <c r="N253" i="12"/>
  <c r="O253" i="12"/>
  <c r="P253" i="12"/>
  <c r="Q253" i="12"/>
  <c r="R253" i="12"/>
  <c r="A254" i="12"/>
  <c r="C254" i="12"/>
  <c r="F254" i="12"/>
  <c r="G254" i="12"/>
  <c r="H254" i="12"/>
  <c r="J254" i="12"/>
  <c r="K254" i="12"/>
  <c r="O254" i="12"/>
  <c r="P254" i="12"/>
  <c r="R254" i="12"/>
  <c r="S254" i="12"/>
  <c r="T254" i="12"/>
  <c r="V254" i="12"/>
  <c r="A255" i="12"/>
  <c r="C255" i="12"/>
  <c r="D255" i="12"/>
  <c r="G255" i="12"/>
  <c r="H255" i="12"/>
  <c r="J255" i="12"/>
  <c r="K255" i="12"/>
  <c r="L255" i="12"/>
  <c r="M255" i="12"/>
  <c r="N255" i="12"/>
  <c r="O255" i="12"/>
  <c r="P255" i="12"/>
  <c r="R255" i="12"/>
  <c r="S255" i="12"/>
  <c r="U255" i="12"/>
  <c r="V255" i="12"/>
  <c r="A256" i="12"/>
  <c r="E256" i="12"/>
  <c r="F256" i="12"/>
  <c r="G256" i="12"/>
  <c r="H256" i="12"/>
  <c r="J256" i="12"/>
  <c r="L256" i="12"/>
  <c r="O256" i="12"/>
  <c r="P256" i="12"/>
  <c r="R256" i="12"/>
  <c r="V256" i="12"/>
  <c r="A257" i="12"/>
  <c r="D257" i="12"/>
  <c r="F257" i="12"/>
  <c r="G257" i="12"/>
  <c r="H257" i="12"/>
  <c r="I257" i="12"/>
  <c r="J257" i="12"/>
  <c r="O257" i="12"/>
  <c r="P257" i="12"/>
  <c r="R257" i="12"/>
  <c r="T257" i="12"/>
  <c r="V257" i="12"/>
  <c r="A258" i="12"/>
  <c r="C258" i="12"/>
  <c r="G258" i="12"/>
  <c r="H258" i="12"/>
  <c r="J258" i="12"/>
  <c r="K258" i="12"/>
  <c r="L258" i="12"/>
  <c r="N258" i="12"/>
  <c r="O258" i="12"/>
  <c r="P258" i="12"/>
  <c r="R258" i="12"/>
  <c r="S258" i="12"/>
  <c r="T258" i="12"/>
  <c r="V258" i="12"/>
  <c r="A259" i="12"/>
  <c r="C259" i="12"/>
  <c r="D259" i="12"/>
  <c r="G259" i="12"/>
  <c r="H259" i="12"/>
  <c r="J259" i="12"/>
  <c r="K259" i="12"/>
  <c r="L259" i="12"/>
  <c r="O259" i="12"/>
  <c r="P259" i="12"/>
  <c r="R259" i="12"/>
  <c r="S259" i="12"/>
  <c r="A260" i="12"/>
  <c r="C260" i="12"/>
  <c r="F260" i="12"/>
  <c r="G260" i="12"/>
  <c r="H260" i="12"/>
  <c r="J260" i="12"/>
  <c r="K260" i="12"/>
  <c r="O260" i="12"/>
  <c r="P260" i="12"/>
  <c r="R260" i="12"/>
  <c r="S260" i="12"/>
  <c r="T260" i="12"/>
  <c r="U260" i="12"/>
  <c r="V260" i="12"/>
  <c r="A261" i="12"/>
  <c r="D261" i="12"/>
  <c r="G261" i="12"/>
  <c r="H261" i="12"/>
  <c r="J261" i="12"/>
  <c r="L261" i="12"/>
  <c r="M261" i="12"/>
  <c r="N261" i="12"/>
  <c r="O261" i="12"/>
  <c r="P261" i="12"/>
  <c r="Q261" i="12"/>
  <c r="R261" i="12"/>
  <c r="U261" i="12"/>
  <c r="V261" i="12"/>
  <c r="A262" i="12"/>
  <c r="C262" i="12"/>
  <c r="F262" i="12"/>
  <c r="G262" i="12"/>
  <c r="H262" i="12"/>
  <c r="I262" i="12"/>
  <c r="J262" i="12"/>
  <c r="K262" i="12"/>
  <c r="N262" i="12"/>
  <c r="O262" i="12"/>
  <c r="P262" i="12"/>
  <c r="Q262" i="12"/>
  <c r="R262" i="12"/>
  <c r="S262" i="12"/>
  <c r="V262" i="12"/>
  <c r="A263" i="12"/>
  <c r="C263" i="12"/>
  <c r="D263" i="12"/>
  <c r="F263" i="12"/>
  <c r="G263" i="12"/>
  <c r="H263" i="12"/>
  <c r="J263" i="12"/>
  <c r="K263" i="12"/>
  <c r="L263" i="12"/>
  <c r="N263" i="12"/>
  <c r="O263" i="12"/>
  <c r="P263" i="12"/>
  <c r="R263" i="12"/>
  <c r="S263" i="12"/>
  <c r="T263" i="12"/>
  <c r="V263" i="12"/>
  <c r="A264" i="12"/>
  <c r="C264" i="12"/>
  <c r="G264" i="12"/>
  <c r="H264" i="12"/>
  <c r="J264" i="12"/>
  <c r="K264" i="12"/>
  <c r="L264" i="12"/>
  <c r="M264" i="12"/>
  <c r="N264" i="12"/>
  <c r="O264" i="12"/>
  <c r="P264" i="12"/>
  <c r="R264" i="12"/>
  <c r="S264" i="12"/>
  <c r="V264" i="12"/>
  <c r="A265" i="12"/>
  <c r="D265" i="12"/>
  <c r="F265" i="12"/>
  <c r="G265" i="12"/>
  <c r="H265" i="12"/>
  <c r="I265" i="12"/>
  <c r="J265" i="12"/>
  <c r="N265" i="12"/>
  <c r="O265" i="12"/>
  <c r="P265" i="12"/>
  <c r="Q265" i="12"/>
  <c r="R265" i="12"/>
  <c r="V265" i="12"/>
  <c r="A266" i="12"/>
  <c r="C266" i="12"/>
  <c r="F266" i="12"/>
  <c r="G266" i="12"/>
  <c r="H266" i="12"/>
  <c r="I266" i="12"/>
  <c r="J266" i="12"/>
  <c r="K266" i="12"/>
  <c r="N266" i="12"/>
  <c r="O266" i="12"/>
  <c r="P266" i="12"/>
  <c r="R266" i="12"/>
  <c r="S266" i="12"/>
  <c r="V266" i="12"/>
  <c r="A267" i="12"/>
  <c r="C267" i="12"/>
  <c r="F267" i="12"/>
  <c r="G267" i="12"/>
  <c r="H267" i="12"/>
  <c r="I267" i="12"/>
  <c r="J267" i="12"/>
  <c r="K267" i="12"/>
  <c r="M267" i="12"/>
  <c r="N267" i="12"/>
  <c r="O267" i="12"/>
  <c r="P267" i="12"/>
  <c r="Q267" i="12"/>
  <c r="R267" i="12"/>
  <c r="S267" i="12"/>
  <c r="U267" i="12"/>
  <c r="V267" i="12"/>
  <c r="A268" i="12"/>
  <c r="C268" i="12"/>
  <c r="D268" i="12"/>
  <c r="G268" i="12"/>
  <c r="H268" i="12"/>
  <c r="J268" i="12"/>
  <c r="K268" i="12"/>
  <c r="L268" i="12"/>
  <c r="O268" i="12"/>
  <c r="P268" i="12"/>
  <c r="R268" i="12"/>
  <c r="S268" i="12"/>
  <c r="T268" i="12"/>
  <c r="A269" i="12"/>
  <c r="C269" i="12"/>
  <c r="F269" i="12"/>
  <c r="G269" i="12"/>
  <c r="H269" i="12"/>
  <c r="I269" i="12"/>
  <c r="J269" i="12"/>
  <c r="K269" i="12"/>
  <c r="M269" i="12"/>
  <c r="N269" i="12"/>
  <c r="O269" i="12"/>
  <c r="P269" i="12"/>
  <c r="Q269" i="12"/>
  <c r="R269" i="12"/>
  <c r="S269" i="12"/>
  <c r="U269" i="12"/>
  <c r="V269" i="12"/>
  <c r="A270" i="12"/>
  <c r="C270" i="12"/>
  <c r="D270" i="12"/>
  <c r="F270" i="12"/>
  <c r="G270" i="12"/>
  <c r="H270" i="12"/>
  <c r="J270" i="12"/>
  <c r="K270" i="12"/>
  <c r="N270" i="12"/>
  <c r="O270" i="12"/>
  <c r="P270" i="12"/>
  <c r="R270" i="12"/>
  <c r="S270" i="12"/>
  <c r="T270" i="12"/>
  <c r="V270" i="12"/>
  <c r="A271" i="12"/>
  <c r="C271" i="12"/>
  <c r="F271" i="12"/>
  <c r="G271" i="12"/>
  <c r="H271" i="12"/>
  <c r="I271" i="12"/>
  <c r="J271" i="12"/>
  <c r="K271" i="12"/>
  <c r="M271" i="12"/>
  <c r="N271" i="12"/>
  <c r="O271" i="12"/>
  <c r="P271" i="12"/>
  <c r="Q271" i="12"/>
  <c r="R271" i="12"/>
  <c r="S271" i="12"/>
  <c r="V271" i="12"/>
  <c r="A272" i="12"/>
  <c r="C272" i="12"/>
  <c r="D272" i="12"/>
  <c r="G272" i="12"/>
  <c r="H272" i="12"/>
  <c r="J272" i="12"/>
  <c r="K272" i="12"/>
  <c r="L272" i="12"/>
  <c r="O272" i="12"/>
  <c r="P272" i="12"/>
  <c r="R272" i="12"/>
  <c r="S272" i="12"/>
  <c r="T272" i="12"/>
  <c r="A273" i="12"/>
  <c r="C273" i="12"/>
  <c r="E273" i="12"/>
  <c r="F273" i="12"/>
  <c r="G273" i="12"/>
  <c r="H273" i="12"/>
  <c r="I273" i="12"/>
  <c r="J273" i="12"/>
  <c r="K273" i="12"/>
  <c r="M273" i="12"/>
  <c r="N273" i="12"/>
  <c r="O273" i="12"/>
  <c r="P273" i="12"/>
  <c r="Q273" i="12"/>
  <c r="R273" i="12"/>
  <c r="S273" i="12"/>
  <c r="V273" i="12"/>
  <c r="A274" i="12"/>
  <c r="C274" i="12"/>
  <c r="D274" i="12"/>
  <c r="F274" i="12"/>
  <c r="G274" i="12"/>
  <c r="H274" i="12"/>
  <c r="J274" i="12"/>
  <c r="K274" i="12"/>
  <c r="L274" i="12"/>
  <c r="N274" i="12"/>
  <c r="O274" i="12"/>
  <c r="P274" i="12"/>
  <c r="R274" i="12"/>
  <c r="S274" i="12"/>
  <c r="V274" i="12"/>
  <c r="A275" i="12"/>
  <c r="C275" i="12"/>
  <c r="E275" i="12"/>
  <c r="F275" i="12"/>
  <c r="G275" i="12"/>
  <c r="H275" i="12"/>
  <c r="I275" i="12"/>
  <c r="J275" i="12"/>
  <c r="K275" i="12"/>
  <c r="M275" i="12"/>
  <c r="N275" i="12"/>
  <c r="O275" i="12"/>
  <c r="P275" i="12"/>
  <c r="Q275" i="12"/>
  <c r="R275" i="12"/>
  <c r="S275" i="12"/>
  <c r="V275" i="12"/>
  <c r="A276" i="12"/>
  <c r="C276" i="12"/>
  <c r="F276" i="12"/>
  <c r="G276" i="12"/>
  <c r="H276" i="12"/>
  <c r="J276" i="12"/>
  <c r="K276" i="12"/>
  <c r="L276" i="12"/>
  <c r="N276" i="12"/>
  <c r="O276" i="12"/>
  <c r="P276" i="12"/>
  <c r="R276" i="12"/>
  <c r="S276" i="12"/>
  <c r="T276" i="12"/>
  <c r="V276" i="12"/>
  <c r="A277" i="12"/>
  <c r="C277" i="12"/>
  <c r="F277" i="12"/>
  <c r="G277" i="12"/>
  <c r="H277" i="12"/>
  <c r="I277" i="12"/>
  <c r="J277" i="12"/>
  <c r="K277" i="12"/>
  <c r="N277" i="12"/>
  <c r="O277" i="12"/>
  <c r="P277" i="12"/>
  <c r="Q277" i="12"/>
  <c r="R277" i="12"/>
  <c r="S277" i="12"/>
  <c r="U277" i="12"/>
  <c r="V277" i="12"/>
  <c r="A10" i="6"/>
  <c r="A11" i="6"/>
  <c r="A12" i="6"/>
  <c r="A13" i="6"/>
  <c r="L13" i="6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A14" i="6"/>
  <c r="A15" i="6"/>
  <c r="A16" i="6"/>
  <c r="A17" i="6"/>
  <c r="O17" i="6"/>
  <c r="P17" i="6" s="1"/>
  <c r="Q17" i="6" s="1"/>
  <c r="R17" i="6" s="1"/>
  <c r="S17" i="6" s="1"/>
  <c r="T17" i="6" s="1"/>
  <c r="U17" i="6" s="1"/>
  <c r="V17" i="6" s="1"/>
  <c r="A18" i="6"/>
  <c r="A19" i="6"/>
  <c r="A20" i="6"/>
  <c r="A21" i="6"/>
  <c r="A22" i="6"/>
  <c r="A23" i="6"/>
  <c r="A24" i="6"/>
  <c r="U24" i="6"/>
  <c r="V24" i="6" s="1"/>
  <c r="A25" i="6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A26" i="6"/>
  <c r="A27" i="6"/>
  <c r="A28" i="6"/>
  <c r="E28" i="6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A29" i="6"/>
  <c r="A30" i="6"/>
  <c r="A31" i="6"/>
  <c r="A32" i="6"/>
  <c r="A33" i="6"/>
  <c r="A34" i="6"/>
  <c r="A35" i="6"/>
  <c r="A36" i="6"/>
  <c r="A37" i="6"/>
  <c r="A38" i="6"/>
  <c r="A39" i="6"/>
  <c r="A40" i="6"/>
  <c r="U40" i="6"/>
  <c r="V40" i="6" s="1"/>
  <c r="A41" i="6"/>
  <c r="H41" i="6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A42" i="6"/>
  <c r="M3" i="37"/>
  <c r="N3" i="37"/>
  <c r="O3" i="37" s="1"/>
  <c r="P3" i="37"/>
  <c r="J7" i="37"/>
  <c r="L7" i="37"/>
  <c r="M7" i="37"/>
  <c r="J8" i="37"/>
  <c r="L8" i="37"/>
  <c r="J9" i="37"/>
  <c r="L9" i="37"/>
  <c r="M9" i="37"/>
  <c r="J10" i="37"/>
  <c r="L10" i="37"/>
  <c r="M10" i="37"/>
  <c r="N10" i="37"/>
  <c r="O10" i="37" s="1"/>
  <c r="P10" i="37" s="1"/>
  <c r="Q10" i="37" s="1"/>
  <c r="R10" i="37" s="1"/>
  <c r="S10" i="37" s="1"/>
  <c r="T10" i="37" s="1"/>
  <c r="U10" i="37" s="1"/>
  <c r="V10" i="37" s="1"/>
  <c r="J11" i="37"/>
  <c r="L11" i="37"/>
  <c r="M11" i="37"/>
  <c r="E13" i="37"/>
  <c r="G13" i="37"/>
  <c r="G92" i="37" s="1"/>
  <c r="I13" i="37"/>
  <c r="K13" i="37"/>
  <c r="K42" i="37" s="1"/>
  <c r="L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O42" i="37" s="1"/>
  <c r="J16" i="37"/>
  <c r="L16" i="37"/>
  <c r="J17" i="37"/>
  <c r="L17" i="37"/>
  <c r="M17" i="37"/>
  <c r="N17" i="37"/>
  <c r="O17" i="37"/>
  <c r="P17" i="37" s="1"/>
  <c r="J18" i="37"/>
  <c r="L18" i="37"/>
  <c r="M18" i="37"/>
  <c r="N18" i="37"/>
  <c r="O18" i="37"/>
  <c r="J19" i="37"/>
  <c r="L19" i="37"/>
  <c r="J20" i="37"/>
  <c r="L20" i="37"/>
  <c r="J21" i="37"/>
  <c r="L21" i="37"/>
  <c r="M21" i="37"/>
  <c r="J22" i="37"/>
  <c r="L22" i="37"/>
  <c r="J23" i="37"/>
  <c r="L23" i="37"/>
  <c r="E25" i="37"/>
  <c r="G25" i="37"/>
  <c r="I25" i="37"/>
  <c r="K25" i="37"/>
  <c r="K93" i="37" s="1"/>
  <c r="K109" i="37" s="1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J27" i="37"/>
  <c r="L27" i="37"/>
  <c r="J30" i="37"/>
  <c r="L30" i="37"/>
  <c r="M30" i="37"/>
  <c r="M95" i="37" s="1"/>
  <c r="J32" i="37"/>
  <c r="L32" i="37"/>
  <c r="M32" i="37"/>
  <c r="J34" i="37"/>
  <c r="L34" i="37"/>
  <c r="M34" i="37" s="1"/>
  <c r="N34" i="37" s="1"/>
  <c r="O34" i="37"/>
  <c r="P34" i="37"/>
  <c r="J36" i="37"/>
  <c r="L36" i="37"/>
  <c r="M36" i="37"/>
  <c r="N36" i="37"/>
  <c r="N98" i="37" s="1"/>
  <c r="O36" i="37"/>
  <c r="J38" i="37"/>
  <c r="L38" i="37"/>
  <c r="J40" i="37"/>
  <c r="L40" i="37"/>
  <c r="M40" i="37"/>
  <c r="N40" i="37" s="1"/>
  <c r="O40" i="37"/>
  <c r="AQ41" i="37"/>
  <c r="G42" i="37"/>
  <c r="H42" i="37"/>
  <c r="I42" i="37"/>
  <c r="AQ57" i="37"/>
  <c r="J58" i="37"/>
  <c r="L58" i="37"/>
  <c r="M58" i="37"/>
  <c r="N58" i="37"/>
  <c r="O58" i="37"/>
  <c r="J59" i="37"/>
  <c r="L59" i="37"/>
  <c r="M59" i="37"/>
  <c r="N59" i="37" s="1"/>
  <c r="J60" i="37"/>
  <c r="L60" i="37"/>
  <c r="M60" i="37"/>
  <c r="N60" i="37"/>
  <c r="E62" i="37"/>
  <c r="G62" i="37"/>
  <c r="I62" i="37"/>
  <c r="K62" i="37"/>
  <c r="L62" i="37"/>
  <c r="J64" i="37"/>
  <c r="L64" i="37"/>
  <c r="J65" i="37"/>
  <c r="L65" i="37"/>
  <c r="M65" i="37" s="1"/>
  <c r="N65" i="37"/>
  <c r="J66" i="37"/>
  <c r="L66" i="37"/>
  <c r="J67" i="37"/>
  <c r="L67" i="37"/>
  <c r="E69" i="37"/>
  <c r="E83" i="37" s="1"/>
  <c r="G69" i="37"/>
  <c r="I69" i="37"/>
  <c r="K69" i="37"/>
  <c r="J69" i="37" s="1"/>
  <c r="J71" i="37"/>
  <c r="L71" i="37"/>
  <c r="M71" i="37"/>
  <c r="N71" i="37"/>
  <c r="J73" i="37"/>
  <c r="L73" i="37"/>
  <c r="M73" i="37"/>
  <c r="N73" i="37"/>
  <c r="O73" i="37"/>
  <c r="P73" i="37"/>
  <c r="J75" i="37"/>
  <c r="L75" i="37"/>
  <c r="M75" i="37"/>
  <c r="N75" i="37"/>
  <c r="J77" i="37"/>
  <c r="L77" i="37"/>
  <c r="M77" i="37"/>
  <c r="N77" i="37"/>
  <c r="O77" i="37"/>
  <c r="O97" i="37" s="1"/>
  <c r="P77" i="37"/>
  <c r="Q77" i="37" s="1"/>
  <c r="R77" i="37" s="1"/>
  <c r="S77" i="37" s="1"/>
  <c r="T77" i="37" s="1"/>
  <c r="U77" i="37" s="1"/>
  <c r="V77" i="37" s="1"/>
  <c r="W77" i="37" s="1"/>
  <c r="X77" i="37" s="1"/>
  <c r="Y77" i="37" s="1"/>
  <c r="Z77" i="37" s="1"/>
  <c r="AA77" i="37" s="1"/>
  <c r="AB77" i="37" s="1"/>
  <c r="J79" i="37"/>
  <c r="L79" i="37"/>
  <c r="M79" i="37"/>
  <c r="N79" i="37"/>
  <c r="O79" i="37"/>
  <c r="P79" i="37" s="1"/>
  <c r="Q79" i="37" s="1"/>
  <c r="R79" i="37"/>
  <c r="J81" i="37"/>
  <c r="L81" i="37"/>
  <c r="M81" i="37"/>
  <c r="N81" i="37"/>
  <c r="O81" i="37"/>
  <c r="P81" i="37"/>
  <c r="AQ82" i="37"/>
  <c r="K92" i="37"/>
  <c r="E93" i="37"/>
  <c r="J93" i="37" s="1"/>
  <c r="I93" i="37"/>
  <c r="E94" i="37"/>
  <c r="G94" i="37"/>
  <c r="I94" i="37"/>
  <c r="K94" i="37"/>
  <c r="E95" i="37"/>
  <c r="J95" i="37" s="1"/>
  <c r="G95" i="37"/>
  <c r="I95" i="37"/>
  <c r="K95" i="37"/>
  <c r="L95" i="37"/>
  <c r="E96" i="37"/>
  <c r="G96" i="37"/>
  <c r="I96" i="37"/>
  <c r="K96" i="37"/>
  <c r="M96" i="37"/>
  <c r="E97" i="37"/>
  <c r="J97" i="37" s="1"/>
  <c r="G97" i="37"/>
  <c r="I97" i="37"/>
  <c r="K97" i="37"/>
  <c r="L97" i="37"/>
  <c r="M97" i="37"/>
  <c r="N97" i="37"/>
  <c r="E98" i="37"/>
  <c r="G98" i="37"/>
  <c r="I98" i="37"/>
  <c r="K98" i="37"/>
  <c r="K114" i="37" s="1"/>
  <c r="I114" i="37" s="1"/>
  <c r="L98" i="37"/>
  <c r="M98" i="37"/>
  <c r="AC98" i="37"/>
  <c r="AD98" i="37"/>
  <c r="AE98" i="37"/>
  <c r="AF98" i="37"/>
  <c r="AG98" i="37"/>
  <c r="AH98" i="37"/>
  <c r="AI98" i="37"/>
  <c r="AJ98" i="37"/>
  <c r="AK98" i="37"/>
  <c r="AL98" i="37"/>
  <c r="AM98" i="37"/>
  <c r="AN98" i="37"/>
  <c r="AO98" i="37"/>
  <c r="E99" i="37"/>
  <c r="J99" i="37" s="1"/>
  <c r="G99" i="37"/>
  <c r="I99" i="37"/>
  <c r="K99" i="37"/>
  <c r="L99" i="37"/>
  <c r="E100" i="37"/>
  <c r="G100" i="37"/>
  <c r="I100" i="37"/>
  <c r="K100" i="37"/>
  <c r="M100" i="37"/>
  <c r="N100" i="37"/>
  <c r="K106" i="37"/>
  <c r="L106" i="37"/>
  <c r="M106" i="37"/>
  <c r="N106" i="37"/>
  <c r="O106" i="37"/>
  <c r="I111" i="37"/>
  <c r="K111" i="37"/>
  <c r="L111" i="37"/>
  <c r="L124" i="37" s="1"/>
  <c r="K113" i="37"/>
  <c r="I113" i="37" s="1"/>
  <c r="L113" i="37"/>
  <c r="M113" i="37" s="1"/>
  <c r="N113" i="37" s="1"/>
  <c r="K115" i="37"/>
  <c r="I115" i="37" s="1"/>
  <c r="I128" i="37" s="1"/>
  <c r="L115" i="37"/>
  <c r="AO118" i="37"/>
  <c r="I124" i="37"/>
  <c r="AO127" i="37"/>
  <c r="AG16" i="23" s="1"/>
  <c r="L130" i="37"/>
  <c r="K131" i="37"/>
  <c r="B3" i="4"/>
  <c r="D16" i="4"/>
  <c r="I16" i="4"/>
  <c r="F22" i="4"/>
  <c r="G22" i="4"/>
  <c r="I22" i="4"/>
  <c r="J22" i="4"/>
  <c r="K22" i="4"/>
  <c r="N22" i="4"/>
  <c r="O22" i="4"/>
  <c r="Q22" i="4"/>
  <c r="R22" i="4"/>
  <c r="S22" i="4"/>
  <c r="V22" i="4"/>
  <c r="D23" i="4"/>
  <c r="F23" i="4"/>
  <c r="G23" i="4"/>
  <c r="H23" i="4"/>
  <c r="K23" i="4"/>
  <c r="L23" i="4"/>
  <c r="N23" i="4"/>
  <c r="O23" i="4"/>
  <c r="P23" i="4"/>
  <c r="S23" i="4"/>
  <c r="T23" i="4"/>
  <c r="V23" i="4"/>
  <c r="C25" i="4"/>
  <c r="F27" i="4"/>
  <c r="F28" i="4"/>
  <c r="F29" i="4"/>
  <c r="F30" i="4"/>
  <c r="F31" i="4"/>
  <c r="C46" i="4"/>
  <c r="C48" i="4"/>
  <c r="C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1" i="19"/>
  <c r="AG11" i="19" s="1"/>
  <c r="AG9" i="1" s="1"/>
  <c r="AD11" i="19"/>
  <c r="AD9" i="1" s="1"/>
  <c r="AE11" i="19"/>
  <c r="AH11" i="19"/>
  <c r="AH9" i="1" s="1"/>
  <c r="AI11" i="19"/>
  <c r="AI9" i="1" s="1"/>
  <c r="A12" i="19"/>
  <c r="AD12" i="19"/>
  <c r="AD10" i="1" s="1"/>
  <c r="AH12" i="19"/>
  <c r="AH10" i="1" s="1"/>
  <c r="AI12" i="19"/>
  <c r="AI10" i="1" s="1"/>
  <c r="A13" i="19"/>
  <c r="A14" i="19" s="1"/>
  <c r="AD13" i="19"/>
  <c r="AH13" i="19"/>
  <c r="AH11" i="1" s="1"/>
  <c r="AI13" i="19"/>
  <c r="AI11" i="1" s="1"/>
  <c r="AH14" i="19"/>
  <c r="AH12" i="1" s="1"/>
  <c r="AI14" i="19"/>
  <c r="AI12" i="1" s="1"/>
  <c r="A15" i="19"/>
  <c r="A16" i="19" s="1"/>
  <c r="A17" i="19" s="1"/>
  <c r="AH15" i="19"/>
  <c r="AH13" i="1" s="1"/>
  <c r="AI15" i="19"/>
  <c r="AI13" i="1" s="1"/>
  <c r="AH16" i="19"/>
  <c r="AH14" i="1" s="1"/>
  <c r="AI16" i="19"/>
  <c r="AI14" i="1" s="1"/>
  <c r="AH17" i="19"/>
  <c r="AH15" i="1" s="1"/>
  <c r="AI17" i="19"/>
  <c r="AI15" i="1" s="1"/>
  <c r="A18" i="19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H18" i="19"/>
  <c r="AH16" i="1" s="1"/>
  <c r="AI18" i="19"/>
  <c r="AI16" i="1" s="1"/>
  <c r="AH19" i="19"/>
  <c r="AH17" i="1" s="1"/>
  <c r="AI19" i="19"/>
  <c r="AI17" i="1" s="1"/>
  <c r="AH20" i="19"/>
  <c r="AH18" i="1" s="1"/>
  <c r="AI20" i="19"/>
  <c r="AI18" i="1" s="1"/>
  <c r="AH21" i="19"/>
  <c r="AH19" i="1" s="1"/>
  <c r="AI21" i="19"/>
  <c r="AI19" i="1" s="1"/>
  <c r="AH22" i="19"/>
  <c r="AH20" i="1" s="1"/>
  <c r="AI22" i="19"/>
  <c r="AI20" i="1" s="1"/>
  <c r="AD23" i="19"/>
  <c r="AD21" i="1" s="1"/>
  <c r="AE23" i="19"/>
  <c r="AE21" i="1" s="1"/>
  <c r="AG23" i="19"/>
  <c r="AG21" i="1" s="1"/>
  <c r="AH23" i="19"/>
  <c r="AH21" i="1" s="1"/>
  <c r="AI23" i="19"/>
  <c r="AI21" i="1" s="1"/>
  <c r="AJ23" i="19"/>
  <c r="AK23" i="19"/>
  <c r="AD24" i="19"/>
  <c r="AD22" i="1" s="1"/>
  <c r="AE24" i="19"/>
  <c r="AE22" i="1" s="1"/>
  <c r="AG24" i="19"/>
  <c r="AG22" i="1" s="1"/>
  <c r="AH24" i="19"/>
  <c r="AH22" i="1" s="1"/>
  <c r="AI24" i="19"/>
  <c r="AI22" i="1" s="1"/>
  <c r="AK24" i="19"/>
  <c r="AD25" i="19"/>
  <c r="AD23" i="1" s="1"/>
  <c r="AE25" i="19"/>
  <c r="AE23" i="1" s="1"/>
  <c r="AH25" i="19"/>
  <c r="AH23" i="1" s="1"/>
  <c r="AI25" i="19"/>
  <c r="AI23" i="1" s="1"/>
  <c r="AD26" i="19"/>
  <c r="AD24" i="1" s="1"/>
  <c r="AE26" i="19"/>
  <c r="AE24" i="1" s="1"/>
  <c r="AH26" i="19"/>
  <c r="AH24" i="1" s="1"/>
  <c r="AI26" i="19"/>
  <c r="AI24" i="1" s="1"/>
  <c r="AD27" i="19"/>
  <c r="AD25" i="1" s="1"/>
  <c r="AE27" i="19"/>
  <c r="AE25" i="1" s="1"/>
  <c r="AH27" i="19"/>
  <c r="AH25" i="1" s="1"/>
  <c r="AI27" i="19"/>
  <c r="AI25" i="1" s="1"/>
  <c r="AD28" i="19"/>
  <c r="AD26" i="1" s="1"/>
  <c r="AE28" i="19"/>
  <c r="AE26" i="1" s="1"/>
  <c r="AH28" i="19"/>
  <c r="AH26" i="1" s="1"/>
  <c r="AI28" i="19"/>
  <c r="AI26" i="1" s="1"/>
  <c r="AD29" i="19"/>
  <c r="AD27" i="1" s="1"/>
  <c r="AE29" i="19"/>
  <c r="AE27" i="1" s="1"/>
  <c r="AH29" i="19"/>
  <c r="AH27" i="1" s="1"/>
  <c r="AI29" i="19"/>
  <c r="AI27" i="1" s="1"/>
  <c r="AD30" i="19"/>
  <c r="AD28" i="1" s="1"/>
  <c r="AE30" i="19"/>
  <c r="AE28" i="1" s="1"/>
  <c r="AH30" i="19"/>
  <c r="AH28" i="1" s="1"/>
  <c r="AI30" i="19"/>
  <c r="AI28" i="1" s="1"/>
  <c r="AD31" i="19"/>
  <c r="AD29" i="1" s="1"/>
  <c r="AE31" i="19"/>
  <c r="AE29" i="1" s="1"/>
  <c r="AH31" i="19"/>
  <c r="AH29" i="1" s="1"/>
  <c r="AI31" i="19"/>
  <c r="AI29" i="1" s="1"/>
  <c r="AD32" i="19"/>
  <c r="AD30" i="1" s="1"/>
  <c r="AE32" i="19"/>
  <c r="AE30" i="1" s="1"/>
  <c r="AH32" i="19"/>
  <c r="AH30" i="1" s="1"/>
  <c r="AI32" i="19"/>
  <c r="AI30" i="1" s="1"/>
  <c r="AD33" i="19"/>
  <c r="AD31" i="1" s="1"/>
  <c r="AE33" i="19"/>
  <c r="AE31" i="1" s="1"/>
  <c r="AH33" i="19"/>
  <c r="AH31" i="1" s="1"/>
  <c r="AI33" i="19"/>
  <c r="AI31" i="1" s="1"/>
  <c r="AD34" i="19"/>
  <c r="AD32" i="1" s="1"/>
  <c r="AE34" i="19"/>
  <c r="AE32" i="1" s="1"/>
  <c r="AH34" i="19"/>
  <c r="AH32" i="1" s="1"/>
  <c r="AI34" i="19"/>
  <c r="AI32" i="1" s="1"/>
  <c r="AD35" i="19"/>
  <c r="AD33" i="1" s="1"/>
  <c r="AE35" i="19"/>
  <c r="AE33" i="1" s="1"/>
  <c r="AG35" i="19"/>
  <c r="AH35" i="19"/>
  <c r="AH33" i="1" s="1"/>
  <c r="AI35" i="19"/>
  <c r="AI33" i="1" s="1"/>
  <c r="AJ35" i="19"/>
  <c r="AD36" i="19"/>
  <c r="AD34" i="1" s="1"/>
  <c r="AE36" i="19"/>
  <c r="AE34" i="1" s="1"/>
  <c r="AH36" i="19"/>
  <c r="AH34" i="1" s="1"/>
  <c r="AI36" i="19"/>
  <c r="AI34" i="1" s="1"/>
  <c r="AD37" i="19"/>
  <c r="AD35" i="1" s="1"/>
  <c r="AE37" i="19"/>
  <c r="AE35" i="1" s="1"/>
  <c r="AH37" i="19"/>
  <c r="AH35" i="1" s="1"/>
  <c r="AI37" i="19"/>
  <c r="AI35" i="1" s="1"/>
  <c r="AD38" i="19"/>
  <c r="AD36" i="1" s="1"/>
  <c r="AE38" i="19"/>
  <c r="AE36" i="1" s="1"/>
  <c r="AH38" i="19"/>
  <c r="AH36" i="1" s="1"/>
  <c r="AI38" i="19"/>
  <c r="AI36" i="1" s="1"/>
  <c r="AD39" i="19"/>
  <c r="AD37" i="1" s="1"/>
  <c r="AE39" i="19"/>
  <c r="AE37" i="1" s="1"/>
  <c r="AH39" i="19"/>
  <c r="AH37" i="1" s="1"/>
  <c r="AI39" i="19"/>
  <c r="AI37" i="1" s="1"/>
  <c r="AD40" i="19"/>
  <c r="AD38" i="1" s="1"/>
  <c r="AE40" i="19"/>
  <c r="AE38" i="1" s="1"/>
  <c r="AH40" i="19"/>
  <c r="AH38" i="1" s="1"/>
  <c r="AI40" i="19"/>
  <c r="AI38" i="1" s="1"/>
  <c r="AD41" i="19"/>
  <c r="AD39" i="1" s="1"/>
  <c r="AE41" i="19"/>
  <c r="AE39" i="1" s="1"/>
  <c r="AH41" i="19"/>
  <c r="AH39" i="1" s="1"/>
  <c r="AI41" i="19"/>
  <c r="AI39" i="1" s="1"/>
  <c r="AD42" i="19"/>
  <c r="AD40" i="1" s="1"/>
  <c r="AE42" i="19"/>
  <c r="AE40" i="1" s="1"/>
  <c r="AH42" i="19"/>
  <c r="AH40" i="1" s="1"/>
  <c r="AI42" i="19"/>
  <c r="AI40" i="1" s="1"/>
  <c r="AD43" i="19"/>
  <c r="AD41" i="1" s="1"/>
  <c r="AE43" i="19"/>
  <c r="AE41" i="1" s="1"/>
  <c r="AH43" i="19"/>
  <c r="AH41" i="1" s="1"/>
  <c r="AI43" i="19"/>
  <c r="AI41" i="1" s="1"/>
  <c r="AD44" i="19"/>
  <c r="AE44" i="19"/>
  <c r="AE42" i="1" s="1"/>
  <c r="AH44" i="19"/>
  <c r="AH42" i="1" s="1"/>
  <c r="AI44" i="19"/>
  <c r="AI42" i="1" s="1"/>
  <c r="AD45" i="19"/>
  <c r="AD43" i="1" s="1"/>
  <c r="AE45" i="19"/>
  <c r="AE43" i="1" s="1"/>
  <c r="AH45" i="19"/>
  <c r="AH43" i="1" s="1"/>
  <c r="AI45" i="19"/>
  <c r="AD46" i="19"/>
  <c r="AD44" i="1" s="1"/>
  <c r="AE46" i="19"/>
  <c r="AE44" i="1" s="1"/>
  <c r="AH46" i="19"/>
  <c r="AH44" i="1" s="1"/>
  <c r="AI46" i="19"/>
  <c r="AI44" i="1" s="1"/>
  <c r="AD47" i="19"/>
  <c r="AE47" i="19"/>
  <c r="AE45" i="1" s="1"/>
  <c r="AF47" i="19"/>
  <c r="AG47" i="19"/>
  <c r="AH47" i="19"/>
  <c r="AH45" i="1" s="1"/>
  <c r="AI47" i="19"/>
  <c r="AI45" i="1" s="1"/>
  <c r="AJ47" i="19"/>
  <c r="AD48" i="19"/>
  <c r="AD46" i="1" s="1"/>
  <c r="AE48" i="19"/>
  <c r="AE46" i="1" s="1"/>
  <c r="AF48" i="19"/>
  <c r="AH48" i="19"/>
  <c r="AH46" i="1" s="1"/>
  <c r="AI48" i="19"/>
  <c r="AI46" i="1" s="1"/>
  <c r="AD49" i="19"/>
  <c r="AD47" i="1" s="1"/>
  <c r="AE49" i="19"/>
  <c r="AF49" i="19"/>
  <c r="AF47" i="1" s="1"/>
  <c r="AH49" i="19"/>
  <c r="AH47" i="1" s="1"/>
  <c r="AI49" i="19"/>
  <c r="AI47" i="1" s="1"/>
  <c r="AD50" i="19"/>
  <c r="AF50" i="19"/>
  <c r="AH50" i="19"/>
  <c r="AH48" i="1" s="1"/>
  <c r="AI50" i="19"/>
  <c r="AI48" i="1" s="1"/>
  <c r="AH51" i="19"/>
  <c r="AI51" i="19"/>
  <c r="AI49" i="1" s="1"/>
  <c r="AH52" i="19"/>
  <c r="AH50" i="1" s="1"/>
  <c r="AI52" i="19"/>
  <c r="AI50" i="1" s="1"/>
  <c r="AH53" i="19"/>
  <c r="AH51" i="1" s="1"/>
  <c r="AI53" i="19"/>
  <c r="AI51" i="1" s="1"/>
  <c r="AH54" i="19"/>
  <c r="AH52" i="1" s="1"/>
  <c r="AI54" i="19"/>
  <c r="AI52" i="1" s="1"/>
  <c r="AH55" i="19"/>
  <c r="AH53" i="1" s="1"/>
  <c r="AI55" i="19"/>
  <c r="AI53" i="1" s="1"/>
  <c r="AF56" i="19"/>
  <c r="AH56" i="19"/>
  <c r="AH54" i="1" s="1"/>
  <c r="AI56" i="19"/>
  <c r="AI54" i="1" s="1"/>
  <c r="AF57" i="19"/>
  <c r="AH57" i="19"/>
  <c r="AH55" i="1" s="1"/>
  <c r="AI57" i="19"/>
  <c r="AI55" i="1" s="1"/>
  <c r="AF58" i="19"/>
  <c r="AF56" i="1" s="1"/>
  <c r="AH58" i="19"/>
  <c r="AI58" i="19"/>
  <c r="AI56" i="1" s="1"/>
  <c r="AD59" i="19"/>
  <c r="AE59" i="19"/>
  <c r="AE57" i="1" s="1"/>
  <c r="AF59" i="19"/>
  <c r="AF57" i="1" s="1"/>
  <c r="AG59" i="19"/>
  <c r="AH59" i="19"/>
  <c r="AH57" i="1" s="1"/>
  <c r="AI59" i="19"/>
  <c r="AI57" i="1" s="1"/>
  <c r="AJ59" i="19"/>
  <c r="AE60" i="19"/>
  <c r="AF60" i="19"/>
  <c r="AH60" i="19"/>
  <c r="AH58" i="1" s="1"/>
  <c r="AI60" i="19"/>
  <c r="AI58" i="1" s="1"/>
  <c r="AJ60" i="19"/>
  <c r="AE61" i="19"/>
  <c r="AF61" i="19"/>
  <c r="AH61" i="19"/>
  <c r="AH59" i="1" s="1"/>
  <c r="AI61" i="19"/>
  <c r="AI59" i="1" s="1"/>
  <c r="AF62" i="19"/>
  <c r="AF60" i="1" s="1"/>
  <c r="AH62" i="19"/>
  <c r="AH60" i="1" s="1"/>
  <c r="AI62" i="19"/>
  <c r="AI60" i="1" s="1"/>
  <c r="AH63" i="19"/>
  <c r="AH61" i="1" s="1"/>
  <c r="AI63" i="19"/>
  <c r="AI61" i="1" s="1"/>
  <c r="AH64" i="19"/>
  <c r="AH62" i="1" s="1"/>
  <c r="AI64" i="19"/>
  <c r="AI62" i="1" s="1"/>
  <c r="AH65" i="19"/>
  <c r="AH63" i="1" s="1"/>
  <c r="AI65" i="19"/>
  <c r="AI63" i="1" s="1"/>
  <c r="AH66" i="19"/>
  <c r="AH64" i="1" s="1"/>
  <c r="AI66" i="19"/>
  <c r="AI64" i="1" s="1"/>
  <c r="AH67" i="19"/>
  <c r="AH65" i="1" s="1"/>
  <c r="AI67" i="19"/>
  <c r="AI65" i="1" s="1"/>
  <c r="AF68" i="19"/>
  <c r="AH68" i="19"/>
  <c r="AH66" i="1" s="1"/>
  <c r="AI68" i="19"/>
  <c r="AI66" i="1" s="1"/>
  <c r="AF69" i="19"/>
  <c r="AH69" i="19"/>
  <c r="AH67" i="1" s="1"/>
  <c r="AI69" i="19"/>
  <c r="AI67" i="1" s="1"/>
  <c r="AF70" i="19"/>
  <c r="AH70" i="19"/>
  <c r="AH68" i="1" s="1"/>
  <c r="AI70" i="19"/>
  <c r="AI68" i="1" s="1"/>
  <c r="AD71" i="19"/>
  <c r="AD69" i="1" s="1"/>
  <c r="AE71" i="19"/>
  <c r="AF71" i="19"/>
  <c r="AF69" i="1" s="1"/>
  <c r="AH71" i="19"/>
  <c r="AH69" i="1" s="1"/>
  <c r="AI71" i="19"/>
  <c r="AI69" i="1" s="1"/>
  <c r="AK71" i="19"/>
  <c r="AD72" i="19"/>
  <c r="AD73" i="19" s="1"/>
  <c r="AF72" i="19"/>
  <c r="AF70" i="1" s="1"/>
  <c r="AH72" i="19"/>
  <c r="AH70" i="1" s="1"/>
  <c r="AI72" i="19"/>
  <c r="AI70" i="1" s="1"/>
  <c r="AF73" i="19"/>
  <c r="AH73" i="19"/>
  <c r="AI73" i="19"/>
  <c r="AI71" i="1" s="1"/>
  <c r="AF74" i="19"/>
  <c r="AH74" i="19"/>
  <c r="AH72" i="1" s="1"/>
  <c r="AI74" i="19"/>
  <c r="AI72" i="1" s="1"/>
  <c r="AH75" i="19"/>
  <c r="AH73" i="1" s="1"/>
  <c r="AI75" i="19"/>
  <c r="AI73" i="1" s="1"/>
  <c r="AH76" i="19"/>
  <c r="AH74" i="1" s="1"/>
  <c r="AI76" i="19"/>
  <c r="AI74" i="1" s="1"/>
  <c r="AH77" i="19"/>
  <c r="AH75" i="1" s="1"/>
  <c r="AI77" i="19"/>
  <c r="AI75" i="1" s="1"/>
  <c r="AH78" i="19"/>
  <c r="AH76" i="1" s="1"/>
  <c r="AI78" i="19"/>
  <c r="AI76" i="1" s="1"/>
  <c r="AH79" i="19"/>
  <c r="AH77" i="1" s="1"/>
  <c r="AI79" i="19"/>
  <c r="AI77" i="1" s="1"/>
  <c r="AF80" i="19"/>
  <c r="AF78" i="1" s="1"/>
  <c r="AH80" i="19"/>
  <c r="AH78" i="1" s="1"/>
  <c r="AI80" i="19"/>
  <c r="AI78" i="1" s="1"/>
  <c r="AF81" i="19"/>
  <c r="AH81" i="19"/>
  <c r="AH79" i="1" s="1"/>
  <c r="AI81" i="19"/>
  <c r="AI79" i="1" s="1"/>
  <c r="AF82" i="19"/>
  <c r="AH82" i="19"/>
  <c r="AH80" i="1" s="1"/>
  <c r="AI82" i="19"/>
  <c r="AI80" i="1" s="1"/>
  <c r="AD83" i="19"/>
  <c r="AD81" i="1" s="1"/>
  <c r="AE83" i="19"/>
  <c r="AF83" i="19"/>
  <c r="AH83" i="19"/>
  <c r="AH81" i="1" s="1"/>
  <c r="AI83" i="19"/>
  <c r="AI81" i="1" s="1"/>
  <c r="AD84" i="19"/>
  <c r="AD82" i="1" s="1"/>
  <c r="AF84" i="19"/>
  <c r="AF82" i="1" s="1"/>
  <c r="AH84" i="19"/>
  <c r="AH82" i="1" s="1"/>
  <c r="AI84" i="19"/>
  <c r="AI82" i="1" s="1"/>
  <c r="AF85" i="19"/>
  <c r="AF83" i="1" s="1"/>
  <c r="AH85" i="19"/>
  <c r="AH83" i="1" s="1"/>
  <c r="AI85" i="19"/>
  <c r="AI83" i="1" s="1"/>
  <c r="AF86" i="19"/>
  <c r="AH86" i="19"/>
  <c r="AH84" i="1" s="1"/>
  <c r="AI86" i="19"/>
  <c r="AI84" i="1" s="1"/>
  <c r="AH87" i="19"/>
  <c r="AH85" i="1" s="1"/>
  <c r="AI87" i="19"/>
  <c r="AI85" i="1" s="1"/>
  <c r="AH88" i="19"/>
  <c r="AH86" i="1" s="1"/>
  <c r="AI88" i="19"/>
  <c r="AI86" i="1" s="1"/>
  <c r="AH89" i="19"/>
  <c r="AH87" i="1" s="1"/>
  <c r="AI89" i="19"/>
  <c r="AI87" i="1" s="1"/>
  <c r="AH90" i="19"/>
  <c r="AH88" i="1" s="1"/>
  <c r="AI90" i="19"/>
  <c r="AI88" i="1" s="1"/>
  <c r="AH91" i="19"/>
  <c r="AH89" i="1" s="1"/>
  <c r="AI91" i="19"/>
  <c r="AI89" i="1" s="1"/>
  <c r="AF92" i="19"/>
  <c r="AH92" i="19"/>
  <c r="AH90" i="1" s="1"/>
  <c r="AI92" i="19"/>
  <c r="AI90" i="1" s="1"/>
  <c r="AF93" i="19"/>
  <c r="AH93" i="19"/>
  <c r="AH91" i="1" s="1"/>
  <c r="AI93" i="19"/>
  <c r="AI91" i="1" s="1"/>
  <c r="AF94" i="19"/>
  <c r="AF92" i="1" s="1"/>
  <c r="AH94" i="19"/>
  <c r="AH92" i="1" s="1"/>
  <c r="AI94" i="19"/>
  <c r="AI92" i="1" s="1"/>
  <c r="AC95" i="19"/>
  <c r="AD95" i="19"/>
  <c r="AE95" i="19"/>
  <c r="AE96" i="19" s="1"/>
  <c r="AE94" i="1" s="1"/>
  <c r="AF95" i="19"/>
  <c r="AF93" i="1" s="1"/>
  <c r="AG95" i="19"/>
  <c r="AG96" i="19" s="1"/>
  <c r="AG94" i="1" s="1"/>
  <c r="AH95" i="19"/>
  <c r="AH93" i="1" s="1"/>
  <c r="AI95" i="19"/>
  <c r="AI93" i="1" s="1"/>
  <c r="AK95" i="19"/>
  <c r="AF96" i="19"/>
  <c r="AH96" i="19"/>
  <c r="AH94" i="1" s="1"/>
  <c r="AI96" i="19"/>
  <c r="AI94" i="1" s="1"/>
  <c r="AK96" i="19"/>
  <c r="AE97" i="19"/>
  <c r="AF97" i="19"/>
  <c r="AF95" i="1" s="1"/>
  <c r="AG97" i="19"/>
  <c r="AH97" i="19"/>
  <c r="AH95" i="1" s="1"/>
  <c r="AI97" i="19"/>
  <c r="AI95" i="1" s="1"/>
  <c r="AF98" i="19"/>
  <c r="AH98" i="19"/>
  <c r="AH96" i="1" s="1"/>
  <c r="AI98" i="19"/>
  <c r="AI96" i="1" s="1"/>
  <c r="AH99" i="19"/>
  <c r="AH97" i="1" s="1"/>
  <c r="AI99" i="19"/>
  <c r="AI97" i="1" s="1"/>
  <c r="AH100" i="19"/>
  <c r="AI100" i="19"/>
  <c r="AI98" i="1" s="1"/>
  <c r="AH101" i="19"/>
  <c r="AH99" i="1" s="1"/>
  <c r="AI101" i="19"/>
  <c r="AI99" i="1" s="1"/>
  <c r="AH102" i="19"/>
  <c r="AH100" i="1" s="1"/>
  <c r="AI102" i="19"/>
  <c r="AI100" i="1" s="1"/>
  <c r="AH103" i="19"/>
  <c r="AH101" i="1" s="1"/>
  <c r="AI103" i="19"/>
  <c r="AI101" i="1" s="1"/>
  <c r="AF104" i="19"/>
  <c r="AH104" i="19"/>
  <c r="AH102" i="1" s="1"/>
  <c r="AI104" i="19"/>
  <c r="AI102" i="1" s="1"/>
  <c r="AF105" i="19"/>
  <c r="AH105" i="19"/>
  <c r="AI105" i="19"/>
  <c r="AI103" i="1" s="1"/>
  <c r="AF106" i="19"/>
  <c r="AH106" i="19"/>
  <c r="AH104" i="1" s="1"/>
  <c r="AI106" i="19"/>
  <c r="AI104" i="1" s="1"/>
  <c r="AD107" i="19"/>
  <c r="AD105" i="1" s="1"/>
  <c r="AE107" i="19"/>
  <c r="AF107" i="19"/>
  <c r="AF105" i="1" s="1"/>
  <c r="AG107" i="19"/>
  <c r="AG105" i="1" s="1"/>
  <c r="AH107" i="19"/>
  <c r="AH105" i="1" s="1"/>
  <c r="AI107" i="19"/>
  <c r="AI105" i="1" s="1"/>
  <c r="AD108" i="19"/>
  <c r="AF108" i="19"/>
  <c r="AF106" i="1" s="1"/>
  <c r="AG108" i="19"/>
  <c r="AH108" i="19"/>
  <c r="AH106" i="1" s="1"/>
  <c r="AI108" i="19"/>
  <c r="AI106" i="1" s="1"/>
  <c r="A109" i="19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F109" i="19"/>
  <c r="AF107" i="1" s="1"/>
  <c r="AH109" i="19"/>
  <c r="AH107" i="1" s="1"/>
  <c r="AI109" i="19"/>
  <c r="AI107" i="1" s="1"/>
  <c r="AF110" i="19"/>
  <c r="AF108" i="1" s="1"/>
  <c r="AH110" i="19"/>
  <c r="AH108" i="1" s="1"/>
  <c r="AI110" i="19"/>
  <c r="AI108" i="1" s="1"/>
  <c r="AH111" i="19"/>
  <c r="AH109" i="1" s="1"/>
  <c r="AI111" i="19"/>
  <c r="AI109" i="1" s="1"/>
  <c r="AH112" i="19"/>
  <c r="AH110" i="1" s="1"/>
  <c r="AI112" i="19"/>
  <c r="AI110" i="1" s="1"/>
  <c r="AH113" i="19"/>
  <c r="AH111" i="1" s="1"/>
  <c r="AI113" i="19"/>
  <c r="AI111" i="1" s="1"/>
  <c r="AH114" i="19"/>
  <c r="AH112" i="1" s="1"/>
  <c r="AI114" i="19"/>
  <c r="AI112" i="1" s="1"/>
  <c r="AH115" i="19"/>
  <c r="AH113" i="1" s="1"/>
  <c r="AI115" i="19"/>
  <c r="AI113" i="1" s="1"/>
  <c r="AF116" i="19"/>
  <c r="AF114" i="1" s="1"/>
  <c r="AH116" i="19"/>
  <c r="AH114" i="1" s="1"/>
  <c r="AI116" i="19"/>
  <c r="AI114" i="1" s="1"/>
  <c r="AF117" i="19"/>
  <c r="AH117" i="19"/>
  <c r="AH115" i="1" s="1"/>
  <c r="AI117" i="19"/>
  <c r="AI115" i="1" s="1"/>
  <c r="AF118" i="19"/>
  <c r="AH118" i="19"/>
  <c r="AH116" i="1" s="1"/>
  <c r="AI118" i="19"/>
  <c r="AI116" i="1" s="1"/>
  <c r="AC119" i="19"/>
  <c r="AD119" i="19"/>
  <c r="AD117" i="1" s="1"/>
  <c r="AE119" i="19"/>
  <c r="AE117" i="1" s="1"/>
  <c r="AF119" i="19"/>
  <c r="AG119" i="19"/>
  <c r="AG117" i="1" s="1"/>
  <c r="AH119" i="19"/>
  <c r="AH117" i="1" s="1"/>
  <c r="AI119" i="19"/>
  <c r="AI117" i="1" s="1"/>
  <c r="AK119" i="19"/>
  <c r="AD120" i="19"/>
  <c r="AD118" i="1" s="1"/>
  <c r="AF120" i="19"/>
  <c r="AF118" i="1" s="1"/>
  <c r="AH120" i="19"/>
  <c r="AH118" i="1" s="1"/>
  <c r="AI120" i="19"/>
  <c r="AI118" i="1" s="1"/>
  <c r="AF121" i="19"/>
  <c r="AF119" i="1" s="1"/>
  <c r="AH121" i="19"/>
  <c r="AH119" i="1" s="1"/>
  <c r="AI121" i="19"/>
  <c r="AI119" i="1" s="1"/>
  <c r="AF122" i="19"/>
  <c r="AH122" i="19"/>
  <c r="AH120" i="1" s="1"/>
  <c r="AI122" i="19"/>
  <c r="AI120" i="1" s="1"/>
  <c r="AH123" i="19"/>
  <c r="AH121" i="1" s="1"/>
  <c r="AI123" i="19"/>
  <c r="AI121" i="1" s="1"/>
  <c r="AH124" i="19"/>
  <c r="AH122" i="1" s="1"/>
  <c r="AI124" i="19"/>
  <c r="AI122" i="1" s="1"/>
  <c r="AH125" i="19"/>
  <c r="AI125" i="19"/>
  <c r="AI123" i="1" s="1"/>
  <c r="AH126" i="19"/>
  <c r="AH124" i="1" s="1"/>
  <c r="AI126" i="19"/>
  <c r="AI124" i="1" s="1"/>
  <c r="AH127" i="19"/>
  <c r="AH125" i="1" s="1"/>
  <c r="AI127" i="19"/>
  <c r="AI125" i="1" s="1"/>
  <c r="AF128" i="19"/>
  <c r="AF126" i="1" s="1"/>
  <c r="AH128" i="19"/>
  <c r="AH126" i="1" s="1"/>
  <c r="AI128" i="19"/>
  <c r="AI126" i="1" s="1"/>
  <c r="AF129" i="19"/>
  <c r="AF127" i="1" s="1"/>
  <c r="AH129" i="19"/>
  <c r="AH127" i="1" s="1"/>
  <c r="AI129" i="19"/>
  <c r="AI127" i="1" s="1"/>
  <c r="AF130" i="19"/>
  <c r="AF128" i="1" s="1"/>
  <c r="AH130" i="19"/>
  <c r="AH128" i="1" s="1"/>
  <c r="AI130" i="19"/>
  <c r="AI128" i="1" s="1"/>
  <c r="AD131" i="19"/>
  <c r="AE131" i="19"/>
  <c r="AE129" i="1" s="1"/>
  <c r="AF131" i="19"/>
  <c r="AG131" i="19"/>
  <c r="AG129" i="1" s="1"/>
  <c r="AH131" i="19"/>
  <c r="AH129" i="1" s="1"/>
  <c r="AI131" i="19"/>
  <c r="AI129" i="1" s="1"/>
  <c r="AE132" i="19"/>
  <c r="AF132" i="19"/>
  <c r="AG132" i="19"/>
  <c r="AH132" i="19"/>
  <c r="AH130" i="1" s="1"/>
  <c r="AI132" i="19"/>
  <c r="AI130" i="1" s="1"/>
  <c r="AF133" i="19"/>
  <c r="AF131" i="1" s="1"/>
  <c r="AH133" i="19"/>
  <c r="AH131" i="1" s="1"/>
  <c r="AI133" i="19"/>
  <c r="AI131" i="1" s="1"/>
  <c r="AF134" i="19"/>
  <c r="AF132" i="1" s="1"/>
  <c r="AH134" i="19"/>
  <c r="AH132" i="1" s="1"/>
  <c r="AI134" i="19"/>
  <c r="AI132" i="1" s="1"/>
  <c r="AH135" i="19"/>
  <c r="AH133" i="1" s="1"/>
  <c r="AI135" i="19"/>
  <c r="AI133" i="1" s="1"/>
  <c r="AH136" i="19"/>
  <c r="AH134" i="1" s="1"/>
  <c r="AI136" i="19"/>
  <c r="AI134" i="1" s="1"/>
  <c r="AH137" i="19"/>
  <c r="AH135" i="1" s="1"/>
  <c r="AI137" i="19"/>
  <c r="AI135" i="1" s="1"/>
  <c r="AH138" i="19"/>
  <c r="AH136" i="1" s="1"/>
  <c r="AI138" i="19"/>
  <c r="AI136" i="1" s="1"/>
  <c r="AH139" i="19"/>
  <c r="AH137" i="1" s="1"/>
  <c r="AI139" i="19"/>
  <c r="AI137" i="1" s="1"/>
  <c r="AF140" i="19"/>
  <c r="AH140" i="19"/>
  <c r="AH138" i="1" s="1"/>
  <c r="AI140" i="19"/>
  <c r="AI138" i="1" s="1"/>
  <c r="AF141" i="19"/>
  <c r="AF139" i="1" s="1"/>
  <c r="AH141" i="19"/>
  <c r="AH139" i="1" s="1"/>
  <c r="AI141" i="19"/>
  <c r="AI139" i="1" s="1"/>
  <c r="AF142" i="19"/>
  <c r="AH142" i="19"/>
  <c r="AH140" i="1" s="1"/>
  <c r="AI142" i="19"/>
  <c r="AI140" i="1" s="1"/>
  <c r="AD143" i="19"/>
  <c r="AD141" i="1" s="1"/>
  <c r="AE143" i="19"/>
  <c r="AF143" i="19"/>
  <c r="AF141" i="1" s="1"/>
  <c r="AG143" i="19"/>
  <c r="AG141" i="1" s="1"/>
  <c r="AH143" i="19"/>
  <c r="AH141" i="1" s="1"/>
  <c r="AI143" i="19"/>
  <c r="AI141" i="1" s="1"/>
  <c r="AK143" i="19"/>
  <c r="AD144" i="19"/>
  <c r="AF144" i="19"/>
  <c r="AG144" i="19"/>
  <c r="AH144" i="19"/>
  <c r="AH142" i="1" s="1"/>
  <c r="AI144" i="19"/>
  <c r="AI142" i="1" s="1"/>
  <c r="AF145" i="19"/>
  <c r="AH145" i="19"/>
  <c r="AH143" i="1" s="1"/>
  <c r="AI145" i="19"/>
  <c r="AI143" i="1" s="1"/>
  <c r="AF146" i="19"/>
  <c r="AH146" i="19"/>
  <c r="AH144" i="1" s="1"/>
  <c r="AI146" i="19"/>
  <c r="AI144" i="1" s="1"/>
  <c r="AH147" i="19"/>
  <c r="AH145" i="1" s="1"/>
  <c r="AI147" i="19"/>
  <c r="AI145" i="1" s="1"/>
  <c r="AH148" i="19"/>
  <c r="AI148" i="19"/>
  <c r="AI146" i="1" s="1"/>
  <c r="AH149" i="19"/>
  <c r="AH147" i="1" s="1"/>
  <c r="AI149" i="19"/>
  <c r="AI147" i="1" s="1"/>
  <c r="AH150" i="19"/>
  <c r="AH148" i="1" s="1"/>
  <c r="AI150" i="19"/>
  <c r="AI148" i="1" s="1"/>
  <c r="AH151" i="19"/>
  <c r="AH149" i="1" s="1"/>
  <c r="AI151" i="19"/>
  <c r="AI149" i="1" s="1"/>
  <c r="AF152" i="19"/>
  <c r="AF150" i="1" s="1"/>
  <c r="AH152" i="19"/>
  <c r="AH150" i="1" s="1"/>
  <c r="AI152" i="19"/>
  <c r="AI150" i="1" s="1"/>
  <c r="AF153" i="19"/>
  <c r="AH153" i="19"/>
  <c r="AH151" i="1" s="1"/>
  <c r="AI153" i="19"/>
  <c r="AI151" i="1" s="1"/>
  <c r="AF154" i="19"/>
  <c r="AF152" i="1" s="1"/>
  <c r="AH154" i="19"/>
  <c r="AH152" i="1" s="1"/>
  <c r="AI154" i="19"/>
  <c r="AI152" i="1" s="1"/>
  <c r="AD155" i="19"/>
  <c r="AE155" i="19"/>
  <c r="AE153" i="1" s="1"/>
  <c r="AF155" i="19"/>
  <c r="AF153" i="1" s="1"/>
  <c r="AG155" i="19"/>
  <c r="AG153" i="1" s="1"/>
  <c r="AH155" i="19"/>
  <c r="AH153" i="1" s="1"/>
  <c r="AI155" i="19"/>
  <c r="AI153" i="1" s="1"/>
  <c r="AE156" i="19"/>
  <c r="AF156" i="19"/>
  <c r="AF154" i="1" s="1"/>
  <c r="AG156" i="19"/>
  <c r="AG154" i="1" s="1"/>
  <c r="AH156" i="19"/>
  <c r="AH154" i="1" s="1"/>
  <c r="AI156" i="19"/>
  <c r="AI154" i="1" s="1"/>
  <c r="AF157" i="19"/>
  <c r="AG157" i="19"/>
  <c r="AH157" i="19"/>
  <c r="AH155" i="1" s="1"/>
  <c r="AI157" i="19"/>
  <c r="AF158" i="19"/>
  <c r="AH158" i="19"/>
  <c r="AH156" i="1" s="1"/>
  <c r="AI158" i="19"/>
  <c r="AI156" i="1" s="1"/>
  <c r="AH159" i="19"/>
  <c r="AH157" i="1" s="1"/>
  <c r="AI159" i="19"/>
  <c r="AI157" i="1" s="1"/>
  <c r="AH160" i="19"/>
  <c r="AH158" i="1" s="1"/>
  <c r="AI160" i="19"/>
  <c r="AI158" i="1" s="1"/>
  <c r="AH161" i="19"/>
  <c r="AH159" i="1" s="1"/>
  <c r="AI161" i="19"/>
  <c r="AI159" i="1" s="1"/>
  <c r="AH162" i="19"/>
  <c r="AH160" i="1" s="1"/>
  <c r="AI162" i="19"/>
  <c r="AI160" i="1" s="1"/>
  <c r="AH163" i="19"/>
  <c r="AH161" i="1" s="1"/>
  <c r="AI163" i="19"/>
  <c r="AI161" i="1" s="1"/>
  <c r="AF164" i="19"/>
  <c r="AF162" i="1" s="1"/>
  <c r="AH164" i="19"/>
  <c r="AH162" i="1" s="1"/>
  <c r="AI164" i="19"/>
  <c r="AI162" i="1" s="1"/>
  <c r="AF165" i="19"/>
  <c r="AF163" i="1" s="1"/>
  <c r="AH165" i="19"/>
  <c r="AI165" i="19"/>
  <c r="AI163" i="1" s="1"/>
  <c r="AF166" i="19"/>
  <c r="AF164" i="1" s="1"/>
  <c r="AH166" i="19"/>
  <c r="AH164" i="1" s="1"/>
  <c r="AI166" i="19"/>
  <c r="AI164" i="1" s="1"/>
  <c r="AC167" i="19"/>
  <c r="AD167" i="19"/>
  <c r="AD165" i="1" s="1"/>
  <c r="AE167" i="19"/>
  <c r="AF167" i="19"/>
  <c r="AF165" i="1" s="1"/>
  <c r="AG167" i="19"/>
  <c r="AH167" i="19"/>
  <c r="AH165" i="1" s="1"/>
  <c r="AI167" i="19"/>
  <c r="AI165" i="1" s="1"/>
  <c r="AD168" i="19"/>
  <c r="AF168" i="19"/>
  <c r="AH168" i="19"/>
  <c r="AH166" i="1" s="1"/>
  <c r="AI168" i="19"/>
  <c r="AF169" i="19"/>
  <c r="AF167" i="1" s="1"/>
  <c r="AH169" i="19"/>
  <c r="AH167" i="1" s="1"/>
  <c r="AI169" i="19"/>
  <c r="AI167" i="1" s="1"/>
  <c r="AF170" i="19"/>
  <c r="AH170" i="19"/>
  <c r="AH168" i="1" s="1"/>
  <c r="AI170" i="19"/>
  <c r="AH171" i="19"/>
  <c r="AH169" i="1" s="1"/>
  <c r="AI171" i="19"/>
  <c r="AH172" i="19"/>
  <c r="AH170" i="1" s="1"/>
  <c r="AI172" i="19"/>
  <c r="AI170" i="1" s="1"/>
  <c r="AH173" i="19"/>
  <c r="AH171" i="1" s="1"/>
  <c r="AI173" i="19"/>
  <c r="AI171" i="1" s="1"/>
  <c r="AH174" i="19"/>
  <c r="AH172" i="1" s="1"/>
  <c r="AI174" i="19"/>
  <c r="AI172" i="1" s="1"/>
  <c r="AH175" i="19"/>
  <c r="AH173" i="1" s="1"/>
  <c r="AI175" i="19"/>
  <c r="AI173" i="1" s="1"/>
  <c r="AF176" i="19"/>
  <c r="AH176" i="19"/>
  <c r="AH174" i="1" s="1"/>
  <c r="AI176" i="19"/>
  <c r="AI174" i="1" s="1"/>
  <c r="AF177" i="19"/>
  <c r="AF175" i="1" s="1"/>
  <c r="AH177" i="19"/>
  <c r="AH175" i="1" s="1"/>
  <c r="AI177" i="19"/>
  <c r="AI175" i="1" s="1"/>
  <c r="AF178" i="19"/>
  <c r="AF176" i="1" s="1"/>
  <c r="AH178" i="19"/>
  <c r="AH176" i="1" s="1"/>
  <c r="AI178" i="19"/>
  <c r="AI176" i="1" s="1"/>
  <c r="AD179" i="19"/>
  <c r="AE179" i="19"/>
  <c r="AE177" i="1" s="1"/>
  <c r="AF179" i="19"/>
  <c r="AF177" i="1" s="1"/>
  <c r="AG179" i="19"/>
  <c r="AG177" i="1" s="1"/>
  <c r="AH179" i="19"/>
  <c r="AH177" i="1" s="1"/>
  <c r="AI179" i="19"/>
  <c r="AI177" i="1" s="1"/>
  <c r="AE180" i="19"/>
  <c r="AF180" i="19"/>
  <c r="AF178" i="1" s="1"/>
  <c r="AG180" i="19"/>
  <c r="AH180" i="19"/>
  <c r="AH178" i="1" s="1"/>
  <c r="AI180" i="19"/>
  <c r="AI178" i="1" s="1"/>
  <c r="AF181" i="19"/>
  <c r="AH181" i="19"/>
  <c r="AH179" i="1" s="1"/>
  <c r="AI181" i="19"/>
  <c r="AI179" i="1" s="1"/>
  <c r="AF182" i="19"/>
  <c r="AF180" i="1" s="1"/>
  <c r="AH182" i="19"/>
  <c r="AH180" i="1" s="1"/>
  <c r="AI182" i="19"/>
  <c r="AI180" i="1" s="1"/>
  <c r="AH183" i="19"/>
  <c r="AH181" i="1" s="1"/>
  <c r="AI183" i="19"/>
  <c r="AI181" i="1" s="1"/>
  <c r="AH184" i="19"/>
  <c r="AH182" i="1" s="1"/>
  <c r="AI184" i="19"/>
  <c r="AI182" i="1" s="1"/>
  <c r="AH185" i="19"/>
  <c r="AH183" i="1" s="1"/>
  <c r="AI185" i="19"/>
  <c r="AI183" i="1" s="1"/>
  <c r="AH186" i="19"/>
  <c r="AH184" i="1" s="1"/>
  <c r="AI186" i="19"/>
  <c r="AI184" i="1" s="1"/>
  <c r="AH187" i="19"/>
  <c r="AH185" i="1" s="1"/>
  <c r="AI187" i="19"/>
  <c r="AI185" i="1" s="1"/>
  <c r="AF188" i="19"/>
  <c r="AF186" i="1" s="1"/>
  <c r="AH188" i="19"/>
  <c r="AH186" i="1" s="1"/>
  <c r="AI188" i="19"/>
  <c r="AI186" i="1" s="1"/>
  <c r="AF189" i="19"/>
  <c r="AH189" i="19"/>
  <c r="AH187" i="1" s="1"/>
  <c r="AI189" i="19"/>
  <c r="AI187" i="1" s="1"/>
  <c r="AF190" i="19"/>
  <c r="AF188" i="1" s="1"/>
  <c r="AH190" i="19"/>
  <c r="AH188" i="1" s="1"/>
  <c r="AI190" i="19"/>
  <c r="AI188" i="1" s="1"/>
  <c r="AC191" i="19"/>
  <c r="AD191" i="19"/>
  <c r="AD189" i="1" s="1"/>
  <c r="AE191" i="19"/>
  <c r="AF191" i="19"/>
  <c r="AF189" i="1" s="1"/>
  <c r="AG191" i="19"/>
  <c r="AH191" i="19"/>
  <c r="AH189" i="1" s="1"/>
  <c r="AI191" i="19"/>
  <c r="AI189" i="1" s="1"/>
  <c r="AD192" i="19"/>
  <c r="AF192" i="19"/>
  <c r="AF190" i="1" s="1"/>
  <c r="AH192" i="19"/>
  <c r="AH190" i="1" s="1"/>
  <c r="AI192" i="19"/>
  <c r="AI190" i="1" s="1"/>
  <c r="AF193" i="19"/>
  <c r="AF191" i="1" s="1"/>
  <c r="AH193" i="19"/>
  <c r="AH191" i="1" s="1"/>
  <c r="AI193" i="19"/>
  <c r="AI191" i="1" s="1"/>
  <c r="AF194" i="19"/>
  <c r="AF192" i="1" s="1"/>
  <c r="AH194" i="19"/>
  <c r="AH192" i="1" s="1"/>
  <c r="AI194" i="19"/>
  <c r="AI192" i="1" s="1"/>
  <c r="AH195" i="19"/>
  <c r="AH193" i="1" s="1"/>
  <c r="AI195" i="19"/>
  <c r="AI193" i="1" s="1"/>
  <c r="AH196" i="19"/>
  <c r="AH194" i="1" s="1"/>
  <c r="AI196" i="19"/>
  <c r="AI194" i="1" s="1"/>
  <c r="AH197" i="19"/>
  <c r="AH195" i="1" s="1"/>
  <c r="AI197" i="19"/>
  <c r="AH198" i="19"/>
  <c r="AH196" i="1" s="1"/>
  <c r="AI198" i="19"/>
  <c r="AI196" i="1" s="1"/>
  <c r="AH199" i="19"/>
  <c r="AH197" i="1" s="1"/>
  <c r="AI199" i="19"/>
  <c r="AI197" i="1" s="1"/>
  <c r="AF200" i="19"/>
  <c r="AF198" i="1" s="1"/>
  <c r="AH200" i="19"/>
  <c r="AH198" i="1" s="1"/>
  <c r="AI200" i="19"/>
  <c r="AI198" i="1" s="1"/>
  <c r="AF201" i="19"/>
  <c r="AF199" i="1" s="1"/>
  <c r="AH201" i="19"/>
  <c r="AH199" i="1" s="1"/>
  <c r="AI201" i="19"/>
  <c r="AI199" i="1" s="1"/>
  <c r="AF202" i="19"/>
  <c r="AH202" i="19"/>
  <c r="AH200" i="1" s="1"/>
  <c r="AI202" i="19"/>
  <c r="AI200" i="1" s="1"/>
  <c r="AD203" i="19"/>
  <c r="AD201" i="1" s="1"/>
  <c r="AE203" i="19"/>
  <c r="AF203" i="19"/>
  <c r="AF201" i="1" s="1"/>
  <c r="AG203" i="19"/>
  <c r="AG201" i="1" s="1"/>
  <c r="AH203" i="19"/>
  <c r="AH201" i="1" s="1"/>
  <c r="AI203" i="19"/>
  <c r="AD204" i="19"/>
  <c r="AF204" i="19"/>
  <c r="AF202" i="1" s="1"/>
  <c r="AG204" i="19"/>
  <c r="AH204" i="19"/>
  <c r="AH202" i="1" s="1"/>
  <c r="AI204" i="19"/>
  <c r="AI202" i="1" s="1"/>
  <c r="AF205" i="19"/>
  <c r="AF203" i="1" s="1"/>
  <c r="AH205" i="19"/>
  <c r="AH203" i="1" s="1"/>
  <c r="AI205" i="19"/>
  <c r="AI203" i="1" s="1"/>
  <c r="AF206" i="19"/>
  <c r="AF204" i="1" s="1"/>
  <c r="AH206" i="19"/>
  <c r="AH204" i="1" s="1"/>
  <c r="AI206" i="19"/>
  <c r="AI204" i="1" s="1"/>
  <c r="AH207" i="19"/>
  <c r="AH205" i="1" s="1"/>
  <c r="AI207" i="19"/>
  <c r="AI205" i="1" s="1"/>
  <c r="AH208" i="19"/>
  <c r="AH206" i="1" s="1"/>
  <c r="AI208" i="19"/>
  <c r="AI206" i="1" s="1"/>
  <c r="AH209" i="19"/>
  <c r="AH207" i="1" s="1"/>
  <c r="AI209" i="19"/>
  <c r="AI207" i="1" s="1"/>
  <c r="AH210" i="19"/>
  <c r="AH208" i="1" s="1"/>
  <c r="AI210" i="19"/>
  <c r="AI208" i="1" s="1"/>
  <c r="AH211" i="19"/>
  <c r="AH209" i="1" s="1"/>
  <c r="AI211" i="19"/>
  <c r="AI209" i="1" s="1"/>
  <c r="AF212" i="19"/>
  <c r="AF210" i="1" s="1"/>
  <c r="AH212" i="19"/>
  <c r="AH210" i="1" s="1"/>
  <c r="AI212" i="19"/>
  <c r="AI210" i="1" s="1"/>
  <c r="AF213" i="19"/>
  <c r="AF211" i="1" s="1"/>
  <c r="AH213" i="19"/>
  <c r="AH211" i="1" s="1"/>
  <c r="AI213" i="19"/>
  <c r="AI211" i="1" s="1"/>
  <c r="AF214" i="19"/>
  <c r="AF212" i="1" s="1"/>
  <c r="AH214" i="19"/>
  <c r="AI214" i="19"/>
  <c r="AI212" i="1" s="1"/>
  <c r="AD215" i="19"/>
  <c r="AD213" i="1" s="1"/>
  <c r="AE215" i="19"/>
  <c r="AF215" i="19"/>
  <c r="AG215" i="19"/>
  <c r="AH215" i="19"/>
  <c r="AH213" i="1" s="1"/>
  <c r="AI215" i="19"/>
  <c r="AI213" i="1" s="1"/>
  <c r="AD216" i="19"/>
  <c r="AD214" i="1" s="1"/>
  <c r="AF216" i="19"/>
  <c r="AF214" i="1" s="1"/>
  <c r="AH216" i="19"/>
  <c r="AH214" i="1" s="1"/>
  <c r="AI216" i="19"/>
  <c r="AI214" i="1" s="1"/>
  <c r="AD217" i="19"/>
  <c r="AF217" i="19"/>
  <c r="AF215" i="1" s="1"/>
  <c r="AH217" i="19"/>
  <c r="AH215" i="1" s="1"/>
  <c r="AI217" i="19"/>
  <c r="AI215" i="1" s="1"/>
  <c r="AF218" i="19"/>
  <c r="AF216" i="1" s="1"/>
  <c r="AH218" i="19"/>
  <c r="AH216" i="1" s="1"/>
  <c r="AI218" i="19"/>
  <c r="AI216" i="1" s="1"/>
  <c r="AH219" i="19"/>
  <c r="AH217" i="1" s="1"/>
  <c r="AI219" i="19"/>
  <c r="AI217" i="1" s="1"/>
  <c r="AH220" i="19"/>
  <c r="AH218" i="1" s="1"/>
  <c r="AI220" i="19"/>
  <c r="AI218" i="1" s="1"/>
  <c r="AH221" i="19"/>
  <c r="AH219" i="1" s="1"/>
  <c r="AI221" i="19"/>
  <c r="AH222" i="19"/>
  <c r="AH220" i="1" s="1"/>
  <c r="AI222" i="19"/>
  <c r="AI220" i="1" s="1"/>
  <c r="AH223" i="19"/>
  <c r="AH221" i="1" s="1"/>
  <c r="AI223" i="19"/>
  <c r="AI221" i="1" s="1"/>
  <c r="AF224" i="19"/>
  <c r="AF222" i="1" s="1"/>
  <c r="AH224" i="19"/>
  <c r="AH222" i="1" s="1"/>
  <c r="AI224" i="19"/>
  <c r="AI222" i="1" s="1"/>
  <c r="AF225" i="19"/>
  <c r="AF223" i="1" s="1"/>
  <c r="AH225" i="19"/>
  <c r="AH223" i="1" s="1"/>
  <c r="AI225" i="19"/>
  <c r="AI223" i="1" s="1"/>
  <c r="AF226" i="19"/>
  <c r="AF224" i="1" s="1"/>
  <c r="AH226" i="19"/>
  <c r="AH224" i="1" s="1"/>
  <c r="AI226" i="19"/>
  <c r="AI224" i="1" s="1"/>
  <c r="AD227" i="19"/>
  <c r="AE227" i="19"/>
  <c r="AE225" i="1" s="1"/>
  <c r="AF227" i="19"/>
  <c r="AF225" i="1" s="1"/>
  <c r="AG227" i="19"/>
  <c r="AG225" i="1" s="1"/>
  <c r="AH227" i="19"/>
  <c r="AH225" i="1" s="1"/>
  <c r="AI227" i="19"/>
  <c r="AI225" i="1" s="1"/>
  <c r="AE228" i="19"/>
  <c r="AE226" i="1" s="1"/>
  <c r="AF228" i="19"/>
  <c r="AG228" i="19"/>
  <c r="AH228" i="19"/>
  <c r="AH226" i="1" s="1"/>
  <c r="AI228" i="19"/>
  <c r="AF229" i="19"/>
  <c r="AH229" i="19"/>
  <c r="AH227" i="1" s="1"/>
  <c r="AI229" i="19"/>
  <c r="AI227" i="1" s="1"/>
  <c r="AF230" i="19"/>
  <c r="AF228" i="1" s="1"/>
  <c r="AH230" i="19"/>
  <c r="AI230" i="19"/>
  <c r="AI228" i="1" s="1"/>
  <c r="AH231" i="19"/>
  <c r="AH229" i="1" s="1"/>
  <c r="AI231" i="19"/>
  <c r="AI229" i="1" s="1"/>
  <c r="AH232" i="19"/>
  <c r="AH230" i="1" s="1"/>
  <c r="AI232" i="19"/>
  <c r="AI230" i="1" s="1"/>
  <c r="AH233" i="19"/>
  <c r="AH231" i="1" s="1"/>
  <c r="AI233" i="19"/>
  <c r="AI231" i="1" s="1"/>
  <c r="AH234" i="19"/>
  <c r="AH232" i="1" s="1"/>
  <c r="AI234" i="19"/>
  <c r="AH235" i="19"/>
  <c r="AH233" i="1" s="1"/>
  <c r="AI235" i="19"/>
  <c r="AI233" i="1" s="1"/>
  <c r="AF236" i="19"/>
  <c r="AF234" i="1" s="1"/>
  <c r="AH236" i="19"/>
  <c r="AH234" i="1" s="1"/>
  <c r="AI236" i="19"/>
  <c r="AI234" i="1" s="1"/>
  <c r="AF237" i="19"/>
  <c r="AF235" i="1" s="1"/>
  <c r="AH237" i="19"/>
  <c r="AI237" i="19"/>
  <c r="AI235" i="1" s="1"/>
  <c r="AF238" i="19"/>
  <c r="AF236" i="1" s="1"/>
  <c r="AH238" i="19"/>
  <c r="AH236" i="1" s="1"/>
  <c r="AI238" i="19"/>
  <c r="AI236" i="1" s="1"/>
  <c r="AC239" i="19"/>
  <c r="AD239" i="19"/>
  <c r="AD237" i="1" s="1"/>
  <c r="AE239" i="19"/>
  <c r="AF239" i="19"/>
  <c r="AG239" i="19"/>
  <c r="AH239" i="19"/>
  <c r="AH237" i="1" s="1"/>
  <c r="AI239" i="19"/>
  <c r="AI237" i="1" s="1"/>
  <c r="AD240" i="19"/>
  <c r="AF240" i="19"/>
  <c r="AH240" i="19"/>
  <c r="AH238" i="1" s="1"/>
  <c r="AI240" i="19"/>
  <c r="AI238" i="1" s="1"/>
  <c r="AF241" i="19"/>
  <c r="AH241" i="19"/>
  <c r="AI241" i="19"/>
  <c r="AI239" i="1" s="1"/>
  <c r="AF242" i="19"/>
  <c r="AF240" i="1" s="1"/>
  <c r="AH242" i="19"/>
  <c r="AH240" i="1" s="1"/>
  <c r="AI242" i="19"/>
  <c r="AH243" i="19"/>
  <c r="AH241" i="1" s="1"/>
  <c r="AI243" i="19"/>
  <c r="AI241" i="1" s="1"/>
  <c r="AH244" i="19"/>
  <c r="AH242" i="1" s="1"/>
  <c r="AI244" i="19"/>
  <c r="AI242" i="1" s="1"/>
  <c r="AH245" i="19"/>
  <c r="AH243" i="1" s="1"/>
  <c r="AI245" i="19"/>
  <c r="AI243" i="1" s="1"/>
  <c r="AH246" i="19"/>
  <c r="AH244" i="1" s="1"/>
  <c r="AI246" i="19"/>
  <c r="AI244" i="1" s="1"/>
  <c r="AH247" i="19"/>
  <c r="AH245" i="1" s="1"/>
  <c r="AI247" i="19"/>
  <c r="AI245" i="1" s="1"/>
  <c r="AF248" i="19"/>
  <c r="AF246" i="1" s="1"/>
  <c r="AH248" i="19"/>
  <c r="AH246" i="1" s="1"/>
  <c r="AI248" i="19"/>
  <c r="AF249" i="19"/>
  <c r="AH249" i="19"/>
  <c r="AH247" i="1" s="1"/>
  <c r="AI249" i="19"/>
  <c r="AI247" i="1" s="1"/>
  <c r="AF250" i="19"/>
  <c r="AF248" i="1" s="1"/>
  <c r="AH250" i="19"/>
  <c r="AH248" i="1" s="1"/>
  <c r="AI250" i="19"/>
  <c r="AI248" i="1" s="1"/>
  <c r="V8" i="21"/>
  <c r="A11" i="21"/>
  <c r="A12" i="21" s="1"/>
  <c r="A11" i="20"/>
  <c r="A12" i="20" s="1"/>
  <c r="A13" i="20" s="1"/>
  <c r="A14" i="20"/>
  <c r="A15" i="20" s="1"/>
  <c r="A16" i="20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G5" i="18"/>
  <c r="H5" i="18"/>
  <c r="H6" i="18" s="1"/>
  <c r="I5" i="18"/>
  <c r="J5" i="18"/>
  <c r="J6" i="18" s="1"/>
  <c r="K5" i="18"/>
  <c r="G6" i="18"/>
  <c r="I6" i="18"/>
  <c r="K6" i="18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D11" i="7"/>
  <c r="E11" i="7"/>
  <c r="F11" i="7"/>
  <c r="D12" i="7"/>
  <c r="E12" i="7"/>
  <c r="F12" i="7"/>
  <c r="D13" i="7"/>
  <c r="E13" i="7"/>
  <c r="F13" i="7"/>
  <c r="H17" i="7"/>
  <c r="H11" i="7" s="1"/>
  <c r="B18" i="7"/>
  <c r="H18" i="7"/>
  <c r="H19" i="7"/>
  <c r="H20" i="7"/>
  <c r="H21" i="7"/>
  <c r="B22" i="7"/>
  <c r="H22" i="7"/>
  <c r="H23" i="7"/>
  <c r="H24" i="7"/>
  <c r="H25" i="7"/>
  <c r="B26" i="7"/>
  <c r="H26" i="7"/>
  <c r="H27" i="7"/>
  <c r="H28" i="7"/>
  <c r="H29" i="7"/>
  <c r="B30" i="7"/>
  <c r="H30" i="7"/>
  <c r="H31" i="7"/>
  <c r="H32" i="7"/>
  <c r="H33" i="7"/>
  <c r="B34" i="7"/>
  <c r="H34" i="7"/>
  <c r="H35" i="7"/>
  <c r="H36" i="7"/>
  <c r="H37" i="7"/>
  <c r="B38" i="7"/>
  <c r="H38" i="7"/>
  <c r="H39" i="7"/>
  <c r="H40" i="7"/>
  <c r="H41" i="7"/>
  <c r="B42" i="7"/>
  <c r="H42" i="7"/>
  <c r="H43" i="7"/>
  <c r="H44" i="7"/>
  <c r="H45" i="7"/>
  <c r="B46" i="7"/>
  <c r="H46" i="7"/>
  <c r="H47" i="7"/>
  <c r="H48" i="7"/>
  <c r="H49" i="7"/>
  <c r="I49" i="7"/>
  <c r="D51" i="7"/>
  <c r="E51" i="7"/>
  <c r="F51" i="7"/>
  <c r="H51" i="7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E105" i="11" s="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D105" i="11" s="1"/>
  <c r="D108" i="11" s="1"/>
  <c r="D18" i="4" s="1"/>
  <c r="D21" i="4" s="1"/>
  <c r="D37" i="4" s="1"/>
  <c r="A41" i="11"/>
  <c r="A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C52" i="11"/>
  <c r="G59" i="11" s="1"/>
  <c r="D52" i="11"/>
  <c r="E52" i="11"/>
  <c r="E55" i="11" s="1"/>
  <c r="F52" i="11"/>
  <c r="P65" i="11" s="1"/>
  <c r="G52" i="11"/>
  <c r="I57" i="11" s="1"/>
  <c r="H52" i="11"/>
  <c r="H55" i="11" s="1"/>
  <c r="I52" i="11"/>
  <c r="J52" i="11"/>
  <c r="K52" i="11"/>
  <c r="O59" i="11" s="1"/>
  <c r="L52" i="11"/>
  <c r="M52" i="11"/>
  <c r="M55" i="11" s="1"/>
  <c r="N52" i="11"/>
  <c r="P57" i="11" s="1"/>
  <c r="O52" i="11"/>
  <c r="R58" i="11" s="1"/>
  <c r="P52" i="11"/>
  <c r="Q52" i="11"/>
  <c r="R52" i="11"/>
  <c r="S52" i="11"/>
  <c r="T52" i="11"/>
  <c r="T55" i="11" s="1"/>
  <c r="U52" i="11"/>
  <c r="U55" i="11" s="1"/>
  <c r="V52" i="11"/>
  <c r="C55" i="11"/>
  <c r="C75" i="11" s="1"/>
  <c r="D55" i="11"/>
  <c r="F55" i="11"/>
  <c r="F75" i="11" s="1"/>
  <c r="I55" i="11"/>
  <c r="K55" i="11"/>
  <c r="L55" i="11"/>
  <c r="N55" i="11"/>
  <c r="Q55" i="11"/>
  <c r="S55" i="11"/>
  <c r="V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E57" i="11"/>
  <c r="F57" i="11"/>
  <c r="G57" i="11"/>
  <c r="K57" i="11"/>
  <c r="M57" i="11"/>
  <c r="N57" i="11"/>
  <c r="O57" i="11"/>
  <c r="Q57" i="11"/>
  <c r="S57" i="11"/>
  <c r="U57" i="11"/>
  <c r="F58" i="11"/>
  <c r="H58" i="11"/>
  <c r="J58" i="11"/>
  <c r="L58" i="11"/>
  <c r="M58" i="11"/>
  <c r="N58" i="11"/>
  <c r="P58" i="11"/>
  <c r="T58" i="11"/>
  <c r="U58" i="11"/>
  <c r="V58" i="11"/>
  <c r="I59" i="11"/>
  <c r="J59" i="11"/>
  <c r="M59" i="11"/>
  <c r="N59" i="11"/>
  <c r="P59" i="11"/>
  <c r="Q59" i="11"/>
  <c r="R59" i="11"/>
  <c r="U59" i="11"/>
  <c r="V59" i="11"/>
  <c r="I60" i="11"/>
  <c r="J60" i="11"/>
  <c r="K60" i="11"/>
  <c r="N60" i="11"/>
  <c r="O60" i="11"/>
  <c r="Q60" i="11"/>
  <c r="R60" i="11"/>
  <c r="S60" i="11"/>
  <c r="V60" i="11"/>
  <c r="I61" i="11"/>
  <c r="K61" i="11"/>
  <c r="M61" i="11"/>
  <c r="O61" i="11"/>
  <c r="P61" i="11"/>
  <c r="Q61" i="11"/>
  <c r="S61" i="11"/>
  <c r="U61" i="11"/>
  <c r="J62" i="11"/>
  <c r="L62" i="11"/>
  <c r="N62" i="11"/>
  <c r="P62" i="11"/>
  <c r="R62" i="11"/>
  <c r="T62" i="11"/>
  <c r="V62" i="11"/>
  <c r="K63" i="11"/>
  <c r="L63" i="11"/>
  <c r="M63" i="11"/>
  <c r="N63" i="11"/>
  <c r="O63" i="11"/>
  <c r="Q63" i="11"/>
  <c r="R63" i="11"/>
  <c r="S63" i="11"/>
  <c r="T63" i="11"/>
  <c r="U63" i="11"/>
  <c r="V63" i="11"/>
  <c r="L64" i="11"/>
  <c r="O64" i="11"/>
  <c r="Q64" i="11"/>
  <c r="R64" i="11"/>
  <c r="T64" i="11"/>
  <c r="U64" i="11"/>
  <c r="M65" i="11"/>
  <c r="O65" i="11"/>
  <c r="S65" i="11"/>
  <c r="U65" i="11"/>
  <c r="N66" i="11"/>
  <c r="P66" i="11"/>
  <c r="Q66" i="11"/>
  <c r="R66" i="11"/>
  <c r="T66" i="11"/>
  <c r="V66" i="11"/>
  <c r="O67" i="11"/>
  <c r="Q67" i="11"/>
  <c r="R67" i="11"/>
  <c r="T67" i="11"/>
  <c r="U67" i="11"/>
  <c r="V67" i="11"/>
  <c r="P68" i="11"/>
  <c r="R68" i="11"/>
  <c r="S68" i="11"/>
  <c r="U68" i="11"/>
  <c r="V68" i="11"/>
  <c r="Q69" i="11"/>
  <c r="S69" i="11"/>
  <c r="T69" i="11"/>
  <c r="U69" i="11"/>
  <c r="R70" i="11"/>
  <c r="T70" i="11"/>
  <c r="U70" i="11"/>
  <c r="S71" i="11"/>
  <c r="T71" i="11"/>
  <c r="V71" i="11"/>
  <c r="T72" i="11"/>
  <c r="U72" i="11"/>
  <c r="V72" i="11"/>
  <c r="U73" i="11"/>
  <c r="V73" i="11"/>
  <c r="V74" i="11"/>
  <c r="D75" i="11"/>
  <c r="C80" i="11"/>
  <c r="C83" i="11" s="1"/>
  <c r="C103" i="11" s="1"/>
  <c r="D80" i="11"/>
  <c r="F85" i="11" s="1"/>
  <c r="E80" i="11"/>
  <c r="F80" i="11"/>
  <c r="F83" i="11" s="1"/>
  <c r="F103" i="11" s="1"/>
  <c r="G80" i="11"/>
  <c r="H80" i="11"/>
  <c r="I80" i="11"/>
  <c r="M87" i="11" s="1"/>
  <c r="J80" i="11"/>
  <c r="K80" i="11"/>
  <c r="K83" i="11" s="1"/>
  <c r="L80" i="11"/>
  <c r="N85" i="11" s="1"/>
  <c r="M80" i="11"/>
  <c r="N80" i="11"/>
  <c r="O80" i="11"/>
  <c r="P80" i="11"/>
  <c r="Q80" i="11"/>
  <c r="U87" i="11" s="1"/>
  <c r="R80" i="11"/>
  <c r="U86" i="11" s="1"/>
  <c r="S80" i="11"/>
  <c r="S83" i="11" s="1"/>
  <c r="T80" i="11"/>
  <c r="V85" i="11" s="1"/>
  <c r="U80" i="11"/>
  <c r="U83" i="11" s="1"/>
  <c r="V80" i="11"/>
  <c r="V83" i="11" s="1"/>
  <c r="D83" i="11"/>
  <c r="D103" i="11" s="1"/>
  <c r="G83" i="11"/>
  <c r="I83" i="11"/>
  <c r="J83" i="11"/>
  <c r="L83" i="11"/>
  <c r="O83" i="11"/>
  <c r="Q83" i="11"/>
  <c r="T83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E85" i="11"/>
  <c r="G85" i="11"/>
  <c r="I85" i="11"/>
  <c r="K85" i="11"/>
  <c r="L85" i="11"/>
  <c r="M85" i="11"/>
  <c r="O85" i="11"/>
  <c r="Q85" i="11"/>
  <c r="S85" i="11"/>
  <c r="T85" i="11"/>
  <c r="U85" i="11"/>
  <c r="F86" i="11"/>
  <c r="H86" i="11"/>
  <c r="J86" i="11"/>
  <c r="K86" i="11"/>
  <c r="L86" i="11"/>
  <c r="N86" i="11"/>
  <c r="P86" i="11"/>
  <c r="R86" i="11"/>
  <c r="S86" i="11"/>
  <c r="T86" i="11"/>
  <c r="V86" i="11"/>
  <c r="H87" i="11"/>
  <c r="K87" i="11"/>
  <c r="L87" i="11"/>
  <c r="N87" i="11"/>
  <c r="P87" i="11"/>
  <c r="S87" i="11"/>
  <c r="T87" i="11"/>
  <c r="V87" i="11"/>
  <c r="I88" i="11"/>
  <c r="L88" i="11"/>
  <c r="M88" i="11"/>
  <c r="O88" i="11"/>
  <c r="Q88" i="11"/>
  <c r="T88" i="11"/>
  <c r="U88" i="11"/>
  <c r="I89" i="11"/>
  <c r="K89" i="11"/>
  <c r="M89" i="11"/>
  <c r="N89" i="11"/>
  <c r="O89" i="11"/>
  <c r="Q89" i="11"/>
  <c r="S89" i="11"/>
  <c r="U89" i="11"/>
  <c r="V89" i="11"/>
  <c r="J90" i="11"/>
  <c r="L90" i="11"/>
  <c r="N90" i="11"/>
  <c r="P90" i="11"/>
  <c r="R90" i="11"/>
  <c r="T90" i="11"/>
  <c r="V90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M92" i="11"/>
  <c r="O92" i="11"/>
  <c r="P92" i="11"/>
  <c r="R92" i="11"/>
  <c r="U92" i="11"/>
  <c r="M93" i="11"/>
  <c r="N93" i="11"/>
  <c r="Q93" i="11"/>
  <c r="S93" i="11"/>
  <c r="U93" i="11"/>
  <c r="V93" i="11"/>
  <c r="N94" i="11"/>
  <c r="O94" i="11"/>
  <c r="P94" i="11"/>
  <c r="R94" i="11"/>
  <c r="T94" i="11"/>
  <c r="V94" i="11"/>
  <c r="O95" i="11"/>
  <c r="P95" i="11"/>
  <c r="S95" i="11"/>
  <c r="T95" i="11"/>
  <c r="U95" i="11"/>
  <c r="P96" i="11"/>
  <c r="Q96" i="11"/>
  <c r="S96" i="11"/>
  <c r="T96" i="11"/>
  <c r="U96" i="11"/>
  <c r="V96" i="11"/>
  <c r="Q97" i="11"/>
  <c r="R97" i="11"/>
  <c r="S97" i="11"/>
  <c r="U97" i="11"/>
  <c r="R98" i="11"/>
  <c r="S98" i="11"/>
  <c r="V98" i="11"/>
  <c r="T99" i="11"/>
  <c r="T100" i="11"/>
  <c r="U100" i="11"/>
  <c r="V100" i="11"/>
  <c r="U101" i="11"/>
  <c r="V102" i="11"/>
  <c r="C105" i="11"/>
  <c r="C108" i="11" s="1"/>
  <c r="F105" i="11"/>
  <c r="H105" i="11"/>
  <c r="K105" i="11"/>
  <c r="L105" i="11"/>
  <c r="N105" i="11"/>
  <c r="P105" i="11"/>
  <c r="S105" i="11"/>
  <c r="V105" i="11"/>
  <c r="A10" i="5"/>
  <c r="F10" i="5"/>
  <c r="C10" i="6" s="1"/>
  <c r="A11" i="5"/>
  <c r="F11" i="5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A12" i="5"/>
  <c r="F12" i="5"/>
  <c r="C12" i="6" s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A13" i="5"/>
  <c r="F13" i="5"/>
  <c r="C13" i="6" s="1"/>
  <c r="D13" i="6" s="1"/>
  <c r="E13" i="6" s="1"/>
  <c r="F13" i="6" s="1"/>
  <c r="G13" i="6" s="1"/>
  <c r="H13" i="6" s="1"/>
  <c r="I13" i="6" s="1"/>
  <c r="J13" i="6" s="1"/>
  <c r="K13" i="6" s="1"/>
  <c r="A14" i="5"/>
  <c r="F14" i="5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A15" i="5"/>
  <c r="F15" i="5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A16" i="5"/>
  <c r="F16" i="5"/>
  <c r="C16" i="6" s="1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A17" i="5"/>
  <c r="F17" i="5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A18" i="5"/>
  <c r="F18" i="5"/>
  <c r="C18" i="6" s="1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A19" i="5"/>
  <c r="F19" i="5"/>
  <c r="C19" i="6" s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A20" i="5"/>
  <c r="F20" i="5"/>
  <c r="C20" i="6" s="1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A21" i="5"/>
  <c r="F21" i="5"/>
  <c r="C21" i="6" s="1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A22" i="5"/>
  <c r="F22" i="5"/>
  <c r="C22" i="6" s="1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A23" i="5"/>
  <c r="F23" i="5"/>
  <c r="C23" i="6" s="1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A24" i="5"/>
  <c r="F24" i="5"/>
  <c r="C24" i="6" s="1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A25" i="5"/>
  <c r="F25" i="5"/>
  <c r="C25" i="6" s="1"/>
  <c r="A26" i="5"/>
  <c r="B20" i="7" s="1"/>
  <c r="F26" i="5"/>
  <c r="C26" i="6" s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A27" i="5"/>
  <c r="F27" i="5"/>
  <c r="C27" i="6" s="1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A28" i="5"/>
  <c r="F28" i="5"/>
  <c r="C28" i="6" s="1"/>
  <c r="D28" i="6" s="1"/>
  <c r="A29" i="5"/>
  <c r="F29" i="5"/>
  <c r="C29" i="6" s="1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A30" i="5"/>
  <c r="F30" i="5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A31" i="5"/>
  <c r="F31" i="5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A32" i="5"/>
  <c r="F32" i="5"/>
  <c r="C32" i="6" s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A33" i="5"/>
  <c r="F33" i="5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A34" i="5"/>
  <c r="F34" i="5"/>
  <c r="C34" i="6" s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A35" i="5"/>
  <c r="F35" i="5"/>
  <c r="C35" i="6" s="1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A36" i="5"/>
  <c r="F36" i="5"/>
  <c r="C36" i="6" s="1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A37" i="5"/>
  <c r="F37" i="5"/>
  <c r="C37" i="6" s="1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A38" i="5"/>
  <c r="F38" i="5"/>
  <c r="C38" i="6" s="1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A39" i="5"/>
  <c r="F39" i="5"/>
  <c r="C39" i="6" s="1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A40" i="5"/>
  <c r="F40" i="5"/>
  <c r="C40" i="6" s="1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A41" i="5"/>
  <c r="F41" i="5"/>
  <c r="C41" i="6" s="1"/>
  <c r="D41" i="6" s="1"/>
  <c r="E41" i="6" s="1"/>
  <c r="F41" i="6" s="1"/>
  <c r="G41" i="6" s="1"/>
  <c r="A42" i="5"/>
  <c r="F42" i="5"/>
  <c r="C42" i="6" s="1"/>
  <c r="D42" i="6" s="1"/>
  <c r="E42" i="6" s="1"/>
  <c r="F42" i="6" s="1"/>
  <c r="G42" i="6" s="1"/>
  <c r="C44" i="5"/>
  <c r="D44" i="5"/>
  <c r="E44" i="5"/>
  <c r="AJ21" i="1" l="1"/>
  <c r="AJ24" i="19"/>
  <c r="K102" i="37"/>
  <c r="K108" i="37"/>
  <c r="H42" i="6"/>
  <c r="I42" i="6" s="1"/>
  <c r="G14" i="4"/>
  <c r="E108" i="11"/>
  <c r="E18" i="4" s="1"/>
  <c r="E21" i="4" s="1"/>
  <c r="E37" i="4" s="1"/>
  <c r="B48" i="7"/>
  <c r="B44" i="7"/>
  <c r="B40" i="7"/>
  <c r="B36" i="7"/>
  <c r="B28" i="7"/>
  <c r="B24" i="7"/>
  <c r="O113" i="37"/>
  <c r="P113" i="37" s="1"/>
  <c r="Q113" i="37" s="1"/>
  <c r="R113" i="37" s="1"/>
  <c r="S113" i="37" s="1"/>
  <c r="T113" i="37" s="1"/>
  <c r="U113" i="37" s="1"/>
  <c r="V113" i="37" s="1"/>
  <c r="W113" i="37" s="1"/>
  <c r="X113" i="37" s="1"/>
  <c r="Y113" i="37" s="1"/>
  <c r="Z113" i="37" s="1"/>
  <c r="AA113" i="37" s="1"/>
  <c r="AB113" i="37" s="1"/>
  <c r="AC113" i="37" s="1"/>
  <c r="AD113" i="37" s="1"/>
  <c r="AE113" i="37" s="1"/>
  <c r="AF113" i="37" s="1"/>
  <c r="AG113" i="37" s="1"/>
  <c r="AH113" i="37" s="1"/>
  <c r="AI113" i="37" s="1"/>
  <c r="AJ113" i="37" s="1"/>
  <c r="AK113" i="37" s="1"/>
  <c r="AL113" i="37" s="1"/>
  <c r="AM113" i="37" s="1"/>
  <c r="AN113" i="37" s="1"/>
  <c r="N126" i="37"/>
  <c r="F11" i="23" s="1"/>
  <c r="U94" i="11"/>
  <c r="V95" i="11"/>
  <c r="M86" i="11"/>
  <c r="P89" i="11"/>
  <c r="T93" i="11"/>
  <c r="K75" i="11"/>
  <c r="O58" i="11"/>
  <c r="R61" i="11"/>
  <c r="V65" i="11"/>
  <c r="O66" i="11"/>
  <c r="R69" i="11"/>
  <c r="P67" i="11"/>
  <c r="Q68" i="11"/>
  <c r="G58" i="11"/>
  <c r="J61" i="11"/>
  <c r="N65" i="11"/>
  <c r="S70" i="11"/>
  <c r="I47" i="7"/>
  <c r="I43" i="7"/>
  <c r="H12" i="7"/>
  <c r="I35" i="7"/>
  <c r="AG33" i="1"/>
  <c r="AG36" i="19"/>
  <c r="B6" i="4"/>
  <c r="AB11" i="19"/>
  <c r="AN17" i="19"/>
  <c r="AO17" i="19" s="1"/>
  <c r="B2" i="4"/>
  <c r="C2" i="4"/>
  <c r="B4" i="4"/>
  <c r="AN11" i="19"/>
  <c r="AO11" i="19" s="1"/>
  <c r="AL17" i="19"/>
  <c r="AP17" i="19" s="1"/>
  <c r="AL11" i="19"/>
  <c r="AP11" i="19" s="1"/>
  <c r="AM17" i="19"/>
  <c r="Y10" i="21" s="1"/>
  <c r="B1" i="19"/>
  <c r="F71" i="19" s="1"/>
  <c r="B9" i="19"/>
  <c r="AM11" i="19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7" i="4"/>
  <c r="C18" i="7"/>
  <c r="I18" i="7" s="1"/>
  <c r="C20" i="7"/>
  <c r="C22" i="7"/>
  <c r="I22" i="7" s="1"/>
  <c r="C24" i="7"/>
  <c r="C26" i="7"/>
  <c r="C28" i="7"/>
  <c r="C30" i="7"/>
  <c r="C32" i="7"/>
  <c r="C34" i="7"/>
  <c r="C36" i="7"/>
  <c r="C38" i="7"/>
  <c r="C31" i="23" s="1"/>
  <c r="C40" i="7"/>
  <c r="C42" i="7"/>
  <c r="C44" i="7"/>
  <c r="C46" i="7"/>
  <c r="C48" i="7"/>
  <c r="E75" i="11"/>
  <c r="B32" i="7"/>
  <c r="F108" i="11"/>
  <c r="F18" i="4" s="1"/>
  <c r="F21" i="4" s="1"/>
  <c r="F37" i="4" s="1"/>
  <c r="C47" i="7"/>
  <c r="C43" i="7"/>
  <c r="C39" i="7"/>
  <c r="C32" i="23" s="1"/>
  <c r="C35" i="7"/>
  <c r="C31" i="7"/>
  <c r="C27" i="7"/>
  <c r="C23" i="7"/>
  <c r="I23" i="7" s="1"/>
  <c r="C19" i="7"/>
  <c r="I19" i="7" s="1"/>
  <c r="T105" i="11"/>
  <c r="V99" i="11"/>
  <c r="P93" i="11"/>
  <c r="Q90" i="11"/>
  <c r="R83" i="11"/>
  <c r="R85" i="11"/>
  <c r="P83" i="11"/>
  <c r="J85" i="11"/>
  <c r="J103" i="11" s="1"/>
  <c r="O90" i="11"/>
  <c r="H83" i="11"/>
  <c r="Q92" i="11"/>
  <c r="R93" i="11"/>
  <c r="S94" i="11"/>
  <c r="V97" i="11"/>
  <c r="K62" i="11"/>
  <c r="V57" i="11"/>
  <c r="V75" i="11" s="1"/>
  <c r="T57" i="11"/>
  <c r="R55" i="11"/>
  <c r="L57" i="11"/>
  <c r="L75" i="11" s="1"/>
  <c r="Q62" i="11"/>
  <c r="J55" i="11"/>
  <c r="S64" i="11"/>
  <c r="T65" i="11"/>
  <c r="U66" i="11"/>
  <c r="I105" i="11"/>
  <c r="Q105" i="11"/>
  <c r="R105" i="11"/>
  <c r="J105" i="11"/>
  <c r="G105" i="11"/>
  <c r="O105" i="11"/>
  <c r="I46" i="7"/>
  <c r="I42" i="7"/>
  <c r="I34" i="7"/>
  <c r="I30" i="7"/>
  <c r="I26" i="7"/>
  <c r="AG45" i="1"/>
  <c r="AG48" i="19"/>
  <c r="Q86" i="11"/>
  <c r="Q103" i="11" s="1"/>
  <c r="T89" i="11"/>
  <c r="T103" i="11" s="1"/>
  <c r="R87" i="11"/>
  <c r="S88" i="11"/>
  <c r="P85" i="11"/>
  <c r="U90" i="11"/>
  <c r="I86" i="11"/>
  <c r="I103" i="11" s="1"/>
  <c r="L89" i="11"/>
  <c r="L103" i="11" s="1"/>
  <c r="L108" i="11" s="1"/>
  <c r="L18" i="4" s="1"/>
  <c r="L21" i="4" s="1"/>
  <c r="L37" i="4" s="1"/>
  <c r="J87" i="11"/>
  <c r="K88" i="11"/>
  <c r="K103" i="11" s="1"/>
  <c r="K108" i="11" s="1"/>
  <c r="K18" i="4" s="1"/>
  <c r="K21" i="4" s="1"/>
  <c r="K37" i="4" s="1"/>
  <c r="Q94" i="11"/>
  <c r="T97" i="11"/>
  <c r="H85" i="11"/>
  <c r="M90" i="11"/>
  <c r="S58" i="11"/>
  <c r="S75" i="11" s="1"/>
  <c r="V61" i="11"/>
  <c r="T59" i="11"/>
  <c r="U60" i="11"/>
  <c r="U75" i="11" s="1"/>
  <c r="R57" i="11"/>
  <c r="K58" i="11"/>
  <c r="N61" i="11"/>
  <c r="L59" i="11"/>
  <c r="M60" i="11"/>
  <c r="M75" i="11" s="1"/>
  <c r="S66" i="11"/>
  <c r="V69" i="11"/>
  <c r="J57" i="11"/>
  <c r="O62" i="11"/>
  <c r="I33" i="7"/>
  <c r="I29" i="7"/>
  <c r="I25" i="7"/>
  <c r="I21" i="7"/>
  <c r="AD177" i="1"/>
  <c r="AD180" i="19"/>
  <c r="U98" i="11"/>
  <c r="R95" i="11"/>
  <c r="N83" i="11"/>
  <c r="U103" i="11"/>
  <c r="Q87" i="11"/>
  <c r="R88" i="11"/>
  <c r="M83" i="11"/>
  <c r="V92" i="11"/>
  <c r="I87" i="11"/>
  <c r="J88" i="11"/>
  <c r="O93" i="11"/>
  <c r="T98" i="11"/>
  <c r="Q95" i="11"/>
  <c r="R96" i="11"/>
  <c r="E83" i="11"/>
  <c r="E103" i="11" s="1"/>
  <c r="N92" i="11"/>
  <c r="U99" i="11"/>
  <c r="R65" i="11"/>
  <c r="M64" i="11"/>
  <c r="P63" i="11"/>
  <c r="S62" i="11"/>
  <c r="P55" i="11"/>
  <c r="S59" i="11"/>
  <c r="T60" i="11"/>
  <c r="T75" i="11" s="1"/>
  <c r="O55" i="11"/>
  <c r="O75" i="11" s="1"/>
  <c r="K59" i="11"/>
  <c r="L60" i="11"/>
  <c r="Q65" i="11"/>
  <c r="V70" i="11"/>
  <c r="S67" i="11"/>
  <c r="T68" i="11"/>
  <c r="G55" i="11"/>
  <c r="P64" i="11"/>
  <c r="C45" i="7"/>
  <c r="I45" i="7" s="1"/>
  <c r="C41" i="7"/>
  <c r="C37" i="7"/>
  <c r="C30" i="23" s="1"/>
  <c r="C33" i="7"/>
  <c r="C29" i="7"/>
  <c r="C25" i="7"/>
  <c r="C21" i="7"/>
  <c r="C17" i="7"/>
  <c r="AD202" i="1"/>
  <c r="AD205" i="19"/>
  <c r="O59" i="37"/>
  <c r="N62" i="37"/>
  <c r="P106" i="37"/>
  <c r="Q3" i="37"/>
  <c r="D10" i="6"/>
  <c r="C43" i="6"/>
  <c r="S92" i="11"/>
  <c r="H59" i="11"/>
  <c r="I48" i="7"/>
  <c r="I44" i="7"/>
  <c r="I40" i="7"/>
  <c r="I28" i="7"/>
  <c r="I24" i="7"/>
  <c r="I20" i="7"/>
  <c r="H13" i="7"/>
  <c r="AE237" i="1"/>
  <c r="AE240" i="19"/>
  <c r="AE105" i="1"/>
  <c r="AE108" i="19"/>
  <c r="AJ58" i="1"/>
  <c r="AJ61" i="19"/>
  <c r="M27" i="37"/>
  <c r="L94" i="37"/>
  <c r="M22" i="37"/>
  <c r="N22" i="37" s="1"/>
  <c r="O22" i="37" s="1"/>
  <c r="P22" i="37" s="1"/>
  <c r="Q22" i="37" s="1"/>
  <c r="R22" i="37" s="1"/>
  <c r="S22" i="37" s="1"/>
  <c r="T22" i="37" s="1"/>
  <c r="U22" i="37" s="1"/>
  <c r="V22" i="37" s="1"/>
  <c r="W22" i="37" s="1"/>
  <c r="X22" i="37" s="1"/>
  <c r="Y22" i="37"/>
  <c r="M13" i="37"/>
  <c r="N7" i="37"/>
  <c r="J16" i="4"/>
  <c r="R16" i="4"/>
  <c r="F16" i="4"/>
  <c r="N16" i="4"/>
  <c r="V16" i="4"/>
  <c r="G16" i="4"/>
  <c r="O16" i="4"/>
  <c r="P16" i="4"/>
  <c r="E16" i="4"/>
  <c r="S16" i="4"/>
  <c r="K16" i="4"/>
  <c r="L16" i="4"/>
  <c r="M16" i="4"/>
  <c r="Q16" i="4"/>
  <c r="H16" i="4"/>
  <c r="T16" i="4"/>
  <c r="U16" i="4"/>
  <c r="R89" i="11"/>
  <c r="J89" i="11"/>
  <c r="P88" i="11"/>
  <c r="H88" i="11"/>
  <c r="O87" i="11"/>
  <c r="G87" i="11"/>
  <c r="O86" i="11"/>
  <c r="G86" i="11"/>
  <c r="G103" i="11" s="1"/>
  <c r="T61" i="11"/>
  <c r="L61" i="11"/>
  <c r="Q58" i="11"/>
  <c r="I58" i="11"/>
  <c r="I75" i="11" s="1"/>
  <c r="AD238" i="1"/>
  <c r="AD241" i="19"/>
  <c r="AF213" i="1"/>
  <c r="AG130" i="1"/>
  <c r="AG133" i="19"/>
  <c r="AD106" i="1"/>
  <c r="AD109" i="19"/>
  <c r="AF48" i="1"/>
  <c r="AJ45" i="1"/>
  <c r="AJ48" i="19"/>
  <c r="E47" i="19"/>
  <c r="Q198" i="12"/>
  <c r="AK167" i="19"/>
  <c r="AF247" i="1"/>
  <c r="AC237" i="1"/>
  <c r="AC240" i="19"/>
  <c r="AE216" i="19"/>
  <c r="AE213" i="1"/>
  <c r="AF168" i="1"/>
  <c r="AF151" i="1"/>
  <c r="AG95" i="1"/>
  <c r="AG98" i="19"/>
  <c r="AF79" i="1"/>
  <c r="R63" i="23"/>
  <c r="L63" i="23"/>
  <c r="S63" i="23"/>
  <c r="K63" i="23"/>
  <c r="U105" i="11"/>
  <c r="M105" i="11"/>
  <c r="V101" i="11"/>
  <c r="S99" i="11"/>
  <c r="T92" i="11"/>
  <c r="L92" i="11"/>
  <c r="S90" i="11"/>
  <c r="S103" i="11" s="1"/>
  <c r="K90" i="11"/>
  <c r="V88" i="11"/>
  <c r="V103" i="11" s="1"/>
  <c r="V108" i="11" s="1"/>
  <c r="V18" i="4" s="1"/>
  <c r="V21" i="4" s="1"/>
  <c r="V37" i="4" s="1"/>
  <c r="N88" i="11"/>
  <c r="U71" i="11"/>
  <c r="V64" i="11"/>
  <c r="N64" i="11"/>
  <c r="N75" i="11" s="1"/>
  <c r="U62" i="11"/>
  <c r="M62" i="11"/>
  <c r="P60" i="11"/>
  <c r="H60" i="11"/>
  <c r="H57" i="11"/>
  <c r="H75" i="11" s="1"/>
  <c r="E15" i="4"/>
  <c r="M15" i="4"/>
  <c r="U15" i="4"/>
  <c r="I15" i="4"/>
  <c r="Q15" i="4"/>
  <c r="J15" i="4"/>
  <c r="R15" i="4"/>
  <c r="H15" i="4"/>
  <c r="V15" i="4"/>
  <c r="L15" i="4"/>
  <c r="D15" i="4"/>
  <c r="P15" i="4"/>
  <c r="F15" i="4"/>
  <c r="S15" i="4"/>
  <c r="G15" i="4"/>
  <c r="K15" i="4"/>
  <c r="T15" i="4"/>
  <c r="N15" i="4"/>
  <c r="AG226" i="1"/>
  <c r="AG229" i="19"/>
  <c r="AG189" i="1"/>
  <c r="AG192" i="19"/>
  <c r="AF140" i="1"/>
  <c r="AF138" i="1"/>
  <c r="AE130" i="1"/>
  <c r="AE133" i="19"/>
  <c r="AF66" i="1"/>
  <c r="AF55" i="1"/>
  <c r="X75" i="37"/>
  <c r="O75" i="37"/>
  <c r="P75" i="37" s="1"/>
  <c r="Q75" i="37" s="1"/>
  <c r="R75" i="37" s="1"/>
  <c r="S75" i="37" s="1"/>
  <c r="T75" i="37" s="1"/>
  <c r="U75" i="37" s="1"/>
  <c r="V75" i="37" s="1"/>
  <c r="W75" i="37" s="1"/>
  <c r="AD215" i="1"/>
  <c r="AD218" i="19"/>
  <c r="AG142" i="1"/>
  <c r="AG145" i="19"/>
  <c r="AF120" i="1"/>
  <c r="AE120" i="19"/>
  <c r="W10" i="37"/>
  <c r="AF174" i="1"/>
  <c r="AF166" i="1"/>
  <c r="AF142" i="1"/>
  <c r="O15" i="4"/>
  <c r="AJ57" i="1"/>
  <c r="E59" i="19"/>
  <c r="O100" i="37"/>
  <c r="P40" i="37"/>
  <c r="AF227" i="1"/>
  <c r="AC189" i="1"/>
  <c r="AC192" i="19"/>
  <c r="AD142" i="1"/>
  <c r="AD145" i="19"/>
  <c r="AC117" i="1"/>
  <c r="AC120" i="19"/>
  <c r="AF96" i="1"/>
  <c r="AF90" i="1"/>
  <c r="S54" i="4"/>
  <c r="T54" i="4"/>
  <c r="U54" i="4"/>
  <c r="S79" i="37"/>
  <c r="T79" i="37" s="1"/>
  <c r="U79" i="37" s="1"/>
  <c r="V79" i="37" s="1"/>
  <c r="W79" i="37" s="1"/>
  <c r="X79" i="37" s="1"/>
  <c r="Y79" i="37" s="1"/>
  <c r="Z79" i="37" s="1"/>
  <c r="AA79" i="37" s="1"/>
  <c r="AB79" i="37" s="1"/>
  <c r="AC79" i="37" s="1"/>
  <c r="AD79" i="37" s="1"/>
  <c r="AE79" i="37" s="1"/>
  <c r="AF79" i="37" s="1"/>
  <c r="AG79" i="37" s="1"/>
  <c r="AH79" i="37" s="1"/>
  <c r="AI79" i="37" s="1"/>
  <c r="AJ79" i="37" s="1"/>
  <c r="Q17" i="37"/>
  <c r="R17" i="37" s="1"/>
  <c r="S17" i="37" s="1"/>
  <c r="T17" i="37" s="1"/>
  <c r="U17" i="37" s="1"/>
  <c r="V17" i="37" s="1"/>
  <c r="W17" i="37" s="1"/>
  <c r="X17" i="37" s="1"/>
  <c r="Y17" i="37" s="1"/>
  <c r="L159" i="12"/>
  <c r="M159" i="12" s="1"/>
  <c r="N159" i="12" s="1"/>
  <c r="O159" i="12" s="1"/>
  <c r="P159" i="12" s="1"/>
  <c r="AJ107" i="19"/>
  <c r="R97" i="23"/>
  <c r="T97" i="23"/>
  <c r="AF226" i="1"/>
  <c r="AG181" i="19"/>
  <c r="AG178" i="1"/>
  <c r="AF94" i="1"/>
  <c r="F96" i="19"/>
  <c r="AK69" i="1"/>
  <c r="F69" i="1" s="1"/>
  <c r="AK72" i="19"/>
  <c r="AG57" i="1"/>
  <c r="AG60" i="19"/>
  <c r="I109" i="37"/>
  <c r="L109" i="37"/>
  <c r="M109" i="37" s="1"/>
  <c r="N109" i="37" s="1"/>
  <c r="O109" i="37" s="1"/>
  <c r="P109" i="37" s="1"/>
  <c r="Q109" i="37" s="1"/>
  <c r="R109" i="37" s="1"/>
  <c r="S109" i="37" s="1"/>
  <c r="T109" i="37" s="1"/>
  <c r="U109" i="37" s="1"/>
  <c r="V109" i="37" s="1"/>
  <c r="W109" i="37" s="1"/>
  <c r="X109" i="37" s="1"/>
  <c r="Y109" i="37" s="1"/>
  <c r="Z109" i="37" s="1"/>
  <c r="AA109" i="37" s="1"/>
  <c r="AB109" i="37" s="1"/>
  <c r="AC109" i="37" s="1"/>
  <c r="AD109" i="37" s="1"/>
  <c r="AE109" i="37" s="1"/>
  <c r="AF109" i="37" s="1"/>
  <c r="AG109" i="37" s="1"/>
  <c r="AH109" i="37" s="1"/>
  <c r="AI109" i="37" s="1"/>
  <c r="AJ109" i="37" s="1"/>
  <c r="AK109" i="37" s="1"/>
  <c r="AL109" i="37" s="1"/>
  <c r="AM109" i="37" s="1"/>
  <c r="AN109" i="37" s="1"/>
  <c r="E92" i="37"/>
  <c r="E42" i="37"/>
  <c r="AC33" i="1"/>
  <c r="AC36" i="19"/>
  <c r="O91" i="23"/>
  <c r="Q91" i="23"/>
  <c r="I91" i="23"/>
  <c r="T91" i="23"/>
  <c r="Y12" i="21"/>
  <c r="A13" i="21"/>
  <c r="AE201" i="1"/>
  <c r="AE204" i="19"/>
  <c r="AD190" i="1"/>
  <c r="AD193" i="19"/>
  <c r="AE178" i="1"/>
  <c r="AE181" i="19"/>
  <c r="AC165" i="1"/>
  <c r="AC168" i="19"/>
  <c r="AF156" i="1"/>
  <c r="AG155" i="1"/>
  <c r="AG158" i="19"/>
  <c r="AK141" i="1"/>
  <c r="AK144" i="19"/>
  <c r="F143" i="19"/>
  <c r="AD93" i="1"/>
  <c r="AD96" i="19"/>
  <c r="P58" i="37"/>
  <c r="N9" i="37"/>
  <c r="P9" i="37"/>
  <c r="H279" i="12"/>
  <c r="J91" i="23"/>
  <c r="AG237" i="1"/>
  <c r="AG240" i="19"/>
  <c r="AE192" i="19"/>
  <c r="AE189" i="1"/>
  <c r="AF155" i="1"/>
  <c r="AD129" i="1"/>
  <c r="AD132" i="19"/>
  <c r="AG106" i="1"/>
  <c r="AG109" i="19"/>
  <c r="AC93" i="1"/>
  <c r="AC96" i="19"/>
  <c r="AF59" i="1"/>
  <c r="AJ33" i="1"/>
  <c r="E35" i="19"/>
  <c r="AD11" i="1"/>
  <c r="AD14" i="19"/>
  <c r="V54" i="4"/>
  <c r="W54" i="4" s="1"/>
  <c r="M115" i="37"/>
  <c r="N115" i="37" s="1"/>
  <c r="O115" i="37" s="1"/>
  <c r="P115" i="37" s="1"/>
  <c r="Q115" i="37" s="1"/>
  <c r="R115" i="37" s="1"/>
  <c r="S115" i="37" s="1"/>
  <c r="T115" i="37" s="1"/>
  <c r="U115" i="37" s="1"/>
  <c r="V115" i="37" s="1"/>
  <c r="W115" i="37" s="1"/>
  <c r="X115" i="37" s="1"/>
  <c r="Y115" i="37" s="1"/>
  <c r="Z115" i="37" s="1"/>
  <c r="AA115" i="37" s="1"/>
  <c r="AB115" i="37" s="1"/>
  <c r="AC115" i="37" s="1"/>
  <c r="AD115" i="37" s="1"/>
  <c r="AE115" i="37" s="1"/>
  <c r="AF115" i="37" s="1"/>
  <c r="AG115" i="37" s="1"/>
  <c r="AH115" i="37" s="1"/>
  <c r="AI115" i="37" s="1"/>
  <c r="AJ115" i="37" s="1"/>
  <c r="AK115" i="37" s="1"/>
  <c r="AL115" i="37" s="1"/>
  <c r="AM115" i="37" s="1"/>
  <c r="AN115" i="37" s="1"/>
  <c r="AQ115" i="37"/>
  <c r="P279" i="12"/>
  <c r="F22" i="1"/>
  <c r="X12" i="21"/>
  <c r="AF239" i="1"/>
  <c r="AF238" i="1"/>
  <c r="AD225" i="1"/>
  <c r="AD228" i="19"/>
  <c r="AE154" i="1"/>
  <c r="AE157" i="19"/>
  <c r="AF144" i="1"/>
  <c r="AK94" i="1"/>
  <c r="AK97" i="19"/>
  <c r="AE81" i="1"/>
  <c r="AE84" i="19"/>
  <c r="AJ36" i="19"/>
  <c r="AC77" i="37"/>
  <c r="AB97" i="37"/>
  <c r="O65" i="37"/>
  <c r="P65" i="37" s="1"/>
  <c r="Q65" i="37" s="1"/>
  <c r="R65" i="37" s="1"/>
  <c r="S65" i="37" s="1"/>
  <c r="T65" i="37" s="1"/>
  <c r="U65" i="37" s="1"/>
  <c r="V65" i="37" s="1"/>
  <c r="W65" i="37" s="1"/>
  <c r="X65" i="37" s="1"/>
  <c r="Y65" i="37" s="1"/>
  <c r="Z65" i="37" s="1"/>
  <c r="AA65" i="37" s="1"/>
  <c r="AB65" i="37" s="1"/>
  <c r="AC65" i="37" s="1"/>
  <c r="AD65" i="37" s="1"/>
  <c r="AE65" i="37" s="1"/>
  <c r="AF65" i="37" s="1"/>
  <c r="AG65" i="37" s="1"/>
  <c r="AH65" i="37" s="1"/>
  <c r="AI65" i="37" s="1"/>
  <c r="AJ65" i="37" s="1"/>
  <c r="AK65" i="37" s="1"/>
  <c r="AL65" i="37" s="1"/>
  <c r="AM65" i="37" s="1"/>
  <c r="AN65" i="37" s="1"/>
  <c r="AO65" i="37" s="1"/>
  <c r="AJ71" i="19"/>
  <c r="AJ83" i="19"/>
  <c r="AJ95" i="19"/>
  <c r="AJ11" i="19"/>
  <c r="AG202" i="1"/>
  <c r="AG205" i="19"/>
  <c r="AG165" i="1"/>
  <c r="AG168" i="19"/>
  <c r="AF143" i="1"/>
  <c r="AE141" i="1"/>
  <c r="AE144" i="19"/>
  <c r="AF103" i="1"/>
  <c r="AE59" i="1"/>
  <c r="AE62" i="19"/>
  <c r="AE47" i="1"/>
  <c r="AE50" i="19"/>
  <c r="O71" i="37"/>
  <c r="P71" i="37" s="1"/>
  <c r="Q71" i="37" s="1"/>
  <c r="R71" i="37" s="1"/>
  <c r="S71" i="37" s="1"/>
  <c r="T71" i="37" s="1"/>
  <c r="U71" i="37" s="1"/>
  <c r="V71" i="37" s="1"/>
  <c r="W71" i="37" s="1"/>
  <c r="X71" i="37" s="1"/>
  <c r="Y71" i="37" s="1"/>
  <c r="Z71" i="37" s="1"/>
  <c r="AA71" i="37" s="1"/>
  <c r="M16" i="37"/>
  <c r="L25" i="37"/>
  <c r="AK11" i="19"/>
  <c r="AK83" i="19"/>
  <c r="AK35" i="19"/>
  <c r="AK59" i="19"/>
  <c r="AK131" i="19"/>
  <c r="AK107" i="19"/>
  <c r="AK47" i="19"/>
  <c r="AK155" i="19"/>
  <c r="Y11" i="21"/>
  <c r="AE229" i="19"/>
  <c r="AG213" i="1"/>
  <c r="AG216" i="19"/>
  <c r="AF200" i="1"/>
  <c r="AF187" i="1"/>
  <c r="AC179" i="19"/>
  <c r="AE165" i="1"/>
  <c r="AE168" i="19"/>
  <c r="AC143" i="19"/>
  <c r="AF129" i="1"/>
  <c r="F131" i="19"/>
  <c r="AD121" i="19"/>
  <c r="AK117" i="1"/>
  <c r="AK120" i="19"/>
  <c r="AF116" i="1"/>
  <c r="AD57" i="1"/>
  <c r="AD60" i="19"/>
  <c r="F24" i="19"/>
  <c r="AK25" i="19"/>
  <c r="AK21" i="1"/>
  <c r="F23" i="19"/>
  <c r="L114" i="37"/>
  <c r="K116" i="37"/>
  <c r="J100" i="37"/>
  <c r="M126" i="37"/>
  <c r="E11" i="23" s="1"/>
  <c r="O98" i="37"/>
  <c r="P36" i="37"/>
  <c r="P97" i="37"/>
  <c r="Q34" i="37"/>
  <c r="J25" i="37"/>
  <c r="M20" i="37"/>
  <c r="N20" i="37" s="1"/>
  <c r="O20" i="37" s="1"/>
  <c r="P20" i="37" s="1"/>
  <c r="Q20" i="37" s="1"/>
  <c r="R20" i="37" s="1"/>
  <c r="S20" i="37" s="1"/>
  <c r="T20" i="37" s="1"/>
  <c r="U20" i="37" s="1"/>
  <c r="V20" i="37" s="1"/>
  <c r="W20" i="37" s="1"/>
  <c r="X20" i="37" s="1"/>
  <c r="Y20" i="37" s="1"/>
  <c r="Z20" i="37" s="1"/>
  <c r="P18" i="37"/>
  <c r="Q18" i="37" s="1"/>
  <c r="R18" i="37" s="1"/>
  <c r="S18" i="37" s="1"/>
  <c r="T18" i="37" s="1"/>
  <c r="U18" i="37" s="1"/>
  <c r="V18" i="37" s="1"/>
  <c r="W18" i="37" s="1"/>
  <c r="AF104" i="1"/>
  <c r="AK93" i="1"/>
  <c r="F93" i="1" s="1"/>
  <c r="F95" i="19"/>
  <c r="I127" i="37"/>
  <c r="K110" i="37"/>
  <c r="J94" i="37"/>
  <c r="Q81" i="37"/>
  <c r="R81" i="37" s="1"/>
  <c r="S81" i="37" s="1"/>
  <c r="T81" i="37" s="1"/>
  <c r="U81" i="37" s="1"/>
  <c r="V81" i="37" s="1"/>
  <c r="W81" i="37" s="1"/>
  <c r="X81" i="37" s="1"/>
  <c r="Y81" i="37" s="1"/>
  <c r="Z81" i="37" s="1"/>
  <c r="AA81" i="37" s="1"/>
  <c r="AB81" i="37" s="1"/>
  <c r="AC81" i="37" s="1"/>
  <c r="AD81" i="37" s="1"/>
  <c r="AE81" i="37" s="1"/>
  <c r="AF81" i="37" s="1"/>
  <c r="AG81" i="37" s="1"/>
  <c r="AH81" i="37" s="1"/>
  <c r="AI81" i="37" s="1"/>
  <c r="AJ81" i="37" s="1"/>
  <c r="AK81" i="37" s="1"/>
  <c r="AL81" i="37" s="1"/>
  <c r="AM81" i="37" s="1"/>
  <c r="AN81" i="37" s="1"/>
  <c r="AO81" i="37" s="1"/>
  <c r="AO100" i="37" s="1"/>
  <c r="AO129" i="37" s="1"/>
  <c r="AQ81" i="37"/>
  <c r="K83" i="37"/>
  <c r="AC83" i="19"/>
  <c r="AC11" i="19"/>
  <c r="AC59" i="19"/>
  <c r="AC131" i="19"/>
  <c r="AC227" i="19"/>
  <c r="AC107" i="19"/>
  <c r="AC203" i="19"/>
  <c r="AC23" i="19"/>
  <c r="AC47" i="19"/>
  <c r="AC71" i="19"/>
  <c r="AC155" i="19"/>
  <c r="AC215" i="19"/>
  <c r="AD166" i="1"/>
  <c r="AD169" i="19"/>
  <c r="AD153" i="1"/>
  <c r="AD156" i="19"/>
  <c r="AF130" i="1"/>
  <c r="AF117" i="1"/>
  <c r="F119" i="19"/>
  <c r="AE95" i="1"/>
  <c r="AE98" i="19"/>
  <c r="AF91" i="1"/>
  <c r="AD85" i="19"/>
  <c r="AF72" i="1"/>
  <c r="AD71" i="1"/>
  <c r="AD74" i="19"/>
  <c r="J98" i="37"/>
  <c r="I83" i="37"/>
  <c r="I86" i="37" s="1"/>
  <c r="I92" i="37"/>
  <c r="O60" i="37"/>
  <c r="F14" i="4"/>
  <c r="V78" i="23"/>
  <c r="AL9" i="1"/>
  <c r="AM9" i="1"/>
  <c r="AN9" i="1"/>
  <c r="AO9" i="1" s="1"/>
  <c r="B1" i="1"/>
  <c r="F141" i="1" s="1"/>
  <c r="AN15" i="1"/>
  <c r="AO15" i="1" s="1"/>
  <c r="B7" i="1"/>
  <c r="AL15" i="1"/>
  <c r="AP15" i="1" s="1"/>
  <c r="AM15" i="1"/>
  <c r="AG120" i="19"/>
  <c r="AF54" i="1"/>
  <c r="D42" i="23"/>
  <c r="D112" i="23" s="1"/>
  <c r="M130" i="37"/>
  <c r="I126" i="37"/>
  <c r="M111" i="37"/>
  <c r="N111" i="37" s="1"/>
  <c r="O111" i="37" s="1"/>
  <c r="P111" i="37" s="1"/>
  <c r="Q111" i="37" s="1"/>
  <c r="R111" i="37" s="1"/>
  <c r="S111" i="37" s="1"/>
  <c r="T111" i="37" s="1"/>
  <c r="U111" i="37" s="1"/>
  <c r="V111" i="37" s="1"/>
  <c r="W111" i="37" s="1"/>
  <c r="X111" i="37" s="1"/>
  <c r="Y111" i="37" s="1"/>
  <c r="Z111" i="37" s="1"/>
  <c r="AA111" i="37" s="1"/>
  <c r="AB111" i="37" s="1"/>
  <c r="AC111" i="37" s="1"/>
  <c r="AD111" i="37" s="1"/>
  <c r="AE111" i="37" s="1"/>
  <c r="AF111" i="37" s="1"/>
  <c r="AG111" i="37" s="1"/>
  <c r="AH111" i="37" s="1"/>
  <c r="AI111" i="37" s="1"/>
  <c r="AJ111" i="37" s="1"/>
  <c r="AK111" i="37" s="1"/>
  <c r="AL111" i="37" s="1"/>
  <c r="AM111" i="37" s="1"/>
  <c r="AN111" i="37" s="1"/>
  <c r="N32" i="37"/>
  <c r="N30" i="37"/>
  <c r="W260" i="12"/>
  <c r="M252" i="12"/>
  <c r="M247" i="12"/>
  <c r="N57" i="23"/>
  <c r="V72" i="23" s="1"/>
  <c r="G57" i="23"/>
  <c r="U65" i="23" s="1"/>
  <c r="U57" i="23"/>
  <c r="H22" i="4"/>
  <c r="P22" i="4"/>
  <c r="L57" i="23"/>
  <c r="D22" i="4"/>
  <c r="L22" i="4"/>
  <c r="T22" i="4"/>
  <c r="M57" i="23"/>
  <c r="U71" i="23" s="1"/>
  <c r="E22" i="4"/>
  <c r="M22" i="4"/>
  <c r="U22" i="4"/>
  <c r="R57" i="23"/>
  <c r="AF46" i="1"/>
  <c r="AF81" i="1"/>
  <c r="AF68" i="1"/>
  <c r="D12" i="23"/>
  <c r="D15" i="23"/>
  <c r="K112" i="37"/>
  <c r="J96" i="37"/>
  <c r="Q73" i="37"/>
  <c r="N21" i="37"/>
  <c r="M19" i="37"/>
  <c r="Z17" i="37"/>
  <c r="AQ17" i="37" s="1"/>
  <c r="L42" i="37"/>
  <c r="L92" i="37"/>
  <c r="M8" i="37"/>
  <c r="U256" i="12"/>
  <c r="V279" i="12"/>
  <c r="H86" i="23"/>
  <c r="P86" i="23"/>
  <c r="E86" i="23"/>
  <c r="J92" i="23" s="1"/>
  <c r="M86" i="23"/>
  <c r="P100" i="23" s="1"/>
  <c r="U86" i="23"/>
  <c r="V108" i="23" s="1"/>
  <c r="F86" i="23"/>
  <c r="N86" i="23"/>
  <c r="P101" i="23" s="1"/>
  <c r="V86" i="23"/>
  <c r="V109" i="23" s="1"/>
  <c r="G86" i="23"/>
  <c r="S86" i="23"/>
  <c r="V106" i="23" s="1"/>
  <c r="I86" i="23"/>
  <c r="P96" i="23" s="1"/>
  <c r="T86" i="23"/>
  <c r="T107" i="23" s="1"/>
  <c r="L86" i="23"/>
  <c r="O86" i="23"/>
  <c r="C86" i="23"/>
  <c r="E23" i="4"/>
  <c r="M23" i="4"/>
  <c r="U23" i="4"/>
  <c r="Q86" i="23"/>
  <c r="I23" i="4"/>
  <c r="Q23" i="4"/>
  <c r="R86" i="23"/>
  <c r="J23" i="4"/>
  <c r="R23" i="4"/>
  <c r="AG83" i="19"/>
  <c r="AG71" i="19"/>
  <c r="D14" i="23"/>
  <c r="AD48" i="1"/>
  <c r="AD51" i="19"/>
  <c r="AG25" i="19"/>
  <c r="AE9" i="1"/>
  <c r="AE12" i="19"/>
  <c r="AK79" i="37"/>
  <c r="G102" i="37"/>
  <c r="H14" i="4"/>
  <c r="D14" i="4"/>
  <c r="E14" i="4"/>
  <c r="J279" i="12"/>
  <c r="U245" i="12"/>
  <c r="U249" i="12"/>
  <c r="U253" i="12"/>
  <c r="U246" i="12"/>
  <c r="U250" i="12"/>
  <c r="U254" i="12"/>
  <c r="U258" i="12"/>
  <c r="U262" i="12"/>
  <c r="U266" i="12"/>
  <c r="U252" i="12"/>
  <c r="U259" i="12"/>
  <c r="U270" i="12"/>
  <c r="U274" i="12"/>
  <c r="U251" i="12"/>
  <c r="U268" i="12"/>
  <c r="U272" i="12"/>
  <c r="U276" i="12"/>
  <c r="U265" i="12"/>
  <c r="U257" i="12"/>
  <c r="U263" i="12"/>
  <c r="U264" i="12"/>
  <c r="U275" i="12"/>
  <c r="U247" i="12"/>
  <c r="U271" i="12"/>
  <c r="W271" i="12" s="1"/>
  <c r="U273" i="12"/>
  <c r="M245" i="12"/>
  <c r="M249" i="12"/>
  <c r="M253" i="12"/>
  <c r="M257" i="12"/>
  <c r="M246" i="12"/>
  <c r="M250" i="12"/>
  <c r="M254" i="12"/>
  <c r="M258" i="12"/>
  <c r="M262" i="12"/>
  <c r="M266" i="12"/>
  <c r="M256" i="12"/>
  <c r="M259" i="12"/>
  <c r="W259" i="12" s="1"/>
  <c r="M270" i="12"/>
  <c r="M274" i="12"/>
  <c r="W274" i="12" s="1"/>
  <c r="M248" i="12"/>
  <c r="M251" i="12"/>
  <c r="M260" i="12"/>
  <c r="M268" i="12"/>
  <c r="M272" i="12"/>
  <c r="M276" i="12"/>
  <c r="M263" i="12"/>
  <c r="M277" i="12"/>
  <c r="E245" i="12"/>
  <c r="E279" i="12" s="1"/>
  <c r="E249" i="12"/>
  <c r="E253" i="12"/>
  <c r="E257" i="12"/>
  <c r="E246" i="12"/>
  <c r="W246" i="12" s="1"/>
  <c r="E250" i="12"/>
  <c r="W250" i="12" s="1"/>
  <c r="E254" i="12"/>
  <c r="E258" i="12"/>
  <c r="E262" i="12"/>
  <c r="E266" i="12"/>
  <c r="E255" i="12"/>
  <c r="E259" i="12"/>
  <c r="E261" i="12"/>
  <c r="E270" i="12"/>
  <c r="W270" i="12" s="1"/>
  <c r="E274" i="12"/>
  <c r="E247" i="12"/>
  <c r="E252" i="12"/>
  <c r="E264" i="12"/>
  <c r="E268" i="12"/>
  <c r="E272" i="12"/>
  <c r="E276" i="12"/>
  <c r="E260" i="12"/>
  <c r="E263" i="12"/>
  <c r="E265" i="12"/>
  <c r="E267" i="12"/>
  <c r="E269" i="12"/>
  <c r="E251" i="12"/>
  <c r="E277" i="12"/>
  <c r="AF84" i="1"/>
  <c r="AF80" i="1"/>
  <c r="AF71" i="1"/>
  <c r="AE72" i="19"/>
  <c r="AE69" i="1"/>
  <c r="AF67" i="1"/>
  <c r="AF58" i="1"/>
  <c r="AF45" i="1"/>
  <c r="AG12" i="19"/>
  <c r="L128" i="37"/>
  <c r="L126" i="37"/>
  <c r="D11" i="23" s="1"/>
  <c r="M38" i="37"/>
  <c r="K86" i="23"/>
  <c r="P61" i="23"/>
  <c r="L96" i="37"/>
  <c r="M23" i="37"/>
  <c r="N23" i="37" s="1"/>
  <c r="T274" i="12"/>
  <c r="D262" i="12"/>
  <c r="L260" i="12"/>
  <c r="T259" i="12"/>
  <c r="L253" i="12"/>
  <c r="Q247" i="12"/>
  <c r="Q251" i="12"/>
  <c r="Q255" i="12"/>
  <c r="Q248" i="12"/>
  <c r="Q252" i="12"/>
  <c r="Q256" i="12"/>
  <c r="Q260" i="12"/>
  <c r="Q264" i="12"/>
  <c r="Q249" i="12"/>
  <c r="Q250" i="12"/>
  <c r="Q254" i="12"/>
  <c r="Q268" i="12"/>
  <c r="W268" i="12" s="1"/>
  <c r="Q272" i="12"/>
  <c r="Q276" i="12"/>
  <c r="Q245" i="12"/>
  <c r="Q257" i="12"/>
  <c r="Q259" i="12"/>
  <c r="Q270" i="12"/>
  <c r="Q274" i="12"/>
  <c r="Q266" i="12"/>
  <c r="I247" i="12"/>
  <c r="I251" i="12"/>
  <c r="I255" i="12"/>
  <c r="I248" i="12"/>
  <c r="I252" i="12"/>
  <c r="I256" i="12"/>
  <c r="I260" i="12"/>
  <c r="I264" i="12"/>
  <c r="I253" i="12"/>
  <c r="I258" i="12"/>
  <c r="I268" i="12"/>
  <c r="I272" i="12"/>
  <c r="I276" i="12"/>
  <c r="I254" i="12"/>
  <c r="I259" i="12"/>
  <c r="I261" i="12"/>
  <c r="I270" i="12"/>
  <c r="I274" i="12"/>
  <c r="I246" i="12"/>
  <c r="V105" i="23"/>
  <c r="M97" i="23"/>
  <c r="O95" i="23"/>
  <c r="T93" i="23"/>
  <c r="V90" i="23"/>
  <c r="V75" i="23"/>
  <c r="O64" i="23"/>
  <c r="E63" i="23"/>
  <c r="Q61" i="23"/>
  <c r="G83" i="37"/>
  <c r="G86" i="37" s="1"/>
  <c r="G93" i="37"/>
  <c r="M66" i="37"/>
  <c r="L69" i="37"/>
  <c r="L83" i="37" s="1"/>
  <c r="L86" i="37" s="1"/>
  <c r="M64" i="37"/>
  <c r="M62" i="37"/>
  <c r="L100" i="37"/>
  <c r="N11" i="37"/>
  <c r="D276" i="12"/>
  <c r="W276" i="12" s="1"/>
  <c r="L270" i="12"/>
  <c r="D266" i="12"/>
  <c r="D264" i="12"/>
  <c r="W264" i="12" s="1"/>
  <c r="Q263" i="12"/>
  <c r="I263" i="12"/>
  <c r="Q258" i="12"/>
  <c r="D251" i="12"/>
  <c r="W251" i="12" s="1"/>
  <c r="S105" i="23"/>
  <c r="L97" i="23"/>
  <c r="M95" i="23"/>
  <c r="Q93" i="23"/>
  <c r="U90" i="23"/>
  <c r="S75" i="23"/>
  <c r="L64" i="23"/>
  <c r="Y75" i="37"/>
  <c r="M67" i="37"/>
  <c r="O9" i="37"/>
  <c r="R279" i="12"/>
  <c r="T246" i="12"/>
  <c r="T250" i="12"/>
  <c r="T279" i="12" s="1"/>
  <c r="T251" i="12"/>
  <c r="T253" i="12"/>
  <c r="T266" i="12"/>
  <c r="T248" i="12"/>
  <c r="T262" i="12"/>
  <c r="T264" i="12"/>
  <c r="T269" i="12"/>
  <c r="T273" i="12"/>
  <c r="T277" i="12"/>
  <c r="T265" i="12"/>
  <c r="T255" i="12"/>
  <c r="W255" i="12" s="1"/>
  <c r="T256" i="12"/>
  <c r="T261" i="12"/>
  <c r="T267" i="12"/>
  <c r="T271" i="12"/>
  <c r="T275" i="12"/>
  <c r="L246" i="12"/>
  <c r="L250" i="12"/>
  <c r="L245" i="12"/>
  <c r="L257" i="12"/>
  <c r="L252" i="12"/>
  <c r="L266" i="12"/>
  <c r="L269" i="12"/>
  <c r="L273" i="12"/>
  <c r="L277" i="12"/>
  <c r="L249" i="12"/>
  <c r="L254" i="12"/>
  <c r="W254" i="12" s="1"/>
  <c r="L247" i="12"/>
  <c r="L265" i="12"/>
  <c r="L267" i="12"/>
  <c r="L271" i="12"/>
  <c r="L275" i="12"/>
  <c r="D246" i="12"/>
  <c r="D279" i="12" s="1"/>
  <c r="D250" i="12"/>
  <c r="D247" i="12"/>
  <c r="W247" i="12" s="1"/>
  <c r="D256" i="12"/>
  <c r="D269" i="12"/>
  <c r="D273" i="12"/>
  <c r="D277" i="12"/>
  <c r="W277" i="12" s="1"/>
  <c r="D253" i="12"/>
  <c r="D258" i="12"/>
  <c r="W258" i="12" s="1"/>
  <c r="D260" i="12"/>
  <c r="D248" i="12"/>
  <c r="D254" i="12"/>
  <c r="D267" i="12"/>
  <c r="W267" i="12" s="1"/>
  <c r="D271" i="12"/>
  <c r="D275" i="12"/>
  <c r="W275" i="12" s="1"/>
  <c r="D57" i="23"/>
  <c r="S62" i="23" s="1"/>
  <c r="N61" i="23"/>
  <c r="V61" i="23"/>
  <c r="I63" i="23"/>
  <c r="Q63" i="23"/>
  <c r="H64" i="23"/>
  <c r="P64" i="23"/>
  <c r="P65" i="23"/>
  <c r="S67" i="23"/>
  <c r="N68" i="23"/>
  <c r="R69" i="23"/>
  <c r="O70" i="23"/>
  <c r="U74" i="23"/>
  <c r="R76" i="23"/>
  <c r="V77" i="23"/>
  <c r="C90" i="23"/>
  <c r="C110" i="23" s="1"/>
  <c r="H91" i="23"/>
  <c r="P91" i="23"/>
  <c r="F92" i="23"/>
  <c r="V92" i="23"/>
  <c r="M93" i="23"/>
  <c r="U93" i="23"/>
  <c r="M94" i="23"/>
  <c r="U94" i="23"/>
  <c r="N95" i="23"/>
  <c r="V95" i="23"/>
  <c r="K97" i="23"/>
  <c r="S97" i="23"/>
  <c r="R100" i="23"/>
  <c r="Q101" i="23"/>
  <c r="Q102" i="23"/>
  <c r="R103" i="23"/>
  <c r="T104" i="23"/>
  <c r="S106" i="23"/>
  <c r="C61" i="23"/>
  <c r="C81" i="23" s="1"/>
  <c r="K61" i="23"/>
  <c r="S61" i="23"/>
  <c r="F63" i="23"/>
  <c r="N63" i="23"/>
  <c r="V63" i="23"/>
  <c r="M64" i="23"/>
  <c r="U64" i="23"/>
  <c r="M65" i="23"/>
  <c r="V66" i="23"/>
  <c r="O69" i="23"/>
  <c r="L70" i="23"/>
  <c r="T70" i="23"/>
  <c r="Q72" i="23"/>
  <c r="T75" i="23"/>
  <c r="S77" i="23"/>
  <c r="V79" i="23"/>
  <c r="P90" i="23"/>
  <c r="E91" i="23"/>
  <c r="M91" i="23"/>
  <c r="U91" i="23"/>
  <c r="K92" i="23"/>
  <c r="S92" i="23"/>
  <c r="J93" i="23"/>
  <c r="R93" i="23"/>
  <c r="J94" i="23"/>
  <c r="R94" i="23"/>
  <c r="K95" i="23"/>
  <c r="S95" i="23"/>
  <c r="M96" i="23"/>
  <c r="U96" i="23"/>
  <c r="P97" i="23"/>
  <c r="T98" i="23"/>
  <c r="Q99" i="23"/>
  <c r="V102" i="23"/>
  <c r="Q104" i="23"/>
  <c r="T105" i="23"/>
  <c r="U107" i="23"/>
  <c r="D61" i="23"/>
  <c r="G63" i="23"/>
  <c r="O63" i="23"/>
  <c r="F64" i="23"/>
  <c r="N64" i="23"/>
  <c r="V64" i="23"/>
  <c r="I67" i="23"/>
  <c r="T68" i="23"/>
  <c r="M70" i="23"/>
  <c r="U70" i="23"/>
  <c r="R72" i="23"/>
  <c r="U75" i="23"/>
  <c r="Q90" i="23"/>
  <c r="F91" i="23"/>
  <c r="N91" i="23"/>
  <c r="V91" i="23"/>
  <c r="L92" i="23"/>
  <c r="K93" i="23"/>
  <c r="S93" i="23"/>
  <c r="K94" i="23"/>
  <c r="S94" i="23"/>
  <c r="L95" i="23"/>
  <c r="T95" i="23"/>
  <c r="N96" i="23"/>
  <c r="Q97" i="23"/>
  <c r="U98" i="23"/>
  <c r="R99" i="23"/>
  <c r="O101" i="23"/>
  <c r="O102" i="23"/>
  <c r="P103" i="23"/>
  <c r="U105" i="23"/>
  <c r="V107" i="23"/>
  <c r="G61" i="23"/>
  <c r="H63" i="23"/>
  <c r="T63" i="23"/>
  <c r="Q64" i="23"/>
  <c r="J67" i="23"/>
  <c r="K69" i="23"/>
  <c r="V69" i="23"/>
  <c r="S76" i="23"/>
  <c r="U79" i="23"/>
  <c r="D91" i="23"/>
  <c r="R91" i="23"/>
  <c r="H93" i="23"/>
  <c r="V93" i="23"/>
  <c r="Q94" i="23"/>
  <c r="P95" i="23"/>
  <c r="N97" i="23"/>
  <c r="P98" i="23"/>
  <c r="P102" i="23"/>
  <c r="U103" i="23"/>
  <c r="T106" i="23"/>
  <c r="U61" i="23"/>
  <c r="N62" i="23"/>
  <c r="J63" i="23"/>
  <c r="U63" i="23"/>
  <c r="R64" i="23"/>
  <c r="L69" i="23"/>
  <c r="N70" i="23"/>
  <c r="T76" i="23"/>
  <c r="G91" i="23"/>
  <c r="S91" i="23"/>
  <c r="I93" i="23"/>
  <c r="G94" i="23"/>
  <c r="T94" i="23"/>
  <c r="Q95" i="23"/>
  <c r="O97" i="23"/>
  <c r="Q98" i="23"/>
  <c r="R102" i="23"/>
  <c r="V103" i="23"/>
  <c r="U106" i="23"/>
  <c r="M61" i="23"/>
  <c r="T62" i="23"/>
  <c r="M63" i="23"/>
  <c r="J64" i="23"/>
  <c r="Q69" i="23"/>
  <c r="R70" i="23"/>
  <c r="Q75" i="23"/>
  <c r="U77" i="23"/>
  <c r="R90" i="23"/>
  <c r="K91" i="23"/>
  <c r="O93" i="23"/>
  <c r="L94" i="23"/>
  <c r="I95" i="23"/>
  <c r="T96" i="23"/>
  <c r="U97" i="23"/>
  <c r="U102" i="23"/>
  <c r="V104" i="23"/>
  <c r="O61" i="23"/>
  <c r="G62" i="23"/>
  <c r="P63" i="23"/>
  <c r="K64" i="23"/>
  <c r="T65" i="23"/>
  <c r="R67" i="23"/>
  <c r="Q68" i="23"/>
  <c r="S70" i="23"/>
  <c r="R75" i="23"/>
  <c r="T78" i="23"/>
  <c r="F90" i="23"/>
  <c r="T90" i="23"/>
  <c r="L91" i="23"/>
  <c r="U92" i="23"/>
  <c r="P93" i="23"/>
  <c r="N94" i="23"/>
  <c r="J95" i="23"/>
  <c r="J96" i="23"/>
  <c r="J97" i="23"/>
  <c r="V97" i="23"/>
  <c r="S101" i="23"/>
  <c r="Q103" i="23"/>
  <c r="R105" i="23"/>
  <c r="X18" i="37"/>
  <c r="V272" i="12"/>
  <c r="N272" i="12"/>
  <c r="F272" i="12"/>
  <c r="W272" i="12" s="1"/>
  <c r="V268" i="12"/>
  <c r="N268" i="12"/>
  <c r="F268" i="12"/>
  <c r="F264" i="12"/>
  <c r="W263" i="12"/>
  <c r="N260" i="12"/>
  <c r="F258" i="12"/>
  <c r="N254" i="12"/>
  <c r="N279" i="12" s="1"/>
  <c r="F253" i="12"/>
  <c r="F252" i="12"/>
  <c r="N250" i="12"/>
  <c r="N249" i="12"/>
  <c r="N248" i="12"/>
  <c r="V246" i="12"/>
  <c r="S248" i="12"/>
  <c r="S252" i="12"/>
  <c r="S256" i="12"/>
  <c r="S245" i="12"/>
  <c r="S249" i="12"/>
  <c r="S253" i="12"/>
  <c r="S257" i="12"/>
  <c r="S261" i="12"/>
  <c r="S265" i="12"/>
  <c r="K248" i="12"/>
  <c r="K252" i="12"/>
  <c r="K256" i="12"/>
  <c r="K245" i="12"/>
  <c r="K249" i="12"/>
  <c r="K253" i="12"/>
  <c r="K257" i="12"/>
  <c r="K261" i="12"/>
  <c r="K265" i="12"/>
  <c r="C248" i="12"/>
  <c r="C252" i="12"/>
  <c r="C256" i="12"/>
  <c r="W256" i="12" s="1"/>
  <c r="C245" i="12"/>
  <c r="C249" i="12"/>
  <c r="C253" i="12"/>
  <c r="C257" i="12"/>
  <c r="W257" i="12" s="1"/>
  <c r="C261" i="12"/>
  <c r="C265" i="12"/>
  <c r="V57" i="23"/>
  <c r="V80" i="23" s="1"/>
  <c r="J57" i="23"/>
  <c r="K68" i="23" s="1"/>
  <c r="C57" i="23"/>
  <c r="F61" i="23" s="1"/>
  <c r="F261" i="12"/>
  <c r="V259" i="12"/>
  <c r="N259" i="12"/>
  <c r="F259" i="12"/>
  <c r="N257" i="12"/>
  <c r="N256" i="12"/>
  <c r="V253" i="12"/>
  <c r="O57" i="23"/>
  <c r="T73" i="23" s="1"/>
  <c r="V247" i="12"/>
  <c r="V251" i="12"/>
  <c r="N247" i="12"/>
  <c r="N251" i="12"/>
  <c r="F247" i="12"/>
  <c r="F251" i="12"/>
  <c r="O251" i="12"/>
  <c r="G251" i="12"/>
  <c r="G279" i="12" s="1"/>
  <c r="O247" i="12"/>
  <c r="O279" i="12" s="1"/>
  <c r="G247" i="12"/>
  <c r="Q57" i="23"/>
  <c r="I57" i="23"/>
  <c r="Q67" i="23" s="1"/>
  <c r="P57" i="23"/>
  <c r="S74" i="23" s="1"/>
  <c r="H57" i="23"/>
  <c r="Q66" i="23" s="1"/>
  <c r="S57" i="23"/>
  <c r="T77" i="23" s="1"/>
  <c r="K57" i="23"/>
  <c r="U69" i="23" s="1"/>
  <c r="D25" i="22"/>
  <c r="D35" i="22"/>
  <c r="D38" i="22" s="1"/>
  <c r="R25" i="22"/>
  <c r="R35" i="22"/>
  <c r="R38" i="22" s="1"/>
  <c r="J25" i="22"/>
  <c r="J35" i="22"/>
  <c r="J38" i="22" s="1"/>
  <c r="U13" i="22"/>
  <c r="U17" i="22" s="1"/>
  <c r="U20" i="22" s="1"/>
  <c r="M13" i="22"/>
  <c r="M17" i="22" s="1"/>
  <c r="M20" i="22" s="1"/>
  <c r="E25" i="22"/>
  <c r="E35" i="22"/>
  <c r="E38" i="22" s="1"/>
  <c r="P25" i="22"/>
  <c r="P35" i="22"/>
  <c r="P38" i="22" s="1"/>
  <c r="H25" i="22"/>
  <c r="H35" i="22"/>
  <c r="H38" i="22" s="1"/>
  <c r="S25" i="22"/>
  <c r="S35" i="22"/>
  <c r="S38" i="22" s="1"/>
  <c r="K25" i="22"/>
  <c r="K35" i="22"/>
  <c r="K38" i="22" s="1"/>
  <c r="T17" i="22"/>
  <c r="T20" i="22" s="1"/>
  <c r="L17" i="22"/>
  <c r="L20" i="22" s="1"/>
  <c r="O13" i="22"/>
  <c r="O17" i="22" s="1"/>
  <c r="O20" i="22" s="1"/>
  <c r="G13" i="22"/>
  <c r="G17" i="22" s="1"/>
  <c r="G20" i="22" s="1"/>
  <c r="A13" i="2"/>
  <c r="AA12" i="2"/>
  <c r="Z12" i="2"/>
  <c r="Q13" i="22"/>
  <c r="Q17" i="22" s="1"/>
  <c r="Q20" i="22" s="1"/>
  <c r="I13" i="22"/>
  <c r="I17" i="22" s="1"/>
  <c r="I20" i="22" s="1"/>
  <c r="V13" i="22"/>
  <c r="V17" i="22" s="1"/>
  <c r="V20" i="22" s="1"/>
  <c r="N13" i="22"/>
  <c r="N17" i="22" s="1"/>
  <c r="N20" i="22" s="1"/>
  <c r="F13" i="22"/>
  <c r="F17" i="22" s="1"/>
  <c r="F20" i="22" s="1"/>
  <c r="AM79" i="37" l="1"/>
  <c r="S108" i="11"/>
  <c r="S18" i="4" s="1"/>
  <c r="S21" i="4" s="1"/>
  <c r="S37" i="4" s="1"/>
  <c r="AC69" i="1"/>
  <c r="AC72" i="19"/>
  <c r="AC9" i="1"/>
  <c r="AC12" i="19"/>
  <c r="AK153" i="1"/>
  <c r="F153" i="1" s="1"/>
  <c r="F155" i="19"/>
  <c r="AK156" i="19"/>
  <c r="AK81" i="1"/>
  <c r="F81" i="1" s="1"/>
  <c r="AK84" i="19"/>
  <c r="AJ93" i="1"/>
  <c r="E93" i="1" s="1"/>
  <c r="E95" i="19"/>
  <c r="AJ96" i="19"/>
  <c r="AD226" i="1"/>
  <c r="AD229" i="19"/>
  <c r="AC94" i="1"/>
  <c r="AC97" i="19"/>
  <c r="AE202" i="1"/>
  <c r="AE205" i="19"/>
  <c r="AG179" i="1"/>
  <c r="AG182" i="19"/>
  <c r="Q159" i="12"/>
  <c r="AJ167" i="19"/>
  <c r="F142" i="1"/>
  <c r="AE118" i="1"/>
  <c r="AE121" i="19"/>
  <c r="AG190" i="1"/>
  <c r="AG193" i="19"/>
  <c r="AG96" i="1"/>
  <c r="AG99" i="19"/>
  <c r="M42" i="37"/>
  <c r="M92" i="37"/>
  <c r="AJ59" i="1"/>
  <c r="AJ62" i="19"/>
  <c r="I13" i="7"/>
  <c r="P59" i="37"/>
  <c r="Q59" i="37" s="1"/>
  <c r="R59" i="37" s="1"/>
  <c r="S59" i="37" s="1"/>
  <c r="T59" i="37" s="1"/>
  <c r="U59" i="37" s="1"/>
  <c r="V59" i="37" s="1"/>
  <c r="W59" i="37" s="1"/>
  <c r="X59" i="37" s="1"/>
  <c r="Y59" i="37" s="1"/>
  <c r="Z59" i="37" s="1"/>
  <c r="AA59" i="37" s="1"/>
  <c r="AB59" i="37" s="1"/>
  <c r="AC59" i="37" s="1"/>
  <c r="AD59" i="37" s="1"/>
  <c r="AE59" i="37" s="1"/>
  <c r="AF59" i="37" s="1"/>
  <c r="AG59" i="37" s="1"/>
  <c r="AH59" i="37" s="1"/>
  <c r="AI59" i="37" s="1"/>
  <c r="AJ59" i="37" s="1"/>
  <c r="AK59" i="37" s="1"/>
  <c r="AL59" i="37" s="1"/>
  <c r="AM59" i="37" s="1"/>
  <c r="AN59" i="37" s="1"/>
  <c r="AO59" i="37" s="1"/>
  <c r="O62" i="37"/>
  <c r="R108" i="11"/>
  <c r="R18" i="4" s="1"/>
  <c r="R21" i="4" s="1"/>
  <c r="R37" i="4" s="1"/>
  <c r="A78" i="4"/>
  <c r="B1" i="18"/>
  <c r="E21" i="1"/>
  <c r="N35" i="22"/>
  <c r="N38" i="22" s="1"/>
  <c r="N25" i="22"/>
  <c r="Q25" i="22"/>
  <c r="Q35" i="22"/>
  <c r="Q38" i="22" s="1"/>
  <c r="T25" i="22"/>
  <c r="T35" i="22"/>
  <c r="T38" i="22" s="1"/>
  <c r="W253" i="12"/>
  <c r="P68" i="23"/>
  <c r="F62" i="23"/>
  <c r="F81" i="23" s="1"/>
  <c r="J68" i="23"/>
  <c r="M62" i="23"/>
  <c r="M81" i="23" s="1"/>
  <c r="L68" i="23"/>
  <c r="R71" i="23"/>
  <c r="N66" i="23"/>
  <c r="P62" i="23"/>
  <c r="P81" i="23" s="1"/>
  <c r="H65" i="23"/>
  <c r="U110" i="23"/>
  <c r="N66" i="37"/>
  <c r="I279" i="12"/>
  <c r="Q279" i="12"/>
  <c r="K98" i="23"/>
  <c r="R98" i="23"/>
  <c r="S98" i="23"/>
  <c r="N98" i="23"/>
  <c r="AG10" i="1"/>
  <c r="AG13" i="19"/>
  <c r="AL79" i="37"/>
  <c r="AG23" i="1"/>
  <c r="AG26" i="19"/>
  <c r="G90" i="23"/>
  <c r="G110" i="23" s="1"/>
  <c r="D90" i="23"/>
  <c r="D110" i="23" s="1"/>
  <c r="O90" i="23"/>
  <c r="N90" i="23"/>
  <c r="J90" i="23"/>
  <c r="J110" i="23" s="1"/>
  <c r="Y18" i="37"/>
  <c r="Z18" i="37" s="1"/>
  <c r="B9" i="1"/>
  <c r="C9" i="1" s="1"/>
  <c r="B12" i="1"/>
  <c r="C12" i="1" s="1"/>
  <c r="B23" i="1"/>
  <c r="C23" i="1" s="1"/>
  <c r="B31" i="1"/>
  <c r="C31" i="1" s="1"/>
  <c r="B39" i="1"/>
  <c r="C39" i="1" s="1"/>
  <c r="B47" i="1"/>
  <c r="C47" i="1" s="1"/>
  <c r="B55" i="1"/>
  <c r="C55" i="1" s="1"/>
  <c r="B63" i="1"/>
  <c r="C63" i="1" s="1"/>
  <c r="B71" i="1"/>
  <c r="C71" i="1" s="1"/>
  <c r="B13" i="1"/>
  <c r="C13" i="1" s="1"/>
  <c r="B16" i="1"/>
  <c r="C16" i="1" s="1"/>
  <c r="B24" i="1"/>
  <c r="C24" i="1" s="1"/>
  <c r="B14" i="1"/>
  <c r="C14" i="1" s="1"/>
  <c r="B17" i="1"/>
  <c r="C17" i="1" s="1"/>
  <c r="B25" i="1"/>
  <c r="C25" i="1" s="1"/>
  <c r="B33" i="1"/>
  <c r="C33" i="1" s="1"/>
  <c r="B20" i="1"/>
  <c r="C20" i="1" s="1"/>
  <c r="B28" i="1"/>
  <c r="C28" i="1" s="1"/>
  <c r="B35" i="1"/>
  <c r="C35" i="1" s="1"/>
  <c r="B42" i="1"/>
  <c r="C42" i="1" s="1"/>
  <c r="B49" i="1"/>
  <c r="C49" i="1" s="1"/>
  <c r="B57" i="1"/>
  <c r="C57" i="1" s="1"/>
  <c r="B65" i="1"/>
  <c r="C65" i="1" s="1"/>
  <c r="B72" i="1"/>
  <c r="C72" i="1" s="1"/>
  <c r="B76" i="1"/>
  <c r="C76" i="1" s="1"/>
  <c r="B84" i="1"/>
  <c r="C84" i="1" s="1"/>
  <c r="B92" i="1"/>
  <c r="C92" i="1" s="1"/>
  <c r="B100" i="1"/>
  <c r="C100" i="1" s="1"/>
  <c r="B108" i="1"/>
  <c r="C108" i="1" s="1"/>
  <c r="B116" i="1"/>
  <c r="C116" i="1" s="1"/>
  <c r="B124" i="1"/>
  <c r="C124" i="1" s="1"/>
  <c r="B132" i="1"/>
  <c r="C132" i="1" s="1"/>
  <c r="B140" i="1"/>
  <c r="C140" i="1" s="1"/>
  <c r="B148" i="1"/>
  <c r="C148" i="1" s="1"/>
  <c r="B156" i="1"/>
  <c r="C156" i="1" s="1"/>
  <c r="B164" i="1"/>
  <c r="C164" i="1" s="1"/>
  <c r="B172" i="1"/>
  <c r="C172" i="1" s="1"/>
  <c r="B180" i="1"/>
  <c r="C180" i="1" s="1"/>
  <c r="B188" i="1"/>
  <c r="C188" i="1" s="1"/>
  <c r="B196" i="1"/>
  <c r="C196" i="1" s="1"/>
  <c r="B204" i="1"/>
  <c r="C204" i="1" s="1"/>
  <c r="B212" i="1"/>
  <c r="C212" i="1" s="1"/>
  <c r="B19" i="1"/>
  <c r="C19" i="1" s="1"/>
  <c r="B27" i="1"/>
  <c r="C27" i="1" s="1"/>
  <c r="B41" i="1"/>
  <c r="C41" i="1" s="1"/>
  <c r="B48" i="1"/>
  <c r="C48" i="1" s="1"/>
  <c r="B56" i="1"/>
  <c r="C56" i="1" s="1"/>
  <c r="B64" i="1"/>
  <c r="C64" i="1" s="1"/>
  <c r="B10" i="1"/>
  <c r="C10" i="1" s="1"/>
  <c r="B37" i="1"/>
  <c r="C37" i="1" s="1"/>
  <c r="B38" i="1"/>
  <c r="C38" i="1" s="1"/>
  <c r="B45" i="1"/>
  <c r="C45" i="1" s="1"/>
  <c r="B52" i="1"/>
  <c r="C52" i="1" s="1"/>
  <c r="B60" i="1"/>
  <c r="C60" i="1" s="1"/>
  <c r="B68" i="1"/>
  <c r="C68" i="1" s="1"/>
  <c r="B81" i="1"/>
  <c r="C81" i="1" s="1"/>
  <c r="B89" i="1"/>
  <c r="C89" i="1" s="1"/>
  <c r="B97" i="1"/>
  <c r="C97" i="1" s="1"/>
  <c r="B105" i="1"/>
  <c r="C105" i="1" s="1"/>
  <c r="B113" i="1"/>
  <c r="C113" i="1" s="1"/>
  <c r="B121" i="1"/>
  <c r="C121" i="1" s="1"/>
  <c r="B129" i="1"/>
  <c r="C129" i="1" s="1"/>
  <c r="B137" i="1"/>
  <c r="C137" i="1" s="1"/>
  <c r="B145" i="1"/>
  <c r="C145" i="1" s="1"/>
  <c r="B153" i="1"/>
  <c r="C153" i="1" s="1"/>
  <c r="B161" i="1"/>
  <c r="C161" i="1" s="1"/>
  <c r="B169" i="1"/>
  <c r="C169" i="1" s="1"/>
  <c r="B177" i="1"/>
  <c r="C177" i="1" s="1"/>
  <c r="B185" i="1"/>
  <c r="C185" i="1" s="1"/>
  <c r="B193" i="1"/>
  <c r="C193" i="1" s="1"/>
  <c r="B201" i="1"/>
  <c r="C201" i="1" s="1"/>
  <c r="B209" i="1"/>
  <c r="C209" i="1" s="1"/>
  <c r="B217" i="1"/>
  <c r="C217" i="1" s="1"/>
  <c r="B225" i="1"/>
  <c r="C225" i="1" s="1"/>
  <c r="B233" i="1"/>
  <c r="C233" i="1" s="1"/>
  <c r="B241" i="1"/>
  <c r="C241" i="1" s="1"/>
  <c r="B36" i="1"/>
  <c r="C36" i="1" s="1"/>
  <c r="B44" i="1"/>
  <c r="C44" i="1" s="1"/>
  <c r="B51" i="1"/>
  <c r="C51" i="1" s="1"/>
  <c r="B59" i="1"/>
  <c r="C59" i="1" s="1"/>
  <c r="B67" i="1"/>
  <c r="C67" i="1" s="1"/>
  <c r="B74" i="1"/>
  <c r="C74" i="1" s="1"/>
  <c r="B82" i="1"/>
  <c r="C82" i="1" s="1"/>
  <c r="B90" i="1"/>
  <c r="C90" i="1" s="1"/>
  <c r="B98" i="1"/>
  <c r="C98" i="1" s="1"/>
  <c r="B106" i="1"/>
  <c r="C106" i="1" s="1"/>
  <c r="B114" i="1"/>
  <c r="C114" i="1" s="1"/>
  <c r="B122" i="1"/>
  <c r="C122" i="1" s="1"/>
  <c r="B130" i="1"/>
  <c r="C130" i="1" s="1"/>
  <c r="B138" i="1"/>
  <c r="C138" i="1" s="1"/>
  <c r="B146" i="1"/>
  <c r="C146" i="1" s="1"/>
  <c r="B154" i="1"/>
  <c r="C154" i="1" s="1"/>
  <c r="B162" i="1"/>
  <c r="C162" i="1" s="1"/>
  <c r="B170" i="1"/>
  <c r="C170" i="1" s="1"/>
  <c r="B178" i="1"/>
  <c r="C178" i="1" s="1"/>
  <c r="B186" i="1"/>
  <c r="C186" i="1" s="1"/>
  <c r="B194" i="1"/>
  <c r="C194" i="1" s="1"/>
  <c r="B202" i="1"/>
  <c r="C202" i="1" s="1"/>
  <c r="B210" i="1"/>
  <c r="C210" i="1" s="1"/>
  <c r="B218" i="1"/>
  <c r="C218" i="1" s="1"/>
  <c r="B226" i="1"/>
  <c r="C226" i="1" s="1"/>
  <c r="B234" i="1"/>
  <c r="C234" i="1" s="1"/>
  <c r="B242" i="1"/>
  <c r="C242" i="1" s="1"/>
  <c r="B15" i="1"/>
  <c r="C15" i="1" s="1"/>
  <c r="B18" i="1"/>
  <c r="C18" i="1" s="1"/>
  <c r="B26" i="1"/>
  <c r="C26" i="1" s="1"/>
  <c r="B34" i="1"/>
  <c r="C34" i="1" s="1"/>
  <c r="B69" i="1"/>
  <c r="C69" i="1" s="1"/>
  <c r="B75" i="1"/>
  <c r="C75" i="1" s="1"/>
  <c r="B78" i="1"/>
  <c r="C78" i="1" s="1"/>
  <c r="B87" i="1"/>
  <c r="C87" i="1" s="1"/>
  <c r="B104" i="1"/>
  <c r="C104" i="1" s="1"/>
  <c r="B136" i="1"/>
  <c r="C136" i="1" s="1"/>
  <c r="B139" i="1"/>
  <c r="C139" i="1" s="1"/>
  <c r="B142" i="1"/>
  <c r="C142" i="1" s="1"/>
  <c r="B157" i="1"/>
  <c r="C157" i="1" s="1"/>
  <c r="B168" i="1"/>
  <c r="C168" i="1" s="1"/>
  <c r="B171" i="1"/>
  <c r="C171" i="1" s="1"/>
  <c r="B174" i="1"/>
  <c r="C174" i="1" s="1"/>
  <c r="B183" i="1"/>
  <c r="C183" i="1" s="1"/>
  <c r="B200" i="1"/>
  <c r="C200" i="1" s="1"/>
  <c r="B224" i="1"/>
  <c r="C224" i="1" s="1"/>
  <c r="B244" i="1"/>
  <c r="C244" i="1" s="1"/>
  <c r="B11" i="1"/>
  <c r="C11" i="1" s="1"/>
  <c r="B53" i="1"/>
  <c r="C53" i="1" s="1"/>
  <c r="B77" i="1"/>
  <c r="C77" i="1" s="1"/>
  <c r="B83" i="1"/>
  <c r="C83" i="1" s="1"/>
  <c r="B86" i="1"/>
  <c r="C86" i="1" s="1"/>
  <c r="B103" i="1"/>
  <c r="C103" i="1" s="1"/>
  <c r="B141" i="1"/>
  <c r="C141" i="1" s="1"/>
  <c r="B167" i="1"/>
  <c r="C167" i="1" s="1"/>
  <c r="B173" i="1"/>
  <c r="C173" i="1" s="1"/>
  <c r="B179" i="1"/>
  <c r="C179" i="1" s="1"/>
  <c r="B182" i="1"/>
  <c r="C182" i="1" s="1"/>
  <c r="B199" i="1"/>
  <c r="C199" i="1" s="1"/>
  <c r="B227" i="1"/>
  <c r="C227" i="1" s="1"/>
  <c r="B235" i="1"/>
  <c r="C235" i="1" s="1"/>
  <c r="B245" i="1"/>
  <c r="C245" i="1" s="1"/>
  <c r="B22" i="1"/>
  <c r="C22" i="1" s="1"/>
  <c r="B30" i="1"/>
  <c r="C30" i="1" s="1"/>
  <c r="B40" i="1"/>
  <c r="C40" i="1" s="1"/>
  <c r="B43" i="1"/>
  <c r="C43" i="1" s="1"/>
  <c r="B46" i="1"/>
  <c r="C46" i="1" s="1"/>
  <c r="B54" i="1"/>
  <c r="C54" i="1" s="1"/>
  <c r="B80" i="1"/>
  <c r="C80" i="1" s="1"/>
  <c r="B112" i="1"/>
  <c r="C112" i="1" s="1"/>
  <c r="B115" i="1"/>
  <c r="C115" i="1" s="1"/>
  <c r="B118" i="1"/>
  <c r="C118" i="1" s="1"/>
  <c r="B133" i="1"/>
  <c r="C133" i="1" s="1"/>
  <c r="B144" i="1"/>
  <c r="C144" i="1" s="1"/>
  <c r="B147" i="1"/>
  <c r="C147" i="1" s="1"/>
  <c r="B150" i="1"/>
  <c r="C150" i="1" s="1"/>
  <c r="B159" i="1"/>
  <c r="C159" i="1" s="1"/>
  <c r="B176" i="1"/>
  <c r="C176" i="1" s="1"/>
  <c r="B208" i="1"/>
  <c r="C208" i="1" s="1"/>
  <c r="B211" i="1"/>
  <c r="C211" i="1" s="1"/>
  <c r="B214" i="1"/>
  <c r="C214" i="1" s="1"/>
  <c r="B222" i="1"/>
  <c r="C222" i="1" s="1"/>
  <c r="B240" i="1"/>
  <c r="C240" i="1" s="1"/>
  <c r="B58" i="1"/>
  <c r="C58" i="1" s="1"/>
  <c r="B79" i="1"/>
  <c r="C79" i="1" s="1"/>
  <c r="B99" i="1"/>
  <c r="C99" i="1" s="1"/>
  <c r="B128" i="1"/>
  <c r="C128" i="1" s="1"/>
  <c r="B134" i="1"/>
  <c r="C134" i="1" s="1"/>
  <c r="B143" i="1"/>
  <c r="C143" i="1" s="1"/>
  <c r="B191" i="1"/>
  <c r="C191" i="1" s="1"/>
  <c r="B213" i="1"/>
  <c r="C213" i="1" s="1"/>
  <c r="B246" i="1"/>
  <c r="C246" i="1" s="1"/>
  <c r="B247" i="1"/>
  <c r="C247" i="1" s="1"/>
  <c r="B50" i="1"/>
  <c r="C50" i="1" s="1"/>
  <c r="B66" i="1"/>
  <c r="C66" i="1" s="1"/>
  <c r="B119" i="1"/>
  <c r="C119" i="1" s="1"/>
  <c r="B120" i="1"/>
  <c r="C120" i="1" s="1"/>
  <c r="B127" i="1"/>
  <c r="C127" i="1" s="1"/>
  <c r="B135" i="1"/>
  <c r="C135" i="1" s="1"/>
  <c r="B149" i="1"/>
  <c r="C149" i="1" s="1"/>
  <c r="B155" i="1"/>
  <c r="C155" i="1" s="1"/>
  <c r="B163" i="1"/>
  <c r="C163" i="1" s="1"/>
  <c r="B184" i="1"/>
  <c r="C184" i="1" s="1"/>
  <c r="B205" i="1"/>
  <c r="C205" i="1" s="1"/>
  <c r="B248" i="1"/>
  <c r="C248" i="1" s="1"/>
  <c r="B62" i="1"/>
  <c r="C62" i="1" s="1"/>
  <c r="B70" i="1"/>
  <c r="C70" i="1" s="1"/>
  <c r="B95" i="1"/>
  <c r="C95" i="1" s="1"/>
  <c r="B117" i="1"/>
  <c r="C117" i="1" s="1"/>
  <c r="B160" i="1"/>
  <c r="C160" i="1" s="1"/>
  <c r="B175" i="1"/>
  <c r="C175" i="1" s="1"/>
  <c r="B195" i="1"/>
  <c r="C195" i="1" s="1"/>
  <c r="B220" i="1"/>
  <c r="C220" i="1" s="1"/>
  <c r="B223" i="1"/>
  <c r="C223" i="1" s="1"/>
  <c r="B230" i="1"/>
  <c r="C230" i="1" s="1"/>
  <c r="B232" i="1"/>
  <c r="C232" i="1" s="1"/>
  <c r="B73" i="1"/>
  <c r="C73" i="1" s="1"/>
  <c r="B88" i="1"/>
  <c r="C88" i="1" s="1"/>
  <c r="B109" i="1"/>
  <c r="C109" i="1" s="1"/>
  <c r="B123" i="1"/>
  <c r="C123" i="1" s="1"/>
  <c r="B158" i="1"/>
  <c r="C158" i="1" s="1"/>
  <c r="B166" i="1"/>
  <c r="C166" i="1" s="1"/>
  <c r="B215" i="1"/>
  <c r="C215" i="1" s="1"/>
  <c r="B216" i="1"/>
  <c r="C216" i="1" s="1"/>
  <c r="B236" i="1"/>
  <c r="C236" i="1" s="1"/>
  <c r="B237" i="1"/>
  <c r="C237" i="1" s="1"/>
  <c r="B239" i="1"/>
  <c r="C239" i="1" s="1"/>
  <c r="B93" i="1"/>
  <c r="C93" i="1" s="1"/>
  <c r="B101" i="1"/>
  <c r="C101" i="1" s="1"/>
  <c r="B110" i="1"/>
  <c r="C110" i="1" s="1"/>
  <c r="B125" i="1"/>
  <c r="C125" i="1" s="1"/>
  <c r="B192" i="1"/>
  <c r="C192" i="1" s="1"/>
  <c r="B243" i="1"/>
  <c r="C243" i="1" s="1"/>
  <c r="B32" i="1"/>
  <c r="C32" i="1" s="1"/>
  <c r="B61" i="1"/>
  <c r="C61" i="1" s="1"/>
  <c r="B94" i="1"/>
  <c r="C94" i="1" s="1"/>
  <c r="B102" i="1"/>
  <c r="C102" i="1" s="1"/>
  <c r="B231" i="1"/>
  <c r="C231" i="1" s="1"/>
  <c r="B107" i="1"/>
  <c r="C107" i="1" s="1"/>
  <c r="B111" i="1"/>
  <c r="C111" i="1" s="1"/>
  <c r="B126" i="1"/>
  <c r="C126" i="1" s="1"/>
  <c r="B131" i="1"/>
  <c r="C131" i="1" s="1"/>
  <c r="B152" i="1"/>
  <c r="C152" i="1" s="1"/>
  <c r="B165" i="1"/>
  <c r="C165" i="1" s="1"/>
  <c r="B189" i="1"/>
  <c r="C189" i="1" s="1"/>
  <c r="B197" i="1"/>
  <c r="C197" i="1" s="1"/>
  <c r="B206" i="1"/>
  <c r="C206" i="1" s="1"/>
  <c r="B96" i="1"/>
  <c r="C96" i="1" s="1"/>
  <c r="B228" i="1"/>
  <c r="C228" i="1" s="1"/>
  <c r="B229" i="1"/>
  <c r="C229" i="1" s="1"/>
  <c r="B187" i="1"/>
  <c r="C187" i="1" s="1"/>
  <c r="B203" i="1"/>
  <c r="C203" i="1" s="1"/>
  <c r="B21" i="1"/>
  <c r="C21" i="1" s="1"/>
  <c r="B151" i="1"/>
  <c r="C151" i="1" s="1"/>
  <c r="B190" i="1"/>
  <c r="C190" i="1" s="1"/>
  <c r="B207" i="1"/>
  <c r="C207" i="1" s="1"/>
  <c r="B91" i="1"/>
  <c r="C91" i="1" s="1"/>
  <c r="B198" i="1"/>
  <c r="C198" i="1" s="1"/>
  <c r="B221" i="1"/>
  <c r="C221" i="1" s="1"/>
  <c r="B29" i="1"/>
  <c r="C29" i="1" s="1"/>
  <c r="B181" i="1"/>
  <c r="C181" i="1" s="1"/>
  <c r="B219" i="1"/>
  <c r="C219" i="1" s="1"/>
  <c r="B85" i="1"/>
  <c r="C85" i="1" s="1"/>
  <c r="B238" i="1"/>
  <c r="C238" i="1" s="1"/>
  <c r="AC45" i="1"/>
  <c r="AC48" i="19"/>
  <c r="AC81" i="1"/>
  <c r="AC84" i="19"/>
  <c r="AA20" i="37"/>
  <c r="AA25" i="37" s="1"/>
  <c r="AD58" i="1"/>
  <c r="AD61" i="19"/>
  <c r="AG214" i="1"/>
  <c r="AG217" i="19"/>
  <c r="AK45" i="1"/>
  <c r="F45" i="1" s="1"/>
  <c r="AK48" i="19"/>
  <c r="AK9" i="1"/>
  <c r="F9" i="1" s="1"/>
  <c r="AK12" i="19"/>
  <c r="F11" i="19"/>
  <c r="N16" i="37"/>
  <c r="M25" i="37"/>
  <c r="AJ155" i="19"/>
  <c r="AB126" i="37"/>
  <c r="T11" i="23" s="1"/>
  <c r="AE190" i="1"/>
  <c r="AE193" i="19"/>
  <c r="AD94" i="1"/>
  <c r="AD97" i="19"/>
  <c r="AC34" i="1"/>
  <c r="AC37" i="19"/>
  <c r="AG58" i="1"/>
  <c r="AG61" i="19"/>
  <c r="AD143" i="1"/>
  <c r="AD146" i="19"/>
  <c r="AC238" i="1"/>
  <c r="AC241" i="19"/>
  <c r="AD107" i="1"/>
  <c r="AD110" i="19"/>
  <c r="E60" i="19"/>
  <c r="AD203" i="1"/>
  <c r="AD206" i="19"/>
  <c r="C34" i="23"/>
  <c r="N103" i="11"/>
  <c r="N108" i="11" s="1"/>
  <c r="N18" i="4" s="1"/>
  <c r="N21" i="4" s="1"/>
  <c r="N37" i="4" s="1"/>
  <c r="R75" i="11"/>
  <c r="H103" i="11"/>
  <c r="H108" i="11" s="1"/>
  <c r="H18" i="4" s="1"/>
  <c r="H21" i="4" s="1"/>
  <c r="H37" i="4" s="1"/>
  <c r="C29" i="23"/>
  <c r="I12" i="7"/>
  <c r="V35" i="22"/>
  <c r="V38" i="22" s="1"/>
  <c r="V25" i="22"/>
  <c r="W249" i="12"/>
  <c r="S66" i="23"/>
  <c r="U108" i="23"/>
  <c r="I96" i="23"/>
  <c r="E90" i="23"/>
  <c r="O67" i="23"/>
  <c r="Q96" i="23"/>
  <c r="M90" i="23"/>
  <c r="L67" i="23"/>
  <c r="H61" i="23"/>
  <c r="O96" i="23"/>
  <c r="L90" i="23"/>
  <c r="V67" i="23"/>
  <c r="R61" i="23"/>
  <c r="R73" i="23"/>
  <c r="L98" i="23"/>
  <c r="H90" i="23"/>
  <c r="H62" i="23"/>
  <c r="N92" i="23"/>
  <c r="V68" i="23"/>
  <c r="N67" i="37"/>
  <c r="V62" i="23"/>
  <c r="I92" i="23"/>
  <c r="O11" i="37"/>
  <c r="P11" i="37" s="1"/>
  <c r="M69" i="37"/>
  <c r="M83" i="37" s="1"/>
  <c r="M86" i="37" s="1"/>
  <c r="N64" i="37"/>
  <c r="F47" i="19"/>
  <c r="AE70" i="1"/>
  <c r="AE73" i="19"/>
  <c r="AD49" i="1"/>
  <c r="AD52" i="19"/>
  <c r="T102" i="23"/>
  <c r="S102" i="23"/>
  <c r="O21" i="37"/>
  <c r="F83" i="19"/>
  <c r="O30" i="37"/>
  <c r="N95" i="37"/>
  <c r="F117" i="1"/>
  <c r="AC21" i="1"/>
  <c r="AC24" i="19"/>
  <c r="AG37" i="23"/>
  <c r="AG40" i="23"/>
  <c r="AG39" i="23"/>
  <c r="AG41" i="23"/>
  <c r="AG36" i="23"/>
  <c r="AG38" i="23"/>
  <c r="AQ113" i="37"/>
  <c r="AC141" i="1"/>
  <c r="AC144" i="19"/>
  <c r="L93" i="37"/>
  <c r="AG166" i="1"/>
  <c r="AG169" i="19"/>
  <c r="AJ119" i="19"/>
  <c r="AC97" i="37"/>
  <c r="AC126" i="37" s="1"/>
  <c r="U11" i="23" s="1"/>
  <c r="AD77" i="37"/>
  <c r="AD12" i="1"/>
  <c r="AD15" i="19"/>
  <c r="AG107" i="1"/>
  <c r="AG110" i="19"/>
  <c r="AG238" i="1"/>
  <c r="AG241" i="19"/>
  <c r="AC166" i="1"/>
  <c r="AC169" i="19"/>
  <c r="E57" i="1"/>
  <c r="AE131" i="1"/>
  <c r="AE134" i="19"/>
  <c r="AG227" i="1"/>
  <c r="AG230" i="19"/>
  <c r="Q75" i="11"/>
  <c r="Q108" i="11" s="1"/>
  <c r="Q18" i="4" s="1"/>
  <c r="Q21" i="4" s="1"/>
  <c r="Q37" i="4" s="1"/>
  <c r="N27" i="37"/>
  <c r="M94" i="37"/>
  <c r="M123" i="37" s="1"/>
  <c r="E58" i="1"/>
  <c r="I38" i="7"/>
  <c r="I108" i="11"/>
  <c r="I18" i="4" s="1"/>
  <c r="I21" i="4" s="1"/>
  <c r="I37" i="4" s="1"/>
  <c r="T108" i="11"/>
  <c r="T18" i="4" s="1"/>
  <c r="T21" i="4" s="1"/>
  <c r="T37" i="4" s="1"/>
  <c r="AG34" i="1"/>
  <c r="AG37" i="19"/>
  <c r="I39" i="7"/>
  <c r="AD178" i="1"/>
  <c r="AD181" i="19"/>
  <c r="I41" i="7"/>
  <c r="C20" i="23"/>
  <c r="C21" i="23"/>
  <c r="B51" i="19"/>
  <c r="C51" i="19" s="1"/>
  <c r="B52" i="19"/>
  <c r="C52" i="19" s="1"/>
  <c r="B53" i="19"/>
  <c r="C53" i="19" s="1"/>
  <c r="B54" i="19"/>
  <c r="C54" i="19" s="1"/>
  <c r="B55" i="19"/>
  <c r="C55" i="19" s="1"/>
  <c r="B56" i="19"/>
  <c r="C56" i="19" s="1"/>
  <c r="B69" i="19"/>
  <c r="C69" i="19" s="1"/>
  <c r="B82" i="19"/>
  <c r="C82" i="19" s="1"/>
  <c r="B18" i="19"/>
  <c r="C18" i="19" s="1"/>
  <c r="B19" i="19"/>
  <c r="C19" i="19" s="1"/>
  <c r="B20" i="19"/>
  <c r="C20" i="19" s="1"/>
  <c r="B21" i="19"/>
  <c r="C21" i="19" s="1"/>
  <c r="B22" i="19"/>
  <c r="C22" i="19" s="1"/>
  <c r="B23" i="19"/>
  <c r="C23" i="19" s="1"/>
  <c r="B24" i="19"/>
  <c r="C24" i="19" s="1"/>
  <c r="B25" i="19"/>
  <c r="C25" i="19" s="1"/>
  <c r="B26" i="19"/>
  <c r="C26" i="19" s="1"/>
  <c r="B27" i="19"/>
  <c r="C27" i="19" s="1"/>
  <c r="B28" i="19"/>
  <c r="C28" i="19" s="1"/>
  <c r="B29" i="19"/>
  <c r="C29" i="19" s="1"/>
  <c r="B30" i="19"/>
  <c r="C30" i="19" s="1"/>
  <c r="B31" i="19"/>
  <c r="C31" i="19" s="1"/>
  <c r="B32" i="19"/>
  <c r="C32" i="19" s="1"/>
  <c r="B33" i="19"/>
  <c r="C33" i="19" s="1"/>
  <c r="B34" i="19"/>
  <c r="C34" i="19" s="1"/>
  <c r="B35" i="19"/>
  <c r="C35" i="19" s="1"/>
  <c r="B36" i="19"/>
  <c r="C36" i="19" s="1"/>
  <c r="B37" i="19"/>
  <c r="C37" i="19" s="1"/>
  <c r="B38" i="19"/>
  <c r="C38" i="19" s="1"/>
  <c r="B39" i="19"/>
  <c r="C39" i="19" s="1"/>
  <c r="B40" i="19"/>
  <c r="C40" i="19" s="1"/>
  <c r="B41" i="19"/>
  <c r="C41" i="19" s="1"/>
  <c r="B42" i="19"/>
  <c r="C42" i="19" s="1"/>
  <c r="B43" i="19"/>
  <c r="C43" i="19" s="1"/>
  <c r="B44" i="19"/>
  <c r="C44" i="19" s="1"/>
  <c r="B45" i="19"/>
  <c r="C45" i="19" s="1"/>
  <c r="B46" i="19"/>
  <c r="C46" i="19" s="1"/>
  <c r="B47" i="19"/>
  <c r="C47" i="19" s="1"/>
  <c r="B60" i="19"/>
  <c r="C60" i="19" s="1"/>
  <c r="B73" i="19"/>
  <c r="C73" i="19" s="1"/>
  <c r="B86" i="19"/>
  <c r="C86" i="19" s="1"/>
  <c r="B48" i="19"/>
  <c r="C48" i="19" s="1"/>
  <c r="B61" i="19"/>
  <c r="C61" i="19" s="1"/>
  <c r="B74" i="19"/>
  <c r="C74" i="19" s="1"/>
  <c r="B87" i="19"/>
  <c r="C87" i="19" s="1"/>
  <c r="B15" i="19"/>
  <c r="C15" i="19" s="1"/>
  <c r="B58" i="19"/>
  <c r="C58" i="19" s="1"/>
  <c r="B62" i="19"/>
  <c r="C62" i="19" s="1"/>
  <c r="B65" i="19"/>
  <c r="C65" i="19" s="1"/>
  <c r="B75" i="19"/>
  <c r="C75" i="19" s="1"/>
  <c r="B79" i="19"/>
  <c r="C79" i="19" s="1"/>
  <c r="B99" i="19"/>
  <c r="C99" i="19" s="1"/>
  <c r="B100" i="19"/>
  <c r="C100" i="19" s="1"/>
  <c r="B101" i="19"/>
  <c r="C101" i="19" s="1"/>
  <c r="B102" i="19"/>
  <c r="C102" i="19" s="1"/>
  <c r="B103" i="19"/>
  <c r="C103" i="19" s="1"/>
  <c r="B104" i="19"/>
  <c r="C104" i="19" s="1"/>
  <c r="B117" i="19"/>
  <c r="C117" i="19" s="1"/>
  <c r="B130" i="19"/>
  <c r="C130" i="19" s="1"/>
  <c r="B143" i="19"/>
  <c r="C143" i="19" s="1"/>
  <c r="B156" i="19"/>
  <c r="C156" i="19" s="1"/>
  <c r="B169" i="19"/>
  <c r="C169" i="19" s="1"/>
  <c r="B182" i="19"/>
  <c r="C182" i="19" s="1"/>
  <c r="B195" i="19"/>
  <c r="C195" i="19" s="1"/>
  <c r="B196" i="19"/>
  <c r="C196" i="19" s="1"/>
  <c r="B197" i="19"/>
  <c r="C197" i="19" s="1"/>
  <c r="B198" i="19"/>
  <c r="C198" i="19" s="1"/>
  <c r="B199" i="19"/>
  <c r="C199" i="19" s="1"/>
  <c r="B200" i="19"/>
  <c r="C200" i="19" s="1"/>
  <c r="B213" i="19"/>
  <c r="C213" i="19" s="1"/>
  <c r="B226" i="19"/>
  <c r="C226" i="19" s="1"/>
  <c r="B239" i="19"/>
  <c r="C239" i="19" s="1"/>
  <c r="B12" i="19"/>
  <c r="C12" i="19" s="1"/>
  <c r="B16" i="19"/>
  <c r="C16" i="19" s="1"/>
  <c r="B66" i="19"/>
  <c r="C66" i="19" s="1"/>
  <c r="B71" i="19"/>
  <c r="C71" i="19" s="1"/>
  <c r="B76" i="19"/>
  <c r="C76" i="19" s="1"/>
  <c r="B80" i="19"/>
  <c r="C80" i="19" s="1"/>
  <c r="B84" i="19"/>
  <c r="C84" i="19" s="1"/>
  <c r="B89" i="19"/>
  <c r="C89" i="19" s="1"/>
  <c r="B93" i="19"/>
  <c r="C93" i="19" s="1"/>
  <c r="B106" i="19"/>
  <c r="C106" i="19" s="1"/>
  <c r="B119" i="19"/>
  <c r="C119" i="19" s="1"/>
  <c r="B132" i="19"/>
  <c r="C132" i="19" s="1"/>
  <c r="B145" i="19"/>
  <c r="C145" i="19" s="1"/>
  <c r="B158" i="19"/>
  <c r="C158" i="19" s="1"/>
  <c r="B171" i="19"/>
  <c r="C171" i="19" s="1"/>
  <c r="B172" i="19"/>
  <c r="C172" i="19" s="1"/>
  <c r="B173" i="19"/>
  <c r="C173" i="19" s="1"/>
  <c r="B174" i="19"/>
  <c r="C174" i="19" s="1"/>
  <c r="B175" i="19"/>
  <c r="C175" i="19" s="1"/>
  <c r="B176" i="19"/>
  <c r="C176" i="19" s="1"/>
  <c r="B189" i="19"/>
  <c r="C189" i="19" s="1"/>
  <c r="B202" i="19"/>
  <c r="C202" i="19" s="1"/>
  <c r="B215" i="19"/>
  <c r="C215" i="19" s="1"/>
  <c r="B228" i="19"/>
  <c r="C228" i="19" s="1"/>
  <c r="B241" i="19"/>
  <c r="C241" i="19" s="1"/>
  <c r="B50" i="19"/>
  <c r="C50" i="19" s="1"/>
  <c r="B96" i="19"/>
  <c r="C96" i="19" s="1"/>
  <c r="B109" i="19"/>
  <c r="C109" i="19" s="1"/>
  <c r="B122" i="19"/>
  <c r="C122" i="19" s="1"/>
  <c r="B14" i="19"/>
  <c r="C14" i="19" s="1"/>
  <c r="B64" i="19"/>
  <c r="C64" i="19" s="1"/>
  <c r="B68" i="19"/>
  <c r="C68" i="19" s="1"/>
  <c r="B70" i="19"/>
  <c r="C70" i="19" s="1"/>
  <c r="B72" i="19"/>
  <c r="C72" i="19" s="1"/>
  <c r="B78" i="19"/>
  <c r="C78" i="19" s="1"/>
  <c r="B81" i="19"/>
  <c r="C81" i="19" s="1"/>
  <c r="B83" i="19"/>
  <c r="C83" i="19" s="1"/>
  <c r="B85" i="19"/>
  <c r="C85" i="19" s="1"/>
  <c r="B97" i="19"/>
  <c r="C97" i="19" s="1"/>
  <c r="B110" i="19"/>
  <c r="C110" i="19" s="1"/>
  <c r="B123" i="19"/>
  <c r="C123" i="19" s="1"/>
  <c r="B124" i="19"/>
  <c r="C124" i="19" s="1"/>
  <c r="B125" i="19"/>
  <c r="C125" i="19" s="1"/>
  <c r="B126" i="19"/>
  <c r="C126" i="19" s="1"/>
  <c r="B127" i="19"/>
  <c r="C127" i="19" s="1"/>
  <c r="B128" i="19"/>
  <c r="C128" i="19" s="1"/>
  <c r="B141" i="19"/>
  <c r="C141" i="19" s="1"/>
  <c r="B154" i="19"/>
  <c r="C154" i="19" s="1"/>
  <c r="B167" i="19"/>
  <c r="C167" i="19" s="1"/>
  <c r="B180" i="19"/>
  <c r="C180" i="19" s="1"/>
  <c r="B193" i="19"/>
  <c r="C193" i="19" s="1"/>
  <c r="B206" i="19"/>
  <c r="C206" i="19" s="1"/>
  <c r="B219" i="19"/>
  <c r="C219" i="19" s="1"/>
  <c r="B220" i="19"/>
  <c r="C220" i="19" s="1"/>
  <c r="B221" i="19"/>
  <c r="C221" i="19" s="1"/>
  <c r="B222" i="19"/>
  <c r="C222" i="19" s="1"/>
  <c r="B223" i="19"/>
  <c r="C223" i="19" s="1"/>
  <c r="B224" i="19"/>
  <c r="C224" i="19" s="1"/>
  <c r="B237" i="19"/>
  <c r="C237" i="19" s="1"/>
  <c r="B250" i="19"/>
  <c r="C250" i="19" s="1"/>
  <c r="B77" i="19"/>
  <c r="C77" i="19" s="1"/>
  <c r="B92" i="19"/>
  <c r="C92" i="19" s="1"/>
  <c r="B112" i="19"/>
  <c r="C112" i="19" s="1"/>
  <c r="B121" i="19"/>
  <c r="C121" i="19" s="1"/>
  <c r="B150" i="19"/>
  <c r="C150" i="19" s="1"/>
  <c r="B161" i="19"/>
  <c r="C161" i="19" s="1"/>
  <c r="B179" i="19"/>
  <c r="C179" i="19" s="1"/>
  <c r="B183" i="19"/>
  <c r="C183" i="19" s="1"/>
  <c r="B187" i="19"/>
  <c r="C187" i="19" s="1"/>
  <c r="B214" i="19"/>
  <c r="C214" i="19" s="1"/>
  <c r="B216" i="19"/>
  <c r="C216" i="19" s="1"/>
  <c r="B225" i="19"/>
  <c r="C225" i="19" s="1"/>
  <c r="B234" i="19"/>
  <c r="C234" i="19" s="1"/>
  <c r="B243" i="19"/>
  <c r="C243" i="19" s="1"/>
  <c r="B249" i="19"/>
  <c r="C249" i="19" s="1"/>
  <c r="B105" i="19"/>
  <c r="C105" i="19" s="1"/>
  <c r="B108" i="19"/>
  <c r="C108" i="19" s="1"/>
  <c r="B113" i="19"/>
  <c r="C113" i="19" s="1"/>
  <c r="B57" i="19"/>
  <c r="C57" i="19" s="1"/>
  <c r="B88" i="19"/>
  <c r="C88" i="19" s="1"/>
  <c r="B94" i="19"/>
  <c r="C94" i="19" s="1"/>
  <c r="B116" i="19"/>
  <c r="C116" i="19" s="1"/>
  <c r="B137" i="19"/>
  <c r="C137" i="19" s="1"/>
  <c r="B144" i="19"/>
  <c r="C144" i="19" s="1"/>
  <c r="B185" i="19"/>
  <c r="C185" i="19" s="1"/>
  <c r="B210" i="19"/>
  <c r="C210" i="19" s="1"/>
  <c r="B217" i="19"/>
  <c r="C217" i="19" s="1"/>
  <c r="B242" i="19"/>
  <c r="C242" i="19" s="1"/>
  <c r="B247" i="19"/>
  <c r="C247" i="19" s="1"/>
  <c r="B90" i="19"/>
  <c r="C90" i="19" s="1"/>
  <c r="B98" i="19"/>
  <c r="C98" i="19" s="1"/>
  <c r="B131" i="19"/>
  <c r="C131" i="19" s="1"/>
  <c r="B135" i="19"/>
  <c r="C135" i="19" s="1"/>
  <c r="B152" i="19"/>
  <c r="C152" i="19" s="1"/>
  <c r="B163" i="19"/>
  <c r="C163" i="19" s="1"/>
  <c r="B186" i="19"/>
  <c r="C186" i="19" s="1"/>
  <c r="B204" i="19"/>
  <c r="C204" i="19" s="1"/>
  <c r="B208" i="19"/>
  <c r="C208" i="19" s="1"/>
  <c r="B227" i="19"/>
  <c r="C227" i="19" s="1"/>
  <c r="B229" i="19"/>
  <c r="C229" i="19" s="1"/>
  <c r="B236" i="19"/>
  <c r="C236" i="19" s="1"/>
  <c r="B238" i="19"/>
  <c r="C238" i="19" s="1"/>
  <c r="B13" i="19"/>
  <c r="C13" i="19" s="1"/>
  <c r="B95" i="19"/>
  <c r="C95" i="19" s="1"/>
  <c r="B133" i="19"/>
  <c r="C133" i="19" s="1"/>
  <c r="B181" i="19"/>
  <c r="C181" i="19" s="1"/>
  <c r="B209" i="19"/>
  <c r="C209" i="19" s="1"/>
  <c r="B211" i="19"/>
  <c r="C211" i="19" s="1"/>
  <c r="B212" i="19"/>
  <c r="C212" i="19" s="1"/>
  <c r="B248" i="19"/>
  <c r="C248" i="19" s="1"/>
  <c r="B17" i="19"/>
  <c r="C17" i="19" s="1"/>
  <c r="B115" i="19"/>
  <c r="C115" i="19" s="1"/>
  <c r="B134" i="19"/>
  <c r="C134" i="19" s="1"/>
  <c r="B140" i="19"/>
  <c r="C140" i="19" s="1"/>
  <c r="B142" i="19"/>
  <c r="C142" i="19" s="1"/>
  <c r="B177" i="19"/>
  <c r="C177" i="19" s="1"/>
  <c r="B194" i="19"/>
  <c r="C194" i="19" s="1"/>
  <c r="B230" i="19"/>
  <c r="C230" i="19" s="1"/>
  <c r="B233" i="19"/>
  <c r="C233" i="19" s="1"/>
  <c r="B235" i="19"/>
  <c r="C235" i="19" s="1"/>
  <c r="B63" i="19"/>
  <c r="C63" i="19" s="1"/>
  <c r="B67" i="19"/>
  <c r="C67" i="19" s="1"/>
  <c r="B111" i="19"/>
  <c r="C111" i="19" s="1"/>
  <c r="B114" i="19"/>
  <c r="C114" i="19" s="1"/>
  <c r="B118" i="19"/>
  <c r="C118" i="19" s="1"/>
  <c r="B129" i="19"/>
  <c r="C129" i="19" s="1"/>
  <c r="B136" i="19"/>
  <c r="C136" i="19" s="1"/>
  <c r="B138" i="19"/>
  <c r="C138" i="19" s="1"/>
  <c r="B139" i="19"/>
  <c r="C139" i="19" s="1"/>
  <c r="B205" i="19"/>
  <c r="C205" i="19" s="1"/>
  <c r="B207" i="19"/>
  <c r="C207" i="19" s="1"/>
  <c r="B231" i="19"/>
  <c r="C231" i="19" s="1"/>
  <c r="B232" i="19"/>
  <c r="C232" i="19" s="1"/>
  <c r="B11" i="19"/>
  <c r="C11" i="19" s="1"/>
  <c r="B107" i="19"/>
  <c r="C107" i="19" s="1"/>
  <c r="B146" i="19"/>
  <c r="C146" i="19" s="1"/>
  <c r="B147" i="19"/>
  <c r="C147" i="19" s="1"/>
  <c r="B148" i="19"/>
  <c r="C148" i="19" s="1"/>
  <c r="B164" i="19"/>
  <c r="C164" i="19" s="1"/>
  <c r="B190" i="19"/>
  <c r="C190" i="19" s="1"/>
  <c r="B201" i="19"/>
  <c r="C201" i="19" s="1"/>
  <c r="B218" i="19"/>
  <c r="C218" i="19" s="1"/>
  <c r="B240" i="19"/>
  <c r="C240" i="19" s="1"/>
  <c r="B120" i="19"/>
  <c r="C120" i="19" s="1"/>
  <c r="B184" i="19"/>
  <c r="C184" i="19" s="1"/>
  <c r="B192" i="19"/>
  <c r="C192" i="19" s="1"/>
  <c r="B246" i="19"/>
  <c r="C246" i="19" s="1"/>
  <c r="B151" i="19"/>
  <c r="C151" i="19" s="1"/>
  <c r="B162" i="19"/>
  <c r="C162" i="19" s="1"/>
  <c r="B165" i="19"/>
  <c r="C165" i="19" s="1"/>
  <c r="B166" i="19"/>
  <c r="C166" i="19" s="1"/>
  <c r="B203" i="19"/>
  <c r="C203" i="19" s="1"/>
  <c r="B170" i="19"/>
  <c r="C170" i="19" s="1"/>
  <c r="B178" i="19"/>
  <c r="C178" i="19" s="1"/>
  <c r="B49" i="19"/>
  <c r="C49" i="19" s="1"/>
  <c r="B155" i="19"/>
  <c r="C155" i="19" s="1"/>
  <c r="B245" i="19"/>
  <c r="C245" i="19" s="1"/>
  <c r="B149" i="19"/>
  <c r="C149" i="19" s="1"/>
  <c r="B157" i="19"/>
  <c r="C157" i="19" s="1"/>
  <c r="B168" i="19"/>
  <c r="C168" i="19" s="1"/>
  <c r="B191" i="19"/>
  <c r="C191" i="19" s="1"/>
  <c r="B160" i="19"/>
  <c r="C160" i="19" s="1"/>
  <c r="B244" i="19"/>
  <c r="C244" i="19" s="1"/>
  <c r="B188" i="19"/>
  <c r="C188" i="19" s="1"/>
  <c r="B59" i="19"/>
  <c r="C59" i="19" s="1"/>
  <c r="B153" i="19"/>
  <c r="C153" i="19" s="1"/>
  <c r="B91" i="19"/>
  <c r="C91" i="19" s="1"/>
  <c r="B159" i="19"/>
  <c r="C159" i="19" s="1"/>
  <c r="F25" i="22"/>
  <c r="F35" i="22"/>
  <c r="F38" i="22" s="1"/>
  <c r="L25" i="22"/>
  <c r="L35" i="22"/>
  <c r="L38" i="22" s="1"/>
  <c r="D27" i="23"/>
  <c r="AG118" i="1"/>
  <c r="AG121" i="19"/>
  <c r="C27" i="22"/>
  <c r="V99" i="23"/>
  <c r="U99" i="23"/>
  <c r="R73" i="37"/>
  <c r="J65" i="23"/>
  <c r="K65" i="23"/>
  <c r="R65" i="23"/>
  <c r="Q65" i="23"/>
  <c r="Q81" i="23" s="1"/>
  <c r="AD83" i="1"/>
  <c r="AD86" i="19"/>
  <c r="AC201" i="1"/>
  <c r="AC204" i="19"/>
  <c r="AE227" i="1"/>
  <c r="AE230" i="19"/>
  <c r="AJ131" i="19"/>
  <c r="Y13" i="21"/>
  <c r="A14" i="21"/>
  <c r="X13" i="21"/>
  <c r="AG131" i="1"/>
  <c r="AG134" i="19"/>
  <c r="J42" i="6"/>
  <c r="I14" i="4"/>
  <c r="T74" i="23"/>
  <c r="V74" i="23"/>
  <c r="K66" i="23"/>
  <c r="S71" i="23"/>
  <c r="Q62" i="23"/>
  <c r="W262" i="12"/>
  <c r="Q100" i="23"/>
  <c r="V100" i="23"/>
  <c r="S100" i="23"/>
  <c r="O32" i="37"/>
  <c r="N96" i="37"/>
  <c r="I110" i="37"/>
  <c r="L110" i="37"/>
  <c r="M110" i="37" s="1"/>
  <c r="N110" i="37" s="1"/>
  <c r="O110" i="37" s="1"/>
  <c r="P110" i="37" s="1"/>
  <c r="Q110" i="37" s="1"/>
  <c r="R110" i="37" s="1"/>
  <c r="S110" i="37" s="1"/>
  <c r="T110" i="37" s="1"/>
  <c r="U110" i="37" s="1"/>
  <c r="V110" i="37" s="1"/>
  <c r="W110" i="37" s="1"/>
  <c r="X110" i="37" s="1"/>
  <c r="Y110" i="37" s="1"/>
  <c r="Z110" i="37" s="1"/>
  <c r="AA110" i="37" s="1"/>
  <c r="AB110" i="37" s="1"/>
  <c r="AC110" i="37" s="1"/>
  <c r="AD110" i="37" s="1"/>
  <c r="AE110" i="37" s="1"/>
  <c r="AF110" i="37" s="1"/>
  <c r="AG110" i="37" s="1"/>
  <c r="AH110" i="37" s="1"/>
  <c r="AI110" i="37" s="1"/>
  <c r="AJ110" i="37" s="1"/>
  <c r="AK110" i="37" s="1"/>
  <c r="AL110" i="37" s="1"/>
  <c r="AM110" i="37" s="1"/>
  <c r="AN110" i="37" s="1"/>
  <c r="AE179" i="1"/>
  <c r="AE182" i="19"/>
  <c r="J42" i="37"/>
  <c r="E86" i="37"/>
  <c r="D43" i="6"/>
  <c r="E10" i="6"/>
  <c r="I37" i="7"/>
  <c r="C23" i="23"/>
  <c r="X10" i="21"/>
  <c r="X11" i="21"/>
  <c r="I108" i="37"/>
  <c r="L108" i="37"/>
  <c r="L121" i="37" s="1"/>
  <c r="K118" i="37"/>
  <c r="U25" i="22"/>
  <c r="U35" i="22"/>
  <c r="U38" i="22" s="1"/>
  <c r="M67" i="23"/>
  <c r="N67" i="23"/>
  <c r="L65" i="23"/>
  <c r="I62" i="23"/>
  <c r="S68" i="23"/>
  <c r="T99" i="23"/>
  <c r="T110" i="23" s="1"/>
  <c r="T72" i="23"/>
  <c r="W273" i="12"/>
  <c r="U104" i="23"/>
  <c r="S104" i="23"/>
  <c r="E92" i="23"/>
  <c r="P92" i="23"/>
  <c r="P110" i="23" s="1"/>
  <c r="Q92" i="23"/>
  <c r="N19" i="37"/>
  <c r="I112" i="37"/>
  <c r="L112" i="37"/>
  <c r="M112" i="37" s="1"/>
  <c r="Z10" i="2"/>
  <c r="Z11" i="2"/>
  <c r="AC225" i="1"/>
  <c r="AC228" i="19"/>
  <c r="AE166" i="1"/>
  <c r="AE169" i="19"/>
  <c r="AJ143" i="19"/>
  <c r="O126" i="37"/>
  <c r="G11" i="23" s="1"/>
  <c r="AD216" i="1"/>
  <c r="AD219" i="19"/>
  <c r="AJ46" i="1"/>
  <c r="E46" i="1" s="1"/>
  <c r="E48" i="19"/>
  <c r="AJ49" i="19"/>
  <c r="I36" i="7"/>
  <c r="R3" i="37"/>
  <c r="Q106" i="37"/>
  <c r="C18" i="23"/>
  <c r="I61" i="23"/>
  <c r="I81" i="23" s="1"/>
  <c r="J61" i="23"/>
  <c r="E61" i="23"/>
  <c r="M99" i="23"/>
  <c r="R92" i="23"/>
  <c r="R110" i="23" s="1"/>
  <c r="R104" i="23"/>
  <c r="N65" i="23"/>
  <c r="T61" i="23"/>
  <c r="N101" i="23"/>
  <c r="R74" i="23"/>
  <c r="L99" i="23"/>
  <c r="S90" i="23"/>
  <c r="W269" i="12"/>
  <c r="T69" i="23"/>
  <c r="N99" i="23"/>
  <c r="W266" i="12"/>
  <c r="O99" i="23"/>
  <c r="L125" i="37"/>
  <c r="D10" i="23" s="1"/>
  <c r="M279" i="12"/>
  <c r="AG69" i="1"/>
  <c r="AG72" i="19"/>
  <c r="S103" i="23"/>
  <c r="T103" i="23"/>
  <c r="N8" i="37"/>
  <c r="AP9" i="1"/>
  <c r="AE96" i="1"/>
  <c r="AE99" i="19"/>
  <c r="AC129" i="1"/>
  <c r="AC132" i="19"/>
  <c r="Q36" i="37"/>
  <c r="P98" i="37"/>
  <c r="AQ111" i="37"/>
  <c r="F21" i="1"/>
  <c r="AK57" i="1"/>
  <c r="F57" i="1" s="1"/>
  <c r="AK60" i="19"/>
  <c r="F59" i="19"/>
  <c r="AE142" i="1"/>
  <c r="AE145" i="19"/>
  <c r="AJ9" i="1"/>
  <c r="E9" i="1" s="1"/>
  <c r="AJ12" i="19"/>
  <c r="E11" i="19"/>
  <c r="AK95" i="1"/>
  <c r="F95" i="1" s="1"/>
  <c r="F97" i="19"/>
  <c r="AK98" i="19"/>
  <c r="Q58" i="37"/>
  <c r="AG156" i="1"/>
  <c r="AG159" i="19"/>
  <c r="AD191" i="1"/>
  <c r="AD194" i="19"/>
  <c r="F94" i="1"/>
  <c r="AC118" i="1"/>
  <c r="AC121" i="19"/>
  <c r="X10" i="37"/>
  <c r="AK165" i="1"/>
  <c r="F165" i="1" s="1"/>
  <c r="F167" i="19"/>
  <c r="AK168" i="19"/>
  <c r="E45" i="1"/>
  <c r="O103" i="11"/>
  <c r="O108" i="11" s="1"/>
  <c r="O18" i="4" s="1"/>
  <c r="O21" i="4" s="1"/>
  <c r="O37" i="4" s="1"/>
  <c r="O7" i="37"/>
  <c r="AE238" i="1"/>
  <c r="AE241" i="19"/>
  <c r="C22" i="23"/>
  <c r="P75" i="11"/>
  <c r="J75" i="11"/>
  <c r="R103" i="11"/>
  <c r="C24" i="23"/>
  <c r="C35" i="23"/>
  <c r="C19" i="23"/>
  <c r="I27" i="7"/>
  <c r="E23" i="19"/>
  <c r="I25" i="22"/>
  <c r="I35" i="22"/>
  <c r="I38" i="22" s="1"/>
  <c r="D81" i="23"/>
  <c r="D114" i="23" s="1"/>
  <c r="D39" i="4" s="1"/>
  <c r="V81" i="23"/>
  <c r="L279" i="12"/>
  <c r="F279" i="12"/>
  <c r="P60" i="37"/>
  <c r="Q60" i="37" s="1"/>
  <c r="R60" i="37" s="1"/>
  <c r="S60" i="37" s="1"/>
  <c r="T60" i="37" s="1"/>
  <c r="U60" i="37" s="1"/>
  <c r="V60" i="37" s="1"/>
  <c r="W60" i="37" s="1"/>
  <c r="X60" i="37" s="1"/>
  <c r="Y60" i="37" s="1"/>
  <c r="Z60" i="37" s="1"/>
  <c r="AA60" i="37" s="1"/>
  <c r="AB60" i="37" s="1"/>
  <c r="AC60" i="37" s="1"/>
  <c r="AD60" i="37" s="1"/>
  <c r="AE60" i="37" s="1"/>
  <c r="AF60" i="37" s="1"/>
  <c r="AG60" i="37" s="1"/>
  <c r="T66" i="23"/>
  <c r="U66" i="23"/>
  <c r="P66" i="23"/>
  <c r="M66" i="23"/>
  <c r="U73" i="23"/>
  <c r="V73" i="23"/>
  <c r="O73" i="23"/>
  <c r="W245" i="12"/>
  <c r="C279" i="12"/>
  <c r="R66" i="23"/>
  <c r="L66" i="23"/>
  <c r="J62" i="23"/>
  <c r="R62" i="23"/>
  <c r="E62" i="23"/>
  <c r="L62" i="23"/>
  <c r="O62" i="23"/>
  <c r="D62" i="23"/>
  <c r="Q71" i="23"/>
  <c r="T71" i="23"/>
  <c r="N71" i="23"/>
  <c r="N81" i="23" s="1"/>
  <c r="N130" i="37"/>
  <c r="E42" i="23"/>
  <c r="E112" i="23" s="1"/>
  <c r="I102" i="37"/>
  <c r="I121" i="37"/>
  <c r="AD167" i="1"/>
  <c r="AD170" i="19"/>
  <c r="AC213" i="1"/>
  <c r="AC216" i="19"/>
  <c r="AK105" i="1"/>
  <c r="F105" i="1" s="1"/>
  <c r="AK108" i="19"/>
  <c r="F107" i="19"/>
  <c r="AB71" i="37"/>
  <c r="AA94" i="37"/>
  <c r="AA123" i="37" s="1"/>
  <c r="AJ84" i="19"/>
  <c r="E83" i="19"/>
  <c r="AJ81" i="1"/>
  <c r="E81" i="1" s="1"/>
  <c r="AJ34" i="1"/>
  <c r="E34" i="1" s="1"/>
  <c r="E36" i="19"/>
  <c r="AJ37" i="19"/>
  <c r="AE155" i="1"/>
  <c r="AE158" i="19"/>
  <c r="AK70" i="1"/>
  <c r="F70" i="1" s="1"/>
  <c r="F72" i="19"/>
  <c r="AK73" i="19"/>
  <c r="AC190" i="1"/>
  <c r="AC193" i="19"/>
  <c r="AG143" i="1"/>
  <c r="AG146" i="19"/>
  <c r="AE106" i="1"/>
  <c r="AE109" i="19"/>
  <c r="C11" i="7"/>
  <c r="I11" i="7" s="1"/>
  <c r="C13" i="7"/>
  <c r="C51" i="7"/>
  <c r="AG46" i="1"/>
  <c r="AG49" i="19"/>
  <c r="C25" i="23"/>
  <c r="M25" i="22"/>
  <c r="M35" i="22"/>
  <c r="M38" i="22" s="1"/>
  <c r="R68" i="23"/>
  <c r="M68" i="23"/>
  <c r="U68" i="23"/>
  <c r="O68" i="23"/>
  <c r="K279" i="12"/>
  <c r="S73" i="23"/>
  <c r="I65" i="23"/>
  <c r="S65" i="23"/>
  <c r="S81" i="23" s="1"/>
  <c r="Q74" i="23"/>
  <c r="O65" i="23"/>
  <c r="O81" i="23" s="1"/>
  <c r="Q110" i="23"/>
  <c r="O66" i="23"/>
  <c r="H66" i="23"/>
  <c r="J66" i="23"/>
  <c r="O23" i="37"/>
  <c r="P23" i="37"/>
  <c r="M99" i="37"/>
  <c r="N38" i="37"/>
  <c r="AC105" i="1"/>
  <c r="AC108" i="19"/>
  <c r="R34" i="37"/>
  <c r="Q97" i="37"/>
  <c r="AJ69" i="1"/>
  <c r="E69" i="1" s="1"/>
  <c r="E71" i="19"/>
  <c r="AJ72" i="19"/>
  <c r="AE82" i="1"/>
  <c r="AE85" i="19"/>
  <c r="AD130" i="1"/>
  <c r="AD133" i="19"/>
  <c r="AK142" i="1"/>
  <c r="AK145" i="19"/>
  <c r="Q40" i="37"/>
  <c r="P100" i="37"/>
  <c r="I32" i="7"/>
  <c r="G75" i="11"/>
  <c r="G108" i="11" s="1"/>
  <c r="G18" i="4" s="1"/>
  <c r="G21" i="4" s="1"/>
  <c r="G37" i="4" s="1"/>
  <c r="P103" i="11"/>
  <c r="A1" i="2"/>
  <c r="A1" i="3"/>
  <c r="G15" i="1"/>
  <c r="G18" i="1"/>
  <c r="G26" i="1"/>
  <c r="G34" i="1"/>
  <c r="G42" i="1"/>
  <c r="G50" i="1"/>
  <c r="G58" i="1"/>
  <c r="G66" i="1"/>
  <c r="G19" i="1"/>
  <c r="G27" i="1"/>
  <c r="G20" i="1"/>
  <c r="G28" i="1"/>
  <c r="G9" i="1"/>
  <c r="G12" i="1"/>
  <c r="G23" i="1"/>
  <c r="G31" i="1"/>
  <c r="G39" i="1"/>
  <c r="G46" i="1"/>
  <c r="G53" i="1"/>
  <c r="G54" i="1"/>
  <c r="G61" i="1"/>
  <c r="G62" i="1"/>
  <c r="G69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11" i="1"/>
  <c r="G16" i="1"/>
  <c r="G24" i="1"/>
  <c r="G37" i="1"/>
  <c r="G38" i="1"/>
  <c r="G45" i="1"/>
  <c r="G52" i="1"/>
  <c r="G60" i="1"/>
  <c r="G68" i="1"/>
  <c r="G14" i="1"/>
  <c r="G49" i="1"/>
  <c r="G57" i="1"/>
  <c r="G65" i="1"/>
  <c r="G72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2" i="1"/>
  <c r="G30" i="1"/>
  <c r="G32" i="1"/>
  <c r="G41" i="1"/>
  <c r="G48" i="1"/>
  <c r="G56" i="1"/>
  <c r="G64" i="1"/>
  <c r="G71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10" i="1"/>
  <c r="G36" i="1"/>
  <c r="G43" i="1"/>
  <c r="G44" i="1"/>
  <c r="G74" i="1"/>
  <c r="G80" i="1"/>
  <c r="G86" i="1"/>
  <c r="G91" i="1"/>
  <c r="G106" i="1"/>
  <c r="G112" i="1"/>
  <c r="G123" i="1"/>
  <c r="G144" i="1"/>
  <c r="G161" i="1"/>
  <c r="G170" i="1"/>
  <c r="G176" i="1"/>
  <c r="G182" i="1"/>
  <c r="G187" i="1"/>
  <c r="G202" i="1"/>
  <c r="G208" i="1"/>
  <c r="G225" i="1"/>
  <c r="G233" i="1"/>
  <c r="G243" i="1"/>
  <c r="G17" i="1"/>
  <c r="G25" i="1"/>
  <c r="G90" i="1"/>
  <c r="G102" i="1"/>
  <c r="G105" i="1"/>
  <c r="G131" i="1"/>
  <c r="G166" i="1"/>
  <c r="G169" i="1"/>
  <c r="G186" i="1"/>
  <c r="G198" i="1"/>
  <c r="G201" i="1"/>
  <c r="G226" i="1"/>
  <c r="G234" i="1"/>
  <c r="G246" i="1"/>
  <c r="G51" i="1"/>
  <c r="G73" i="1"/>
  <c r="G82" i="1"/>
  <c r="G88" i="1"/>
  <c r="G99" i="1"/>
  <c r="G120" i="1"/>
  <c r="G137" i="1"/>
  <c r="G146" i="1"/>
  <c r="G152" i="1"/>
  <c r="G158" i="1"/>
  <c r="G163" i="1"/>
  <c r="G178" i="1"/>
  <c r="G184" i="1"/>
  <c r="G195" i="1"/>
  <c r="G216" i="1"/>
  <c r="G223" i="1"/>
  <c r="G241" i="1"/>
  <c r="G40" i="1"/>
  <c r="G121" i="1"/>
  <c r="G122" i="1"/>
  <c r="G129" i="1"/>
  <c r="G138" i="1"/>
  <c r="G139" i="1"/>
  <c r="G179" i="1"/>
  <c r="G209" i="1"/>
  <c r="G214" i="1"/>
  <c r="G235" i="1"/>
  <c r="G239" i="1"/>
  <c r="G242" i="1"/>
  <c r="G115" i="1"/>
  <c r="G136" i="1"/>
  <c r="G150" i="1"/>
  <c r="G185" i="1"/>
  <c r="G192" i="1"/>
  <c r="G200" i="1"/>
  <c r="G206" i="1"/>
  <c r="G83" i="1"/>
  <c r="G113" i="1"/>
  <c r="G118" i="1"/>
  <c r="G126" i="1"/>
  <c r="G168" i="1"/>
  <c r="G13" i="1"/>
  <c r="G70" i="1"/>
  <c r="G89" i="1"/>
  <c r="G96" i="1"/>
  <c r="G104" i="1"/>
  <c r="G110" i="1"/>
  <c r="G153" i="1"/>
  <c r="G154" i="1"/>
  <c r="G162" i="1"/>
  <c r="G211" i="1"/>
  <c r="G217" i="1"/>
  <c r="G222" i="1"/>
  <c r="G230" i="1"/>
  <c r="G21" i="1"/>
  <c r="G33" i="1"/>
  <c r="G59" i="1"/>
  <c r="G142" i="1"/>
  <c r="G155" i="1"/>
  <c r="G194" i="1"/>
  <c r="G75" i="1"/>
  <c r="G114" i="1"/>
  <c r="G134" i="1"/>
  <c r="G29" i="1"/>
  <c r="G78" i="1"/>
  <c r="G128" i="1"/>
  <c r="G193" i="1"/>
  <c r="G238" i="1"/>
  <c r="G240" i="1"/>
  <c r="G94" i="1"/>
  <c r="G231" i="1"/>
  <c r="G67" i="1"/>
  <c r="G232" i="1"/>
  <c r="G97" i="1"/>
  <c r="G145" i="1"/>
  <c r="G210" i="1"/>
  <c r="G219" i="1"/>
  <c r="G98" i="1"/>
  <c r="G177" i="1"/>
  <c r="G190" i="1"/>
  <c r="G248" i="1"/>
  <c r="G55" i="1"/>
  <c r="G174" i="1"/>
  <c r="G218" i="1"/>
  <c r="G81" i="1"/>
  <c r="G130" i="1"/>
  <c r="G147" i="1"/>
  <c r="G227" i="1"/>
  <c r="G203" i="1"/>
  <c r="G224" i="1"/>
  <c r="G107" i="1"/>
  <c r="G160" i="1"/>
  <c r="G171" i="1"/>
  <c r="G63" i="1"/>
  <c r="G247" i="1"/>
  <c r="G47" i="1"/>
  <c r="G35" i="1"/>
  <c r="A1" i="20"/>
  <c r="AA13" i="2"/>
  <c r="Z13" i="2"/>
  <c r="A14" i="2"/>
  <c r="M69" i="23"/>
  <c r="N69" i="23"/>
  <c r="W252" i="12"/>
  <c r="S279" i="12"/>
  <c r="N100" i="23"/>
  <c r="N72" i="23"/>
  <c r="R101" i="23"/>
  <c r="P73" i="23"/>
  <c r="G65" i="23"/>
  <c r="G81" i="23" s="1"/>
  <c r="U72" i="23"/>
  <c r="P74" i="23"/>
  <c r="M98" i="23"/>
  <c r="I90" i="23"/>
  <c r="V65" i="23"/>
  <c r="V101" i="23"/>
  <c r="C114" i="23"/>
  <c r="K67" i="23"/>
  <c r="T67" i="23"/>
  <c r="U67" i="23"/>
  <c r="U81" i="23" s="1"/>
  <c r="K96" i="23"/>
  <c r="R96" i="23"/>
  <c r="S96" i="23"/>
  <c r="L96" i="23"/>
  <c r="M124" i="37"/>
  <c r="P126" i="37"/>
  <c r="H11" i="23" s="1"/>
  <c r="I116" i="37"/>
  <c r="L116" i="37"/>
  <c r="M116" i="37" s="1"/>
  <c r="AK118" i="1"/>
  <c r="AK121" i="19"/>
  <c r="F120" i="19"/>
  <c r="AK129" i="1"/>
  <c r="F129" i="1" s="1"/>
  <c r="AK132" i="19"/>
  <c r="AE48" i="1"/>
  <c r="AE51" i="19"/>
  <c r="AG203" i="1"/>
  <c r="AG206" i="19"/>
  <c r="E33" i="1"/>
  <c r="J92" i="37"/>
  <c r="E102" i="37"/>
  <c r="J102" i="37" s="1"/>
  <c r="M103" i="11"/>
  <c r="M108" i="11" s="1"/>
  <c r="M18" i="4" s="1"/>
  <c r="M21" i="4" s="1"/>
  <c r="M37" i="4" s="1"/>
  <c r="G35" i="22"/>
  <c r="G38" i="22" s="1"/>
  <c r="G25" i="22"/>
  <c r="W265" i="12"/>
  <c r="W248" i="12"/>
  <c r="H92" i="23"/>
  <c r="M100" i="23"/>
  <c r="V71" i="23"/>
  <c r="U100" i="23"/>
  <c r="P71" i="23"/>
  <c r="T100" i="23"/>
  <c r="S72" i="23"/>
  <c r="O35" i="22"/>
  <c r="O38" i="22" s="1"/>
  <c r="O25" i="22"/>
  <c r="W261" i="12"/>
  <c r="S69" i="23"/>
  <c r="U62" i="23"/>
  <c r="V98" i="23"/>
  <c r="G92" i="23"/>
  <c r="S99" i="23"/>
  <c r="O92" i="23"/>
  <c r="P99" i="23"/>
  <c r="M92" i="23"/>
  <c r="O71" i="23"/>
  <c r="V96" i="23"/>
  <c r="T92" i="23"/>
  <c r="P69" i="23"/>
  <c r="L61" i="23"/>
  <c r="O100" i="23"/>
  <c r="Q73" i="23"/>
  <c r="P67" i="23"/>
  <c r="O98" i="23"/>
  <c r="K90" i="23"/>
  <c r="M71" i="23"/>
  <c r="I66" i="23"/>
  <c r="K62" i="23"/>
  <c r="K81" i="23" s="1"/>
  <c r="O72" i="23"/>
  <c r="T101" i="23"/>
  <c r="P72" i="23"/>
  <c r="U101" i="23"/>
  <c r="U279" i="12"/>
  <c r="AE10" i="1"/>
  <c r="AE13" i="19"/>
  <c r="AG81" i="1"/>
  <c r="AG84" i="19"/>
  <c r="F93" i="23"/>
  <c r="F110" i="23" s="1"/>
  <c r="G93" i="23"/>
  <c r="L93" i="23"/>
  <c r="N93" i="23"/>
  <c r="O94" i="23"/>
  <c r="H94" i="23"/>
  <c r="P94" i="23"/>
  <c r="R95" i="23"/>
  <c r="U95" i="23"/>
  <c r="I94" i="23"/>
  <c r="H95" i="23"/>
  <c r="V94" i="23"/>
  <c r="V110" i="23" s="1"/>
  <c r="L102" i="37"/>
  <c r="V76" i="23"/>
  <c r="U76" i="23"/>
  <c r="V70" i="23"/>
  <c r="P70" i="23"/>
  <c r="Q70" i="23"/>
  <c r="AA10" i="2"/>
  <c r="AA11" i="2"/>
  <c r="AD72" i="1"/>
  <c r="AD75" i="19"/>
  <c r="AD154" i="1"/>
  <c r="AD157" i="19"/>
  <c r="AC153" i="1"/>
  <c r="AC156" i="19"/>
  <c r="AC57" i="1"/>
  <c r="AC60" i="19"/>
  <c r="K86" i="37"/>
  <c r="J83" i="37"/>
  <c r="L127" i="37"/>
  <c r="D16" i="23" s="1"/>
  <c r="M114" i="37"/>
  <c r="AK23" i="1"/>
  <c r="F23" i="1" s="1"/>
  <c r="F25" i="19"/>
  <c r="AK26" i="19"/>
  <c r="AD119" i="1"/>
  <c r="AD122" i="19"/>
  <c r="AC177" i="1"/>
  <c r="AC180" i="19"/>
  <c r="AK33" i="1"/>
  <c r="F33" i="1" s="1"/>
  <c r="F35" i="19"/>
  <c r="AK36" i="19"/>
  <c r="AE60" i="1"/>
  <c r="AE63" i="19"/>
  <c r="AQ65" i="37"/>
  <c r="Q9" i="37"/>
  <c r="R9" i="37" s="1"/>
  <c r="I122" i="37"/>
  <c r="AQ109" i="37"/>
  <c r="AJ105" i="1"/>
  <c r="E105" i="1" s="1"/>
  <c r="AJ108" i="19"/>
  <c r="E107" i="19"/>
  <c r="F144" i="19"/>
  <c r="Z75" i="37"/>
  <c r="U108" i="11"/>
  <c r="U18" i="4" s="1"/>
  <c r="U21" i="4" s="1"/>
  <c r="U37" i="4" s="1"/>
  <c r="AE214" i="1"/>
  <c r="AE217" i="19"/>
  <c r="R198" i="12"/>
  <c r="AK179" i="19"/>
  <c r="AD239" i="1"/>
  <c r="AD242" i="19"/>
  <c r="Z22" i="37"/>
  <c r="AQ22" i="37" s="1"/>
  <c r="AH60" i="37"/>
  <c r="C26" i="23"/>
  <c r="I17" i="7"/>
  <c r="J108" i="11"/>
  <c r="J18" i="4" s="1"/>
  <c r="J21" i="4" s="1"/>
  <c r="J37" i="4" s="1"/>
  <c r="C28" i="23"/>
  <c r="C12" i="7"/>
  <c r="C33" i="23"/>
  <c r="C17" i="23"/>
  <c r="AB9" i="1"/>
  <c r="D9" i="1" s="1"/>
  <c r="D11" i="19"/>
  <c r="AB12" i="19"/>
  <c r="I31" i="7"/>
  <c r="AJ22" i="1"/>
  <c r="E22" i="1" s="1"/>
  <c r="AJ25" i="19"/>
  <c r="E24" i="19"/>
  <c r="Q11" i="37" l="1"/>
  <c r="D22" i="23"/>
  <c r="D32" i="23"/>
  <c r="D21" i="23"/>
  <c r="D26" i="23"/>
  <c r="D35" i="23"/>
  <c r="D34" i="23"/>
  <c r="D23" i="23"/>
  <c r="D24" i="23"/>
  <c r="D33" i="23"/>
  <c r="D25" i="23"/>
  <c r="AB75" i="37"/>
  <c r="B10" i="21"/>
  <c r="J10" i="21"/>
  <c r="J10" i="20" s="1"/>
  <c r="A1" i="21"/>
  <c r="G11" i="19"/>
  <c r="H10" i="21" s="1"/>
  <c r="H10" i="20" s="1"/>
  <c r="T10" i="21"/>
  <c r="T10" i="20" s="1"/>
  <c r="D10" i="21"/>
  <c r="D10" i="20" s="1"/>
  <c r="N10" i="21"/>
  <c r="L10" i="20"/>
  <c r="F10" i="21"/>
  <c r="F10" i="20" s="1"/>
  <c r="Q10" i="21"/>
  <c r="Q10" i="20" s="1"/>
  <c r="N10" i="20"/>
  <c r="E10" i="21"/>
  <c r="G10" i="21"/>
  <c r="S10" i="20"/>
  <c r="K10" i="21"/>
  <c r="K10" i="20" s="1"/>
  <c r="M10" i="21"/>
  <c r="B10" i="20"/>
  <c r="M10" i="20"/>
  <c r="G10" i="20"/>
  <c r="C10" i="21"/>
  <c r="C10" i="20" s="1"/>
  <c r="E10" i="20"/>
  <c r="L10" i="21"/>
  <c r="S10" i="21"/>
  <c r="U10" i="21"/>
  <c r="U10" i="20" s="1"/>
  <c r="O10" i="21"/>
  <c r="O10" i="20" s="1"/>
  <c r="Q126" i="37"/>
  <c r="I11" i="23" s="1"/>
  <c r="AG47" i="1"/>
  <c r="AG50" i="19"/>
  <c r="O8" i="37"/>
  <c r="Y14" i="21"/>
  <c r="A15" i="21"/>
  <c r="X14" i="21"/>
  <c r="AD179" i="1"/>
  <c r="AD182" i="19"/>
  <c r="AG239" i="1"/>
  <c r="AG242" i="19"/>
  <c r="M110" i="23"/>
  <c r="AC35" i="1"/>
  <c r="AC38" i="19"/>
  <c r="AK10" i="1"/>
  <c r="F10" i="1" s="1"/>
  <c r="AK13" i="19"/>
  <c r="F12" i="19"/>
  <c r="AD59" i="1"/>
  <c r="AD62" i="19"/>
  <c r="AC10" i="1"/>
  <c r="AC13" i="19"/>
  <c r="AD123" i="19"/>
  <c r="AD120" i="1"/>
  <c r="AE83" i="1"/>
  <c r="AE86" i="19"/>
  <c r="N99" i="37"/>
  <c r="N128" i="37" s="1"/>
  <c r="F27" i="23" s="1"/>
  <c r="O38" i="37"/>
  <c r="E84" i="19"/>
  <c r="AJ85" i="19"/>
  <c r="AJ82" i="1"/>
  <c r="E82" i="1" s="1"/>
  <c r="Y10" i="37"/>
  <c r="C30" i="22"/>
  <c r="C47" i="22" s="1"/>
  <c r="AE215" i="1"/>
  <c r="AE218" i="19"/>
  <c r="S29" i="23"/>
  <c r="S28" i="23"/>
  <c r="S30" i="23"/>
  <c r="AE239" i="1"/>
  <c r="AE242" i="19"/>
  <c r="AC119" i="1"/>
  <c r="AC122" i="19"/>
  <c r="S73" i="37"/>
  <c r="AE71" i="1"/>
  <c r="AE74" i="19"/>
  <c r="R81" i="23"/>
  <c r="AJ60" i="1"/>
  <c r="AJ63" i="19"/>
  <c r="E62" i="19"/>
  <c r="AG97" i="1"/>
  <c r="AG100" i="19"/>
  <c r="AC70" i="1"/>
  <c r="AC73" i="19"/>
  <c r="AD240" i="1"/>
  <c r="AD243" i="19"/>
  <c r="AJ106" i="1"/>
  <c r="E106" i="1" s="1"/>
  <c r="AJ109" i="19"/>
  <c r="E108" i="19"/>
  <c r="N114" i="37"/>
  <c r="M127" i="37"/>
  <c r="AC154" i="1"/>
  <c r="AC157" i="19"/>
  <c r="AE11" i="1"/>
  <c r="AE14" i="19"/>
  <c r="AE49" i="1"/>
  <c r="AE52" i="19"/>
  <c r="I129" i="37"/>
  <c r="AK71" i="1"/>
  <c r="F71" i="1" s="1"/>
  <c r="AK74" i="19"/>
  <c r="F73" i="19"/>
  <c r="C28" i="22"/>
  <c r="P7" i="37"/>
  <c r="O13" i="37"/>
  <c r="AQ18" i="37"/>
  <c r="E81" i="23"/>
  <c r="AJ47" i="1"/>
  <c r="E47" i="1" s="1"/>
  <c r="AJ50" i="19"/>
  <c r="E49" i="19"/>
  <c r="J86" i="37"/>
  <c r="AE132" i="1"/>
  <c r="AE135" i="19"/>
  <c r="AC167" i="1"/>
  <c r="AC170" i="19"/>
  <c r="AD97" i="37"/>
  <c r="AD126" i="37" s="1"/>
  <c r="V11" i="23" s="1"/>
  <c r="AE77" i="37"/>
  <c r="N124" i="37"/>
  <c r="H81" i="23"/>
  <c r="AC239" i="1"/>
  <c r="AC242" i="19"/>
  <c r="AG59" i="1"/>
  <c r="AG62" i="19"/>
  <c r="AE191" i="1"/>
  <c r="AE194" i="19"/>
  <c r="O16" i="37"/>
  <c r="N25" i="37"/>
  <c r="O110" i="23"/>
  <c r="L123" i="37"/>
  <c r="AA75" i="37"/>
  <c r="AA96" i="37" s="1"/>
  <c r="AJ94" i="1"/>
  <c r="E94" i="1" s="1"/>
  <c r="E96" i="19"/>
  <c r="AJ97" i="19"/>
  <c r="AB10" i="1"/>
  <c r="D10" i="1" s="1"/>
  <c r="AB13" i="19"/>
  <c r="D12" i="19"/>
  <c r="AC178" i="1"/>
  <c r="AC181" i="19"/>
  <c r="K110" i="23"/>
  <c r="I110" i="23"/>
  <c r="AD131" i="1"/>
  <c r="AD134" i="19"/>
  <c r="AC214" i="1"/>
  <c r="AC217" i="19"/>
  <c r="W279" i="12"/>
  <c r="N13" i="37"/>
  <c r="AG157" i="1"/>
  <c r="AG160" i="19"/>
  <c r="AK58" i="1"/>
  <c r="F58" i="1" s="1"/>
  <c r="AK61" i="19"/>
  <c r="F60" i="19"/>
  <c r="AC130" i="1"/>
  <c r="AC133" i="19"/>
  <c r="J81" i="23"/>
  <c r="AJ141" i="1"/>
  <c r="E141" i="1" s="1"/>
  <c r="AJ144" i="19"/>
  <c r="E143" i="19"/>
  <c r="O96" i="37"/>
  <c r="O125" i="37" s="1"/>
  <c r="G10" i="23" s="1"/>
  <c r="P32" i="37"/>
  <c r="AC202" i="1"/>
  <c r="AC205" i="19"/>
  <c r="AQ20" i="37"/>
  <c r="AC22" i="1"/>
  <c r="AC25" i="19"/>
  <c r="AD50" i="1"/>
  <c r="AD53" i="19"/>
  <c r="N69" i="37"/>
  <c r="N83" i="37" s="1"/>
  <c r="O64" i="37"/>
  <c r="O67" i="37"/>
  <c r="H110" i="23"/>
  <c r="AE119" i="1"/>
  <c r="AE122" i="19"/>
  <c r="AE203" i="1"/>
  <c r="AE206" i="19"/>
  <c r="AK177" i="1"/>
  <c r="F177" i="1" s="1"/>
  <c r="F179" i="19"/>
  <c r="AK180" i="19"/>
  <c r="AE61" i="1"/>
  <c r="AE64" i="19"/>
  <c r="AK130" i="1"/>
  <c r="F130" i="1" s="1"/>
  <c r="AK133" i="19"/>
  <c r="F132" i="19"/>
  <c r="F42" i="23"/>
  <c r="F112" i="23" s="1"/>
  <c r="F114" i="23" s="1"/>
  <c r="F39" i="4" s="1"/>
  <c r="O130" i="37"/>
  <c r="AE180" i="1"/>
  <c r="AE183" i="19"/>
  <c r="AG144" i="1"/>
  <c r="AG147" i="19"/>
  <c r="AJ10" i="1"/>
  <c r="E10" i="1" s="1"/>
  <c r="AJ13" i="19"/>
  <c r="E12" i="19"/>
  <c r="AD84" i="1"/>
  <c r="AD87" i="19"/>
  <c r="AG24" i="1"/>
  <c r="AG27" i="19"/>
  <c r="AC95" i="1"/>
  <c r="AC98" i="19"/>
  <c r="AK82" i="1"/>
  <c r="F82" i="1" s="1"/>
  <c r="F84" i="19"/>
  <c r="AK85" i="19"/>
  <c r="S34" i="37"/>
  <c r="R97" i="37"/>
  <c r="R126" i="37" s="1"/>
  <c r="J11" i="23" s="1"/>
  <c r="B2" i="22"/>
  <c r="I51" i="7"/>
  <c r="AE156" i="1"/>
  <c r="AE159" i="19"/>
  <c r="N112" i="37"/>
  <c r="O112" i="37" s="1"/>
  <c r="P112" i="37" s="1"/>
  <c r="Q112" i="37" s="1"/>
  <c r="R112" i="37" s="1"/>
  <c r="S112" i="37" s="1"/>
  <c r="T112" i="37" s="1"/>
  <c r="U112" i="37" s="1"/>
  <c r="V112" i="37" s="1"/>
  <c r="W112" i="37" s="1"/>
  <c r="X112" i="37" s="1"/>
  <c r="Y112" i="37" s="1"/>
  <c r="Z112" i="37" s="1"/>
  <c r="AA112" i="37" s="1"/>
  <c r="AB112" i="37" s="1"/>
  <c r="AC112" i="37" s="1"/>
  <c r="AD112" i="37" s="1"/>
  <c r="AE112" i="37" s="1"/>
  <c r="AF112" i="37" s="1"/>
  <c r="AG112" i="37" s="1"/>
  <c r="AH112" i="37" s="1"/>
  <c r="AI112" i="37" s="1"/>
  <c r="AJ112" i="37" s="1"/>
  <c r="AK112" i="37" s="1"/>
  <c r="AL112" i="37" s="1"/>
  <c r="AM112" i="37" s="1"/>
  <c r="AN112" i="37" s="1"/>
  <c r="M125" i="37"/>
  <c r="E10" i="23" s="1"/>
  <c r="N94" i="37"/>
  <c r="N123" i="37" s="1"/>
  <c r="F10" i="3"/>
  <c r="N10" i="3"/>
  <c r="D11" i="3"/>
  <c r="L11" i="3"/>
  <c r="T11" i="3"/>
  <c r="B12" i="3"/>
  <c r="J12" i="3"/>
  <c r="R12" i="3"/>
  <c r="H13" i="3"/>
  <c r="P13" i="3"/>
  <c r="F14" i="3"/>
  <c r="N14" i="3"/>
  <c r="D15" i="3"/>
  <c r="L15" i="3"/>
  <c r="T15" i="3"/>
  <c r="B16" i="3"/>
  <c r="J16" i="3"/>
  <c r="R16" i="3"/>
  <c r="H17" i="3"/>
  <c r="P17" i="3"/>
  <c r="F18" i="3"/>
  <c r="N18" i="3"/>
  <c r="D19" i="3"/>
  <c r="L19" i="3"/>
  <c r="T19" i="3"/>
  <c r="B20" i="3"/>
  <c r="J20" i="3"/>
  <c r="R20" i="3"/>
  <c r="H21" i="3"/>
  <c r="P21" i="3"/>
  <c r="G22" i="3"/>
  <c r="O22" i="3"/>
  <c r="E23" i="3"/>
  <c r="M23" i="3"/>
  <c r="U23" i="3"/>
  <c r="C24" i="3"/>
  <c r="K24" i="3"/>
  <c r="S24" i="3"/>
  <c r="I25" i="3"/>
  <c r="Q25" i="3"/>
  <c r="G26" i="3"/>
  <c r="O26" i="3"/>
  <c r="E27" i="3"/>
  <c r="M27" i="3"/>
  <c r="U27" i="3"/>
  <c r="C28" i="3"/>
  <c r="K28" i="3"/>
  <c r="S28" i="3"/>
  <c r="I29" i="3"/>
  <c r="G10" i="3"/>
  <c r="O10" i="3"/>
  <c r="E11" i="3"/>
  <c r="M11" i="3"/>
  <c r="U11" i="3"/>
  <c r="C12" i="3"/>
  <c r="K12" i="3"/>
  <c r="S12" i="3"/>
  <c r="I13" i="3"/>
  <c r="Q13" i="3"/>
  <c r="G14" i="3"/>
  <c r="O14" i="3"/>
  <c r="E15" i="3"/>
  <c r="M15" i="3"/>
  <c r="U15" i="3"/>
  <c r="C16" i="3"/>
  <c r="K16" i="3"/>
  <c r="S16" i="3"/>
  <c r="I17" i="3"/>
  <c r="Q17" i="3"/>
  <c r="G18" i="3"/>
  <c r="O18" i="3"/>
  <c r="E19" i="3"/>
  <c r="M19" i="3"/>
  <c r="U19" i="3"/>
  <c r="C20" i="3"/>
  <c r="K20" i="3"/>
  <c r="S20" i="3"/>
  <c r="I21" i="3"/>
  <c r="Q21" i="3"/>
  <c r="H22" i="3"/>
  <c r="P22" i="3"/>
  <c r="F23" i="3"/>
  <c r="N23" i="3"/>
  <c r="D24" i="3"/>
  <c r="L24" i="3"/>
  <c r="T24" i="3"/>
  <c r="B25" i="3"/>
  <c r="J25" i="3"/>
  <c r="R25" i="3"/>
  <c r="H26" i="3"/>
  <c r="P26" i="3"/>
  <c r="F27" i="3"/>
  <c r="N27" i="3"/>
  <c r="D28" i="3"/>
  <c r="L28" i="3"/>
  <c r="T28" i="3"/>
  <c r="B29" i="3"/>
  <c r="J29" i="3"/>
  <c r="H10" i="3"/>
  <c r="P10" i="3"/>
  <c r="F11" i="3"/>
  <c r="N11" i="3"/>
  <c r="D12" i="3"/>
  <c r="L12" i="3"/>
  <c r="T12" i="3"/>
  <c r="B13" i="3"/>
  <c r="J13" i="3"/>
  <c r="R13" i="3"/>
  <c r="H14" i="3"/>
  <c r="P14" i="3"/>
  <c r="F15" i="3"/>
  <c r="N15" i="3"/>
  <c r="D16" i="3"/>
  <c r="L16" i="3"/>
  <c r="T16" i="3"/>
  <c r="B17" i="3"/>
  <c r="J17" i="3"/>
  <c r="R17" i="3"/>
  <c r="H18" i="3"/>
  <c r="P18" i="3"/>
  <c r="F19" i="3"/>
  <c r="N19" i="3"/>
  <c r="D20" i="3"/>
  <c r="L20" i="3"/>
  <c r="T20" i="3"/>
  <c r="B21" i="3"/>
  <c r="J21" i="3"/>
  <c r="R21" i="3"/>
  <c r="I22" i="3"/>
  <c r="Q22" i="3"/>
  <c r="G23" i="3"/>
  <c r="O23" i="3"/>
  <c r="E24" i="3"/>
  <c r="M24" i="3"/>
  <c r="U24" i="3"/>
  <c r="C25" i="3"/>
  <c r="K25" i="3"/>
  <c r="S25" i="3"/>
  <c r="I26" i="3"/>
  <c r="Q26" i="3"/>
  <c r="G27" i="3"/>
  <c r="O27" i="3"/>
  <c r="E28" i="3"/>
  <c r="M28" i="3"/>
  <c r="U28" i="3"/>
  <c r="C29" i="3"/>
  <c r="K29" i="3"/>
  <c r="S29" i="3"/>
  <c r="D10" i="3"/>
  <c r="L10" i="3"/>
  <c r="T10" i="3"/>
  <c r="B11" i="3"/>
  <c r="J11" i="3"/>
  <c r="R11" i="3"/>
  <c r="H12" i="3"/>
  <c r="P12" i="3"/>
  <c r="F13" i="3"/>
  <c r="N13" i="3"/>
  <c r="D14" i="3"/>
  <c r="L14" i="3"/>
  <c r="T14" i="3"/>
  <c r="B15" i="3"/>
  <c r="J15" i="3"/>
  <c r="R15" i="3"/>
  <c r="H16" i="3"/>
  <c r="P16" i="3"/>
  <c r="F17" i="3"/>
  <c r="N17" i="3"/>
  <c r="D18" i="3"/>
  <c r="L18" i="3"/>
  <c r="T18" i="3"/>
  <c r="B19" i="3"/>
  <c r="J19" i="3"/>
  <c r="R19" i="3"/>
  <c r="H20" i="3"/>
  <c r="P20" i="3"/>
  <c r="F21" i="3"/>
  <c r="N21" i="3"/>
  <c r="E22" i="3"/>
  <c r="M22" i="3"/>
  <c r="U22" i="3"/>
  <c r="C23" i="3"/>
  <c r="K23" i="3"/>
  <c r="S23" i="3"/>
  <c r="I24" i="3"/>
  <c r="Q24" i="3"/>
  <c r="G25" i="3"/>
  <c r="O25" i="3"/>
  <c r="E26" i="3"/>
  <c r="M26" i="3"/>
  <c r="U26" i="3"/>
  <c r="C27" i="3"/>
  <c r="K27" i="3"/>
  <c r="S27" i="3"/>
  <c r="I28" i="3"/>
  <c r="Q28" i="3"/>
  <c r="K10" i="3"/>
  <c r="Q11" i="3"/>
  <c r="G12" i="3"/>
  <c r="M13" i="3"/>
  <c r="C14" i="3"/>
  <c r="S14" i="3"/>
  <c r="I15" i="3"/>
  <c r="O16" i="3"/>
  <c r="E17" i="3"/>
  <c r="U17" i="3"/>
  <c r="K18" i="3"/>
  <c r="Q19" i="3"/>
  <c r="G20" i="3"/>
  <c r="M21" i="3"/>
  <c r="L22" i="3"/>
  <c r="B23" i="3"/>
  <c r="R23" i="3"/>
  <c r="H24" i="3"/>
  <c r="N25" i="3"/>
  <c r="D26" i="3"/>
  <c r="T26" i="3"/>
  <c r="J27" i="3"/>
  <c r="P28" i="3"/>
  <c r="E29" i="3"/>
  <c r="P29" i="3"/>
  <c r="G30" i="3"/>
  <c r="O30" i="3"/>
  <c r="E31" i="3"/>
  <c r="M31" i="3"/>
  <c r="U31" i="3"/>
  <c r="C32" i="3"/>
  <c r="K32" i="3"/>
  <c r="S32" i="3"/>
  <c r="I33" i="3"/>
  <c r="Q33" i="3"/>
  <c r="H34" i="3"/>
  <c r="P34" i="3"/>
  <c r="F35" i="3"/>
  <c r="N35" i="3"/>
  <c r="D36" i="3"/>
  <c r="L36" i="3"/>
  <c r="T36" i="3"/>
  <c r="B37" i="3"/>
  <c r="J37" i="3"/>
  <c r="R37" i="3"/>
  <c r="H38" i="3"/>
  <c r="P38" i="3"/>
  <c r="F39" i="3"/>
  <c r="N39" i="3"/>
  <c r="D40" i="3"/>
  <c r="L40" i="3"/>
  <c r="T40" i="3"/>
  <c r="B41" i="3"/>
  <c r="J41" i="3"/>
  <c r="R41" i="3"/>
  <c r="H42" i="3"/>
  <c r="P42" i="3"/>
  <c r="F43" i="3"/>
  <c r="N43" i="3"/>
  <c r="D44" i="3"/>
  <c r="L44" i="3"/>
  <c r="T44" i="3"/>
  <c r="B45" i="3"/>
  <c r="J45" i="3"/>
  <c r="R45" i="3"/>
  <c r="I46" i="3"/>
  <c r="Q46" i="3"/>
  <c r="G47" i="3"/>
  <c r="O47" i="3"/>
  <c r="E48" i="3"/>
  <c r="M48" i="3"/>
  <c r="U48" i="3"/>
  <c r="C49" i="3"/>
  <c r="K49" i="3"/>
  <c r="S49" i="3"/>
  <c r="I50" i="3"/>
  <c r="Q50" i="3"/>
  <c r="G51" i="3"/>
  <c r="O51" i="3"/>
  <c r="E52" i="3"/>
  <c r="M52" i="3"/>
  <c r="U52" i="3"/>
  <c r="C53" i="3"/>
  <c r="K53" i="3"/>
  <c r="S53" i="3"/>
  <c r="I54" i="3"/>
  <c r="Q54" i="3"/>
  <c r="G55" i="3"/>
  <c r="O55" i="3"/>
  <c r="E56" i="3"/>
  <c r="M56" i="3"/>
  <c r="U56" i="3"/>
  <c r="C57" i="3"/>
  <c r="K57" i="3"/>
  <c r="S57" i="3"/>
  <c r="B58" i="3"/>
  <c r="J58" i="3"/>
  <c r="R58" i="3"/>
  <c r="H59" i="3"/>
  <c r="P59" i="3"/>
  <c r="F60" i="3"/>
  <c r="N60" i="3"/>
  <c r="D61" i="3"/>
  <c r="L61" i="3"/>
  <c r="T61" i="3"/>
  <c r="B62" i="3"/>
  <c r="J62" i="3"/>
  <c r="R62" i="3"/>
  <c r="H63" i="3"/>
  <c r="P63" i="3"/>
  <c r="F64" i="3"/>
  <c r="N64" i="3"/>
  <c r="D65" i="3"/>
  <c r="L65" i="3"/>
  <c r="T65" i="3"/>
  <c r="B66" i="3"/>
  <c r="J66" i="3"/>
  <c r="R66" i="3"/>
  <c r="H67" i="3"/>
  <c r="P67" i="3"/>
  <c r="F68" i="3"/>
  <c r="N68" i="3"/>
  <c r="D69" i="3"/>
  <c r="L69" i="3"/>
  <c r="T69" i="3"/>
  <c r="C70" i="3"/>
  <c r="K70" i="3"/>
  <c r="S70" i="3"/>
  <c r="I71" i="3"/>
  <c r="Q71" i="3"/>
  <c r="G72" i="3"/>
  <c r="O72" i="3"/>
  <c r="E73" i="3"/>
  <c r="M73" i="3"/>
  <c r="U73" i="3"/>
  <c r="C74" i="3"/>
  <c r="K74" i="3"/>
  <c r="S74" i="3"/>
  <c r="I75" i="3"/>
  <c r="Q75" i="3"/>
  <c r="G76" i="3"/>
  <c r="O76" i="3"/>
  <c r="E77" i="3"/>
  <c r="M77" i="3"/>
  <c r="U77" i="3"/>
  <c r="C78" i="3"/>
  <c r="K78" i="3"/>
  <c r="S78" i="3"/>
  <c r="I79" i="3"/>
  <c r="Q79" i="3"/>
  <c r="G80" i="3"/>
  <c r="O80" i="3"/>
  <c r="E81" i="3"/>
  <c r="M81" i="3"/>
  <c r="U81" i="3"/>
  <c r="D82" i="3"/>
  <c r="L82" i="3"/>
  <c r="T82" i="3"/>
  <c r="B83" i="3"/>
  <c r="J83" i="3"/>
  <c r="R83" i="3"/>
  <c r="H84" i="3"/>
  <c r="P84" i="3"/>
  <c r="F85" i="3"/>
  <c r="N85" i="3"/>
  <c r="D86" i="3"/>
  <c r="L86" i="3"/>
  <c r="T86" i="3"/>
  <c r="B87" i="3"/>
  <c r="J87" i="3"/>
  <c r="R87" i="3"/>
  <c r="H88" i="3"/>
  <c r="P88" i="3"/>
  <c r="F89" i="3"/>
  <c r="N89" i="3"/>
  <c r="D90" i="3"/>
  <c r="L90" i="3"/>
  <c r="T90" i="3"/>
  <c r="B91" i="3"/>
  <c r="J91" i="3"/>
  <c r="R91" i="3"/>
  <c r="H92" i="3"/>
  <c r="P92" i="3"/>
  <c r="F93" i="3"/>
  <c r="N93" i="3"/>
  <c r="G94" i="3"/>
  <c r="O94" i="3"/>
  <c r="E95" i="3"/>
  <c r="M95" i="3"/>
  <c r="U95" i="3"/>
  <c r="C96" i="3"/>
  <c r="K96" i="3"/>
  <c r="S96" i="3"/>
  <c r="I97" i="3"/>
  <c r="Q97" i="3"/>
  <c r="G98" i="3"/>
  <c r="O98" i="3"/>
  <c r="E99" i="3"/>
  <c r="M99" i="3"/>
  <c r="U99" i="3"/>
  <c r="C100" i="3"/>
  <c r="K100" i="3"/>
  <c r="S100" i="3"/>
  <c r="I101" i="3"/>
  <c r="Q101" i="3"/>
  <c r="G102" i="3"/>
  <c r="O102" i="3"/>
  <c r="E103" i="3"/>
  <c r="M103" i="3"/>
  <c r="U103" i="3"/>
  <c r="C104" i="3"/>
  <c r="K104" i="3"/>
  <c r="S104" i="3"/>
  <c r="I105" i="3"/>
  <c r="Q105" i="3"/>
  <c r="B106" i="3"/>
  <c r="J106" i="3"/>
  <c r="R106" i="3"/>
  <c r="H107" i="3"/>
  <c r="P107" i="3"/>
  <c r="F108" i="3"/>
  <c r="N108" i="3"/>
  <c r="D109" i="3"/>
  <c r="L109" i="3"/>
  <c r="T109" i="3"/>
  <c r="B110" i="3"/>
  <c r="J110" i="3"/>
  <c r="R110" i="3"/>
  <c r="H111" i="3"/>
  <c r="P111" i="3"/>
  <c r="F112" i="3"/>
  <c r="N112" i="3"/>
  <c r="D113" i="3"/>
  <c r="L113" i="3"/>
  <c r="T113" i="3"/>
  <c r="B114" i="3"/>
  <c r="J114" i="3"/>
  <c r="R114" i="3"/>
  <c r="H115" i="3"/>
  <c r="P115" i="3"/>
  <c r="F116" i="3"/>
  <c r="N116" i="3"/>
  <c r="D117" i="3"/>
  <c r="L117" i="3"/>
  <c r="T117" i="3"/>
  <c r="E118" i="3"/>
  <c r="M118" i="3"/>
  <c r="U118" i="3"/>
  <c r="C119" i="3"/>
  <c r="K119" i="3"/>
  <c r="S119" i="3"/>
  <c r="I120" i="3"/>
  <c r="Q120" i="3"/>
  <c r="G121" i="3"/>
  <c r="O121" i="3"/>
  <c r="E122" i="3"/>
  <c r="M122" i="3"/>
  <c r="U122" i="3"/>
  <c r="C123" i="3"/>
  <c r="K123" i="3"/>
  <c r="S123" i="3"/>
  <c r="I124" i="3"/>
  <c r="Q124" i="3"/>
  <c r="G125" i="3"/>
  <c r="O125" i="3"/>
  <c r="E126" i="3"/>
  <c r="M126" i="3"/>
  <c r="U126" i="3"/>
  <c r="C127" i="3"/>
  <c r="K127" i="3"/>
  <c r="S127" i="3"/>
  <c r="I128" i="3"/>
  <c r="Q128" i="3"/>
  <c r="G129" i="3"/>
  <c r="O129" i="3"/>
  <c r="H130" i="3"/>
  <c r="P130" i="3"/>
  <c r="F131" i="3"/>
  <c r="N131" i="3"/>
  <c r="D132" i="3"/>
  <c r="L132" i="3"/>
  <c r="T132" i="3"/>
  <c r="B133" i="3"/>
  <c r="J133" i="3"/>
  <c r="R133" i="3"/>
  <c r="H134" i="3"/>
  <c r="P134" i="3"/>
  <c r="F135" i="3"/>
  <c r="N135" i="3"/>
  <c r="D136" i="3"/>
  <c r="L136" i="3"/>
  <c r="T136" i="3"/>
  <c r="B137" i="3"/>
  <c r="Q10" i="3"/>
  <c r="G11" i="3"/>
  <c r="O12" i="3"/>
  <c r="G13" i="3"/>
  <c r="R14" i="3"/>
  <c r="K15" i="3"/>
  <c r="E16" i="3"/>
  <c r="M17" i="3"/>
  <c r="E18" i="3"/>
  <c r="C10" i="3"/>
  <c r="U10" i="3"/>
  <c r="K11" i="3"/>
  <c r="E12" i="3"/>
  <c r="O13" i="3"/>
  <c r="I14" i="3"/>
  <c r="Q15" i="3"/>
  <c r="I16" i="3"/>
  <c r="C17" i="3"/>
  <c r="T17" i="3"/>
  <c r="I10" i="3"/>
  <c r="R10" i="3"/>
  <c r="P11" i="3"/>
  <c r="N12" i="3"/>
  <c r="L13" i="3"/>
  <c r="K14" i="3"/>
  <c r="H15" i="3"/>
  <c r="G16" i="3"/>
  <c r="G17" i="3"/>
  <c r="C18" i="3"/>
  <c r="S19" i="3"/>
  <c r="M20" i="3"/>
  <c r="D21" i="3"/>
  <c r="U21" i="3"/>
  <c r="F22" i="3"/>
  <c r="Q23" i="3"/>
  <c r="J24" i="3"/>
  <c r="D25" i="3"/>
  <c r="U25" i="3"/>
  <c r="L26" i="3"/>
  <c r="D27" i="3"/>
  <c r="O28" i="3"/>
  <c r="F29" i="3"/>
  <c r="R29" i="3"/>
  <c r="B30" i="3"/>
  <c r="K30" i="3"/>
  <c r="T30" i="3"/>
  <c r="C31" i="3"/>
  <c r="L31" i="3"/>
  <c r="E32" i="3"/>
  <c r="N32" i="3"/>
  <c r="F33" i="3"/>
  <c r="O33" i="3"/>
  <c r="X33" i="3"/>
  <c r="Y33" i="3" s="1"/>
  <c r="J34" i="3"/>
  <c r="S34" i="3"/>
  <c r="B35" i="3"/>
  <c r="K35" i="3"/>
  <c r="T35" i="3"/>
  <c r="C36" i="3"/>
  <c r="M36" i="3"/>
  <c r="E37" i="3"/>
  <c r="N37" i="3"/>
  <c r="F38" i="3"/>
  <c r="O38" i="3"/>
  <c r="H39" i="3"/>
  <c r="Q39" i="3"/>
  <c r="I40" i="3"/>
  <c r="R40" i="3"/>
  <c r="K41" i="3"/>
  <c r="T41" i="3"/>
  <c r="C42" i="3"/>
  <c r="L42" i="3"/>
  <c r="U42" i="3"/>
  <c r="D43" i="3"/>
  <c r="M43" i="3"/>
  <c r="F44" i="3"/>
  <c r="O44" i="3"/>
  <c r="G45" i="3"/>
  <c r="P45" i="3"/>
  <c r="B46" i="3"/>
  <c r="K46" i="3"/>
  <c r="T46" i="3"/>
  <c r="C47" i="3"/>
  <c r="L47" i="3"/>
  <c r="U47" i="3"/>
  <c r="D48" i="3"/>
  <c r="N48" i="3"/>
  <c r="F49" i="3"/>
  <c r="O49" i="3"/>
  <c r="G50" i="3"/>
  <c r="P50" i="3"/>
  <c r="I51" i="3"/>
  <c r="R51" i="3"/>
  <c r="J52" i="3"/>
  <c r="S52" i="3"/>
  <c r="B53" i="3"/>
  <c r="L53" i="3"/>
  <c r="U53" i="3"/>
  <c r="D54" i="3"/>
  <c r="M54" i="3"/>
  <c r="E55" i="3"/>
  <c r="N55" i="3"/>
  <c r="S10" i="3"/>
  <c r="S11" i="3"/>
  <c r="Q12" i="3"/>
  <c r="S13" i="3"/>
  <c r="M14" i="3"/>
  <c r="O15" i="3"/>
  <c r="M16" i="3"/>
  <c r="K17" i="3"/>
  <c r="I18" i="3"/>
  <c r="C19" i="3"/>
  <c r="N20" i="3"/>
  <c r="E21" i="3"/>
  <c r="W21" i="3"/>
  <c r="X21" i="3" s="1"/>
  <c r="Y21" i="3" s="1"/>
  <c r="J22" i="3"/>
  <c r="T23" i="3"/>
  <c r="N24" i="3"/>
  <c r="E25" i="3"/>
  <c r="N26" i="3"/>
  <c r="H27" i="3"/>
  <c r="R28" i="3"/>
  <c r="G29" i="3"/>
  <c r="T29" i="3"/>
  <c r="C30" i="3"/>
  <c r="L30" i="3"/>
  <c r="U30" i="3"/>
  <c r="D31" i="3"/>
  <c r="N31" i="3"/>
  <c r="F32" i="3"/>
  <c r="O32" i="3"/>
  <c r="G33" i="3"/>
  <c r="P33" i="3"/>
  <c r="B34" i="3"/>
  <c r="K34" i="3"/>
  <c r="T34" i="3"/>
  <c r="C35" i="3"/>
  <c r="L35" i="3"/>
  <c r="U35" i="3"/>
  <c r="E36" i="3"/>
  <c r="N36" i="3"/>
  <c r="F37" i="3"/>
  <c r="O37" i="3"/>
  <c r="G38" i="3"/>
  <c r="Q38" i="3"/>
  <c r="I39" i="3"/>
  <c r="R39" i="3"/>
  <c r="J40" i="3"/>
  <c r="S40" i="3"/>
  <c r="C41" i="3"/>
  <c r="L41" i="3"/>
  <c r="U41" i="3"/>
  <c r="D42" i="3"/>
  <c r="M42" i="3"/>
  <c r="E43" i="3"/>
  <c r="O43" i="3"/>
  <c r="G44" i="3"/>
  <c r="P44" i="3"/>
  <c r="H45" i="3"/>
  <c r="Q45" i="3"/>
  <c r="C46" i="3"/>
  <c r="L46" i="3"/>
  <c r="U46" i="3"/>
  <c r="D47" i="3"/>
  <c r="M47" i="3"/>
  <c r="F48" i="3"/>
  <c r="O48" i="3"/>
  <c r="G49" i="3"/>
  <c r="P49" i="3"/>
  <c r="H50" i="3"/>
  <c r="R50" i="3"/>
  <c r="J51" i="3"/>
  <c r="S51" i="3"/>
  <c r="B52" i="3"/>
  <c r="K52" i="3"/>
  <c r="T52" i="3"/>
  <c r="D53" i="3"/>
  <c r="M53" i="3"/>
  <c r="E54" i="3"/>
  <c r="N54" i="3"/>
  <c r="F55" i="3"/>
  <c r="P55" i="3"/>
  <c r="B10" i="3"/>
  <c r="C11" i="3"/>
  <c r="C13" i="3"/>
  <c r="U16" i="3"/>
  <c r="S17" i="3"/>
  <c r="Q18" i="3"/>
  <c r="I19" i="3"/>
  <c r="U20" i="3"/>
  <c r="L21" i="3"/>
  <c r="R22" i="3"/>
  <c r="I23" i="3"/>
  <c r="R24" i="3"/>
  <c r="L25" i="3"/>
  <c r="C26" i="3"/>
  <c r="P27" i="3"/>
  <c r="G28" i="3"/>
  <c r="M29" i="3"/>
  <c r="F30" i="3"/>
  <c r="P30" i="3"/>
  <c r="H31" i="3"/>
  <c r="Q31" i="3"/>
  <c r="I32" i="3"/>
  <c r="R32" i="3"/>
  <c r="B33" i="3"/>
  <c r="K33" i="3"/>
  <c r="T33" i="3"/>
  <c r="E34" i="3"/>
  <c r="N34" i="3"/>
  <c r="G35" i="3"/>
  <c r="P35" i="3"/>
  <c r="H36" i="3"/>
  <c r="Q36" i="3"/>
  <c r="I37" i="3"/>
  <c r="S37" i="3"/>
  <c r="B38" i="3"/>
  <c r="K38" i="3"/>
  <c r="T38" i="3"/>
  <c r="C39" i="3"/>
  <c r="L39" i="3"/>
  <c r="U39" i="3"/>
  <c r="E40" i="3"/>
  <c r="N40" i="3"/>
  <c r="F41" i="3"/>
  <c r="O41" i="3"/>
  <c r="G42" i="3"/>
  <c r="Q42" i="3"/>
  <c r="I43" i="3"/>
  <c r="R43" i="3"/>
  <c r="J44" i="3"/>
  <c r="S44" i="3"/>
  <c r="C45" i="3"/>
  <c r="L45" i="3"/>
  <c r="U45" i="3"/>
  <c r="F46" i="3"/>
  <c r="O46" i="3"/>
  <c r="H47" i="3"/>
  <c r="Q47" i="3"/>
  <c r="I48" i="3"/>
  <c r="R48" i="3"/>
  <c r="J49" i="3"/>
  <c r="T49" i="3"/>
  <c r="C50" i="3"/>
  <c r="L50" i="3"/>
  <c r="U50" i="3"/>
  <c r="D51" i="3"/>
  <c r="M51" i="3"/>
  <c r="F52" i="3"/>
  <c r="O52" i="3"/>
  <c r="G53" i="3"/>
  <c r="P53" i="3"/>
  <c r="H54" i="3"/>
  <c r="R54" i="3"/>
  <c r="J55" i="3"/>
  <c r="S55" i="3"/>
  <c r="B56" i="3"/>
  <c r="K56" i="3"/>
  <c r="T56" i="3"/>
  <c r="D57" i="3"/>
  <c r="M57" i="3"/>
  <c r="G58" i="3"/>
  <c r="P58" i="3"/>
  <c r="I59" i="3"/>
  <c r="R59" i="3"/>
  <c r="J60" i="3"/>
  <c r="S60" i="3"/>
  <c r="B61" i="3"/>
  <c r="K61" i="3"/>
  <c r="U61" i="3"/>
  <c r="D62" i="3"/>
  <c r="M62" i="3"/>
  <c r="E63" i="3"/>
  <c r="N63" i="3"/>
  <c r="G64" i="3"/>
  <c r="P64" i="3"/>
  <c r="H65" i="3"/>
  <c r="Q65" i="3"/>
  <c r="I66" i="3"/>
  <c r="S66" i="3"/>
  <c r="J10" i="3"/>
  <c r="I11" i="3"/>
  <c r="I12" i="3"/>
  <c r="E13" i="3"/>
  <c r="E14" i="3"/>
  <c r="C15" i="3"/>
  <c r="S18" i="3"/>
  <c r="O19" i="3"/>
  <c r="F20" i="3"/>
  <c r="S21" i="3"/>
  <c r="C22" i="3"/>
  <c r="T22" i="3"/>
  <c r="L23" i="3"/>
  <c r="F24" i="3"/>
  <c r="P25" i="3"/>
  <c r="J26" i="3"/>
  <c r="R27" i="3"/>
  <c r="J28" i="3"/>
  <c r="O29" i="3"/>
  <c r="I30" i="3"/>
  <c r="R30" i="3"/>
  <c r="J31" i="3"/>
  <c r="S31" i="3"/>
  <c r="B32" i="3"/>
  <c r="L32" i="3"/>
  <c r="U32" i="3"/>
  <c r="D33" i="3"/>
  <c r="M33" i="3"/>
  <c r="G34" i="3"/>
  <c r="Q34" i="3"/>
  <c r="I35" i="3"/>
  <c r="R35" i="3"/>
  <c r="J36" i="3"/>
  <c r="S36" i="3"/>
  <c r="C37" i="3"/>
  <c r="L37" i="3"/>
  <c r="U37" i="3"/>
  <c r="D38" i="3"/>
  <c r="M38" i="3"/>
  <c r="E39" i="3"/>
  <c r="O39" i="3"/>
  <c r="G40" i="3"/>
  <c r="P40" i="3"/>
  <c r="H41" i="3"/>
  <c r="Q41" i="3"/>
  <c r="J42" i="3"/>
  <c r="S42" i="3"/>
  <c r="B43" i="3"/>
  <c r="K43" i="3"/>
  <c r="T43" i="3"/>
  <c r="C44" i="3"/>
  <c r="M44" i="3"/>
  <c r="E45" i="3"/>
  <c r="N45" i="3"/>
  <c r="W45" i="3"/>
  <c r="X45" i="3" s="1"/>
  <c r="Y45" i="3" s="1"/>
  <c r="H46" i="3"/>
  <c r="R46" i="3"/>
  <c r="J47" i="3"/>
  <c r="S47" i="3"/>
  <c r="B48" i="3"/>
  <c r="K48" i="3"/>
  <c r="T48" i="3"/>
  <c r="D49" i="3"/>
  <c r="M49" i="3"/>
  <c r="E50" i="3"/>
  <c r="N50" i="3"/>
  <c r="F51" i="3"/>
  <c r="P51" i="3"/>
  <c r="H52" i="3"/>
  <c r="Q52" i="3"/>
  <c r="I53" i="3"/>
  <c r="R53" i="3"/>
  <c r="B54" i="3"/>
  <c r="K54" i="3"/>
  <c r="T54" i="3"/>
  <c r="C55" i="3"/>
  <c r="L55" i="3"/>
  <c r="U55" i="3"/>
  <c r="D56" i="3"/>
  <c r="N56" i="3"/>
  <c r="F57" i="3"/>
  <c r="O57" i="3"/>
  <c r="X57" i="3"/>
  <c r="Y57" i="3" s="1"/>
  <c r="I58" i="3"/>
  <c r="S58" i="3"/>
  <c r="B59" i="3"/>
  <c r="K59" i="3"/>
  <c r="T59" i="3"/>
  <c r="C60" i="3"/>
  <c r="L60" i="3"/>
  <c r="U60" i="3"/>
  <c r="E61" i="3"/>
  <c r="N61" i="3"/>
  <c r="F62" i="3"/>
  <c r="O62" i="3"/>
  <c r="G63" i="3"/>
  <c r="M12" i="3"/>
  <c r="J14" i="3"/>
  <c r="F16" i="3"/>
  <c r="B18" i="3"/>
  <c r="P19" i="3"/>
  <c r="C21" i="3"/>
  <c r="D22" i="3"/>
  <c r="P23" i="3"/>
  <c r="K26" i="3"/>
  <c r="T27" i="3"/>
  <c r="D29" i="3"/>
  <c r="S30" i="3"/>
  <c r="K31" i="3"/>
  <c r="D32" i="3"/>
  <c r="N33" i="3"/>
  <c r="R34" i="3"/>
  <c r="J35" i="3"/>
  <c r="B36" i="3"/>
  <c r="U36" i="3"/>
  <c r="M37" i="3"/>
  <c r="E38" i="3"/>
  <c r="P39" i="3"/>
  <c r="H40" i="3"/>
  <c r="S41" i="3"/>
  <c r="K42" i="3"/>
  <c r="C43" i="3"/>
  <c r="U43" i="3"/>
  <c r="N44" i="3"/>
  <c r="F45" i="3"/>
  <c r="J46" i="3"/>
  <c r="B47" i="3"/>
  <c r="T47" i="3"/>
  <c r="L48" i="3"/>
  <c r="E49" i="3"/>
  <c r="O50" i="3"/>
  <c r="H51" i="3"/>
  <c r="R52" i="3"/>
  <c r="J53" i="3"/>
  <c r="C54" i="3"/>
  <c r="U54" i="3"/>
  <c r="M55" i="3"/>
  <c r="F56" i="3"/>
  <c r="Q56" i="3"/>
  <c r="B57" i="3"/>
  <c r="P57" i="3"/>
  <c r="F58" i="3"/>
  <c r="T58" i="3"/>
  <c r="E59" i="3"/>
  <c r="Q59" i="3"/>
  <c r="D60" i="3"/>
  <c r="P60" i="3"/>
  <c r="O61" i="3"/>
  <c r="L62" i="3"/>
  <c r="K63" i="3"/>
  <c r="U63" i="3"/>
  <c r="E64" i="3"/>
  <c r="Q64" i="3"/>
  <c r="K65" i="3"/>
  <c r="F66" i="3"/>
  <c r="P66" i="3"/>
  <c r="J67" i="3"/>
  <c r="S67" i="3"/>
  <c r="B68" i="3"/>
  <c r="K68" i="3"/>
  <c r="T68" i="3"/>
  <c r="C69" i="3"/>
  <c r="M69" i="3"/>
  <c r="G70" i="3"/>
  <c r="P70" i="3"/>
  <c r="H71" i="3"/>
  <c r="R71" i="3"/>
  <c r="J72" i="3"/>
  <c r="S72" i="3"/>
  <c r="B73" i="3"/>
  <c r="K73" i="3"/>
  <c r="T73" i="3"/>
  <c r="D74" i="3"/>
  <c r="M74" i="3"/>
  <c r="E75" i="3"/>
  <c r="N75" i="3"/>
  <c r="F76" i="3"/>
  <c r="P76" i="3"/>
  <c r="H77" i="3"/>
  <c r="Q77" i="3"/>
  <c r="I78" i="3"/>
  <c r="R78" i="3"/>
  <c r="B79" i="3"/>
  <c r="K79" i="3"/>
  <c r="T79" i="3"/>
  <c r="C80" i="3"/>
  <c r="L80" i="3"/>
  <c r="U80" i="3"/>
  <c r="D81" i="3"/>
  <c r="N81" i="3"/>
  <c r="W81" i="3"/>
  <c r="H82" i="3"/>
  <c r="Q82" i="3"/>
  <c r="I83" i="3"/>
  <c r="S83" i="3"/>
  <c r="B84" i="3"/>
  <c r="K84" i="3"/>
  <c r="T84" i="3"/>
  <c r="C85" i="3"/>
  <c r="L85" i="3"/>
  <c r="U85" i="3"/>
  <c r="E86" i="3"/>
  <c r="N86" i="3"/>
  <c r="F87" i="3"/>
  <c r="O87" i="3"/>
  <c r="G88" i="3"/>
  <c r="Q88" i="3"/>
  <c r="I89" i="3"/>
  <c r="R89" i="3"/>
  <c r="J90" i="3"/>
  <c r="S90" i="3"/>
  <c r="C91" i="3"/>
  <c r="L91" i="3"/>
  <c r="U91" i="3"/>
  <c r="D92" i="3"/>
  <c r="M92" i="3"/>
  <c r="E93" i="3"/>
  <c r="O93" i="3"/>
  <c r="B94" i="3"/>
  <c r="K94" i="3"/>
  <c r="T94" i="3"/>
  <c r="C95" i="3"/>
  <c r="L95" i="3"/>
  <c r="E96" i="3"/>
  <c r="N96" i="3"/>
  <c r="F97" i="3"/>
  <c r="O97" i="3"/>
  <c r="H98" i="3"/>
  <c r="Q98" i="3"/>
  <c r="I99" i="3"/>
  <c r="R99" i="3"/>
  <c r="J100" i="3"/>
  <c r="T100" i="3"/>
  <c r="C101" i="3"/>
  <c r="L101" i="3"/>
  <c r="U101" i="3"/>
  <c r="D102" i="3"/>
  <c r="M102" i="3"/>
  <c r="F103" i="3"/>
  <c r="O103" i="3"/>
  <c r="G104" i="3"/>
  <c r="P104" i="3"/>
  <c r="H105" i="3"/>
  <c r="R105" i="3"/>
  <c r="E106" i="3"/>
  <c r="N106" i="3"/>
  <c r="F107" i="3"/>
  <c r="O107" i="3"/>
  <c r="H108" i="3"/>
  <c r="Q108" i="3"/>
  <c r="I109" i="3"/>
  <c r="R109" i="3"/>
  <c r="K110" i="3"/>
  <c r="T110" i="3"/>
  <c r="C111" i="3"/>
  <c r="L111" i="3"/>
  <c r="U111" i="3"/>
  <c r="D112" i="3"/>
  <c r="M112" i="3"/>
  <c r="F113" i="3"/>
  <c r="O113" i="3"/>
  <c r="G114" i="3"/>
  <c r="P114" i="3"/>
  <c r="I115" i="3"/>
  <c r="R115" i="3"/>
  <c r="J116" i="3"/>
  <c r="S116" i="3"/>
  <c r="B117" i="3"/>
  <c r="K117" i="3"/>
  <c r="U117" i="3"/>
  <c r="H118" i="3"/>
  <c r="Q118" i="3"/>
  <c r="I119" i="3"/>
  <c r="R119" i="3"/>
  <c r="B120" i="3"/>
  <c r="K120" i="3"/>
  <c r="T120" i="3"/>
  <c r="C121" i="3"/>
  <c r="L121" i="3"/>
  <c r="U121" i="3"/>
  <c r="D122" i="3"/>
  <c r="N122" i="3"/>
  <c r="F123" i="3"/>
  <c r="O123" i="3"/>
  <c r="G124" i="3"/>
  <c r="P124" i="3"/>
  <c r="I125" i="3"/>
  <c r="R125" i="3"/>
  <c r="J126" i="3"/>
  <c r="S126" i="3"/>
  <c r="B127" i="3"/>
  <c r="L127" i="3"/>
  <c r="U127" i="3"/>
  <c r="D128" i="3"/>
  <c r="M128" i="3"/>
  <c r="E129" i="3"/>
  <c r="N129" i="3"/>
  <c r="B130" i="3"/>
  <c r="K130" i="3"/>
  <c r="T130" i="3"/>
  <c r="C131" i="3"/>
  <c r="L131" i="3"/>
  <c r="U131" i="3"/>
  <c r="E132" i="3"/>
  <c r="N132" i="3"/>
  <c r="U12" i="3"/>
  <c r="Q14" i="3"/>
  <c r="N16" i="3"/>
  <c r="J18" i="3"/>
  <c r="G21" i="3"/>
  <c r="K22" i="3"/>
  <c r="F25" i="3"/>
  <c r="R26" i="3"/>
  <c r="B28" i="3"/>
  <c r="V28" i="3" s="1"/>
  <c r="H29" i="3"/>
  <c r="D30" i="3"/>
  <c r="O31" i="3"/>
  <c r="G32" i="3"/>
  <c r="R33" i="3"/>
  <c r="C34" i="3"/>
  <c r="U34" i="3"/>
  <c r="M35" i="3"/>
  <c r="F36" i="3"/>
  <c r="P37" i="3"/>
  <c r="I38" i="3"/>
  <c r="S39" i="3"/>
  <c r="K40" i="3"/>
  <c r="D41" i="3"/>
  <c r="N42" i="3"/>
  <c r="G43" i="3"/>
  <c r="Q44" i="3"/>
  <c r="I45" i="3"/>
  <c r="M46" i="3"/>
  <c r="E47" i="3"/>
  <c r="P48" i="3"/>
  <c r="H49" i="3"/>
  <c r="S50" i="3"/>
  <c r="K51" i="3"/>
  <c r="C52" i="3"/>
  <c r="N53" i="3"/>
  <c r="F54" i="3"/>
  <c r="Q55" i="3"/>
  <c r="G56" i="3"/>
  <c r="R56" i="3"/>
  <c r="E57" i="3"/>
  <c r="Q57" i="3"/>
  <c r="H58" i="3"/>
  <c r="U58" i="3"/>
  <c r="F59" i="3"/>
  <c r="S59" i="3"/>
  <c r="E60" i="3"/>
  <c r="Q60" i="3"/>
  <c r="C61" i="3"/>
  <c r="P61" i="3"/>
  <c r="N62" i="3"/>
  <c r="L63" i="3"/>
  <c r="H64" i="3"/>
  <c r="R64" i="3"/>
  <c r="B65" i="3"/>
  <c r="M65" i="3"/>
  <c r="G66" i="3"/>
  <c r="Q66" i="3"/>
  <c r="B67" i="3"/>
  <c r="K67" i="3"/>
  <c r="T67" i="3"/>
  <c r="C68" i="3"/>
  <c r="L68" i="3"/>
  <c r="U68" i="3"/>
  <c r="E69" i="3"/>
  <c r="N69" i="3"/>
  <c r="W69" i="3"/>
  <c r="X69" i="3" s="1"/>
  <c r="Y69" i="3" s="1"/>
  <c r="H70" i="3"/>
  <c r="Q70" i="3"/>
  <c r="J71" i="3"/>
  <c r="S71" i="3"/>
  <c r="B72" i="3"/>
  <c r="K72" i="3"/>
  <c r="T72" i="3"/>
  <c r="C73" i="3"/>
  <c r="L73" i="3"/>
  <c r="E74" i="3"/>
  <c r="N74" i="3"/>
  <c r="F75" i="3"/>
  <c r="O75" i="3"/>
  <c r="H76" i="3"/>
  <c r="Q76" i="3"/>
  <c r="I77" i="3"/>
  <c r="R77" i="3"/>
  <c r="J78" i="3"/>
  <c r="T78" i="3"/>
  <c r="C79" i="3"/>
  <c r="L79" i="3"/>
  <c r="U79" i="3"/>
  <c r="D80" i="3"/>
  <c r="M80" i="3"/>
  <c r="F81" i="3"/>
  <c r="O81" i="3"/>
  <c r="X81" i="3"/>
  <c r="Y81" i="3" s="1"/>
  <c r="I82" i="3"/>
  <c r="R82" i="3"/>
  <c r="K83" i="3"/>
  <c r="T83" i="3"/>
  <c r="C84" i="3"/>
  <c r="L84" i="3"/>
  <c r="U84" i="3"/>
  <c r="D85" i="3"/>
  <c r="M85" i="3"/>
  <c r="F86" i="3"/>
  <c r="O86" i="3"/>
  <c r="G87" i="3"/>
  <c r="P87" i="3"/>
  <c r="I88" i="3"/>
  <c r="R88" i="3"/>
  <c r="J89" i="3"/>
  <c r="S89" i="3"/>
  <c r="B90" i="3"/>
  <c r="K90" i="3"/>
  <c r="U90" i="3"/>
  <c r="D91" i="3"/>
  <c r="M91" i="3"/>
  <c r="E92" i="3"/>
  <c r="N92" i="3"/>
  <c r="G93" i="3"/>
  <c r="P93" i="3"/>
  <c r="C94" i="3"/>
  <c r="L94" i="3"/>
  <c r="U94" i="3"/>
  <c r="D95" i="3"/>
  <c r="N95" i="3"/>
  <c r="F96" i="3"/>
  <c r="O96" i="3"/>
  <c r="G97" i="3"/>
  <c r="P97" i="3"/>
  <c r="I98" i="3"/>
  <c r="R98" i="3"/>
  <c r="J99" i="3"/>
  <c r="S99" i="3"/>
  <c r="B100" i="3"/>
  <c r="L100" i="3"/>
  <c r="U100" i="3"/>
  <c r="D101" i="3"/>
  <c r="M101" i="3"/>
  <c r="E102" i="3"/>
  <c r="N102" i="3"/>
  <c r="G103" i="3"/>
  <c r="P103" i="3"/>
  <c r="H104" i="3"/>
  <c r="Q104" i="3"/>
  <c r="J105" i="3"/>
  <c r="S105" i="3"/>
  <c r="F106" i="3"/>
  <c r="O106" i="3"/>
  <c r="G107" i="3"/>
  <c r="Q107" i="3"/>
  <c r="I108" i="3"/>
  <c r="R108" i="3"/>
  <c r="J109" i="3"/>
  <c r="S109" i="3"/>
  <c r="C110" i="3"/>
  <c r="L110" i="3"/>
  <c r="U110" i="3"/>
  <c r="D111" i="3"/>
  <c r="M111" i="3"/>
  <c r="E112" i="3"/>
  <c r="O112" i="3"/>
  <c r="G113" i="3"/>
  <c r="P113" i="3"/>
  <c r="H114" i="3"/>
  <c r="Q114" i="3"/>
  <c r="J115" i="3"/>
  <c r="S115" i="3"/>
  <c r="B116" i="3"/>
  <c r="K116" i="3"/>
  <c r="T116" i="3"/>
  <c r="C117" i="3"/>
  <c r="M117" i="3"/>
  <c r="I118" i="3"/>
  <c r="R118" i="3"/>
  <c r="J119" i="3"/>
  <c r="T119" i="3"/>
  <c r="C120" i="3"/>
  <c r="L120" i="3"/>
  <c r="U120" i="3"/>
  <c r="D121" i="3"/>
  <c r="M121" i="3"/>
  <c r="F122" i="3"/>
  <c r="O122" i="3"/>
  <c r="G123" i="3"/>
  <c r="P123" i="3"/>
  <c r="H124" i="3"/>
  <c r="R124" i="3"/>
  <c r="J125" i="3"/>
  <c r="S125" i="3"/>
  <c r="B126" i="3"/>
  <c r="K126" i="3"/>
  <c r="T126" i="3"/>
  <c r="D127" i="3"/>
  <c r="M127" i="3"/>
  <c r="E128" i="3"/>
  <c r="N128" i="3"/>
  <c r="F129" i="3"/>
  <c r="P129" i="3"/>
  <c r="C130" i="3"/>
  <c r="L130" i="3"/>
  <c r="U130" i="3"/>
  <c r="D131" i="3"/>
  <c r="M131" i="3"/>
  <c r="F132" i="3"/>
  <c r="K13" i="3"/>
  <c r="G15" i="3"/>
  <c r="D17" i="3"/>
  <c r="U18" i="3"/>
  <c r="I20" i="3"/>
  <c r="T21" i="3"/>
  <c r="G24" i="3"/>
  <c r="T25" i="3"/>
  <c r="B27" i="3"/>
  <c r="N28" i="3"/>
  <c r="Q29" i="3"/>
  <c r="J30" i="3"/>
  <c r="B31" i="3"/>
  <c r="T31" i="3"/>
  <c r="M32" i="3"/>
  <c r="E33" i="3"/>
  <c r="W33" i="3"/>
  <c r="I34" i="3"/>
  <c r="S35" i="3"/>
  <c r="K36" i="3"/>
  <c r="D37" i="3"/>
  <c r="N38" i="3"/>
  <c r="G39" i="3"/>
  <c r="Q40" i="3"/>
  <c r="I41" i="3"/>
  <c r="B42" i="3"/>
  <c r="T42" i="3"/>
  <c r="L43" i="3"/>
  <c r="E44" i="3"/>
  <c r="O45" i="3"/>
  <c r="S46" i="3"/>
  <c r="K47" i="3"/>
  <c r="C48" i="3"/>
  <c r="N49" i="3"/>
  <c r="F50" i="3"/>
  <c r="Q51" i="3"/>
  <c r="I52" i="3"/>
  <c r="T53" i="3"/>
  <c r="L54" i="3"/>
  <c r="D55" i="3"/>
  <c r="J56" i="3"/>
  <c r="I57" i="3"/>
  <c r="U57" i="3"/>
  <c r="M58" i="3"/>
  <c r="L59" i="3"/>
  <c r="I60" i="3"/>
  <c r="H61" i="3"/>
  <c r="S61" i="3"/>
  <c r="G62" i="3"/>
  <c r="S62" i="3"/>
  <c r="D63" i="3"/>
  <c r="Q63" i="3"/>
  <c r="K64" i="3"/>
  <c r="U64" i="3"/>
  <c r="F65" i="3"/>
  <c r="P65" i="3"/>
  <c r="L66" i="3"/>
  <c r="E67" i="3"/>
  <c r="N67" i="3"/>
  <c r="G68" i="3"/>
  <c r="P68" i="3"/>
  <c r="H69" i="3"/>
  <c r="Q69" i="3"/>
  <c r="B70" i="3"/>
  <c r="L70" i="3"/>
  <c r="U70" i="3"/>
  <c r="D71" i="3"/>
  <c r="M71" i="3"/>
  <c r="E72" i="3"/>
  <c r="N72" i="3"/>
  <c r="G73" i="3"/>
  <c r="P73" i="3"/>
  <c r="H74" i="3"/>
  <c r="Q74" i="3"/>
  <c r="J75" i="3"/>
  <c r="S75" i="3"/>
  <c r="B76" i="3"/>
  <c r="K76" i="3"/>
  <c r="T76" i="3"/>
  <c r="C77" i="3"/>
  <c r="L77" i="3"/>
  <c r="E78" i="3"/>
  <c r="N78" i="3"/>
  <c r="F79" i="3"/>
  <c r="O79" i="3"/>
  <c r="H80" i="3"/>
  <c r="Q80" i="3"/>
  <c r="I81" i="3"/>
  <c r="R81" i="3"/>
  <c r="C82" i="3"/>
  <c r="M82" i="3"/>
  <c r="E83" i="3"/>
  <c r="N83" i="3"/>
  <c r="F84" i="3"/>
  <c r="O84" i="3"/>
  <c r="H85" i="3"/>
  <c r="Q85" i="3"/>
  <c r="I86" i="3"/>
  <c r="R86" i="3"/>
  <c r="K87" i="3"/>
  <c r="T87" i="3"/>
  <c r="C88" i="3"/>
  <c r="L88" i="3"/>
  <c r="U88" i="3"/>
  <c r="D89" i="3"/>
  <c r="M89" i="3"/>
  <c r="F90" i="3"/>
  <c r="O90" i="3"/>
  <c r="G91" i="3"/>
  <c r="P91" i="3"/>
  <c r="I92" i="3"/>
  <c r="R92" i="3"/>
  <c r="J93" i="3"/>
  <c r="S93" i="3"/>
  <c r="F94" i="3"/>
  <c r="P94" i="3"/>
  <c r="H95" i="3"/>
  <c r="Q95" i="3"/>
  <c r="I96" i="3"/>
  <c r="R96" i="3"/>
  <c r="B97" i="3"/>
  <c r="K97" i="3"/>
  <c r="T97" i="3"/>
  <c r="C98" i="3"/>
  <c r="L98" i="3"/>
  <c r="U98" i="3"/>
  <c r="D99" i="3"/>
  <c r="N99" i="3"/>
  <c r="F100" i="3"/>
  <c r="O100" i="3"/>
  <c r="G101" i="3"/>
  <c r="P101" i="3"/>
  <c r="I102" i="3"/>
  <c r="R102" i="3"/>
  <c r="J103" i="3"/>
  <c r="S103" i="3"/>
  <c r="B104" i="3"/>
  <c r="L104" i="3"/>
  <c r="U104" i="3"/>
  <c r="D105" i="3"/>
  <c r="M105" i="3"/>
  <c r="I106" i="3"/>
  <c r="S106" i="3"/>
  <c r="B107" i="3"/>
  <c r="K107" i="3"/>
  <c r="T107" i="3"/>
  <c r="C108" i="3"/>
  <c r="L108" i="3"/>
  <c r="U108" i="3"/>
  <c r="E109" i="3"/>
  <c r="N109" i="3"/>
  <c r="F110" i="3"/>
  <c r="O110" i="3"/>
  <c r="G111" i="3"/>
  <c r="Q111" i="3"/>
  <c r="I112" i="3"/>
  <c r="R112" i="3"/>
  <c r="J113" i="3"/>
  <c r="S113" i="3"/>
  <c r="C114" i="3"/>
  <c r="L114" i="3"/>
  <c r="U114" i="3"/>
  <c r="D115" i="3"/>
  <c r="M115" i="3"/>
  <c r="E116" i="3"/>
  <c r="O116" i="3"/>
  <c r="G117" i="3"/>
  <c r="P117" i="3"/>
  <c r="C118" i="3"/>
  <c r="L118" i="3"/>
  <c r="E119" i="3"/>
  <c r="N119" i="3"/>
  <c r="F120" i="3"/>
  <c r="O120" i="3"/>
  <c r="H121" i="3"/>
  <c r="Q121" i="3"/>
  <c r="I122" i="3"/>
  <c r="R122" i="3"/>
  <c r="J123" i="3"/>
  <c r="T123" i="3"/>
  <c r="C124" i="3"/>
  <c r="L124" i="3"/>
  <c r="U124" i="3"/>
  <c r="D125" i="3"/>
  <c r="M125" i="3"/>
  <c r="F126" i="3"/>
  <c r="O126" i="3"/>
  <c r="G127" i="3"/>
  <c r="P127" i="3"/>
  <c r="H128" i="3"/>
  <c r="R128" i="3"/>
  <c r="J129" i="3"/>
  <c r="S129" i="3"/>
  <c r="F130" i="3"/>
  <c r="O130" i="3"/>
  <c r="H131" i="3"/>
  <c r="Q131" i="3"/>
  <c r="I132" i="3"/>
  <c r="R132" i="3"/>
  <c r="K133" i="3"/>
  <c r="T133" i="3"/>
  <c r="C134" i="3"/>
  <c r="L134" i="3"/>
  <c r="U134" i="3"/>
  <c r="D135" i="3"/>
  <c r="M135" i="3"/>
  <c r="F136" i="3"/>
  <c r="O136" i="3"/>
  <c r="G137" i="3"/>
  <c r="O137" i="3"/>
  <c r="E138" i="3"/>
  <c r="M138" i="3"/>
  <c r="U138" i="3"/>
  <c r="C139" i="3"/>
  <c r="K139" i="3"/>
  <c r="S139" i="3"/>
  <c r="I140" i="3"/>
  <c r="Q140" i="3"/>
  <c r="G141" i="3"/>
  <c r="O141" i="3"/>
  <c r="H142" i="3"/>
  <c r="P142" i="3"/>
  <c r="F143" i="3"/>
  <c r="N143" i="3"/>
  <c r="D144" i="3"/>
  <c r="L144" i="3"/>
  <c r="T144" i="3"/>
  <c r="B145" i="3"/>
  <c r="J145" i="3"/>
  <c r="R145" i="3"/>
  <c r="H146" i="3"/>
  <c r="P146" i="3"/>
  <c r="F147" i="3"/>
  <c r="N147" i="3"/>
  <c r="D148" i="3"/>
  <c r="L148" i="3"/>
  <c r="T148" i="3"/>
  <c r="B149" i="3"/>
  <c r="J149" i="3"/>
  <c r="R149" i="3"/>
  <c r="E10" i="3"/>
  <c r="U13" i="3"/>
  <c r="S15" i="3"/>
  <c r="O17" i="3"/>
  <c r="H19" i="3"/>
  <c r="Q20" i="3"/>
  <c r="H23" i="3"/>
  <c r="P24" i="3"/>
  <c r="B26" i="3"/>
  <c r="L27" i="3"/>
  <c r="N30" i="3"/>
  <c r="G31" i="3"/>
  <c r="Q32" i="3"/>
  <c r="J33" i="3"/>
  <c r="M34" i="3"/>
  <c r="E35" i="3"/>
  <c r="P36" i="3"/>
  <c r="H37" i="3"/>
  <c r="S38" i="3"/>
  <c r="K39" i="3"/>
  <c r="C40" i="3"/>
  <c r="N41" i="3"/>
  <c r="F42" i="3"/>
  <c r="Q43" i="3"/>
  <c r="I44" i="3"/>
  <c r="T45" i="3"/>
  <c r="E46" i="3"/>
  <c r="P47" i="3"/>
  <c r="H48" i="3"/>
  <c r="R49" i="3"/>
  <c r="K50" i="3"/>
  <c r="C51" i="3"/>
  <c r="U51" i="3"/>
  <c r="N52" i="3"/>
  <c r="F53" i="3"/>
  <c r="P54" i="3"/>
  <c r="I55" i="3"/>
  <c r="O56" i="3"/>
  <c r="L57" i="3"/>
  <c r="D58" i="3"/>
  <c r="O58" i="3"/>
  <c r="C59" i="3"/>
  <c r="N59" i="3"/>
  <c r="M60" i="3"/>
  <c r="J61" i="3"/>
  <c r="I62" i="3"/>
  <c r="U62" i="3"/>
  <c r="I63" i="3"/>
  <c r="S63" i="3"/>
  <c r="C64" i="3"/>
  <c r="M64" i="3"/>
  <c r="I65" i="3"/>
  <c r="S65" i="3"/>
  <c r="D66" i="3"/>
  <c r="N66" i="3"/>
  <c r="G67" i="3"/>
  <c r="Q67" i="3"/>
  <c r="I68" i="3"/>
  <c r="R68" i="3"/>
  <c r="J69" i="3"/>
  <c r="S69" i="3"/>
  <c r="E70" i="3"/>
  <c r="N70" i="3"/>
  <c r="F71" i="3"/>
  <c r="O71" i="3"/>
  <c r="H72" i="3"/>
  <c r="Q72" i="3"/>
  <c r="I73" i="3"/>
  <c r="R73" i="3"/>
  <c r="J74" i="3"/>
  <c r="T74" i="3"/>
  <c r="C75" i="3"/>
  <c r="L75" i="3"/>
  <c r="U75" i="3"/>
  <c r="D76" i="3"/>
  <c r="M76" i="3"/>
  <c r="F77" i="3"/>
  <c r="O77" i="3"/>
  <c r="G78" i="3"/>
  <c r="P78" i="3"/>
  <c r="H79" i="3"/>
  <c r="R79" i="3"/>
  <c r="J80" i="3"/>
  <c r="S80" i="3"/>
  <c r="B81" i="3"/>
  <c r="K81" i="3"/>
  <c r="T81" i="3"/>
  <c r="F82" i="3"/>
  <c r="O82" i="3"/>
  <c r="G83" i="3"/>
  <c r="P83" i="3"/>
  <c r="I84" i="3"/>
  <c r="R84" i="3"/>
  <c r="J85" i="3"/>
  <c r="S85" i="3"/>
  <c r="B86" i="3"/>
  <c r="K86" i="3"/>
  <c r="U86" i="3"/>
  <c r="D87" i="3"/>
  <c r="M87" i="3"/>
  <c r="E88" i="3"/>
  <c r="N88" i="3"/>
  <c r="G89" i="3"/>
  <c r="P89" i="3"/>
  <c r="H90" i="3"/>
  <c r="Q90" i="3"/>
  <c r="I91" i="3"/>
  <c r="S91" i="3"/>
  <c r="B92" i="3"/>
  <c r="K92" i="3"/>
  <c r="T92" i="3"/>
  <c r="C93" i="3"/>
  <c r="L93" i="3"/>
  <c r="U93" i="3"/>
  <c r="I94" i="3"/>
  <c r="R94" i="3"/>
  <c r="J95" i="3"/>
  <c r="S95" i="3"/>
  <c r="B96" i="3"/>
  <c r="L96" i="3"/>
  <c r="U96" i="3"/>
  <c r="D97" i="3"/>
  <c r="M97" i="3"/>
  <c r="E98" i="3"/>
  <c r="N98" i="3"/>
  <c r="G99" i="3"/>
  <c r="P99" i="3"/>
  <c r="H100" i="3"/>
  <c r="Q100" i="3"/>
  <c r="J101" i="3"/>
  <c r="S101" i="3"/>
  <c r="B102" i="3"/>
  <c r="K102" i="3"/>
  <c r="T102" i="3"/>
  <c r="C103" i="3"/>
  <c r="L103" i="3"/>
  <c r="E104" i="3"/>
  <c r="N104" i="3"/>
  <c r="F105" i="3"/>
  <c r="O105" i="3"/>
  <c r="C106" i="3"/>
  <c r="L106" i="3"/>
  <c r="U106" i="3"/>
  <c r="D107" i="3"/>
  <c r="M107" i="3"/>
  <c r="E108" i="3"/>
  <c r="O108" i="3"/>
  <c r="G109" i="3"/>
  <c r="P109" i="3"/>
  <c r="H110" i="3"/>
  <c r="Q110" i="3"/>
  <c r="J111" i="3"/>
  <c r="S111" i="3"/>
  <c r="B112" i="3"/>
  <c r="K112" i="3"/>
  <c r="T112" i="3"/>
  <c r="C113" i="3"/>
  <c r="M113" i="3"/>
  <c r="E114" i="3"/>
  <c r="N114" i="3"/>
  <c r="F115" i="3"/>
  <c r="O115" i="3"/>
  <c r="H116" i="3"/>
  <c r="Q116" i="3"/>
  <c r="I117" i="3"/>
  <c r="R117" i="3"/>
  <c r="F118" i="3"/>
  <c r="O118" i="3"/>
  <c r="G119" i="3"/>
  <c r="P119" i="3"/>
  <c r="H120" i="3"/>
  <c r="R120" i="3"/>
  <c r="J121" i="3"/>
  <c r="S121" i="3"/>
  <c r="B122" i="3"/>
  <c r="K122" i="3"/>
  <c r="T122" i="3"/>
  <c r="D123" i="3"/>
  <c r="M123" i="3"/>
  <c r="E124" i="3"/>
  <c r="N124" i="3"/>
  <c r="F125" i="3"/>
  <c r="P125" i="3"/>
  <c r="H126" i="3"/>
  <c r="Q126" i="3"/>
  <c r="I127" i="3"/>
  <c r="R127" i="3"/>
  <c r="B128" i="3"/>
  <c r="K128" i="3"/>
  <c r="T128" i="3"/>
  <c r="C129" i="3"/>
  <c r="L129" i="3"/>
  <c r="U129" i="3"/>
  <c r="I130" i="3"/>
  <c r="R130" i="3"/>
  <c r="J131" i="3"/>
  <c r="S131" i="3"/>
  <c r="B132" i="3"/>
  <c r="K132" i="3"/>
  <c r="U132" i="3"/>
  <c r="D133" i="3"/>
  <c r="M133" i="3"/>
  <c r="E134" i="3"/>
  <c r="N134" i="3"/>
  <c r="G135" i="3"/>
  <c r="P135" i="3"/>
  <c r="H136" i="3"/>
  <c r="Q136" i="3"/>
  <c r="I137" i="3"/>
  <c r="Q137" i="3"/>
  <c r="G138" i="3"/>
  <c r="O138" i="3"/>
  <c r="E139" i="3"/>
  <c r="M139" i="3"/>
  <c r="U139" i="3"/>
  <c r="C140" i="3"/>
  <c r="K140" i="3"/>
  <c r="S140" i="3"/>
  <c r="I141" i="3"/>
  <c r="Q141" i="3"/>
  <c r="B142" i="3"/>
  <c r="P15" i="3"/>
  <c r="G19" i="3"/>
  <c r="O24" i="3"/>
  <c r="I27" i="3"/>
  <c r="U29" i="3"/>
  <c r="F31" i="3"/>
  <c r="P32" i="3"/>
  <c r="D35" i="3"/>
  <c r="O36" i="3"/>
  <c r="J39" i="3"/>
  <c r="U40" i="3"/>
  <c r="E42" i="3"/>
  <c r="P43" i="3"/>
  <c r="D46" i="3"/>
  <c r="N47" i="3"/>
  <c r="J50" i="3"/>
  <c r="T51" i="3"/>
  <c r="E53" i="3"/>
  <c r="O54" i="3"/>
  <c r="W57" i="3"/>
  <c r="N58" i="3"/>
  <c r="M59" i="3"/>
  <c r="K60" i="3"/>
  <c r="I61" i="3"/>
  <c r="H62" i="3"/>
  <c r="F63" i="3"/>
  <c r="B64" i="3"/>
  <c r="R65" i="3"/>
  <c r="M66" i="3"/>
  <c r="F67" i="3"/>
  <c r="Q68" i="3"/>
  <c r="I69" i="3"/>
  <c r="M70" i="3"/>
  <c r="E71" i="3"/>
  <c r="P72" i="3"/>
  <c r="H73" i="3"/>
  <c r="R74" i="3"/>
  <c r="K75" i="3"/>
  <c r="C76" i="3"/>
  <c r="U76" i="3"/>
  <c r="N77" i="3"/>
  <c r="F78" i="3"/>
  <c r="P79" i="3"/>
  <c r="I80" i="3"/>
  <c r="S81" i="3"/>
  <c r="E82" i="3"/>
  <c r="O83" i="3"/>
  <c r="G84" i="3"/>
  <c r="R85" i="3"/>
  <c r="J86" i="3"/>
  <c r="C87" i="3"/>
  <c r="U87" i="3"/>
  <c r="M88" i="3"/>
  <c r="E89" i="3"/>
  <c r="P90" i="3"/>
  <c r="H91" i="3"/>
  <c r="S92" i="3"/>
  <c r="K93" i="3"/>
  <c r="Q94" i="3"/>
  <c r="I95" i="3"/>
  <c r="T96" i="3"/>
  <c r="L97" i="3"/>
  <c r="D98" i="3"/>
  <c r="O99" i="3"/>
  <c r="G100" i="3"/>
  <c r="R101" i="3"/>
  <c r="J102" i="3"/>
  <c r="B103" i="3"/>
  <c r="T103" i="3"/>
  <c r="M104" i="3"/>
  <c r="E105" i="3"/>
  <c r="K106" i="3"/>
  <c r="C107" i="3"/>
  <c r="U107" i="3"/>
  <c r="M108" i="3"/>
  <c r="F109" i="3"/>
  <c r="P110" i="3"/>
  <c r="I111" i="3"/>
  <c r="S112" i="3"/>
  <c r="K113" i="3"/>
  <c r="D114" i="3"/>
  <c r="N115" i="3"/>
  <c r="G116" i="3"/>
  <c r="Q117" i="3"/>
  <c r="D118" i="3"/>
  <c r="O119" i="3"/>
  <c r="G120" i="3"/>
  <c r="R121" i="3"/>
  <c r="J122" i="3"/>
  <c r="B123" i="3"/>
  <c r="U123" i="3"/>
  <c r="M124" i="3"/>
  <c r="E125" i="3"/>
  <c r="P126" i="3"/>
  <c r="H127" i="3"/>
  <c r="S128" i="3"/>
  <c r="K129" i="3"/>
  <c r="Q130" i="3"/>
  <c r="I131" i="3"/>
  <c r="Q132" i="3"/>
  <c r="F133" i="3"/>
  <c r="Q133" i="3"/>
  <c r="D134" i="3"/>
  <c r="Q134" i="3"/>
  <c r="B135" i="3"/>
  <c r="O135" i="3"/>
  <c r="M136" i="3"/>
  <c r="K137" i="3"/>
  <c r="U137" i="3"/>
  <c r="F138" i="3"/>
  <c r="Q138" i="3"/>
  <c r="L139" i="3"/>
  <c r="G140" i="3"/>
  <c r="R140" i="3"/>
  <c r="C141" i="3"/>
  <c r="M141" i="3"/>
  <c r="D142" i="3"/>
  <c r="M142" i="3"/>
  <c r="E143" i="3"/>
  <c r="O143" i="3"/>
  <c r="G144" i="3"/>
  <c r="P144" i="3"/>
  <c r="H145" i="3"/>
  <c r="Q145" i="3"/>
  <c r="J146" i="3"/>
  <c r="S146" i="3"/>
  <c r="B147" i="3"/>
  <c r="K147" i="3"/>
  <c r="T147" i="3"/>
  <c r="C148" i="3"/>
  <c r="M148" i="3"/>
  <c r="E149" i="3"/>
  <c r="N149" i="3"/>
  <c r="F150" i="3"/>
  <c r="N150" i="3"/>
  <c r="D151" i="3"/>
  <c r="L151" i="3"/>
  <c r="T151" i="3"/>
  <c r="B152" i="3"/>
  <c r="J152" i="3"/>
  <c r="R152" i="3"/>
  <c r="H153" i="3"/>
  <c r="P153" i="3"/>
  <c r="I154" i="3"/>
  <c r="Q154" i="3"/>
  <c r="G155" i="3"/>
  <c r="O155" i="3"/>
  <c r="E156" i="3"/>
  <c r="M156" i="3"/>
  <c r="U156" i="3"/>
  <c r="C157" i="3"/>
  <c r="K157" i="3"/>
  <c r="S157" i="3"/>
  <c r="I158" i="3"/>
  <c r="Q158" i="3"/>
  <c r="G159" i="3"/>
  <c r="O159" i="3"/>
  <c r="E160" i="3"/>
  <c r="M160" i="3"/>
  <c r="U160" i="3"/>
  <c r="C161" i="3"/>
  <c r="K161" i="3"/>
  <c r="S161" i="3"/>
  <c r="I162" i="3"/>
  <c r="Q162" i="3"/>
  <c r="G163" i="3"/>
  <c r="O163" i="3"/>
  <c r="E164" i="3"/>
  <c r="M164" i="3"/>
  <c r="U164" i="3"/>
  <c r="C165" i="3"/>
  <c r="K165" i="3"/>
  <c r="S165" i="3"/>
  <c r="D166" i="3"/>
  <c r="L166" i="3"/>
  <c r="T166" i="3"/>
  <c r="B167" i="3"/>
  <c r="J167" i="3"/>
  <c r="R167" i="3"/>
  <c r="H168" i="3"/>
  <c r="P168" i="3"/>
  <c r="F169" i="3"/>
  <c r="N169" i="3"/>
  <c r="D170" i="3"/>
  <c r="L170" i="3"/>
  <c r="T170" i="3"/>
  <c r="B171" i="3"/>
  <c r="J171" i="3"/>
  <c r="R171" i="3"/>
  <c r="H172" i="3"/>
  <c r="P172" i="3"/>
  <c r="F173" i="3"/>
  <c r="N173" i="3"/>
  <c r="D174" i="3"/>
  <c r="L174" i="3"/>
  <c r="T174" i="3"/>
  <c r="B175" i="3"/>
  <c r="J175" i="3"/>
  <c r="R175" i="3"/>
  <c r="H176" i="3"/>
  <c r="P176" i="3"/>
  <c r="F177" i="3"/>
  <c r="N177" i="3"/>
  <c r="G178" i="3"/>
  <c r="O178" i="3"/>
  <c r="E179" i="3"/>
  <c r="M179" i="3"/>
  <c r="U179" i="3"/>
  <c r="C180" i="3"/>
  <c r="K180" i="3"/>
  <c r="S180" i="3"/>
  <c r="I181" i="3"/>
  <c r="Q181" i="3"/>
  <c r="G182" i="3"/>
  <c r="O182" i="3"/>
  <c r="E183" i="3"/>
  <c r="M183" i="3"/>
  <c r="U183" i="3"/>
  <c r="C184" i="3"/>
  <c r="K184" i="3"/>
  <c r="S184" i="3"/>
  <c r="I185" i="3"/>
  <c r="Q185" i="3"/>
  <c r="G186" i="3"/>
  <c r="O186" i="3"/>
  <c r="E187" i="3"/>
  <c r="M187" i="3"/>
  <c r="U187" i="3"/>
  <c r="C188" i="3"/>
  <c r="K188" i="3"/>
  <c r="S188" i="3"/>
  <c r="I189" i="3"/>
  <c r="Q189" i="3"/>
  <c r="B190" i="3"/>
  <c r="J190" i="3"/>
  <c r="R190" i="3"/>
  <c r="H191" i="3"/>
  <c r="P191" i="3"/>
  <c r="F192" i="3"/>
  <c r="N192" i="3"/>
  <c r="D193" i="3"/>
  <c r="L193" i="3"/>
  <c r="T193" i="3"/>
  <c r="B194" i="3"/>
  <c r="J194" i="3"/>
  <c r="R194" i="3"/>
  <c r="H195" i="3"/>
  <c r="P195" i="3"/>
  <c r="F196" i="3"/>
  <c r="N196" i="3"/>
  <c r="F12" i="3"/>
  <c r="K19" i="3"/>
  <c r="B22" i="3"/>
  <c r="Q27" i="3"/>
  <c r="I31" i="3"/>
  <c r="T32" i="3"/>
  <c r="H35" i="3"/>
  <c r="R36" i="3"/>
  <c r="C38" i="3"/>
  <c r="M39" i="3"/>
  <c r="I42" i="3"/>
  <c r="S43" i="3"/>
  <c r="D45" i="3"/>
  <c r="G46" i="3"/>
  <c r="R47" i="3"/>
  <c r="B49" i="3"/>
  <c r="M50" i="3"/>
  <c r="H53" i="3"/>
  <c r="S54" i="3"/>
  <c r="C56" i="3"/>
  <c r="Q58" i="3"/>
  <c r="O59" i="3"/>
  <c r="O60" i="3"/>
  <c r="M61" i="3"/>
  <c r="K62" i="3"/>
  <c r="J63" i="3"/>
  <c r="D64" i="3"/>
  <c r="U65" i="3"/>
  <c r="O66" i="3"/>
  <c r="I67" i="3"/>
  <c r="S68" i="3"/>
  <c r="K69" i="3"/>
  <c r="O70" i="3"/>
  <c r="G71" i="3"/>
  <c r="R72" i="3"/>
  <c r="J73" i="3"/>
  <c r="B74" i="3"/>
  <c r="U74" i="3"/>
  <c r="M75" i="3"/>
  <c r="E76" i="3"/>
  <c r="P77" i="3"/>
  <c r="H78" i="3"/>
  <c r="S79" i="3"/>
  <c r="K80" i="3"/>
  <c r="C81" i="3"/>
  <c r="G82" i="3"/>
  <c r="Q83" i="3"/>
  <c r="J84" i="3"/>
  <c r="B85" i="3"/>
  <c r="T85" i="3"/>
  <c r="M86" i="3"/>
  <c r="E87" i="3"/>
  <c r="O88" i="3"/>
  <c r="H89" i="3"/>
  <c r="R90" i="3"/>
  <c r="K91" i="3"/>
  <c r="C92" i="3"/>
  <c r="U92" i="3"/>
  <c r="M93" i="3"/>
  <c r="S94" i="3"/>
  <c r="K95" i="3"/>
  <c r="D96" i="3"/>
  <c r="N97" i="3"/>
  <c r="F98" i="3"/>
  <c r="Q99" i="3"/>
  <c r="I100" i="3"/>
  <c r="B101" i="3"/>
  <c r="T101" i="3"/>
  <c r="L102" i="3"/>
  <c r="D103" i="3"/>
  <c r="O104" i="3"/>
  <c r="G105" i="3"/>
  <c r="M106" i="3"/>
  <c r="E107" i="3"/>
  <c r="P108" i="3"/>
  <c r="H109" i="3"/>
  <c r="S110" i="3"/>
  <c r="K111" i="3"/>
  <c r="C112" i="3"/>
  <c r="U112" i="3"/>
  <c r="N113" i="3"/>
  <c r="F114" i="3"/>
  <c r="Q115" i="3"/>
  <c r="I116" i="3"/>
  <c r="S117" i="3"/>
  <c r="G118" i="3"/>
  <c r="Q119" i="3"/>
  <c r="J120" i="3"/>
  <c r="B121" i="3"/>
  <c r="T121" i="3"/>
  <c r="L122" i="3"/>
  <c r="E123" i="3"/>
  <c r="O124" i="3"/>
  <c r="H125" i="3"/>
  <c r="R126" i="3"/>
  <c r="J127" i="3"/>
  <c r="C128" i="3"/>
  <c r="U128" i="3"/>
  <c r="M129" i="3"/>
  <c r="S130" i="3"/>
  <c r="K131" i="3"/>
  <c r="C132" i="3"/>
  <c r="S132" i="3"/>
  <c r="G133" i="3"/>
  <c r="S133" i="3"/>
  <c r="F134" i="3"/>
  <c r="R134" i="3"/>
  <c r="C135" i="3"/>
  <c r="Q135" i="3"/>
  <c r="B136" i="3"/>
  <c r="N136" i="3"/>
  <c r="L137" i="3"/>
  <c r="H138" i="3"/>
  <c r="R138" i="3"/>
  <c r="B139" i="3"/>
  <c r="N139" i="3"/>
  <c r="H140" i="3"/>
  <c r="T140" i="3"/>
  <c r="D141" i="3"/>
  <c r="N141" i="3"/>
  <c r="E142" i="3"/>
  <c r="N142" i="3"/>
  <c r="G143" i="3"/>
  <c r="P143" i="3"/>
  <c r="H144" i="3"/>
  <c r="Q144" i="3"/>
  <c r="I145" i="3"/>
  <c r="S145" i="3"/>
  <c r="B146" i="3"/>
  <c r="K146" i="3"/>
  <c r="T146" i="3"/>
  <c r="C147" i="3"/>
  <c r="L147" i="3"/>
  <c r="U147" i="3"/>
  <c r="E148" i="3"/>
  <c r="N148" i="3"/>
  <c r="F149" i="3"/>
  <c r="O149" i="3"/>
  <c r="G150" i="3"/>
  <c r="O150" i="3"/>
  <c r="E151" i="3"/>
  <c r="M151" i="3"/>
  <c r="U151" i="3"/>
  <c r="C152" i="3"/>
  <c r="K152" i="3"/>
  <c r="S152" i="3"/>
  <c r="I153" i="3"/>
  <c r="Q153" i="3"/>
  <c r="B154" i="3"/>
  <c r="J154" i="3"/>
  <c r="R154" i="3"/>
  <c r="H155" i="3"/>
  <c r="P155" i="3"/>
  <c r="F156" i="3"/>
  <c r="N156" i="3"/>
  <c r="D157" i="3"/>
  <c r="L157" i="3"/>
  <c r="T157" i="3"/>
  <c r="B158" i="3"/>
  <c r="J158" i="3"/>
  <c r="R158" i="3"/>
  <c r="H159" i="3"/>
  <c r="P159" i="3"/>
  <c r="F160" i="3"/>
  <c r="N160" i="3"/>
  <c r="D161" i="3"/>
  <c r="L161" i="3"/>
  <c r="T161" i="3"/>
  <c r="B162" i="3"/>
  <c r="J162" i="3"/>
  <c r="R162" i="3"/>
  <c r="H163" i="3"/>
  <c r="P163" i="3"/>
  <c r="F164" i="3"/>
  <c r="N164" i="3"/>
  <c r="D165" i="3"/>
  <c r="L165" i="3"/>
  <c r="T165" i="3"/>
  <c r="E166" i="3"/>
  <c r="M166" i="3"/>
  <c r="U166" i="3"/>
  <c r="C167" i="3"/>
  <c r="K167" i="3"/>
  <c r="S167" i="3"/>
  <c r="I168" i="3"/>
  <c r="Q168" i="3"/>
  <c r="G169" i="3"/>
  <c r="O169" i="3"/>
  <c r="E170" i="3"/>
  <c r="M170" i="3"/>
  <c r="U170" i="3"/>
  <c r="C171" i="3"/>
  <c r="K171" i="3"/>
  <c r="S171" i="3"/>
  <c r="I172" i="3"/>
  <c r="Q172" i="3"/>
  <c r="G173" i="3"/>
  <c r="O173" i="3"/>
  <c r="E174" i="3"/>
  <c r="M174" i="3"/>
  <c r="U174" i="3"/>
  <c r="C175" i="3"/>
  <c r="K175" i="3"/>
  <c r="S175" i="3"/>
  <c r="I176" i="3"/>
  <c r="Q176" i="3"/>
  <c r="G177" i="3"/>
  <c r="O177" i="3"/>
  <c r="H178" i="3"/>
  <c r="P178" i="3"/>
  <c r="F179" i="3"/>
  <c r="N179" i="3"/>
  <c r="D180" i="3"/>
  <c r="L180" i="3"/>
  <c r="T180" i="3"/>
  <c r="B181" i="3"/>
  <c r="J181" i="3"/>
  <c r="R181" i="3"/>
  <c r="H182" i="3"/>
  <c r="P182" i="3"/>
  <c r="F183" i="3"/>
  <c r="N183" i="3"/>
  <c r="D184" i="3"/>
  <c r="L184" i="3"/>
  <c r="T184" i="3"/>
  <c r="B185" i="3"/>
  <c r="J185" i="3"/>
  <c r="R185" i="3"/>
  <c r="H186" i="3"/>
  <c r="P186" i="3"/>
  <c r="F187" i="3"/>
  <c r="N187" i="3"/>
  <c r="D188" i="3"/>
  <c r="L188" i="3"/>
  <c r="T188" i="3"/>
  <c r="B189" i="3"/>
  <c r="J189" i="3"/>
  <c r="R189" i="3"/>
  <c r="C190" i="3"/>
  <c r="K190" i="3"/>
  <c r="S190" i="3"/>
  <c r="I191" i="3"/>
  <c r="Q191" i="3"/>
  <c r="G192" i="3"/>
  <c r="O192" i="3"/>
  <c r="E193" i="3"/>
  <c r="M193" i="3"/>
  <c r="U193" i="3"/>
  <c r="C194" i="3"/>
  <c r="K194" i="3"/>
  <c r="S194" i="3"/>
  <c r="I195" i="3"/>
  <c r="Q195" i="3"/>
  <c r="G196" i="3"/>
  <c r="Q16" i="3"/>
  <c r="N22" i="3"/>
  <c r="H25" i="3"/>
  <c r="F28" i="3"/>
  <c r="E30" i="3"/>
  <c r="P31" i="3"/>
  <c r="D34" i="3"/>
  <c r="O35" i="3"/>
  <c r="J38" i="3"/>
  <c r="T39" i="3"/>
  <c r="E41" i="3"/>
  <c r="O42" i="3"/>
  <c r="K45" i="3"/>
  <c r="N46" i="3"/>
  <c r="I49" i="3"/>
  <c r="T50" i="3"/>
  <c r="D52" i="3"/>
  <c r="O53" i="3"/>
  <c r="H56" i="3"/>
  <c r="G57" i="3"/>
  <c r="U59" i="3"/>
  <c r="R60" i="3"/>
  <c r="Q61" i="3"/>
  <c r="P62" i="3"/>
  <c r="M63" i="3"/>
  <c r="I64" i="3"/>
  <c r="C65" i="3"/>
  <c r="T66" i="3"/>
  <c r="L67" i="3"/>
  <c r="D68" i="3"/>
  <c r="O69" i="3"/>
  <c r="R70" i="3"/>
  <c r="K71" i="3"/>
  <c r="C72" i="3"/>
  <c r="U72" i="3"/>
  <c r="N73" i="3"/>
  <c r="F74" i="3"/>
  <c r="P75" i="3"/>
  <c r="I76" i="3"/>
  <c r="S77" i="3"/>
  <c r="L78" i="3"/>
  <c r="D79" i="3"/>
  <c r="N80" i="3"/>
  <c r="G81" i="3"/>
  <c r="J82" i="3"/>
  <c r="C83" i="3"/>
  <c r="U83" i="3"/>
  <c r="M84" i="3"/>
  <c r="E85" i="3"/>
  <c r="P86" i="3"/>
  <c r="H87" i="3"/>
  <c r="S88" i="3"/>
  <c r="K89" i="3"/>
  <c r="C90" i="3"/>
  <c r="N91" i="3"/>
  <c r="F92" i="3"/>
  <c r="Q93" i="3"/>
  <c r="D94" i="3"/>
  <c r="O95" i="3"/>
  <c r="G96" i="3"/>
  <c r="R97" i="3"/>
  <c r="J98" i="3"/>
  <c r="B99" i="3"/>
  <c r="T99" i="3"/>
  <c r="M100" i="3"/>
  <c r="E101" i="3"/>
  <c r="P102" i="3"/>
  <c r="H103" i="3"/>
  <c r="R104" i="3"/>
  <c r="K105" i="3"/>
  <c r="P106" i="3"/>
  <c r="I107" i="3"/>
  <c r="S108" i="3"/>
  <c r="K109" i="3"/>
  <c r="D110" i="3"/>
  <c r="N111" i="3"/>
  <c r="G112" i="3"/>
  <c r="Q113" i="3"/>
  <c r="I114" i="3"/>
  <c r="T13" i="3"/>
  <c r="L17" i="3"/>
  <c r="O20" i="3"/>
  <c r="D23" i="3"/>
  <c r="M30" i="3"/>
  <c r="H33" i="3"/>
  <c r="L34" i="3"/>
  <c r="G37" i="3"/>
  <c r="R38" i="3"/>
  <c r="B40" i="3"/>
  <c r="V40" i="3" s="1"/>
  <c r="M41" i="3"/>
  <c r="H44" i="3"/>
  <c r="S45" i="3"/>
  <c r="G48" i="3"/>
  <c r="Q49" i="3"/>
  <c r="B51" i="3"/>
  <c r="L52" i="3"/>
  <c r="H55" i="3"/>
  <c r="L56" i="3"/>
  <c r="J57" i="3"/>
  <c r="C58" i="3"/>
  <c r="T62" i="3"/>
  <c r="R63" i="3"/>
  <c r="L64" i="3"/>
  <c r="G65" i="3"/>
  <c r="C66" i="3"/>
  <c r="O67" i="3"/>
  <c r="H68" i="3"/>
  <c r="R69" i="3"/>
  <c r="D70" i="3"/>
  <c r="N71" i="3"/>
  <c r="F72" i="3"/>
  <c r="Q73" i="3"/>
  <c r="I74" i="3"/>
  <c r="B75" i="3"/>
  <c r="T75" i="3"/>
  <c r="L76" i="3"/>
  <c r="D77" i="3"/>
  <c r="O78" i="3"/>
  <c r="G79" i="3"/>
  <c r="R80" i="3"/>
  <c r="J81" i="3"/>
  <c r="N82" i="3"/>
  <c r="F83" i="3"/>
  <c r="Q84" i="3"/>
  <c r="I85" i="3"/>
  <c r="S86" i="3"/>
  <c r="L87" i="3"/>
  <c r="D88" i="3"/>
  <c r="O89" i="3"/>
  <c r="G90" i="3"/>
  <c r="Q91" i="3"/>
  <c r="J92" i="3"/>
  <c r="B93" i="3"/>
  <c r="T93" i="3"/>
  <c r="H94" i="3"/>
  <c r="R95" i="3"/>
  <c r="J96" i="3"/>
  <c r="C97" i="3"/>
  <c r="U97" i="3"/>
  <c r="M98" i="3"/>
  <c r="F99" i="3"/>
  <c r="P100" i="3"/>
  <c r="H101" i="3"/>
  <c r="S102" i="3"/>
  <c r="K103" i="3"/>
  <c r="D104" i="3"/>
  <c r="N105" i="3"/>
  <c r="T106" i="3"/>
  <c r="L107" i="3"/>
  <c r="D108" i="3"/>
  <c r="O109" i="3"/>
  <c r="G110" i="3"/>
  <c r="R111" i="3"/>
  <c r="J112" i="3"/>
  <c r="B113" i="3"/>
  <c r="U113" i="3"/>
  <c r="M114" i="3"/>
  <c r="E115" i="3"/>
  <c r="P116" i="3"/>
  <c r="H117" i="3"/>
  <c r="N118" i="3"/>
  <c r="F119" i="3"/>
  <c r="P120" i="3"/>
  <c r="I121" i="3"/>
  <c r="S122" i="3"/>
  <c r="L123" i="3"/>
  <c r="D124" i="3"/>
  <c r="N125" i="3"/>
  <c r="G126" i="3"/>
  <c r="Q127" i="3"/>
  <c r="J128" i="3"/>
  <c r="B129" i="3"/>
  <c r="T129" i="3"/>
  <c r="G130" i="3"/>
  <c r="R131" i="3"/>
  <c r="J132" i="3"/>
  <c r="O11" i="3"/>
  <c r="U14" i="3"/>
  <c r="M18" i="3"/>
  <c r="K21" i="3"/>
  <c r="S26" i="3"/>
  <c r="L29" i="3"/>
  <c r="H32" i="3"/>
  <c r="S33" i="3"/>
  <c r="G36" i="3"/>
  <c r="Q37" i="3"/>
  <c r="B39" i="3"/>
  <c r="M40" i="3"/>
  <c r="H43" i="3"/>
  <c r="R44" i="3"/>
  <c r="F47" i="3"/>
  <c r="Q48" i="3"/>
  <c r="B50" i="3"/>
  <c r="V50" i="3" s="1"/>
  <c r="L51" i="3"/>
  <c r="G54" i="3"/>
  <c r="R55" i="3"/>
  <c r="S56" i="3"/>
  <c r="R57" i="3"/>
  <c r="K58" i="3"/>
  <c r="G59" i="3"/>
  <c r="G60" i="3"/>
  <c r="F61" i="3"/>
  <c r="C62" i="3"/>
  <c r="B63" i="3"/>
  <c r="S64" i="3"/>
  <c r="N65" i="3"/>
  <c r="H66" i="3"/>
  <c r="C67" i="3"/>
  <c r="U67" i="3"/>
  <c r="M68" i="3"/>
  <c r="F69" i="3"/>
  <c r="I70" i="3"/>
  <c r="B71" i="3"/>
  <c r="T71" i="3"/>
  <c r="L72" i="3"/>
  <c r="D73" i="3"/>
  <c r="O74" i="3"/>
  <c r="G75" i="3"/>
  <c r="R76" i="3"/>
  <c r="J77" i="3"/>
  <c r="B78" i="3"/>
  <c r="U78" i="3"/>
  <c r="M79" i="3"/>
  <c r="E80" i="3"/>
  <c r="P81" i="3"/>
  <c r="S82" i="3"/>
  <c r="L83" i="3"/>
  <c r="D84" i="3"/>
  <c r="O85" i="3"/>
  <c r="G86" i="3"/>
  <c r="Q87" i="3"/>
  <c r="J88" i="3"/>
  <c r="B89" i="3"/>
  <c r="V89" i="3" s="1"/>
  <c r="T89" i="3"/>
  <c r="M90" i="3"/>
  <c r="E91" i="3"/>
  <c r="O92" i="3"/>
  <c r="H93" i="3"/>
  <c r="M94" i="3"/>
  <c r="F95" i="3"/>
  <c r="P96" i="3"/>
  <c r="H97" i="3"/>
  <c r="S98" i="3"/>
  <c r="K99" i="3"/>
  <c r="D100" i="3"/>
  <c r="N101" i="3"/>
  <c r="F102" i="3"/>
  <c r="Q103" i="3"/>
  <c r="I104" i="3"/>
  <c r="B105" i="3"/>
  <c r="T105" i="3"/>
  <c r="G106" i="3"/>
  <c r="R107" i="3"/>
  <c r="J108" i="3"/>
  <c r="B109" i="3"/>
  <c r="U109" i="3"/>
  <c r="M110" i="3"/>
  <c r="E111" i="3"/>
  <c r="P112" i="3"/>
  <c r="H113" i="3"/>
  <c r="S114" i="3"/>
  <c r="K115" i="3"/>
  <c r="C116" i="3"/>
  <c r="U116" i="3"/>
  <c r="N117" i="3"/>
  <c r="S118" i="3"/>
  <c r="L119" i="3"/>
  <c r="D120" i="3"/>
  <c r="N121" i="3"/>
  <c r="G122" i="3"/>
  <c r="Q123" i="3"/>
  <c r="J124" i="3"/>
  <c r="B125" i="3"/>
  <c r="T125" i="3"/>
  <c r="L126" i="3"/>
  <c r="E127" i="3"/>
  <c r="O128" i="3"/>
  <c r="H129" i="3"/>
  <c r="M130" i="3"/>
  <c r="E131" i="3"/>
  <c r="O132" i="3"/>
  <c r="C133" i="3"/>
  <c r="O133" i="3"/>
  <c r="M134" i="3"/>
  <c r="K135" i="3"/>
  <c r="J136" i="3"/>
  <c r="H137" i="3"/>
  <c r="S137" i="3"/>
  <c r="C138" i="3"/>
  <c r="N138" i="3"/>
  <c r="I139" i="3"/>
  <c r="T139" i="3"/>
  <c r="E140" i="3"/>
  <c r="O140" i="3"/>
  <c r="K141" i="3"/>
  <c r="U141" i="3"/>
  <c r="K142" i="3"/>
  <c r="T142" i="3"/>
  <c r="C143" i="3"/>
  <c r="L143" i="3"/>
  <c r="U143" i="3"/>
  <c r="E144" i="3"/>
  <c r="N144" i="3"/>
  <c r="F145" i="3"/>
  <c r="O145" i="3"/>
  <c r="G146" i="3"/>
  <c r="Q146" i="3"/>
  <c r="I147" i="3"/>
  <c r="R147" i="3"/>
  <c r="J148" i="3"/>
  <c r="S148" i="3"/>
  <c r="C149" i="3"/>
  <c r="L149" i="3"/>
  <c r="U149" i="3"/>
  <c r="D150" i="3"/>
  <c r="L150" i="3"/>
  <c r="T150" i="3"/>
  <c r="B151" i="3"/>
  <c r="J151" i="3"/>
  <c r="R151" i="3"/>
  <c r="H152" i="3"/>
  <c r="P152" i="3"/>
  <c r="F153" i="3"/>
  <c r="N153" i="3"/>
  <c r="G154" i="3"/>
  <c r="O154" i="3"/>
  <c r="E155" i="3"/>
  <c r="M155" i="3"/>
  <c r="U155" i="3"/>
  <c r="C156" i="3"/>
  <c r="K156" i="3"/>
  <c r="S156" i="3"/>
  <c r="I157" i="3"/>
  <c r="Q157" i="3"/>
  <c r="G158" i="3"/>
  <c r="O158" i="3"/>
  <c r="E159" i="3"/>
  <c r="M159" i="3"/>
  <c r="U159" i="3"/>
  <c r="C160" i="3"/>
  <c r="K160" i="3"/>
  <c r="S160" i="3"/>
  <c r="I161" i="3"/>
  <c r="Q161" i="3"/>
  <c r="G162" i="3"/>
  <c r="O162" i="3"/>
  <c r="E163" i="3"/>
  <c r="M163" i="3"/>
  <c r="U163" i="3"/>
  <c r="C164" i="3"/>
  <c r="K164" i="3"/>
  <c r="S164" i="3"/>
  <c r="I165" i="3"/>
  <c r="Q165" i="3"/>
  <c r="B166" i="3"/>
  <c r="J166" i="3"/>
  <c r="R166" i="3"/>
  <c r="H167" i="3"/>
  <c r="P167" i="3"/>
  <c r="F168" i="3"/>
  <c r="N168" i="3"/>
  <c r="D169" i="3"/>
  <c r="L169" i="3"/>
  <c r="T169" i="3"/>
  <c r="B170" i="3"/>
  <c r="J170" i="3"/>
  <c r="R170" i="3"/>
  <c r="H171" i="3"/>
  <c r="P171" i="3"/>
  <c r="F172" i="3"/>
  <c r="N172" i="3"/>
  <c r="D173" i="3"/>
  <c r="L173" i="3"/>
  <c r="T173" i="3"/>
  <c r="B174" i="3"/>
  <c r="J174" i="3"/>
  <c r="R174" i="3"/>
  <c r="H175" i="3"/>
  <c r="P175" i="3"/>
  <c r="F176" i="3"/>
  <c r="N176" i="3"/>
  <c r="D177" i="3"/>
  <c r="L177" i="3"/>
  <c r="T177" i="3"/>
  <c r="E178" i="3"/>
  <c r="M178" i="3"/>
  <c r="U178" i="3"/>
  <c r="C179" i="3"/>
  <c r="K179" i="3"/>
  <c r="S179" i="3"/>
  <c r="I180" i="3"/>
  <c r="Q180" i="3"/>
  <c r="G181" i="3"/>
  <c r="O181" i="3"/>
  <c r="E182" i="3"/>
  <c r="M182" i="3"/>
  <c r="U182" i="3"/>
  <c r="C183" i="3"/>
  <c r="K183" i="3"/>
  <c r="S183" i="3"/>
  <c r="I184" i="3"/>
  <c r="Q184" i="3"/>
  <c r="G185" i="3"/>
  <c r="O185" i="3"/>
  <c r="E186" i="3"/>
  <c r="M186" i="3"/>
  <c r="U186" i="3"/>
  <c r="C187" i="3"/>
  <c r="K187" i="3"/>
  <c r="S187" i="3"/>
  <c r="I188" i="3"/>
  <c r="Q188" i="3"/>
  <c r="G189" i="3"/>
  <c r="O189" i="3"/>
  <c r="H190" i="3"/>
  <c r="P190" i="3"/>
  <c r="F191" i="3"/>
  <c r="N191" i="3"/>
  <c r="D192" i="3"/>
  <c r="L192" i="3"/>
  <c r="T192" i="3"/>
  <c r="B193" i="3"/>
  <c r="J193" i="3"/>
  <c r="R193" i="3"/>
  <c r="H194" i="3"/>
  <c r="P194" i="3"/>
  <c r="F195" i="3"/>
  <c r="N195" i="3"/>
  <c r="D196" i="3"/>
  <c r="L196" i="3"/>
  <c r="T196" i="3"/>
  <c r="B197" i="3"/>
  <c r="J197" i="3"/>
  <c r="R197" i="3"/>
  <c r="H198" i="3"/>
  <c r="P198" i="3"/>
  <c r="F199" i="3"/>
  <c r="N199" i="3"/>
  <c r="D200" i="3"/>
  <c r="L200" i="3"/>
  <c r="T200" i="3"/>
  <c r="B201" i="3"/>
  <c r="J201" i="3"/>
  <c r="R201" i="3"/>
  <c r="C202" i="3"/>
  <c r="K202" i="3"/>
  <c r="S202" i="3"/>
  <c r="I203" i="3"/>
  <c r="Q203" i="3"/>
  <c r="G204" i="3"/>
  <c r="O204" i="3"/>
  <c r="E205" i="3"/>
  <c r="M205" i="3"/>
  <c r="U205" i="3"/>
  <c r="C206" i="3"/>
  <c r="K206" i="3"/>
  <c r="S206" i="3"/>
  <c r="I207" i="3"/>
  <c r="Q207" i="3"/>
  <c r="G208" i="3"/>
  <c r="O208" i="3"/>
  <c r="E209" i="3"/>
  <c r="M209" i="3"/>
  <c r="U209" i="3"/>
  <c r="C210" i="3"/>
  <c r="K210" i="3"/>
  <c r="S210" i="3"/>
  <c r="H11" i="3"/>
  <c r="R18" i="3"/>
  <c r="F26" i="3"/>
  <c r="R31" i="3"/>
  <c r="U38" i="3"/>
  <c r="R42" i="3"/>
  <c r="U49" i="3"/>
  <c r="Q53" i="3"/>
  <c r="D59" i="3"/>
  <c r="R61" i="3"/>
  <c r="E66" i="3"/>
  <c r="E68" i="3"/>
  <c r="P71" i="3"/>
  <c r="O73" i="3"/>
  <c r="H75" i="3"/>
  <c r="G77" i="3"/>
  <c r="E79" i="3"/>
  <c r="P82" i="3"/>
  <c r="N84" i="3"/>
  <c r="H86" i="3"/>
  <c r="F88" i="3"/>
  <c r="E90" i="3"/>
  <c r="P95" i="3"/>
  <c r="J97" i="3"/>
  <c r="H99" i="3"/>
  <c r="F101" i="3"/>
  <c r="Q106" i="3"/>
  <c r="K108" i="3"/>
  <c r="I110" i="3"/>
  <c r="H112" i="3"/>
  <c r="T115" i="3"/>
  <c r="E117" i="3"/>
  <c r="J118" i="3"/>
  <c r="U119" i="3"/>
  <c r="E121" i="3"/>
  <c r="P122" i="3"/>
  <c r="K125" i="3"/>
  <c r="F128" i="3"/>
  <c r="Q129" i="3"/>
  <c r="G132" i="3"/>
  <c r="H133" i="3"/>
  <c r="T134" i="3"/>
  <c r="L135" i="3"/>
  <c r="G136" i="3"/>
  <c r="C137" i="3"/>
  <c r="R137" i="3"/>
  <c r="J138" i="3"/>
  <c r="Q139" i="3"/>
  <c r="J140" i="3"/>
  <c r="R141" i="3"/>
  <c r="C142" i="3"/>
  <c r="R142" i="3"/>
  <c r="H143" i="3"/>
  <c r="T143" i="3"/>
  <c r="J144" i="3"/>
  <c r="M145" i="3"/>
  <c r="C146" i="3"/>
  <c r="O146" i="3"/>
  <c r="E147" i="3"/>
  <c r="S147" i="3"/>
  <c r="H148" i="3"/>
  <c r="K149" i="3"/>
  <c r="M150" i="3"/>
  <c r="N151" i="3"/>
  <c r="M152" i="3"/>
  <c r="L153" i="3"/>
  <c r="F154" i="3"/>
  <c r="T154" i="3"/>
  <c r="F155" i="3"/>
  <c r="S155" i="3"/>
  <c r="G156" i="3"/>
  <c r="R156" i="3"/>
  <c r="F157" i="3"/>
  <c r="R157" i="3"/>
  <c r="E158" i="3"/>
  <c r="S158" i="3"/>
  <c r="D159" i="3"/>
  <c r="R159" i="3"/>
  <c r="D160" i="3"/>
  <c r="Q160" i="3"/>
  <c r="E161" i="3"/>
  <c r="P161" i="3"/>
  <c r="D162" i="3"/>
  <c r="P162" i="3"/>
  <c r="C163" i="3"/>
  <c r="Q163" i="3"/>
  <c r="B164" i="3"/>
  <c r="P164" i="3"/>
  <c r="B165" i="3"/>
  <c r="O165" i="3"/>
  <c r="I166" i="3"/>
  <c r="I167" i="3"/>
  <c r="J168" i="3"/>
  <c r="U168" i="3"/>
  <c r="I169" i="3"/>
  <c r="U169" i="3"/>
  <c r="H170" i="3"/>
  <c r="G171" i="3"/>
  <c r="U171" i="3"/>
  <c r="G172" i="3"/>
  <c r="T172" i="3"/>
  <c r="H173" i="3"/>
  <c r="S173" i="3"/>
  <c r="G174" i="3"/>
  <c r="S174" i="3"/>
  <c r="F175" i="3"/>
  <c r="T175" i="3"/>
  <c r="E176" i="3"/>
  <c r="S176" i="3"/>
  <c r="E177" i="3"/>
  <c r="R177" i="3"/>
  <c r="L178" i="3"/>
  <c r="L179" i="3"/>
  <c r="M180" i="3"/>
  <c r="L181" i="3"/>
  <c r="K182" i="3"/>
  <c r="J183" i="3"/>
  <c r="J184" i="3"/>
  <c r="K185" i="3"/>
  <c r="J186" i="3"/>
  <c r="I187" i="3"/>
  <c r="H188" i="3"/>
  <c r="H189" i="3"/>
  <c r="U189" i="3"/>
  <c r="D190" i="3"/>
  <c r="O190" i="3"/>
  <c r="C191" i="3"/>
  <c r="E20" i="3"/>
  <c r="Q35" i="3"/>
  <c r="D39" i="3"/>
  <c r="P46" i="3"/>
  <c r="D50" i="3"/>
  <c r="H57" i="3"/>
  <c r="J59" i="3"/>
  <c r="J64" i="3"/>
  <c r="K66" i="3"/>
  <c r="J68" i="3"/>
  <c r="U71" i="3"/>
  <c r="S73" i="3"/>
  <c r="R75" i="3"/>
  <c r="K77" i="3"/>
  <c r="J79" i="3"/>
  <c r="H81" i="3"/>
  <c r="U82" i="3"/>
  <c r="S84" i="3"/>
  <c r="Q86" i="3"/>
  <c r="K88" i="3"/>
  <c r="I90" i="3"/>
  <c r="G92" i="3"/>
  <c r="T95" i="3"/>
  <c r="S97" i="3"/>
  <c r="L99" i="3"/>
  <c r="K101" i="3"/>
  <c r="I103" i="3"/>
  <c r="C105" i="3"/>
  <c r="T108" i="3"/>
  <c r="N110" i="3"/>
  <c r="L112" i="3"/>
  <c r="K114" i="3"/>
  <c r="U115" i="3"/>
  <c r="F117" i="3"/>
  <c r="K118" i="3"/>
  <c r="F121" i="3"/>
  <c r="Q122" i="3"/>
  <c r="B124" i="3"/>
  <c r="L125" i="3"/>
  <c r="G128" i="3"/>
  <c r="R129" i="3"/>
  <c r="H132" i="3"/>
  <c r="I133" i="3"/>
  <c r="B134" i="3"/>
  <c r="R135" i="3"/>
  <c r="I136" i="3"/>
  <c r="D137" i="3"/>
  <c r="T137" i="3"/>
  <c r="K138" i="3"/>
  <c r="D139" i="3"/>
  <c r="R139" i="3"/>
  <c r="L140" i="3"/>
  <c r="B141" i="3"/>
  <c r="S141" i="3"/>
  <c r="F142" i="3"/>
  <c r="S142" i="3"/>
  <c r="I143" i="3"/>
  <c r="K144" i="3"/>
  <c r="N145" i="3"/>
  <c r="D146" i="3"/>
  <c r="R146" i="3"/>
  <c r="G147" i="3"/>
  <c r="I148" i="3"/>
  <c r="M149" i="3"/>
  <c r="B150" i="3"/>
  <c r="P150" i="3"/>
  <c r="O151" i="3"/>
  <c r="N152" i="3"/>
  <c r="B153" i="3"/>
  <c r="M153" i="3"/>
  <c r="H154" i="3"/>
  <c r="U154" i="3"/>
  <c r="I155" i="3"/>
  <c r="T155" i="3"/>
  <c r="H156" i="3"/>
  <c r="T156" i="3"/>
  <c r="G157" i="3"/>
  <c r="U157" i="3"/>
  <c r="F158" i="3"/>
  <c r="T158" i="3"/>
  <c r="F159" i="3"/>
  <c r="S159" i="3"/>
  <c r="G160" i="3"/>
  <c r="R160" i="3"/>
  <c r="F161" i="3"/>
  <c r="R161" i="3"/>
  <c r="E162" i="3"/>
  <c r="S162" i="3"/>
  <c r="D163" i="3"/>
  <c r="R163" i="3"/>
  <c r="D164" i="3"/>
  <c r="Q164" i="3"/>
  <c r="E165" i="3"/>
  <c r="P165" i="3"/>
  <c r="K166" i="3"/>
  <c r="L167" i="3"/>
  <c r="K168" i="3"/>
  <c r="J169" i="3"/>
  <c r="I170" i="3"/>
  <c r="I171" i="3"/>
  <c r="J172" i="3"/>
  <c r="U172" i="3"/>
  <c r="I173" i="3"/>
  <c r="U173" i="3"/>
  <c r="H174" i="3"/>
  <c r="G175" i="3"/>
  <c r="U175" i="3"/>
  <c r="G176" i="3"/>
  <c r="T176" i="3"/>
  <c r="H177" i="3"/>
  <c r="S177" i="3"/>
  <c r="B178" i="3"/>
  <c r="N178" i="3"/>
  <c r="O179" i="3"/>
  <c r="N180" i="3"/>
  <c r="M181" i="3"/>
  <c r="L182" i="3"/>
  <c r="L183" i="3"/>
  <c r="M184" i="3"/>
  <c r="L185" i="3"/>
  <c r="K186" i="3"/>
  <c r="J187" i="3"/>
  <c r="J188" i="3"/>
  <c r="K189" i="3"/>
  <c r="E190" i="3"/>
  <c r="Q190" i="3"/>
  <c r="D191" i="3"/>
  <c r="R191" i="3"/>
  <c r="C192" i="3"/>
  <c r="Q192" i="3"/>
  <c r="C193" i="3"/>
  <c r="P193" i="3"/>
  <c r="D194" i="3"/>
  <c r="O194" i="3"/>
  <c r="C195" i="3"/>
  <c r="O195" i="3"/>
  <c r="B196" i="3"/>
  <c r="O196" i="3"/>
  <c r="G197" i="3"/>
  <c r="P197" i="3"/>
  <c r="I198" i="3"/>
  <c r="R198" i="3"/>
  <c r="J199" i="3"/>
  <c r="S199" i="3"/>
  <c r="B200" i="3"/>
  <c r="K200" i="3"/>
  <c r="U200" i="3"/>
  <c r="D201" i="3"/>
  <c r="M201" i="3"/>
  <c r="I202" i="3"/>
  <c r="R202" i="3"/>
  <c r="B203" i="3"/>
  <c r="K203" i="3"/>
  <c r="T203" i="3"/>
  <c r="C204" i="3"/>
  <c r="L204" i="3"/>
  <c r="U204" i="3"/>
  <c r="D205" i="3"/>
  <c r="N205" i="3"/>
  <c r="F206" i="3"/>
  <c r="O206" i="3"/>
  <c r="G207" i="3"/>
  <c r="P207" i="3"/>
  <c r="I208" i="3"/>
  <c r="R208" i="3"/>
  <c r="J209" i="3"/>
  <c r="S209" i="3"/>
  <c r="B210" i="3"/>
  <c r="L210" i="3"/>
  <c r="U210" i="3"/>
  <c r="D211" i="3"/>
  <c r="L211" i="3"/>
  <c r="T211" i="3"/>
  <c r="B212" i="3"/>
  <c r="J212" i="3"/>
  <c r="R212" i="3"/>
  <c r="H213" i="3"/>
  <c r="P213" i="3"/>
  <c r="I214" i="3"/>
  <c r="Q214" i="3"/>
  <c r="G215" i="3"/>
  <c r="O215" i="3"/>
  <c r="E216" i="3"/>
  <c r="M216" i="3"/>
  <c r="U216" i="3"/>
  <c r="C217" i="3"/>
  <c r="K217" i="3"/>
  <c r="S217" i="3"/>
  <c r="I218" i="3"/>
  <c r="Q218" i="3"/>
  <c r="G219" i="3"/>
  <c r="O219" i="3"/>
  <c r="E220" i="3"/>
  <c r="M220" i="3"/>
  <c r="U220" i="3"/>
  <c r="C221" i="3"/>
  <c r="K221" i="3"/>
  <c r="S221" i="3"/>
  <c r="I222" i="3"/>
  <c r="Q222" i="3"/>
  <c r="G223" i="3"/>
  <c r="O223" i="3"/>
  <c r="E224" i="3"/>
  <c r="M224" i="3"/>
  <c r="U224" i="3"/>
  <c r="C225" i="3"/>
  <c r="K225" i="3"/>
  <c r="S225" i="3"/>
  <c r="D226" i="3"/>
  <c r="L226" i="3"/>
  <c r="T226" i="3"/>
  <c r="B227" i="3"/>
  <c r="J227" i="3"/>
  <c r="R227" i="3"/>
  <c r="D13" i="3"/>
  <c r="J23" i="3"/>
  <c r="I36" i="3"/>
  <c r="G41" i="3"/>
  <c r="E51" i="3"/>
  <c r="T55" i="3"/>
  <c r="Q62" i="3"/>
  <c r="J65" i="3"/>
  <c r="J70" i="3"/>
  <c r="D75" i="3"/>
  <c r="F80" i="3"/>
  <c r="K82" i="3"/>
  <c r="G85" i="3"/>
  <c r="N87" i="3"/>
  <c r="U89" i="3"/>
  <c r="Q92" i="3"/>
  <c r="E97" i="3"/>
  <c r="H102" i="3"/>
  <c r="T104" i="3"/>
  <c r="J107" i="3"/>
  <c r="Q109" i="3"/>
  <c r="T114" i="3"/>
  <c r="M116" i="3"/>
  <c r="B118" i="3"/>
  <c r="E120" i="3"/>
  <c r="R123" i="3"/>
  <c r="U125" i="3"/>
  <c r="O127" i="3"/>
  <c r="I129" i="3"/>
  <c r="G131" i="3"/>
  <c r="T138" i="3"/>
  <c r="P139" i="3"/>
  <c r="N140" i="3"/>
  <c r="J141" i="3"/>
  <c r="Q143" i="3"/>
  <c r="I144" i="3"/>
  <c r="D145" i="3"/>
  <c r="N146" i="3"/>
  <c r="J147" i="3"/>
  <c r="B148" i="3"/>
  <c r="U148" i="3"/>
  <c r="Q149" i="3"/>
  <c r="I150" i="3"/>
  <c r="Q151" i="3"/>
  <c r="G152" i="3"/>
  <c r="R153" i="3"/>
  <c r="C154" i="3"/>
  <c r="S154" i="3"/>
  <c r="K155" i="3"/>
  <c r="Q156" i="3"/>
  <c r="J157" i="3"/>
  <c r="P158" i="3"/>
  <c r="J159" i="3"/>
  <c r="P160" i="3"/>
  <c r="H161" i="3"/>
  <c r="N162" i="3"/>
  <c r="I163" i="3"/>
  <c r="O164" i="3"/>
  <c r="G165" i="3"/>
  <c r="H166" i="3"/>
  <c r="Q167" i="3"/>
  <c r="G168" i="3"/>
  <c r="Q169" i="3"/>
  <c r="G170" i="3"/>
  <c r="O171" i="3"/>
  <c r="E172" i="3"/>
  <c r="P173" i="3"/>
  <c r="F174" i="3"/>
  <c r="N175" i="3"/>
  <c r="D176" i="3"/>
  <c r="M177" i="3"/>
  <c r="R178" i="3"/>
  <c r="H179" i="3"/>
  <c r="P180" i="3"/>
  <c r="F181" i="3"/>
  <c r="Q182" i="3"/>
  <c r="G183" i="3"/>
  <c r="O184" i="3"/>
  <c r="E185" i="3"/>
  <c r="U185" i="3"/>
  <c r="N186" i="3"/>
  <c r="D187" i="3"/>
  <c r="T187" i="3"/>
  <c r="N188" i="3"/>
  <c r="D189" i="3"/>
  <c r="T189" i="3"/>
  <c r="G190" i="3"/>
  <c r="M191" i="3"/>
  <c r="B192" i="3"/>
  <c r="R192" i="3"/>
  <c r="G193" i="3"/>
  <c r="I194" i="3"/>
  <c r="L195" i="3"/>
  <c r="P196" i="3"/>
  <c r="K197" i="3"/>
  <c r="U197" i="3"/>
  <c r="E198" i="3"/>
  <c r="O198" i="3"/>
  <c r="K199" i="3"/>
  <c r="U199" i="3"/>
  <c r="F200" i="3"/>
  <c r="P200" i="3"/>
  <c r="K201" i="3"/>
  <c r="U201" i="3"/>
  <c r="L202" i="3"/>
  <c r="F203" i="3"/>
  <c r="P203" i="3"/>
  <c r="K204" i="3"/>
  <c r="G205" i="3"/>
  <c r="Q205" i="3"/>
  <c r="L206" i="3"/>
  <c r="F207" i="3"/>
  <c r="R207" i="3"/>
  <c r="B208" i="3"/>
  <c r="L208" i="3"/>
  <c r="G209" i="3"/>
  <c r="Q209" i="3"/>
  <c r="M210" i="3"/>
  <c r="G211" i="3"/>
  <c r="P211" i="3"/>
  <c r="H212" i="3"/>
  <c r="Q212" i="3"/>
  <c r="J213" i="3"/>
  <c r="S213" i="3"/>
  <c r="F214" i="3"/>
  <c r="O214" i="3"/>
  <c r="H215" i="3"/>
  <c r="Q215" i="3"/>
  <c r="I216" i="3"/>
  <c r="R216" i="3"/>
  <c r="J217" i="3"/>
  <c r="T217" i="3"/>
  <c r="C218" i="3"/>
  <c r="L218" i="3"/>
  <c r="U218" i="3"/>
  <c r="D219" i="3"/>
  <c r="M219" i="3"/>
  <c r="F220" i="3"/>
  <c r="O220" i="3"/>
  <c r="G221" i="3"/>
  <c r="P221" i="3"/>
  <c r="H222" i="3"/>
  <c r="R222" i="3"/>
  <c r="J223" i="3"/>
  <c r="S223" i="3"/>
  <c r="B224" i="3"/>
  <c r="K224" i="3"/>
  <c r="T224" i="3"/>
  <c r="D225" i="3"/>
  <c r="M225" i="3"/>
  <c r="I226" i="3"/>
  <c r="R226" i="3"/>
  <c r="K227" i="3"/>
  <c r="T227" i="3"/>
  <c r="B228" i="3"/>
  <c r="J228" i="3"/>
  <c r="R228" i="3"/>
  <c r="H229" i="3"/>
  <c r="P229" i="3"/>
  <c r="F230" i="3"/>
  <c r="N230" i="3"/>
  <c r="D231" i="3"/>
  <c r="L231" i="3"/>
  <c r="T231" i="3"/>
  <c r="B232" i="3"/>
  <c r="J232" i="3"/>
  <c r="R232" i="3"/>
  <c r="H233" i="3"/>
  <c r="P233" i="3"/>
  <c r="F234" i="3"/>
  <c r="N234" i="3"/>
  <c r="D235" i="3"/>
  <c r="L235" i="3"/>
  <c r="T235" i="3"/>
  <c r="B236" i="3"/>
  <c r="J236" i="3"/>
  <c r="R236" i="3"/>
  <c r="H237" i="3"/>
  <c r="P237" i="3"/>
  <c r="I238" i="3"/>
  <c r="Q238" i="3"/>
  <c r="G239" i="3"/>
  <c r="O239" i="3"/>
  <c r="E240" i="3"/>
  <c r="M240" i="3"/>
  <c r="U240" i="3"/>
  <c r="C241" i="3"/>
  <c r="K241" i="3"/>
  <c r="S241" i="3"/>
  <c r="I242" i="3"/>
  <c r="Q242" i="3"/>
  <c r="G243" i="3"/>
  <c r="O243" i="3"/>
  <c r="E244" i="3"/>
  <c r="M244" i="3"/>
  <c r="U244" i="3"/>
  <c r="C245" i="3"/>
  <c r="K245" i="3"/>
  <c r="S245" i="3"/>
  <c r="I246" i="3"/>
  <c r="Q246" i="3"/>
  <c r="G247" i="3"/>
  <c r="O247" i="3"/>
  <c r="E248" i="3"/>
  <c r="M248" i="3"/>
  <c r="U248" i="3"/>
  <c r="C249" i="3"/>
  <c r="K249" i="3"/>
  <c r="S249" i="3"/>
  <c r="B14" i="3"/>
  <c r="B24" i="3"/>
  <c r="J32" i="3"/>
  <c r="P41" i="3"/>
  <c r="N51" i="3"/>
  <c r="I56" i="3"/>
  <c r="O65" i="3"/>
  <c r="O68" i="3"/>
  <c r="T70" i="3"/>
  <c r="D78" i="3"/>
  <c r="P80" i="3"/>
  <c r="D83" i="3"/>
  <c r="K85" i="3"/>
  <c r="S87" i="3"/>
  <c r="N90" i="3"/>
  <c r="B95" i="3"/>
  <c r="V95" i="3" s="1"/>
  <c r="E100" i="3"/>
  <c r="Q102" i="3"/>
  <c r="L105" i="3"/>
  <c r="N107" i="3"/>
  <c r="Q112" i="3"/>
  <c r="B115" i="3"/>
  <c r="R116" i="3"/>
  <c r="P118" i="3"/>
  <c r="M120" i="3"/>
  <c r="C122" i="3"/>
  <c r="F124" i="3"/>
  <c r="C126" i="3"/>
  <c r="T127" i="3"/>
  <c r="O131" i="3"/>
  <c r="G134" i="3"/>
  <c r="E135" i="3"/>
  <c r="C136" i="3"/>
  <c r="E137" i="3"/>
  <c r="P140" i="3"/>
  <c r="L141" i="3"/>
  <c r="G142" i="3"/>
  <c r="R143" i="3"/>
  <c r="M144" i="3"/>
  <c r="E145" i="3"/>
  <c r="U146" i="3"/>
  <c r="M147" i="3"/>
  <c r="F148" i="3"/>
  <c r="S149" i="3"/>
  <c r="J150" i="3"/>
  <c r="C151" i="3"/>
  <c r="S151" i="3"/>
  <c r="I152" i="3"/>
  <c r="C153" i="3"/>
  <c r="S153" i="3"/>
  <c r="D154" i="3"/>
  <c r="L155" i="3"/>
  <c r="B156" i="3"/>
  <c r="M157" i="3"/>
  <c r="C158" i="3"/>
  <c r="U158" i="3"/>
  <c r="K159" i="3"/>
  <c r="T160" i="3"/>
  <c r="J161" i="3"/>
  <c r="T162" i="3"/>
  <c r="J163" i="3"/>
  <c r="R164" i="3"/>
  <c r="H165" i="3"/>
  <c r="N166" i="3"/>
  <c r="D167" i="3"/>
  <c r="T167" i="3"/>
  <c r="L168" i="3"/>
  <c r="B169" i="3"/>
  <c r="R169" i="3"/>
  <c r="K170" i="3"/>
  <c r="Q171" i="3"/>
  <c r="K172" i="3"/>
  <c r="Q173" i="3"/>
  <c r="I174" i="3"/>
  <c r="O175" i="3"/>
  <c r="J176" i="3"/>
  <c r="P177" i="3"/>
  <c r="C178" i="3"/>
  <c r="S178" i="3"/>
  <c r="I179" i="3"/>
  <c r="B180" i="3"/>
  <c r="R180" i="3"/>
  <c r="H181" i="3"/>
  <c r="B182" i="3"/>
  <c r="R182" i="3"/>
  <c r="H183" i="3"/>
  <c r="P184" i="3"/>
  <c r="F185" i="3"/>
  <c r="Q186" i="3"/>
  <c r="G187" i="3"/>
  <c r="O188" i="3"/>
  <c r="E189" i="3"/>
  <c r="I190" i="3"/>
  <c r="O191" i="3"/>
  <c r="E192" i="3"/>
  <c r="S192" i="3"/>
  <c r="H193" i="3"/>
  <c r="L194" i="3"/>
  <c r="M195" i="3"/>
  <c r="C196" i="3"/>
  <c r="Q196" i="3"/>
  <c r="L197" i="3"/>
  <c r="F198" i="3"/>
  <c r="Q198" i="3"/>
  <c r="B199" i="3"/>
  <c r="L199" i="3"/>
  <c r="G200" i="3"/>
  <c r="Q200" i="3"/>
  <c r="L201" i="3"/>
  <c r="B202" i="3"/>
  <c r="M202" i="3"/>
  <c r="G203" i="3"/>
  <c r="R203" i="3"/>
  <c r="B204" i="3"/>
  <c r="M204" i="3"/>
  <c r="H205" i="3"/>
  <c r="R205" i="3"/>
  <c r="B206" i="3"/>
  <c r="M206" i="3"/>
  <c r="H207" i="3"/>
  <c r="S207" i="3"/>
  <c r="C208" i="3"/>
  <c r="M208" i="3"/>
  <c r="H209" i="3"/>
  <c r="R209" i="3"/>
  <c r="D210" i="3"/>
  <c r="N210" i="3"/>
  <c r="H211" i="3"/>
  <c r="Q211" i="3"/>
  <c r="I212" i="3"/>
  <c r="S212" i="3"/>
  <c r="B213" i="3"/>
  <c r="K213" i="3"/>
  <c r="T213" i="3"/>
  <c r="G214" i="3"/>
  <c r="P214" i="3"/>
  <c r="I215" i="3"/>
  <c r="R215" i="3"/>
  <c r="J216" i="3"/>
  <c r="S216" i="3"/>
  <c r="B217" i="3"/>
  <c r="L217" i="3"/>
  <c r="U217" i="3"/>
  <c r="D218" i="3"/>
  <c r="M218" i="3"/>
  <c r="E219" i="3"/>
  <c r="N219" i="3"/>
  <c r="G220" i="3"/>
  <c r="P220" i="3"/>
  <c r="H221" i="3"/>
  <c r="Q221" i="3"/>
  <c r="J222" i="3"/>
  <c r="S222" i="3"/>
  <c r="B223" i="3"/>
  <c r="K223" i="3"/>
  <c r="T223" i="3"/>
  <c r="C224" i="3"/>
  <c r="L224" i="3"/>
  <c r="E225" i="3"/>
  <c r="N225" i="3"/>
  <c r="J226" i="3"/>
  <c r="S226" i="3"/>
  <c r="C227" i="3"/>
  <c r="L227" i="3"/>
  <c r="U227" i="3"/>
  <c r="C228" i="3"/>
  <c r="K228" i="3"/>
  <c r="S228" i="3"/>
  <c r="I229" i="3"/>
  <c r="Q229" i="3"/>
  <c r="G230" i="3"/>
  <c r="O230" i="3"/>
  <c r="E231" i="3"/>
  <c r="M231" i="3"/>
  <c r="U231" i="3"/>
  <c r="C232" i="3"/>
  <c r="K232" i="3"/>
  <c r="S232" i="3"/>
  <c r="I233" i="3"/>
  <c r="Q233" i="3"/>
  <c r="G234" i="3"/>
  <c r="O234" i="3"/>
  <c r="E235" i="3"/>
  <c r="M235" i="3"/>
  <c r="U235" i="3"/>
  <c r="C236" i="3"/>
  <c r="K236" i="3"/>
  <c r="S236" i="3"/>
  <c r="I237" i="3"/>
  <c r="Q237" i="3"/>
  <c r="B238" i="3"/>
  <c r="J238" i="3"/>
  <c r="R238" i="3"/>
  <c r="H239" i="3"/>
  <c r="P239" i="3"/>
  <c r="F240" i="3"/>
  <c r="N240" i="3"/>
  <c r="D241" i="3"/>
  <c r="L241" i="3"/>
  <c r="T241" i="3"/>
  <c r="B242" i="3"/>
  <c r="J242" i="3"/>
  <c r="R242" i="3"/>
  <c r="H243" i="3"/>
  <c r="P243" i="3"/>
  <c r="F244" i="3"/>
  <c r="N244" i="3"/>
  <c r="D245" i="3"/>
  <c r="L245" i="3"/>
  <c r="T245" i="3"/>
  <c r="B246" i="3"/>
  <c r="J246" i="3"/>
  <c r="R246" i="3"/>
  <c r="H247" i="3"/>
  <c r="P247" i="3"/>
  <c r="F248" i="3"/>
  <c r="N248" i="3"/>
  <c r="D249" i="3"/>
  <c r="L249" i="3"/>
  <c r="T249" i="3"/>
  <c r="M25" i="3"/>
  <c r="C33" i="3"/>
  <c r="K37" i="3"/>
  <c r="I47" i="3"/>
  <c r="G52" i="3"/>
  <c r="P56" i="3"/>
  <c r="B60" i="3"/>
  <c r="C63" i="3"/>
  <c r="F73" i="3"/>
  <c r="M78" i="3"/>
  <c r="T80" i="3"/>
  <c r="H83" i="3"/>
  <c r="P85" i="3"/>
  <c r="B88" i="3"/>
  <c r="D93" i="3"/>
  <c r="G95" i="3"/>
  <c r="B98" i="3"/>
  <c r="N100" i="3"/>
  <c r="U102" i="3"/>
  <c r="P105" i="3"/>
  <c r="S107" i="3"/>
  <c r="E110" i="3"/>
  <c r="C115" i="3"/>
  <c r="T118" i="3"/>
  <c r="N120" i="3"/>
  <c r="H122" i="3"/>
  <c r="K124" i="3"/>
  <c r="D126" i="3"/>
  <c r="P131" i="3"/>
  <c r="E133" i="3"/>
  <c r="I134" i="3"/>
  <c r="H135" i="3"/>
  <c r="E136" i="3"/>
  <c r="F137" i="3"/>
  <c r="B138" i="3"/>
  <c r="U140" i="3"/>
  <c r="P141" i="3"/>
  <c r="I142" i="3"/>
  <c r="S143" i="3"/>
  <c r="O144" i="3"/>
  <c r="G145" i="3"/>
  <c r="O147" i="3"/>
  <c r="G148" i="3"/>
  <c r="T149" i="3"/>
  <c r="K150" i="3"/>
  <c r="F151" i="3"/>
  <c r="L152" i="3"/>
  <c r="D153" i="3"/>
  <c r="T153" i="3"/>
  <c r="E154" i="3"/>
  <c r="N155" i="3"/>
  <c r="D156" i="3"/>
  <c r="N157" i="3"/>
  <c r="D158" i="3"/>
  <c r="L159" i="3"/>
  <c r="B160" i="3"/>
  <c r="M161" i="3"/>
  <c r="C162" i="3"/>
  <c r="U162" i="3"/>
  <c r="K163" i="3"/>
  <c r="T164" i="3"/>
  <c r="J165" i="3"/>
  <c r="O166" i="3"/>
  <c r="E167" i="3"/>
  <c r="U167" i="3"/>
  <c r="M168" i="3"/>
  <c r="C169" i="3"/>
  <c r="S169" i="3"/>
  <c r="N170" i="3"/>
  <c r="D171" i="3"/>
  <c r="T171" i="3"/>
  <c r="L172" i="3"/>
  <c r="B173" i="3"/>
  <c r="R173" i="3"/>
  <c r="K174" i="3"/>
  <c r="Q175" i="3"/>
  <c r="K176" i="3"/>
  <c r="Q177" i="3"/>
  <c r="D178" i="3"/>
  <c r="T178" i="3"/>
  <c r="J179" i="3"/>
  <c r="E180" i="3"/>
  <c r="U180" i="3"/>
  <c r="K181" i="3"/>
  <c r="C182" i="3"/>
  <c r="S182" i="3"/>
  <c r="I183" i="3"/>
  <c r="B184" i="3"/>
  <c r="R184" i="3"/>
  <c r="H185" i="3"/>
  <c r="B186" i="3"/>
  <c r="R186" i="3"/>
  <c r="H187" i="3"/>
  <c r="P188" i="3"/>
  <c r="F189" i="3"/>
  <c r="L190" i="3"/>
  <c r="B191" i="3"/>
  <c r="S191" i="3"/>
  <c r="H192" i="3"/>
  <c r="U192" i="3"/>
  <c r="I193" i="3"/>
  <c r="M194" i="3"/>
  <c r="B195" i="3"/>
  <c r="R195" i="3"/>
  <c r="E196" i="3"/>
  <c r="R196" i="3"/>
  <c r="C197" i="3"/>
  <c r="M197" i="3"/>
  <c r="G198" i="3"/>
  <c r="S198" i="3"/>
  <c r="C199" i="3"/>
  <c r="M199" i="3"/>
  <c r="H200" i="3"/>
  <c r="R200" i="3"/>
  <c r="C201" i="3"/>
  <c r="N201" i="3"/>
  <c r="D202" i="3"/>
  <c r="N202" i="3"/>
  <c r="H203" i="3"/>
  <c r="S203" i="3"/>
  <c r="D204" i="3"/>
  <c r="N204" i="3"/>
  <c r="I205" i="3"/>
  <c r="S205" i="3"/>
  <c r="D206" i="3"/>
  <c r="N206" i="3"/>
  <c r="J207" i="3"/>
  <c r="T207" i="3"/>
  <c r="D208" i="3"/>
  <c r="N208" i="3"/>
  <c r="I209" i="3"/>
  <c r="T209" i="3"/>
  <c r="E210" i="3"/>
  <c r="O210" i="3"/>
  <c r="I211" i="3"/>
  <c r="R211" i="3"/>
  <c r="K212" i="3"/>
  <c r="T212" i="3"/>
  <c r="C213" i="3"/>
  <c r="L213" i="3"/>
  <c r="U213" i="3"/>
  <c r="H214" i="3"/>
  <c r="R214" i="3"/>
  <c r="J215" i="3"/>
  <c r="S215" i="3"/>
  <c r="B216" i="3"/>
  <c r="K216" i="3"/>
  <c r="T216" i="3"/>
  <c r="D217" i="3"/>
  <c r="M217" i="3"/>
  <c r="E218" i="3"/>
  <c r="N218" i="3"/>
  <c r="F219" i="3"/>
  <c r="P219" i="3"/>
  <c r="H220" i="3"/>
  <c r="Q220" i="3"/>
  <c r="I221" i="3"/>
  <c r="R221" i="3"/>
  <c r="B222" i="3"/>
  <c r="K222" i="3"/>
  <c r="T222" i="3"/>
  <c r="C223" i="3"/>
  <c r="L223" i="3"/>
  <c r="U223" i="3"/>
  <c r="D224" i="3"/>
  <c r="N224" i="3"/>
  <c r="F225" i="3"/>
  <c r="O225" i="3"/>
  <c r="B226" i="3"/>
  <c r="K226" i="3"/>
  <c r="U226" i="3"/>
  <c r="D227" i="3"/>
  <c r="M227" i="3"/>
  <c r="D228" i="3"/>
  <c r="L228" i="3"/>
  <c r="T228" i="3"/>
  <c r="B229" i="3"/>
  <c r="J229" i="3"/>
  <c r="R229" i="3"/>
  <c r="H230" i="3"/>
  <c r="P230" i="3"/>
  <c r="F231" i="3"/>
  <c r="N231" i="3"/>
  <c r="D232" i="3"/>
  <c r="L232" i="3"/>
  <c r="T232" i="3"/>
  <c r="B233" i="3"/>
  <c r="J233" i="3"/>
  <c r="R233" i="3"/>
  <c r="H234" i="3"/>
  <c r="P234" i="3"/>
  <c r="F235" i="3"/>
  <c r="N235" i="3"/>
  <c r="D236" i="3"/>
  <c r="L236" i="3"/>
  <c r="T236" i="3"/>
  <c r="B237" i="3"/>
  <c r="J237" i="3"/>
  <c r="R237" i="3"/>
  <c r="C238" i="3"/>
  <c r="K238" i="3"/>
  <c r="S238" i="3"/>
  <c r="I239" i="3"/>
  <c r="Q239" i="3"/>
  <c r="G240" i="3"/>
  <c r="O240" i="3"/>
  <c r="E241" i="3"/>
  <c r="M241" i="3"/>
  <c r="U241" i="3"/>
  <c r="C242" i="3"/>
  <c r="K242" i="3"/>
  <c r="S242" i="3"/>
  <c r="I243" i="3"/>
  <c r="Q243" i="3"/>
  <c r="G244" i="3"/>
  <c r="O244" i="3"/>
  <c r="E245" i="3"/>
  <c r="M245" i="3"/>
  <c r="U245" i="3"/>
  <c r="C246" i="3"/>
  <c r="K246" i="3"/>
  <c r="S246" i="3"/>
  <c r="I247" i="3"/>
  <c r="Q247" i="3"/>
  <c r="G248" i="3"/>
  <c r="O248" i="3"/>
  <c r="E249" i="3"/>
  <c r="M249" i="3"/>
  <c r="U249" i="3"/>
  <c r="M10" i="3"/>
  <c r="N29" i="3"/>
  <c r="F34" i="3"/>
  <c r="K44" i="3"/>
  <c r="S48" i="3"/>
  <c r="J54" i="3"/>
  <c r="O64" i="3"/>
  <c r="D67" i="3"/>
  <c r="P69" i="3"/>
  <c r="D72" i="3"/>
  <c r="L74" i="3"/>
  <c r="S76" i="3"/>
  <c r="N79" i="3"/>
  <c r="C89" i="3"/>
  <c r="O91" i="3"/>
  <c r="E94" i="3"/>
  <c r="M96" i="3"/>
  <c r="T98" i="3"/>
  <c r="O101" i="3"/>
  <c r="D106" i="3"/>
  <c r="F111" i="3"/>
  <c r="R113" i="3"/>
  <c r="H119" i="3"/>
  <c r="K121" i="3"/>
  <c r="H123" i="3"/>
  <c r="J130" i="3"/>
  <c r="M132" i="3"/>
  <c r="P133" i="3"/>
  <c r="O134" i="3"/>
  <c r="S135" i="3"/>
  <c r="R136" i="3"/>
  <c r="N137" i="3"/>
  <c r="L138" i="3"/>
  <c r="H139" i="3"/>
  <c r="D140" i="3"/>
  <c r="E141" i="3"/>
  <c r="O142" i="3"/>
  <c r="J143" i="3"/>
  <c r="B144" i="3"/>
  <c r="U144" i="3"/>
  <c r="P145" i="3"/>
  <c r="I146" i="3"/>
  <c r="P148" i="3"/>
  <c r="H149" i="3"/>
  <c r="C150" i="3"/>
  <c r="S150" i="3"/>
  <c r="I151" i="3"/>
  <c r="D152" i="3"/>
  <c r="T152" i="3"/>
  <c r="J153" i="3"/>
  <c r="M154" i="3"/>
  <c r="C155" i="3"/>
  <c r="L156" i="3"/>
  <c r="B157" i="3"/>
  <c r="L158" i="3"/>
  <c r="B159" i="3"/>
  <c r="T159" i="3"/>
  <c r="J160" i="3"/>
  <c r="U161" i="3"/>
  <c r="K162" i="3"/>
  <c r="S163" i="3"/>
  <c r="I164" i="3"/>
  <c r="R165" i="3"/>
  <c r="C166" i="3"/>
  <c r="S166" i="3"/>
  <c r="M167" i="3"/>
  <c r="C168" i="3"/>
  <c r="S168" i="3"/>
  <c r="K169" i="3"/>
  <c r="Q170" i="3"/>
  <c r="L171" i="3"/>
  <c r="B172" i="3"/>
  <c r="R172" i="3"/>
  <c r="J173" i="3"/>
  <c r="P174" i="3"/>
  <c r="I175" i="3"/>
  <c r="O176" i="3"/>
  <c r="I177" i="3"/>
  <c r="J178" i="3"/>
  <c r="B179" i="3"/>
  <c r="R179" i="3"/>
  <c r="H180" i="3"/>
  <c r="C181" i="3"/>
  <c r="S181" i="3"/>
  <c r="I182" i="3"/>
  <c r="Q183" i="3"/>
  <c r="G184" i="3"/>
  <c r="P185" i="3"/>
  <c r="F186" i="3"/>
  <c r="P187" i="3"/>
  <c r="F188" i="3"/>
  <c r="N189" i="3"/>
  <c r="T190" i="3"/>
  <c r="J191" i="3"/>
  <c r="K192" i="3"/>
  <c r="O193" i="3"/>
  <c r="E194" i="3"/>
  <c r="T194" i="3"/>
  <c r="G195" i="3"/>
  <c r="U195" i="3"/>
  <c r="J196" i="3"/>
  <c r="F197" i="3"/>
  <c r="Q197" i="3"/>
  <c r="B198" i="3"/>
  <c r="L198" i="3"/>
  <c r="G199" i="3"/>
  <c r="Q199" i="3"/>
  <c r="M200" i="3"/>
  <c r="G201" i="3"/>
  <c r="Q201" i="3"/>
  <c r="G202" i="3"/>
  <c r="Q202" i="3"/>
  <c r="C203" i="3"/>
  <c r="M203" i="3"/>
  <c r="H204" i="3"/>
  <c r="R204" i="3"/>
  <c r="B205" i="3"/>
  <c r="L205" i="3"/>
  <c r="H206" i="3"/>
  <c r="R206" i="3"/>
  <c r="C207" i="3"/>
  <c r="M207" i="3"/>
  <c r="H208" i="3"/>
  <c r="S208" i="3"/>
  <c r="C209" i="3"/>
  <c r="N209" i="3"/>
  <c r="H210" i="3"/>
  <c r="R210" i="3"/>
  <c r="C211" i="3"/>
  <c r="M211" i="3"/>
  <c r="E212" i="3"/>
  <c r="N212" i="3"/>
  <c r="F213" i="3"/>
  <c r="O213" i="3"/>
  <c r="C214" i="3"/>
  <c r="L214" i="3"/>
  <c r="U214" i="3"/>
  <c r="D215" i="3"/>
  <c r="M215" i="3"/>
  <c r="F216" i="3"/>
  <c r="O216" i="3"/>
  <c r="G217" i="3"/>
  <c r="P217" i="3"/>
  <c r="H218" i="3"/>
  <c r="R218" i="3"/>
  <c r="J219" i="3"/>
  <c r="S219" i="3"/>
  <c r="B220" i="3"/>
  <c r="K220" i="3"/>
  <c r="T220" i="3"/>
  <c r="D221" i="3"/>
  <c r="M221" i="3"/>
  <c r="E222" i="3"/>
  <c r="N222" i="3"/>
  <c r="F223" i="3"/>
  <c r="P223" i="3"/>
  <c r="H224" i="3"/>
  <c r="Q224" i="3"/>
  <c r="I225" i="3"/>
  <c r="R225" i="3"/>
  <c r="F226" i="3"/>
  <c r="O226" i="3"/>
  <c r="G227" i="3"/>
  <c r="P227" i="3"/>
  <c r="G228" i="3"/>
  <c r="O228" i="3"/>
  <c r="E229" i="3"/>
  <c r="M229" i="3"/>
  <c r="U229" i="3"/>
  <c r="C230" i="3"/>
  <c r="K230" i="3"/>
  <c r="S230" i="3"/>
  <c r="I231" i="3"/>
  <c r="Q231" i="3"/>
  <c r="G232" i="3"/>
  <c r="O232" i="3"/>
  <c r="E233" i="3"/>
  <c r="M233" i="3"/>
  <c r="U233" i="3"/>
  <c r="C234" i="3"/>
  <c r="K234" i="3"/>
  <c r="S234" i="3"/>
  <c r="I235" i="3"/>
  <c r="Q235" i="3"/>
  <c r="G236" i="3"/>
  <c r="O236" i="3"/>
  <c r="E237" i="3"/>
  <c r="M237" i="3"/>
  <c r="U237" i="3"/>
  <c r="F238" i="3"/>
  <c r="N238" i="3"/>
  <c r="D239" i="3"/>
  <c r="L239" i="3"/>
  <c r="T239" i="3"/>
  <c r="B240" i="3"/>
  <c r="J240" i="3"/>
  <c r="R240" i="3"/>
  <c r="H241" i="3"/>
  <c r="P241" i="3"/>
  <c r="F242" i="3"/>
  <c r="N242" i="3"/>
  <c r="D243" i="3"/>
  <c r="L243" i="3"/>
  <c r="T243" i="3"/>
  <c r="B244" i="3"/>
  <c r="J244" i="3"/>
  <c r="R244" i="3"/>
  <c r="H245" i="3"/>
  <c r="P245" i="3"/>
  <c r="F246" i="3"/>
  <c r="N246" i="3"/>
  <c r="D247" i="3"/>
  <c r="L247" i="3"/>
  <c r="T247" i="3"/>
  <c r="B248" i="3"/>
  <c r="J248" i="3"/>
  <c r="R248" i="3"/>
  <c r="H249" i="3"/>
  <c r="P249" i="3"/>
  <c r="S22" i="3"/>
  <c r="M45" i="3"/>
  <c r="K55" i="3"/>
  <c r="E62" i="3"/>
  <c r="R67" i="3"/>
  <c r="M72" i="3"/>
  <c r="T77" i="3"/>
  <c r="B82" i="3"/>
  <c r="I87" i="3"/>
  <c r="L92" i="3"/>
  <c r="C102" i="3"/>
  <c r="T111" i="3"/>
  <c r="L116" i="3"/>
  <c r="N123" i="3"/>
  <c r="N127" i="3"/>
  <c r="B131" i="3"/>
  <c r="U135" i="3"/>
  <c r="O139" i="3"/>
  <c r="H141" i="3"/>
  <c r="U142" i="3"/>
  <c r="F144" i="3"/>
  <c r="U145" i="3"/>
  <c r="H147" i="3"/>
  <c r="R148" i="3"/>
  <c r="H150" i="3"/>
  <c r="P151" i="3"/>
  <c r="J155" i="3"/>
  <c r="P156" i="3"/>
  <c r="I159" i="3"/>
  <c r="O160" i="3"/>
  <c r="F163" i="3"/>
  <c r="L164" i="3"/>
  <c r="E168" i="3"/>
  <c r="P169" i="3"/>
  <c r="D172" i="3"/>
  <c r="M173" i="3"/>
  <c r="C176" i="3"/>
  <c r="K177" i="3"/>
  <c r="Q178" i="3"/>
  <c r="E181" i="3"/>
  <c r="N182" i="3"/>
  <c r="T183" i="3"/>
  <c r="D185" i="3"/>
  <c r="L186" i="3"/>
  <c r="R187" i="3"/>
  <c r="C189" i="3"/>
  <c r="F190" i="3"/>
  <c r="L191" i="3"/>
  <c r="P192" i="3"/>
  <c r="S193" i="3"/>
  <c r="T197" i="3"/>
  <c r="N198" i="3"/>
  <c r="I199" i="3"/>
  <c r="E200" i="3"/>
  <c r="T201" i="3"/>
  <c r="J202" i="3"/>
  <c r="E203" i="3"/>
  <c r="T204" i="3"/>
  <c r="P205" i="3"/>
  <c r="J206" i="3"/>
  <c r="E207" i="3"/>
  <c r="U208" i="3"/>
  <c r="P209" i="3"/>
  <c r="J210" i="3"/>
  <c r="F211" i="3"/>
  <c r="P212" i="3"/>
  <c r="I213" i="3"/>
  <c r="N214" i="3"/>
  <c r="F215" i="3"/>
  <c r="Q216" i="3"/>
  <c r="I217" i="3"/>
  <c r="B218" i="3"/>
  <c r="T218" i="3"/>
  <c r="L219" i="3"/>
  <c r="D220" i="3"/>
  <c r="O221" i="3"/>
  <c r="G222" i="3"/>
  <c r="R223" i="3"/>
  <c r="J224" i="3"/>
  <c r="B225" i="3"/>
  <c r="U225" i="3"/>
  <c r="H226" i="3"/>
  <c r="S227" i="3"/>
  <c r="I228" i="3"/>
  <c r="O229" i="3"/>
  <c r="E230" i="3"/>
  <c r="U230" i="3"/>
  <c r="K231" i="3"/>
  <c r="Q232" i="3"/>
  <c r="G233" i="3"/>
  <c r="M234" i="3"/>
  <c r="C235" i="3"/>
  <c r="S235" i="3"/>
  <c r="I236" i="3"/>
  <c r="O237" i="3"/>
  <c r="P238" i="3"/>
  <c r="F239" i="3"/>
  <c r="L240" i="3"/>
  <c r="B241" i="3"/>
  <c r="R241" i="3"/>
  <c r="H242" i="3"/>
  <c r="N243" i="3"/>
  <c r="D244" i="3"/>
  <c r="T244" i="3"/>
  <c r="J245" i="3"/>
  <c r="P246" i="3"/>
  <c r="F247" i="3"/>
  <c r="L248" i="3"/>
  <c r="B249" i="3"/>
  <c r="R249" i="3"/>
  <c r="H28" i="3"/>
  <c r="T37" i="3"/>
  <c r="N57" i="3"/>
  <c r="O63" i="3"/>
  <c r="B69" i="3"/>
  <c r="Q78" i="3"/>
  <c r="M83" i="3"/>
  <c r="T88" i="3"/>
  <c r="I93" i="3"/>
  <c r="K98" i="3"/>
  <c r="N103" i="3"/>
  <c r="B108" i="3"/>
  <c r="E113" i="3"/>
  <c r="J117" i="3"/>
  <c r="S120" i="3"/>
  <c r="S124" i="3"/>
  <c r="L128" i="3"/>
  <c r="T131" i="3"/>
  <c r="J134" i="3"/>
  <c r="K136" i="3"/>
  <c r="D138" i="3"/>
  <c r="T141" i="3"/>
  <c r="B143" i="3"/>
  <c r="R144" i="3"/>
  <c r="E146" i="3"/>
  <c r="P147" i="3"/>
  <c r="D149" i="3"/>
  <c r="Q150" i="3"/>
  <c r="E153" i="3"/>
  <c r="K154" i="3"/>
  <c r="Q155" i="3"/>
  <c r="H158" i="3"/>
  <c r="N159" i="3"/>
  <c r="F162" i="3"/>
  <c r="L163" i="3"/>
  <c r="F167" i="3"/>
  <c r="O168" i="3"/>
  <c r="E171" i="3"/>
  <c r="M172" i="3"/>
  <c r="D175" i="3"/>
  <c r="L176" i="3"/>
  <c r="U177" i="3"/>
  <c r="F180" i="3"/>
  <c r="N181" i="3"/>
  <c r="T182" i="3"/>
  <c r="E184" i="3"/>
  <c r="M185" i="3"/>
  <c r="S186" i="3"/>
  <c r="B188" i="3"/>
  <c r="L189" i="3"/>
  <c r="M190" i="3"/>
  <c r="T191" i="3"/>
  <c r="D195" i="3"/>
  <c r="H196" i="3"/>
  <c r="D197" i="3"/>
  <c r="T198" i="3"/>
  <c r="O199" i="3"/>
  <c r="I200" i="3"/>
  <c r="E201" i="3"/>
  <c r="O202" i="3"/>
  <c r="J203" i="3"/>
  <c r="E204" i="3"/>
  <c r="T205" i="3"/>
  <c r="P206" i="3"/>
  <c r="K207" i="3"/>
  <c r="E208" i="3"/>
  <c r="P210" i="3"/>
  <c r="J211" i="3"/>
  <c r="C212" i="3"/>
  <c r="U212" i="3"/>
  <c r="M213" i="3"/>
  <c r="S214" i="3"/>
  <c r="K215" i="3"/>
  <c r="C216" i="3"/>
  <c r="N217" i="3"/>
  <c r="F218" i="3"/>
  <c r="Q219" i="3"/>
  <c r="I220" i="3"/>
  <c r="T221" i="3"/>
  <c r="L222" i="3"/>
  <c r="D223" i="3"/>
  <c r="O224" i="3"/>
  <c r="G225" i="3"/>
  <c r="M226" i="3"/>
  <c r="E227" i="3"/>
  <c r="M228" i="3"/>
  <c r="C229" i="3"/>
  <c r="S229" i="3"/>
  <c r="I230" i="3"/>
  <c r="O231" i="3"/>
  <c r="E232" i="3"/>
  <c r="U232" i="3"/>
  <c r="K233" i="3"/>
  <c r="Q234" i="3"/>
  <c r="G235" i="3"/>
  <c r="M236" i="3"/>
  <c r="C237" i="3"/>
  <c r="S237" i="3"/>
  <c r="D238" i="3"/>
  <c r="T238" i="3"/>
  <c r="J239" i="3"/>
  <c r="P240" i="3"/>
  <c r="F241" i="3"/>
  <c r="L242" i="3"/>
  <c r="B243" i="3"/>
  <c r="R243" i="3"/>
  <c r="H244" i="3"/>
  <c r="N245" i="3"/>
  <c r="D246" i="3"/>
  <c r="T246" i="3"/>
  <c r="J247" i="3"/>
  <c r="P248" i="3"/>
  <c r="F249" i="3"/>
  <c r="L33" i="3"/>
  <c r="J43" i="3"/>
  <c r="P52" i="3"/>
  <c r="H60" i="3"/>
  <c r="U66" i="3"/>
  <c r="C71" i="3"/>
  <c r="J76" i="3"/>
  <c r="L81" i="3"/>
  <c r="R100" i="3"/>
  <c r="U105" i="3"/>
  <c r="G115" i="3"/>
  <c r="B119" i="3"/>
  <c r="I126" i="3"/>
  <c r="D130" i="3"/>
  <c r="L133" i="3"/>
  <c r="I135" i="3"/>
  <c r="J137" i="3"/>
  <c r="F139" i="3"/>
  <c r="J142" i="3"/>
  <c r="K145" i="3"/>
  <c r="K148" i="3"/>
  <c r="G151" i="3"/>
  <c r="O152" i="3"/>
  <c r="U153" i="3"/>
  <c r="I156" i="3"/>
  <c r="O157" i="3"/>
  <c r="H160" i="3"/>
  <c r="N161" i="3"/>
  <c r="G164" i="3"/>
  <c r="M165" i="3"/>
  <c r="P166" i="3"/>
  <c r="E169" i="3"/>
  <c r="O170" i="3"/>
  <c r="C173" i="3"/>
  <c r="N174" i="3"/>
  <c r="B177" i="3"/>
  <c r="F178" i="3"/>
  <c r="P179" i="3"/>
  <c r="D182" i="3"/>
  <c r="O183" i="3"/>
  <c r="U184" i="3"/>
  <c r="C186" i="3"/>
  <c r="L187" i="3"/>
  <c r="R188" i="3"/>
  <c r="E191" i="3"/>
  <c r="I192" i="3"/>
  <c r="K193" i="3"/>
  <c r="N194" i="3"/>
  <c r="S195" i="3"/>
  <c r="S196" i="3"/>
  <c r="N197" i="3"/>
  <c r="J198" i="3"/>
  <c r="D199" i="3"/>
  <c r="S200" i="3"/>
  <c r="O201" i="3"/>
  <c r="E202" i="3"/>
  <c r="U203" i="3"/>
  <c r="P204" i="3"/>
  <c r="J205" i="3"/>
  <c r="E206" i="3"/>
  <c r="U207" i="3"/>
  <c r="P208" i="3"/>
  <c r="K209" i="3"/>
  <c r="F210" i="3"/>
  <c r="S211" i="3"/>
  <c r="L212" i="3"/>
  <c r="D213" i="3"/>
  <c r="J214" i="3"/>
  <c r="B215" i="3"/>
  <c r="T215" i="3"/>
  <c r="L216" i="3"/>
  <c r="E217" i="3"/>
  <c r="O218" i="3"/>
  <c r="H219" i="3"/>
  <c r="R220" i="3"/>
  <c r="J221" i="3"/>
  <c r="C222" i="3"/>
  <c r="U222" i="3"/>
  <c r="M223" i="3"/>
  <c r="F224" i="3"/>
  <c r="P225" i="3"/>
  <c r="C226" i="3"/>
  <c r="N227" i="3"/>
  <c r="E228" i="3"/>
  <c r="U228" i="3"/>
  <c r="K229" i="3"/>
  <c r="Q230" i="3"/>
  <c r="G231" i="3"/>
  <c r="M232" i="3"/>
  <c r="C233" i="3"/>
  <c r="S233" i="3"/>
  <c r="I234" i="3"/>
  <c r="O235" i="3"/>
  <c r="E236" i="3"/>
  <c r="U236" i="3"/>
  <c r="K237" i="3"/>
  <c r="L238" i="3"/>
  <c r="B239" i="3"/>
  <c r="R239" i="3"/>
  <c r="H240" i="3"/>
  <c r="N241" i="3"/>
  <c r="D242" i="3"/>
  <c r="T242" i="3"/>
  <c r="J243" i="3"/>
  <c r="P244" i="3"/>
  <c r="F245" i="3"/>
  <c r="L246" i="3"/>
  <c r="B247" i="3"/>
  <c r="R247" i="3"/>
  <c r="H248" i="3"/>
  <c r="N249" i="3"/>
  <c r="U33" i="3"/>
  <c r="B44" i="3"/>
  <c r="T60" i="3"/>
  <c r="L71" i="3"/>
  <c r="N76" i="3"/>
  <c r="Q81" i="3"/>
  <c r="C86" i="3"/>
  <c r="F91" i="3"/>
  <c r="H96" i="3"/>
  <c r="B111" i="3"/>
  <c r="L115" i="3"/>
  <c r="D119" i="3"/>
  <c r="N126" i="3"/>
  <c r="E130" i="3"/>
  <c r="N133" i="3"/>
  <c r="J135" i="3"/>
  <c r="M137" i="3"/>
  <c r="G139" i="3"/>
  <c r="L142" i="3"/>
  <c r="L145" i="3"/>
  <c r="O148" i="3"/>
  <c r="H151" i="3"/>
  <c r="Q152" i="3"/>
  <c r="B155" i="3"/>
  <c r="J156" i="3"/>
  <c r="P157" i="3"/>
  <c r="I160" i="3"/>
  <c r="O161" i="3"/>
  <c r="H164" i="3"/>
  <c r="N165" i="3"/>
  <c r="Q166" i="3"/>
  <c r="B168" i="3"/>
  <c r="H169" i="3"/>
  <c r="P170" i="3"/>
  <c r="E173" i="3"/>
  <c r="O174" i="3"/>
  <c r="C177" i="3"/>
  <c r="I178" i="3"/>
  <c r="Q179" i="3"/>
  <c r="F182" i="3"/>
  <c r="P183" i="3"/>
  <c r="D186" i="3"/>
  <c r="O187" i="3"/>
  <c r="U188" i="3"/>
  <c r="G191" i="3"/>
  <c r="J192" i="3"/>
  <c r="N193" i="3"/>
  <c r="Q194" i="3"/>
  <c r="T195" i="3"/>
  <c r="U196" i="3"/>
  <c r="O197" i="3"/>
  <c r="K198" i="3"/>
  <c r="E199" i="3"/>
  <c r="P201" i="3"/>
  <c r="F202" i="3"/>
  <c r="Q204" i="3"/>
  <c r="K205" i="3"/>
  <c r="G206" i="3"/>
  <c r="B207" i="3"/>
  <c r="Q208" i="3"/>
  <c r="L209" i="3"/>
  <c r="G210" i="3"/>
  <c r="B211" i="3"/>
  <c r="U211" i="3"/>
  <c r="M212" i="3"/>
  <c r="E213" i="3"/>
  <c r="K214" i="3"/>
  <c r="C215" i="3"/>
  <c r="U215" i="3"/>
  <c r="N216" i="3"/>
  <c r="F217" i="3"/>
  <c r="P218" i="3"/>
  <c r="I219" i="3"/>
  <c r="S220" i="3"/>
  <c r="L221" i="3"/>
  <c r="D222" i="3"/>
  <c r="N223" i="3"/>
  <c r="G224" i="3"/>
  <c r="Q225" i="3"/>
  <c r="E226" i="3"/>
  <c r="O227" i="3"/>
  <c r="F228" i="3"/>
  <c r="L229" i="3"/>
  <c r="B230" i="3"/>
  <c r="R230" i="3"/>
  <c r="H231" i="3"/>
  <c r="N232" i="3"/>
  <c r="D233" i="3"/>
  <c r="T233" i="3"/>
  <c r="J234" i="3"/>
  <c r="P235" i="3"/>
  <c r="F236" i="3"/>
  <c r="L237" i="3"/>
  <c r="M238" i="3"/>
  <c r="C239" i="3"/>
  <c r="S239" i="3"/>
  <c r="I240" i="3"/>
  <c r="O241" i="3"/>
  <c r="E242" i="3"/>
  <c r="U242" i="3"/>
  <c r="K243" i="3"/>
  <c r="Q244" i="3"/>
  <c r="G245" i="3"/>
  <c r="M246" i="3"/>
  <c r="C247" i="3"/>
  <c r="S247" i="3"/>
  <c r="I248" i="3"/>
  <c r="O249" i="3"/>
  <c r="J48" i="3"/>
  <c r="T63" i="3"/>
  <c r="G74" i="3"/>
  <c r="R93" i="3"/>
  <c r="R103" i="3"/>
  <c r="I113" i="3"/>
  <c r="P128" i="3"/>
  <c r="K134" i="3"/>
  <c r="I138" i="3"/>
  <c r="S144" i="3"/>
  <c r="Q147" i="3"/>
  <c r="R150" i="3"/>
  <c r="G153" i="3"/>
  <c r="R155" i="3"/>
  <c r="K158" i="3"/>
  <c r="N163" i="3"/>
  <c r="R168" i="3"/>
  <c r="F171" i="3"/>
  <c r="M176" i="3"/>
  <c r="P181" i="3"/>
  <c r="F184" i="3"/>
  <c r="T186" i="3"/>
  <c r="M189" i="3"/>
  <c r="U191" i="3"/>
  <c r="I196" i="3"/>
  <c r="P199" i="3"/>
  <c r="F201" i="3"/>
  <c r="P202" i="3"/>
  <c r="F204" i="3"/>
  <c r="L207" i="3"/>
  <c r="B209" i="3"/>
  <c r="Q210" i="3"/>
  <c r="D212" i="3"/>
  <c r="N213" i="3"/>
  <c r="T214" i="3"/>
  <c r="D216" i="3"/>
  <c r="O217" i="3"/>
  <c r="J220" i="3"/>
  <c r="U221" i="3"/>
  <c r="E223" i="3"/>
  <c r="P224" i="3"/>
  <c r="F227" i="3"/>
  <c r="N228" i="3"/>
  <c r="T229" i="3"/>
  <c r="F232" i="3"/>
  <c r="L233" i="3"/>
  <c r="R234" i="3"/>
  <c r="D237" i="3"/>
  <c r="E238" i="3"/>
  <c r="K239" i="3"/>
  <c r="Q240" i="3"/>
  <c r="C243" i="3"/>
  <c r="I244" i="3"/>
  <c r="O245" i="3"/>
  <c r="U246" i="3"/>
  <c r="G249" i="3"/>
  <c r="F40" i="3"/>
  <c r="E58" i="3"/>
  <c r="U69" i="3"/>
  <c r="L89" i="3"/>
  <c r="C99" i="3"/>
  <c r="C109" i="3"/>
  <c r="C125" i="3"/>
  <c r="P132" i="3"/>
  <c r="S136" i="3"/>
  <c r="F140" i="3"/>
  <c r="K143" i="3"/>
  <c r="L146" i="3"/>
  <c r="I149" i="3"/>
  <c r="E152" i="3"/>
  <c r="N154" i="3"/>
  <c r="E157" i="3"/>
  <c r="L162" i="3"/>
  <c r="N167" i="3"/>
  <c r="C170" i="3"/>
  <c r="S172" i="3"/>
  <c r="L175" i="3"/>
  <c r="J180" i="3"/>
  <c r="B183" i="3"/>
  <c r="S185" i="3"/>
  <c r="G188" i="3"/>
  <c r="U190" i="3"/>
  <c r="J195" i="3"/>
  <c r="H197" i="3"/>
  <c r="N200" i="3"/>
  <c r="N203" i="3"/>
  <c r="C205" i="3"/>
  <c r="T206" i="3"/>
  <c r="J208" i="3"/>
  <c r="N211" i="3"/>
  <c r="D214" i="3"/>
  <c r="N215" i="3"/>
  <c r="J218" i="3"/>
  <c r="T219" i="3"/>
  <c r="E221" i="3"/>
  <c r="O222" i="3"/>
  <c r="J225" i="3"/>
  <c r="P226" i="3"/>
  <c r="F229" i="3"/>
  <c r="L230" i="3"/>
  <c r="R231" i="3"/>
  <c r="D234" i="3"/>
  <c r="J235" i="3"/>
  <c r="P236" i="3"/>
  <c r="C240" i="3"/>
  <c r="I241" i="3"/>
  <c r="O242" i="3"/>
  <c r="U243" i="3"/>
  <c r="G246" i="3"/>
  <c r="M247" i="3"/>
  <c r="S248" i="3"/>
  <c r="O40" i="3"/>
  <c r="L58" i="3"/>
  <c r="F70" i="3"/>
  <c r="B80" i="3"/>
  <c r="Q89" i="3"/>
  <c r="M109" i="3"/>
  <c r="Q125" i="3"/>
  <c r="U136" i="3"/>
  <c r="M140" i="3"/>
  <c r="M143" i="3"/>
  <c r="M146" i="3"/>
  <c r="P149" i="3"/>
  <c r="F152" i="3"/>
  <c r="P154" i="3"/>
  <c r="H157" i="3"/>
  <c r="M162" i="3"/>
  <c r="F165" i="3"/>
  <c r="O167" i="3"/>
  <c r="F170" i="3"/>
  <c r="M175" i="3"/>
  <c r="O180" i="3"/>
  <c r="D183" i="3"/>
  <c r="T185" i="3"/>
  <c r="M188" i="3"/>
  <c r="F193" i="3"/>
  <c r="K195" i="3"/>
  <c r="I197" i="3"/>
  <c r="O200" i="3"/>
  <c r="O203" i="3"/>
  <c r="F205" i="3"/>
  <c r="U206" i="3"/>
  <c r="K208" i="3"/>
  <c r="O211" i="3"/>
  <c r="E214" i="3"/>
  <c r="P215" i="3"/>
  <c r="K218" i="3"/>
  <c r="U219" i="3"/>
  <c r="F221" i="3"/>
  <c r="P222" i="3"/>
  <c r="L225" i="3"/>
  <c r="Q226" i="3"/>
  <c r="G229" i="3"/>
  <c r="M230" i="3"/>
  <c r="S231" i="3"/>
  <c r="E234" i="3"/>
  <c r="K235" i="3"/>
  <c r="Q236" i="3"/>
  <c r="D240" i="3"/>
  <c r="J241" i="3"/>
  <c r="P242" i="3"/>
  <c r="B245" i="3"/>
  <c r="H246" i="3"/>
  <c r="N247" i="3"/>
  <c r="T248" i="3"/>
  <c r="Q30" i="3"/>
  <c r="G61" i="3"/>
  <c r="B77" i="3"/>
  <c r="J94" i="3"/>
  <c r="G108" i="3"/>
  <c r="U133" i="3"/>
  <c r="J139" i="3"/>
  <c r="G149" i="3"/>
  <c r="O153" i="3"/>
  <c r="F166" i="3"/>
  <c r="C174" i="3"/>
  <c r="K178" i="3"/>
  <c r="J182" i="3"/>
  <c r="N190" i="3"/>
  <c r="G194" i="3"/>
  <c r="S197" i="3"/>
  <c r="C200" i="3"/>
  <c r="T202" i="3"/>
  <c r="O207" i="3"/>
  <c r="I210" i="3"/>
  <c r="O212" i="3"/>
  <c r="C219" i="3"/>
  <c r="N221" i="3"/>
  <c r="Q223" i="3"/>
  <c r="T237" i="3"/>
  <c r="N239" i="3"/>
  <c r="Q241" i="3"/>
  <c r="M243" i="3"/>
  <c r="Q245" i="3"/>
  <c r="K247" i="3"/>
  <c r="J249" i="3"/>
  <c r="O34" i="3"/>
  <c r="T64" i="3"/>
  <c r="N94" i="3"/>
  <c r="O111" i="3"/>
  <c r="I123" i="3"/>
  <c r="S134" i="3"/>
  <c r="B140" i="3"/>
  <c r="C145" i="3"/>
  <c r="E150" i="3"/>
  <c r="M158" i="3"/>
  <c r="H162" i="3"/>
  <c r="G166" i="3"/>
  <c r="S170" i="3"/>
  <c r="Q174" i="3"/>
  <c r="D179" i="3"/>
  <c r="B187" i="3"/>
  <c r="K191" i="3"/>
  <c r="U194" i="3"/>
  <c r="C198" i="3"/>
  <c r="J200" i="3"/>
  <c r="U202" i="3"/>
  <c r="O205" i="3"/>
  <c r="T210" i="3"/>
  <c r="H217" i="3"/>
  <c r="K219" i="3"/>
  <c r="H228" i="3"/>
  <c r="D230" i="3"/>
  <c r="H232" i="3"/>
  <c r="B234" i="3"/>
  <c r="U239" i="3"/>
  <c r="S243" i="3"/>
  <c r="R245" i="3"/>
  <c r="U247" i="3"/>
  <c r="Q249" i="3"/>
  <c r="L49" i="3"/>
  <c r="G69" i="3"/>
  <c r="D116" i="3"/>
  <c r="P136" i="3"/>
  <c r="D147" i="3"/>
  <c r="K151" i="3"/>
  <c r="Q159" i="3"/>
  <c r="D168" i="3"/>
  <c r="C172" i="3"/>
  <c r="R176" i="3"/>
  <c r="G180" i="3"/>
  <c r="N184" i="3"/>
  <c r="M192" i="3"/>
  <c r="K196" i="3"/>
  <c r="U198" i="3"/>
  <c r="I201" i="3"/>
  <c r="I206" i="3"/>
  <c r="D209" i="3"/>
  <c r="K211" i="3"/>
  <c r="R213" i="3"/>
  <c r="L220" i="3"/>
  <c r="M222" i="3"/>
  <c r="S224" i="3"/>
  <c r="B231" i="3"/>
  <c r="U234" i="3"/>
  <c r="O238" i="3"/>
  <c r="S240" i="3"/>
  <c r="M242" i="3"/>
  <c r="L244" i="3"/>
  <c r="O246" i="3"/>
  <c r="K248" i="3"/>
  <c r="I72" i="3"/>
  <c r="F104" i="3"/>
  <c r="O117" i="3"/>
  <c r="D129" i="3"/>
  <c r="P137" i="3"/>
  <c r="Q142" i="3"/>
  <c r="L160" i="3"/>
  <c r="J164" i="3"/>
  <c r="T168" i="3"/>
  <c r="O172" i="3"/>
  <c r="U176" i="3"/>
  <c r="D181" i="3"/>
  <c r="C185" i="3"/>
  <c r="P189" i="3"/>
  <c r="M196" i="3"/>
  <c r="H199" i="3"/>
  <c r="S201" i="3"/>
  <c r="I204" i="3"/>
  <c r="Q206" i="3"/>
  <c r="F209" i="3"/>
  <c r="G216" i="3"/>
  <c r="G218" i="3"/>
  <c r="N220" i="3"/>
  <c r="H227" i="3"/>
  <c r="D229" i="3"/>
  <c r="C231" i="3"/>
  <c r="F233" i="3"/>
  <c r="B235" i="3"/>
  <c r="F237" i="3"/>
  <c r="U238" i="3"/>
  <c r="T240" i="3"/>
  <c r="S244" i="3"/>
  <c r="Q248" i="3"/>
  <c r="B55" i="3"/>
  <c r="M119" i="3"/>
  <c r="P138" i="3"/>
  <c r="O156" i="3"/>
  <c r="K173" i="3"/>
  <c r="T181" i="3"/>
  <c r="S189" i="3"/>
  <c r="D207" i="3"/>
  <c r="F212" i="3"/>
  <c r="H216" i="3"/>
  <c r="H225" i="3"/>
  <c r="N229" i="3"/>
  <c r="N233" i="3"/>
  <c r="G237" i="3"/>
  <c r="T57" i="3"/>
  <c r="T91" i="3"/>
  <c r="P121" i="3"/>
  <c r="S138" i="3"/>
  <c r="Q148" i="3"/>
  <c r="U165" i="3"/>
  <c r="U181" i="3"/>
  <c r="E197" i="3"/>
  <c r="H202" i="3"/>
  <c r="N207" i="3"/>
  <c r="G212" i="3"/>
  <c r="P216" i="3"/>
  <c r="B221" i="3"/>
  <c r="T225" i="3"/>
  <c r="O233" i="3"/>
  <c r="N237" i="3"/>
  <c r="G241" i="3"/>
  <c r="I245" i="3"/>
  <c r="I249" i="3"/>
  <c r="E65" i="3"/>
  <c r="Q96" i="3"/>
  <c r="T124" i="3"/>
  <c r="F141" i="3"/>
  <c r="U150" i="3"/>
  <c r="N158" i="3"/>
  <c r="E175" i="3"/>
  <c r="R183" i="3"/>
  <c r="D198" i="3"/>
  <c r="D203" i="3"/>
  <c r="F208" i="3"/>
  <c r="G213" i="3"/>
  <c r="Q217" i="3"/>
  <c r="G226" i="3"/>
  <c r="J230" i="3"/>
  <c r="L234" i="3"/>
  <c r="G238" i="3"/>
  <c r="O21" i="3"/>
  <c r="P74" i="3"/>
  <c r="J104" i="3"/>
  <c r="N130" i="3"/>
  <c r="D143" i="3"/>
  <c r="U152" i="3"/>
  <c r="B161" i="3"/>
  <c r="J177" i="3"/>
  <c r="N185" i="3"/>
  <c r="Q193" i="3"/>
  <c r="R199" i="3"/>
  <c r="J204" i="3"/>
  <c r="O209" i="3"/>
  <c r="B214" i="3"/>
  <c r="S218" i="3"/>
  <c r="H223" i="3"/>
  <c r="I227" i="3"/>
  <c r="J231" i="3"/>
  <c r="H235" i="3"/>
  <c r="E239" i="3"/>
  <c r="E243" i="3"/>
  <c r="H30" i="3"/>
  <c r="H106" i="3"/>
  <c r="C144" i="3"/>
  <c r="K153" i="3"/>
  <c r="G161" i="3"/>
  <c r="M169" i="3"/>
  <c r="I186" i="3"/>
  <c r="F194" i="3"/>
  <c r="T199" i="3"/>
  <c r="S204" i="3"/>
  <c r="M214" i="3"/>
  <c r="B219" i="3"/>
  <c r="I223" i="3"/>
  <c r="Q227" i="3"/>
  <c r="P231" i="3"/>
  <c r="R235" i="3"/>
  <c r="M239" i="3"/>
  <c r="F243" i="3"/>
  <c r="E247" i="3"/>
  <c r="P98" i="3"/>
  <c r="F146" i="3"/>
  <c r="M171" i="3"/>
  <c r="E188" i="3"/>
  <c r="L203" i="3"/>
  <c r="L215" i="3"/>
  <c r="P228" i="3"/>
  <c r="H238" i="3"/>
  <c r="D248" i="3"/>
  <c r="O114" i="3"/>
  <c r="L154" i="3"/>
  <c r="R219" i="3"/>
  <c r="T230" i="3"/>
  <c r="K240" i="3"/>
  <c r="M67" i="3"/>
  <c r="T135" i="3"/>
  <c r="B163" i="3"/>
  <c r="T179" i="3"/>
  <c r="M198" i="3"/>
  <c r="E211" i="3"/>
  <c r="I224" i="3"/>
  <c r="T234" i="3"/>
  <c r="K244" i="3"/>
  <c r="T163" i="3"/>
  <c r="H184" i="3"/>
  <c r="Q213" i="3"/>
  <c r="R224" i="3"/>
  <c r="H236" i="3"/>
  <c r="E246" i="3"/>
  <c r="B176" i="3"/>
  <c r="Q228" i="3"/>
  <c r="T145" i="3"/>
  <c r="G179" i="3"/>
  <c r="T208" i="3"/>
  <c r="I232" i="3"/>
  <c r="U44" i="3"/>
  <c r="C159" i="3"/>
  <c r="R217" i="3"/>
  <c r="N171" i="3"/>
  <c r="F222" i="3"/>
  <c r="C244" i="3"/>
  <c r="G167" i="3"/>
  <c r="E215" i="3"/>
  <c r="C220" i="3"/>
  <c r="Q187" i="3"/>
  <c r="N226" i="3"/>
  <c r="E84" i="3"/>
  <c r="N236" i="3"/>
  <c r="C248" i="3"/>
  <c r="E195" i="3"/>
  <c r="F127" i="3"/>
  <c r="P232" i="3"/>
  <c r="D155" i="3"/>
  <c r="G242" i="3"/>
  <c r="L38" i="3"/>
  <c r="H201" i="3"/>
  <c r="R40" i="37"/>
  <c r="Q100" i="37"/>
  <c r="AJ70" i="1"/>
  <c r="E70" i="1" s="1"/>
  <c r="AJ73" i="19"/>
  <c r="E72" i="19"/>
  <c r="Q23" i="37"/>
  <c r="AC194" i="19"/>
  <c r="AC191" i="1"/>
  <c r="AC71" i="37"/>
  <c r="AB94" i="37"/>
  <c r="AB123" i="37" s="1"/>
  <c r="AK166" i="1"/>
  <c r="F166" i="1" s="1"/>
  <c r="AK169" i="19"/>
  <c r="F168" i="19"/>
  <c r="Q62" i="37"/>
  <c r="R58" i="37"/>
  <c r="AE143" i="1"/>
  <c r="AE146" i="19"/>
  <c r="AG70" i="1"/>
  <c r="AG73" i="19"/>
  <c r="AD217" i="1"/>
  <c r="AD220" i="19"/>
  <c r="AQ112" i="37"/>
  <c r="I125" i="37"/>
  <c r="L118" i="37"/>
  <c r="M108" i="37"/>
  <c r="AJ129" i="1"/>
  <c r="E129" i="1" s="1"/>
  <c r="AJ132" i="19"/>
  <c r="E131" i="19"/>
  <c r="AG35" i="1"/>
  <c r="AG38" i="19"/>
  <c r="AD108" i="1"/>
  <c r="AD111" i="19"/>
  <c r="AD95" i="1"/>
  <c r="AD98" i="19"/>
  <c r="AC82" i="1"/>
  <c r="AC85" i="19"/>
  <c r="E61" i="19"/>
  <c r="AJ165" i="1"/>
  <c r="E165" i="1" s="1"/>
  <c r="AJ168" i="19"/>
  <c r="E167" i="19"/>
  <c r="AK154" i="1"/>
  <c r="F154" i="1" s="1"/>
  <c r="AK157" i="19"/>
  <c r="F156" i="19"/>
  <c r="D10" i="2"/>
  <c r="L10" i="2"/>
  <c r="T10" i="2"/>
  <c r="C11" i="2"/>
  <c r="K11" i="2"/>
  <c r="S11" i="2"/>
  <c r="B12" i="2"/>
  <c r="J12" i="2"/>
  <c r="R12" i="2"/>
  <c r="I13" i="2"/>
  <c r="Q13" i="2"/>
  <c r="H14" i="2"/>
  <c r="P14" i="2"/>
  <c r="G15" i="2"/>
  <c r="O15" i="2"/>
  <c r="F16" i="2"/>
  <c r="N16" i="2"/>
  <c r="E17" i="2"/>
  <c r="M17" i="2"/>
  <c r="U17" i="2"/>
  <c r="D18" i="2"/>
  <c r="L18" i="2"/>
  <c r="T18" i="2"/>
  <c r="C19" i="2"/>
  <c r="K19" i="2"/>
  <c r="S19" i="2"/>
  <c r="B20" i="2"/>
  <c r="J20" i="2"/>
  <c r="R20" i="2"/>
  <c r="I21" i="2"/>
  <c r="Q21" i="2"/>
  <c r="G22" i="2"/>
  <c r="B10" i="2"/>
  <c r="K10" i="2"/>
  <c r="U10" i="2"/>
  <c r="E11" i="2"/>
  <c r="N11" i="2"/>
  <c r="G12" i="2"/>
  <c r="P12" i="2"/>
  <c r="J13" i="2"/>
  <c r="S13" i="2"/>
  <c r="C14" i="2"/>
  <c r="L14" i="2"/>
  <c r="U14" i="2"/>
  <c r="E15" i="2"/>
  <c r="N15" i="2"/>
  <c r="H16" i="2"/>
  <c r="Q16" i="2"/>
  <c r="J17" i="2"/>
  <c r="S17" i="2"/>
  <c r="C18" i="2"/>
  <c r="M18" i="2"/>
  <c r="F19" i="2"/>
  <c r="O19" i="2"/>
  <c r="H20" i="2"/>
  <c r="Q20" i="2"/>
  <c r="B21" i="2"/>
  <c r="K21" i="2"/>
  <c r="T21" i="2"/>
  <c r="C22" i="2"/>
  <c r="L22" i="2"/>
  <c r="T22" i="2"/>
  <c r="B23" i="2"/>
  <c r="J23" i="2"/>
  <c r="R23" i="2"/>
  <c r="H24" i="2"/>
  <c r="P24" i="2"/>
  <c r="F25" i="2"/>
  <c r="N25" i="2"/>
  <c r="G10" i="2"/>
  <c r="P10" i="2"/>
  <c r="J10" i="2"/>
  <c r="I11" i="2"/>
  <c r="T11" i="2"/>
  <c r="E12" i="2"/>
  <c r="O12" i="2"/>
  <c r="B13" i="2"/>
  <c r="L13" i="2"/>
  <c r="G14" i="2"/>
  <c r="R14" i="2"/>
  <c r="C15" i="2"/>
  <c r="M15" i="2"/>
  <c r="J16" i="2"/>
  <c r="T16" i="2"/>
  <c r="F17" i="2"/>
  <c r="P17" i="2"/>
  <c r="K18" i="2"/>
  <c r="H19" i="2"/>
  <c r="R19" i="2"/>
  <c r="D20" i="2"/>
  <c r="N20" i="2"/>
  <c r="J21" i="2"/>
  <c r="U21" i="2"/>
  <c r="E22" i="2"/>
  <c r="O22" i="2"/>
  <c r="G23" i="2"/>
  <c r="P23" i="2"/>
  <c r="I24" i="2"/>
  <c r="R24" i="2"/>
  <c r="J25" i="2"/>
  <c r="S25" i="2"/>
  <c r="I26" i="2"/>
  <c r="Q26" i="2"/>
  <c r="G27" i="2"/>
  <c r="O27" i="2"/>
  <c r="W27" i="2"/>
  <c r="E28" i="2"/>
  <c r="M28" i="2"/>
  <c r="U28" i="2"/>
  <c r="C29" i="2"/>
  <c r="K29" i="2"/>
  <c r="S29" i="2"/>
  <c r="I30" i="2"/>
  <c r="Q30" i="2"/>
  <c r="N10" i="2"/>
  <c r="L11" i="2"/>
  <c r="H12" i="2"/>
  <c r="S12" i="2"/>
  <c r="D13" i="2"/>
  <c r="N13" i="2"/>
  <c r="J14" i="2"/>
  <c r="T14" i="2"/>
  <c r="F15" i="2"/>
  <c r="Q15" i="2"/>
  <c r="B16" i="2"/>
  <c r="L16" i="2"/>
  <c r="H17" i="2"/>
  <c r="R17" i="2"/>
  <c r="E18" i="2"/>
  <c r="O18" i="2"/>
  <c r="J19" i="2"/>
  <c r="U19" i="2"/>
  <c r="F20" i="2"/>
  <c r="P20" i="2"/>
  <c r="C21" i="2"/>
  <c r="M21" i="2"/>
  <c r="H22" i="2"/>
  <c r="Q22" i="2"/>
  <c r="I23" i="2"/>
  <c r="S23" i="2"/>
  <c r="B24" i="2"/>
  <c r="K24" i="2"/>
  <c r="T24" i="2"/>
  <c r="C25" i="2"/>
  <c r="L25" i="2"/>
  <c r="U25" i="2"/>
  <c r="C26" i="2"/>
  <c r="K26" i="2"/>
  <c r="S26" i="2"/>
  <c r="I27" i="2"/>
  <c r="Q27" i="2"/>
  <c r="G28" i="2"/>
  <c r="O28" i="2"/>
  <c r="W28" i="2"/>
  <c r="E29" i="2"/>
  <c r="M29" i="2"/>
  <c r="U29" i="2"/>
  <c r="C30" i="2"/>
  <c r="K30" i="2"/>
  <c r="S30" i="2"/>
  <c r="I31" i="2"/>
  <c r="Q31" i="2"/>
  <c r="G32" i="2"/>
  <c r="O32" i="2"/>
  <c r="W32" i="2"/>
  <c r="E33" i="2"/>
  <c r="M33" i="2"/>
  <c r="U33" i="2"/>
  <c r="B34" i="2"/>
  <c r="J34" i="2"/>
  <c r="R34" i="2"/>
  <c r="H35" i="2"/>
  <c r="P35" i="2"/>
  <c r="F36" i="2"/>
  <c r="N36" i="2"/>
  <c r="D37" i="2"/>
  <c r="L37" i="2"/>
  <c r="T37" i="2"/>
  <c r="B38" i="2"/>
  <c r="H10" i="2"/>
  <c r="S10" i="2"/>
  <c r="G11" i="2"/>
  <c r="Q11" i="2"/>
  <c r="C12" i="2"/>
  <c r="M12" i="2"/>
  <c r="H13" i="2"/>
  <c r="T13" i="2"/>
  <c r="E14" i="2"/>
  <c r="O14" i="2"/>
  <c r="K15" i="2"/>
  <c r="U15" i="2"/>
  <c r="G16" i="2"/>
  <c r="R16" i="2"/>
  <c r="C17" i="2"/>
  <c r="N17" i="2"/>
  <c r="I18" i="2"/>
  <c r="S18" i="2"/>
  <c r="E19" i="2"/>
  <c r="P19" i="2"/>
  <c r="L20" i="2"/>
  <c r="G21" i="2"/>
  <c r="R21" i="2"/>
  <c r="B22" i="2"/>
  <c r="M22" i="2"/>
  <c r="E23" i="2"/>
  <c r="N23" i="2"/>
  <c r="W23" i="2"/>
  <c r="F24" i="2"/>
  <c r="O24" i="2"/>
  <c r="H25" i="2"/>
  <c r="Q25" i="2"/>
  <c r="G26" i="2"/>
  <c r="O26" i="2"/>
  <c r="W26" i="2"/>
  <c r="E27" i="2"/>
  <c r="M27" i="2"/>
  <c r="U27" i="2"/>
  <c r="C28" i="2"/>
  <c r="K28" i="2"/>
  <c r="S28" i="2"/>
  <c r="I29" i="2"/>
  <c r="Q29" i="2"/>
  <c r="G30" i="2"/>
  <c r="O30" i="2"/>
  <c r="W30" i="2"/>
  <c r="E31" i="2"/>
  <c r="M31" i="2"/>
  <c r="U31" i="2"/>
  <c r="C32" i="2"/>
  <c r="K32" i="2"/>
  <c r="S32" i="2"/>
  <c r="I33" i="2"/>
  <c r="Q33" i="2"/>
  <c r="F34" i="2"/>
  <c r="N34" i="2"/>
  <c r="D35" i="2"/>
  <c r="L35" i="2"/>
  <c r="T35" i="2"/>
  <c r="B36" i="2"/>
  <c r="J36" i="2"/>
  <c r="R36" i="2"/>
  <c r="H37" i="2"/>
  <c r="P37" i="2"/>
  <c r="F38" i="2"/>
  <c r="N38" i="2"/>
  <c r="D39" i="2"/>
  <c r="E10" i="2"/>
  <c r="O11" i="2"/>
  <c r="F12" i="2"/>
  <c r="O13" i="2"/>
  <c r="F14" i="2"/>
  <c r="P15" i="2"/>
  <c r="E16" i="2"/>
  <c r="O17" i="2"/>
  <c r="G18" i="2"/>
  <c r="N19" i="2"/>
  <c r="F10" i="2"/>
  <c r="P11" i="2"/>
  <c r="I12" i="2"/>
  <c r="P13" i="2"/>
  <c r="I14" i="2"/>
  <c r="R15" i="2"/>
  <c r="I16" i="2"/>
  <c r="Q17" i="2"/>
  <c r="H18" i="2"/>
  <c r="Q19" i="2"/>
  <c r="I20" i="2"/>
  <c r="P21" i="2"/>
  <c r="I22" i="2"/>
  <c r="W22" i="2"/>
  <c r="L23" i="2"/>
  <c r="N24" i="2"/>
  <c r="D25" i="2"/>
  <c r="R25" i="2"/>
  <c r="E26" i="2"/>
  <c r="R26" i="2"/>
  <c r="D27" i="2"/>
  <c r="R27" i="2"/>
  <c r="D28" i="2"/>
  <c r="Q28" i="2"/>
  <c r="D29" i="2"/>
  <c r="P29" i="2"/>
  <c r="D30" i="2"/>
  <c r="P30" i="2"/>
  <c r="C31" i="2"/>
  <c r="N31" i="2"/>
  <c r="I32" i="2"/>
  <c r="T32" i="2"/>
  <c r="D33" i="2"/>
  <c r="O33" i="2"/>
  <c r="I34" i="2"/>
  <c r="T34" i="2"/>
  <c r="E35" i="2"/>
  <c r="O35" i="2"/>
  <c r="K36" i="2"/>
  <c r="U36" i="2"/>
  <c r="F37" i="2"/>
  <c r="Q37" i="2"/>
  <c r="K38" i="2"/>
  <c r="T38" i="2"/>
  <c r="C39" i="2"/>
  <c r="L39" i="2"/>
  <c r="T39" i="2"/>
  <c r="B40" i="2"/>
  <c r="J40" i="2"/>
  <c r="R40" i="2"/>
  <c r="H41" i="2"/>
  <c r="P41" i="2"/>
  <c r="F42" i="2"/>
  <c r="N42" i="2"/>
  <c r="D43" i="2"/>
  <c r="L43" i="2"/>
  <c r="T43" i="2"/>
  <c r="B44" i="2"/>
  <c r="U11" i="2"/>
  <c r="Q12" i="2"/>
  <c r="M13" i="2"/>
  <c r="M14" i="2"/>
  <c r="I15" i="2"/>
  <c r="D16" i="2"/>
  <c r="D17" i="2"/>
  <c r="U18" i="2"/>
  <c r="O20" i="2"/>
  <c r="H21" i="2"/>
  <c r="S22" i="2"/>
  <c r="K23" i="2"/>
  <c r="C24" i="2"/>
  <c r="S24" i="2"/>
  <c r="I25" i="2"/>
  <c r="M26" i="2"/>
  <c r="B27" i="2"/>
  <c r="P27" i="2"/>
  <c r="F28" i="2"/>
  <c r="T28" i="2"/>
  <c r="H29" i="2"/>
  <c r="W29" i="2"/>
  <c r="L30" i="2"/>
  <c r="L31" i="2"/>
  <c r="L32" i="2"/>
  <c r="J33" i="2"/>
  <c r="G34" i="2"/>
  <c r="S34" i="2"/>
  <c r="F35" i="2"/>
  <c r="R35" i="2"/>
  <c r="D36" i="2"/>
  <c r="P36" i="2"/>
  <c r="B37" i="2"/>
  <c r="N37" i="2"/>
  <c r="L38" i="2"/>
  <c r="W38" i="2"/>
  <c r="G39" i="2"/>
  <c r="P39" i="2"/>
  <c r="H40" i="2"/>
  <c r="Q40" i="2"/>
  <c r="J41" i="2"/>
  <c r="S41" i="2"/>
  <c r="B42" i="2"/>
  <c r="K42" i="2"/>
  <c r="T42" i="2"/>
  <c r="C43" i="2"/>
  <c r="M43" i="2"/>
  <c r="E44" i="2"/>
  <c r="M44" i="2"/>
  <c r="U44" i="2"/>
  <c r="C45" i="2"/>
  <c r="K45" i="2"/>
  <c r="S45" i="2"/>
  <c r="H46" i="2"/>
  <c r="P46" i="2"/>
  <c r="F47" i="2"/>
  <c r="N47" i="2"/>
  <c r="D48" i="2"/>
  <c r="L48" i="2"/>
  <c r="T48" i="2"/>
  <c r="B49" i="2"/>
  <c r="J49" i="2"/>
  <c r="R49" i="2"/>
  <c r="H50" i="2"/>
  <c r="P50" i="2"/>
  <c r="F51" i="2"/>
  <c r="N51" i="2"/>
  <c r="D52" i="2"/>
  <c r="L52" i="2"/>
  <c r="T52" i="2"/>
  <c r="B53" i="2"/>
  <c r="C10" i="2"/>
  <c r="B11" i="2"/>
  <c r="T12" i="2"/>
  <c r="R13" i="2"/>
  <c r="N14" i="2"/>
  <c r="J15" i="2"/>
  <c r="K16" i="2"/>
  <c r="G17" i="2"/>
  <c r="B18" i="2"/>
  <c r="B19" i="2"/>
  <c r="S20" i="2"/>
  <c r="L21" i="2"/>
  <c r="D22" i="2"/>
  <c r="U22" i="2"/>
  <c r="M23" i="2"/>
  <c r="D24" i="2"/>
  <c r="U24" i="2"/>
  <c r="K25" i="2"/>
  <c r="N26" i="2"/>
  <c r="C27" i="2"/>
  <c r="S27" i="2"/>
  <c r="H28" i="2"/>
  <c r="J29" i="2"/>
  <c r="M30" i="2"/>
  <c r="B31" i="2"/>
  <c r="O31" i="2"/>
  <c r="M32" i="2"/>
  <c r="K33" i="2"/>
  <c r="W33" i="2"/>
  <c r="H34" i="2"/>
  <c r="U34" i="2"/>
  <c r="G35" i="2"/>
  <c r="S35" i="2"/>
  <c r="E36" i="2"/>
  <c r="Q36" i="2"/>
  <c r="C37" i="2"/>
  <c r="O37" i="2"/>
  <c r="C38" i="2"/>
  <c r="M38" i="2"/>
  <c r="H39" i="2"/>
  <c r="Q39" i="2"/>
  <c r="I40" i="2"/>
  <c r="S40" i="2"/>
  <c r="B41" i="2"/>
  <c r="K41" i="2"/>
  <c r="T41" i="2"/>
  <c r="C42" i="2"/>
  <c r="L42" i="2"/>
  <c r="U42" i="2"/>
  <c r="E43" i="2"/>
  <c r="N43" i="2"/>
  <c r="W43" i="2"/>
  <c r="F44" i="2"/>
  <c r="N44" i="2"/>
  <c r="D45" i="2"/>
  <c r="L45" i="2"/>
  <c r="T45" i="2"/>
  <c r="I46" i="2"/>
  <c r="Q46" i="2"/>
  <c r="G47" i="2"/>
  <c r="O47" i="2"/>
  <c r="W47" i="2"/>
  <c r="E48" i="2"/>
  <c r="M48" i="2"/>
  <c r="U48" i="2"/>
  <c r="C49" i="2"/>
  <c r="K49" i="2"/>
  <c r="S49" i="2"/>
  <c r="I50" i="2"/>
  <c r="Q50" i="2"/>
  <c r="G51" i="2"/>
  <c r="O51" i="2"/>
  <c r="W51" i="2"/>
  <c r="E52" i="2"/>
  <c r="M52" i="2"/>
  <c r="U52" i="2"/>
  <c r="C53" i="2"/>
  <c r="K53" i="2"/>
  <c r="S53" i="2"/>
  <c r="I54" i="2"/>
  <c r="Q54" i="2"/>
  <c r="G55" i="2"/>
  <c r="O55" i="2"/>
  <c r="W55" i="2"/>
  <c r="E56" i="2"/>
  <c r="M56" i="2"/>
  <c r="U56" i="2"/>
  <c r="C57" i="2"/>
  <c r="K57" i="2"/>
  <c r="S57" i="2"/>
  <c r="H58" i="2"/>
  <c r="P58" i="2"/>
  <c r="F59" i="2"/>
  <c r="N59" i="2"/>
  <c r="D60" i="2"/>
  <c r="L60" i="2"/>
  <c r="T60" i="2"/>
  <c r="B61" i="2"/>
  <c r="J61" i="2"/>
  <c r="R61" i="2"/>
  <c r="H62" i="2"/>
  <c r="P62" i="2"/>
  <c r="F63" i="2"/>
  <c r="N63" i="2"/>
  <c r="D64" i="2"/>
  <c r="L64" i="2"/>
  <c r="T64" i="2"/>
  <c r="B65" i="2"/>
  <c r="J65" i="2"/>
  <c r="R65" i="2"/>
  <c r="R10" i="2"/>
  <c r="M11" i="2"/>
  <c r="L12" i="2"/>
  <c r="G13" i="2"/>
  <c r="D14" i="2"/>
  <c r="D15" i="2"/>
  <c r="U16" i="2"/>
  <c r="Q18" i="2"/>
  <c r="M19" i="2"/>
  <c r="K20" i="2"/>
  <c r="E21" i="2"/>
  <c r="P22" i="2"/>
  <c r="F23" i="2"/>
  <c r="M24" i="2"/>
  <c r="E25" i="2"/>
  <c r="J26" i="2"/>
  <c r="L27" i="2"/>
  <c r="P28" i="2"/>
  <c r="F29" i="2"/>
  <c r="T29" i="2"/>
  <c r="H30" i="2"/>
  <c r="J31" i="2"/>
  <c r="H32" i="2"/>
  <c r="U32" i="2"/>
  <c r="G33" i="2"/>
  <c r="S33" i="2"/>
  <c r="D34" i="2"/>
  <c r="P34" i="2"/>
  <c r="B35" i="2"/>
  <c r="N35" i="2"/>
  <c r="M36" i="2"/>
  <c r="K37" i="2"/>
  <c r="W37" i="2"/>
  <c r="I38" i="2"/>
  <c r="S38" i="2"/>
  <c r="E39" i="2"/>
  <c r="N39" i="2"/>
  <c r="W39" i="2"/>
  <c r="F40" i="2"/>
  <c r="O40" i="2"/>
  <c r="G41" i="2"/>
  <c r="Q41" i="2"/>
  <c r="I42" i="2"/>
  <c r="R42" i="2"/>
  <c r="J43" i="2"/>
  <c r="S43" i="2"/>
  <c r="C44" i="2"/>
  <c r="K44" i="2"/>
  <c r="S44" i="2"/>
  <c r="I45" i="2"/>
  <c r="Q45" i="2"/>
  <c r="F46" i="2"/>
  <c r="N46" i="2"/>
  <c r="D47" i="2"/>
  <c r="L47" i="2"/>
  <c r="T47" i="2"/>
  <c r="B48" i="2"/>
  <c r="J48" i="2"/>
  <c r="R48" i="2"/>
  <c r="H49" i="2"/>
  <c r="P49" i="2"/>
  <c r="F50" i="2"/>
  <c r="N50" i="2"/>
  <c r="D51" i="2"/>
  <c r="L51" i="2"/>
  <c r="T51" i="2"/>
  <c r="B52" i="2"/>
  <c r="J52" i="2"/>
  <c r="R52" i="2"/>
  <c r="H53" i="2"/>
  <c r="P53" i="2"/>
  <c r="F54" i="2"/>
  <c r="N54" i="2"/>
  <c r="D55" i="2"/>
  <c r="L55" i="2"/>
  <c r="T55" i="2"/>
  <c r="B56" i="2"/>
  <c r="J56" i="2"/>
  <c r="R56" i="2"/>
  <c r="H57" i="2"/>
  <c r="P57" i="2"/>
  <c r="E58" i="2"/>
  <c r="M58" i="2"/>
  <c r="U58" i="2"/>
  <c r="C59" i="2"/>
  <c r="K59" i="2"/>
  <c r="S59" i="2"/>
  <c r="I60" i="2"/>
  <c r="Q60" i="2"/>
  <c r="G61" i="2"/>
  <c r="O61" i="2"/>
  <c r="W61" i="2"/>
  <c r="E62" i="2"/>
  <c r="M62" i="2"/>
  <c r="U62" i="2"/>
  <c r="C63" i="2"/>
  <c r="K63" i="2"/>
  <c r="S63" i="2"/>
  <c r="I64" i="2"/>
  <c r="Q64" i="2"/>
  <c r="G65" i="2"/>
  <c r="O65" i="2"/>
  <c r="W65" i="2"/>
  <c r="E66" i="2"/>
  <c r="M66" i="2"/>
  <c r="U66" i="2"/>
  <c r="C67" i="2"/>
  <c r="K67" i="2"/>
  <c r="S67" i="2"/>
  <c r="I68" i="2"/>
  <c r="Q68" i="2"/>
  <c r="G69" i="2"/>
  <c r="O69" i="2"/>
  <c r="W69" i="2"/>
  <c r="D70" i="2"/>
  <c r="L70" i="2"/>
  <c r="T70" i="2"/>
  <c r="B71" i="2"/>
  <c r="J71" i="2"/>
  <c r="R71" i="2"/>
  <c r="H72" i="2"/>
  <c r="P72" i="2"/>
  <c r="F73" i="2"/>
  <c r="N73" i="2"/>
  <c r="D74" i="2"/>
  <c r="K13" i="2"/>
  <c r="M16" i="2"/>
  <c r="T17" i="2"/>
  <c r="G19" i="2"/>
  <c r="M20" i="2"/>
  <c r="S21" i="2"/>
  <c r="U23" i="2"/>
  <c r="W24" i="2"/>
  <c r="W25" i="2"/>
  <c r="U26" i="2"/>
  <c r="T27" i="2"/>
  <c r="N28" i="2"/>
  <c r="N29" i="2"/>
  <c r="J30" i="2"/>
  <c r="G31" i="2"/>
  <c r="B32" i="2"/>
  <c r="R32" i="2"/>
  <c r="N33" i="2"/>
  <c r="E34" i="2"/>
  <c r="U35" i="2"/>
  <c r="L36" i="2"/>
  <c r="G37" i="2"/>
  <c r="Q38" i="2"/>
  <c r="I39" i="2"/>
  <c r="L40" i="2"/>
  <c r="N41" i="2"/>
  <c r="D42" i="2"/>
  <c r="Q42" i="2"/>
  <c r="G43" i="2"/>
  <c r="U43" i="2"/>
  <c r="I44" i="2"/>
  <c r="W44" i="2"/>
  <c r="H45" i="2"/>
  <c r="G46" i="2"/>
  <c r="T46" i="2"/>
  <c r="H47" i="2"/>
  <c r="S47" i="2"/>
  <c r="G48" i="2"/>
  <c r="S48" i="2"/>
  <c r="F49" i="2"/>
  <c r="T49" i="2"/>
  <c r="E50" i="2"/>
  <c r="S50" i="2"/>
  <c r="E51" i="2"/>
  <c r="R51" i="2"/>
  <c r="F52" i="2"/>
  <c r="Q52" i="2"/>
  <c r="E53" i="2"/>
  <c r="O53" i="2"/>
  <c r="K54" i="2"/>
  <c r="U54" i="2"/>
  <c r="F55" i="2"/>
  <c r="Q55" i="2"/>
  <c r="L56" i="2"/>
  <c r="W56" i="2"/>
  <c r="G57" i="2"/>
  <c r="R57" i="2"/>
  <c r="B58" i="2"/>
  <c r="L58" i="2"/>
  <c r="W58" i="2"/>
  <c r="H59" i="2"/>
  <c r="R59" i="2"/>
  <c r="C60" i="2"/>
  <c r="N60" i="2"/>
  <c r="I61" i="2"/>
  <c r="T61" i="2"/>
  <c r="D62" i="2"/>
  <c r="O62" i="2"/>
  <c r="J63" i="2"/>
  <c r="U63" i="2"/>
  <c r="F64" i="2"/>
  <c r="P64" i="2"/>
  <c r="L65" i="2"/>
  <c r="G66" i="2"/>
  <c r="P66" i="2"/>
  <c r="H67" i="2"/>
  <c r="Q67" i="2"/>
  <c r="J68" i="2"/>
  <c r="S68" i="2"/>
  <c r="B69" i="2"/>
  <c r="K69" i="2"/>
  <c r="T69" i="2"/>
  <c r="B70" i="2"/>
  <c r="K70" i="2"/>
  <c r="U70" i="2"/>
  <c r="D71" i="2"/>
  <c r="M71" i="2"/>
  <c r="E72" i="2"/>
  <c r="N72" i="2"/>
  <c r="W72" i="2"/>
  <c r="G73" i="2"/>
  <c r="P73" i="2"/>
  <c r="H74" i="2"/>
  <c r="P74" i="2"/>
  <c r="F75" i="2"/>
  <c r="N75" i="2"/>
  <c r="D76" i="2"/>
  <c r="L76" i="2"/>
  <c r="T76" i="2"/>
  <c r="B77" i="2"/>
  <c r="J77" i="2"/>
  <c r="R77" i="2"/>
  <c r="H78" i="2"/>
  <c r="P78" i="2"/>
  <c r="F79" i="2"/>
  <c r="N79" i="2"/>
  <c r="D80" i="2"/>
  <c r="L80" i="2"/>
  <c r="T80" i="2"/>
  <c r="B81" i="2"/>
  <c r="J81" i="2"/>
  <c r="R81" i="2"/>
  <c r="G82" i="2"/>
  <c r="O82" i="2"/>
  <c r="G83" i="2"/>
  <c r="O83" i="2"/>
  <c r="G84" i="2"/>
  <c r="O84" i="2"/>
  <c r="G85" i="2"/>
  <c r="O85" i="2"/>
  <c r="G86" i="2"/>
  <c r="O86" i="2"/>
  <c r="G87" i="2"/>
  <c r="O87" i="2"/>
  <c r="G88" i="2"/>
  <c r="O88" i="2"/>
  <c r="G89" i="2"/>
  <c r="O89" i="2"/>
  <c r="G90" i="2"/>
  <c r="D12" i="2"/>
  <c r="U13" i="2"/>
  <c r="B15" i="2"/>
  <c r="O16" i="2"/>
  <c r="I19" i="2"/>
  <c r="T20" i="2"/>
  <c r="B26" i="2"/>
  <c r="R28" i="2"/>
  <c r="O29" i="2"/>
  <c r="N30" i="2"/>
  <c r="H31" i="2"/>
  <c r="D32" i="2"/>
  <c r="P33" i="2"/>
  <c r="K34" i="2"/>
  <c r="O36" i="2"/>
  <c r="I37" i="2"/>
  <c r="D38" i="2"/>
  <c r="R38" i="2"/>
  <c r="J39" i="2"/>
  <c r="M40" i="2"/>
  <c r="C41" i="2"/>
  <c r="O41" i="2"/>
  <c r="E42" i="2"/>
  <c r="S42" i="2"/>
  <c r="H43" i="2"/>
  <c r="J44" i="2"/>
  <c r="J45" i="2"/>
  <c r="W45" i="2"/>
  <c r="J46" i="2"/>
  <c r="U46" i="2"/>
  <c r="I47" i="2"/>
  <c r="U47" i="2"/>
  <c r="H48" i="2"/>
  <c r="G49" i="2"/>
  <c r="U49" i="2"/>
  <c r="G50" i="2"/>
  <c r="T50" i="2"/>
  <c r="H51" i="2"/>
  <c r="S51" i="2"/>
  <c r="G52" i="2"/>
  <c r="S52" i="2"/>
  <c r="F53" i="2"/>
  <c r="Q53" i="2"/>
  <c r="B54" i="2"/>
  <c r="L54" i="2"/>
  <c r="W54" i="2"/>
  <c r="H55" i="2"/>
  <c r="R55" i="2"/>
  <c r="C56" i="2"/>
  <c r="N56" i="2"/>
  <c r="I57" i="2"/>
  <c r="T57" i="2"/>
  <c r="C58" i="2"/>
  <c r="N58" i="2"/>
  <c r="I59" i="2"/>
  <c r="T59" i="2"/>
  <c r="E60" i="2"/>
  <c r="O60" i="2"/>
  <c r="K61" i="2"/>
  <c r="U61" i="2"/>
  <c r="F62" i="2"/>
  <c r="Q62" i="2"/>
  <c r="L63" i="2"/>
  <c r="W63" i="2"/>
  <c r="G64" i="2"/>
  <c r="R64" i="2"/>
  <c r="C65" i="2"/>
  <c r="M65" i="2"/>
  <c r="H66" i="2"/>
  <c r="Q66" i="2"/>
  <c r="I67" i="2"/>
  <c r="R67" i="2"/>
  <c r="B68" i="2"/>
  <c r="K68" i="2"/>
  <c r="T68" i="2"/>
  <c r="C69" i="2"/>
  <c r="L69" i="2"/>
  <c r="U69" i="2"/>
  <c r="C70" i="2"/>
  <c r="M70" i="2"/>
  <c r="E71" i="2"/>
  <c r="N71" i="2"/>
  <c r="W71" i="2"/>
  <c r="F72" i="2"/>
  <c r="O72" i="2"/>
  <c r="H73" i="2"/>
  <c r="Q73" i="2"/>
  <c r="I74" i="2"/>
  <c r="Q74" i="2"/>
  <c r="G75" i="2"/>
  <c r="O75" i="2"/>
  <c r="W75" i="2"/>
  <c r="E76" i="2"/>
  <c r="M76" i="2"/>
  <c r="U76" i="2"/>
  <c r="C77" i="2"/>
  <c r="K77" i="2"/>
  <c r="S77" i="2"/>
  <c r="I78" i="2"/>
  <c r="Q78" i="2"/>
  <c r="G79" i="2"/>
  <c r="O79" i="2"/>
  <c r="W79" i="2"/>
  <c r="E80" i="2"/>
  <c r="M80" i="2"/>
  <c r="U80" i="2"/>
  <c r="C81" i="2"/>
  <c r="K81" i="2"/>
  <c r="S81" i="2"/>
  <c r="H82" i="2"/>
  <c r="P82" i="2"/>
  <c r="H83" i="2"/>
  <c r="P83" i="2"/>
  <c r="H84" i="2"/>
  <c r="P84" i="2"/>
  <c r="H85" i="2"/>
  <c r="P85" i="2"/>
  <c r="H86" i="2"/>
  <c r="P86" i="2"/>
  <c r="H87" i="2"/>
  <c r="P87" i="2"/>
  <c r="H88" i="2"/>
  <c r="P88" i="2"/>
  <c r="H89" i="2"/>
  <c r="D11" i="2"/>
  <c r="K12" i="2"/>
  <c r="H15" i="2"/>
  <c r="P16" i="2"/>
  <c r="F18" i="2"/>
  <c r="L19" i="2"/>
  <c r="U20" i="2"/>
  <c r="C23" i="2"/>
  <c r="E24" i="2"/>
  <c r="B25" i="2"/>
  <c r="D26" i="2"/>
  <c r="R29" i="2"/>
  <c r="U12" i="2"/>
  <c r="S14" i="2"/>
  <c r="I17" i="2"/>
  <c r="T19" i="2"/>
  <c r="N21" i="2"/>
  <c r="H23" i="2"/>
  <c r="L26" i="2"/>
  <c r="G29" i="2"/>
  <c r="T30" i="2"/>
  <c r="S31" i="2"/>
  <c r="Q32" i="2"/>
  <c r="T33" i="2"/>
  <c r="Q34" i="2"/>
  <c r="Q35" i="2"/>
  <c r="T36" i="2"/>
  <c r="S37" i="2"/>
  <c r="P38" i="2"/>
  <c r="M39" i="2"/>
  <c r="E40" i="2"/>
  <c r="W40" i="2"/>
  <c r="U41" i="2"/>
  <c r="M42" i="2"/>
  <c r="F43" i="2"/>
  <c r="Q44" i="2"/>
  <c r="G45" i="2"/>
  <c r="O46" i="2"/>
  <c r="E47" i="2"/>
  <c r="O48" i="2"/>
  <c r="E49" i="2"/>
  <c r="W49" i="2"/>
  <c r="M50" i="2"/>
  <c r="C51" i="2"/>
  <c r="N52" i="2"/>
  <c r="D53" i="2"/>
  <c r="T53" i="2"/>
  <c r="G54" i="2"/>
  <c r="T54" i="2"/>
  <c r="J55" i="2"/>
  <c r="K56" i="2"/>
  <c r="N57" i="2"/>
  <c r="Q58" i="2"/>
  <c r="D59" i="2"/>
  <c r="Q59" i="2"/>
  <c r="G60" i="2"/>
  <c r="U60" i="2"/>
  <c r="H61" i="2"/>
  <c r="K62" i="2"/>
  <c r="O63" i="2"/>
  <c r="B64" i="2"/>
  <c r="O64" i="2"/>
  <c r="E65" i="2"/>
  <c r="S65" i="2"/>
  <c r="F66" i="2"/>
  <c r="S66" i="2"/>
  <c r="E67" i="2"/>
  <c r="P67" i="2"/>
  <c r="D68" i="2"/>
  <c r="O68" i="2"/>
  <c r="N69" i="2"/>
  <c r="J70" i="2"/>
  <c r="I71" i="2"/>
  <c r="U71" i="2"/>
  <c r="I72" i="2"/>
  <c r="T72" i="2"/>
  <c r="E73" i="2"/>
  <c r="S73" i="2"/>
  <c r="E74" i="2"/>
  <c r="O74" i="2"/>
  <c r="K75" i="2"/>
  <c r="U75" i="2"/>
  <c r="G76" i="2"/>
  <c r="Q76" i="2"/>
  <c r="M77" i="2"/>
  <c r="W77" i="2"/>
  <c r="G78" i="2"/>
  <c r="S78" i="2"/>
  <c r="C79" i="2"/>
  <c r="M79" i="2"/>
  <c r="I80" i="2"/>
  <c r="S80" i="2"/>
  <c r="E81" i="2"/>
  <c r="O81" i="2"/>
  <c r="J82" i="2"/>
  <c r="T82" i="2"/>
  <c r="F83" i="2"/>
  <c r="R83" i="2"/>
  <c r="D84" i="2"/>
  <c r="N84" i="2"/>
  <c r="B85" i="2"/>
  <c r="L85" i="2"/>
  <c r="J86" i="2"/>
  <c r="T86" i="2"/>
  <c r="F87" i="2"/>
  <c r="R87" i="2"/>
  <c r="D88" i="2"/>
  <c r="N88" i="2"/>
  <c r="B89" i="2"/>
  <c r="L89" i="2"/>
  <c r="U89" i="2"/>
  <c r="F90" i="2"/>
  <c r="O90" i="2"/>
  <c r="G91" i="2"/>
  <c r="O91" i="2"/>
  <c r="G92" i="2"/>
  <c r="O92" i="2"/>
  <c r="G93" i="2"/>
  <c r="O93" i="2"/>
  <c r="F94" i="2"/>
  <c r="N94" i="2"/>
  <c r="F95" i="2"/>
  <c r="N95" i="2"/>
  <c r="F96" i="2"/>
  <c r="N96" i="2"/>
  <c r="F97" i="2"/>
  <c r="N97" i="2"/>
  <c r="F98" i="2"/>
  <c r="N98" i="2"/>
  <c r="F99" i="2"/>
  <c r="N99" i="2"/>
  <c r="F100" i="2"/>
  <c r="N100" i="2"/>
  <c r="F101" i="2"/>
  <c r="N101" i="2"/>
  <c r="F102" i="2"/>
  <c r="N102" i="2"/>
  <c r="F103" i="2"/>
  <c r="N103" i="2"/>
  <c r="F104" i="2"/>
  <c r="N104" i="2"/>
  <c r="F105" i="2"/>
  <c r="N105" i="2"/>
  <c r="F11" i="2"/>
  <c r="C13" i="2"/>
  <c r="L15" i="2"/>
  <c r="K17" i="2"/>
  <c r="O21" i="2"/>
  <c r="O23" i="2"/>
  <c r="G25" i="2"/>
  <c r="P26" i="2"/>
  <c r="B28" i="2"/>
  <c r="L29" i="2"/>
  <c r="U30" i="2"/>
  <c r="T31" i="2"/>
  <c r="W34" i="2"/>
  <c r="W35" i="2"/>
  <c r="W36" i="2"/>
  <c r="U37" i="2"/>
  <c r="U38" i="2"/>
  <c r="O39" i="2"/>
  <c r="G40" i="2"/>
  <c r="D41" i="2"/>
  <c r="O42" i="2"/>
  <c r="I43" i="2"/>
  <c r="R44" i="2"/>
  <c r="M45" i="2"/>
  <c r="B46" i="2"/>
  <c r="R46" i="2"/>
  <c r="J47" i="2"/>
  <c r="P48" i="2"/>
  <c r="I49" i="2"/>
  <c r="O50" i="2"/>
  <c r="I51" i="2"/>
  <c r="O52" i="2"/>
  <c r="G53" i="2"/>
  <c r="U53" i="2"/>
  <c r="H54" i="2"/>
  <c r="K55" i="2"/>
  <c r="O56" i="2"/>
  <c r="B57" i="2"/>
  <c r="O57" i="2"/>
  <c r="D58" i="2"/>
  <c r="R58" i="2"/>
  <c r="E59" i="2"/>
  <c r="U59" i="2"/>
  <c r="H60" i="2"/>
  <c r="L61" i="2"/>
  <c r="L62" i="2"/>
  <c r="B63" i="2"/>
  <c r="P63" i="2"/>
  <c r="C64" i="2"/>
  <c r="S64" i="2"/>
  <c r="F65" i="2"/>
  <c r="T65" i="2"/>
  <c r="I66" i="2"/>
  <c r="T66" i="2"/>
  <c r="F67" i="2"/>
  <c r="T67" i="2"/>
  <c r="E68" i="2"/>
  <c r="P68" i="2"/>
  <c r="D69" i="2"/>
  <c r="P69" i="2"/>
  <c r="N70" i="2"/>
  <c r="K71" i="2"/>
  <c r="J72" i="2"/>
  <c r="U72" i="2"/>
  <c r="I73" i="2"/>
  <c r="T73" i="2"/>
  <c r="F74" i="2"/>
  <c r="R74" i="2"/>
  <c r="B75" i="2"/>
  <c r="L75" i="2"/>
  <c r="H76" i="2"/>
  <c r="R76" i="2"/>
  <c r="D77" i="2"/>
  <c r="N77" i="2"/>
  <c r="J78" i="2"/>
  <c r="T78" i="2"/>
  <c r="D79" i="2"/>
  <c r="P79" i="2"/>
  <c r="J80" i="2"/>
  <c r="F81" i="2"/>
  <c r="P81" i="2"/>
  <c r="K82" i="2"/>
  <c r="U82" i="2"/>
  <c r="I83" i="2"/>
  <c r="S83" i="2"/>
  <c r="E84" i="2"/>
  <c r="Q84" i="2"/>
  <c r="C85" i="2"/>
  <c r="M85" i="2"/>
  <c r="K86" i="2"/>
  <c r="U86" i="2"/>
  <c r="I87" i="2"/>
  <c r="S87" i="2"/>
  <c r="E88" i="2"/>
  <c r="Q88" i="2"/>
  <c r="C89" i="2"/>
  <c r="M89" i="2"/>
  <c r="H90" i="2"/>
  <c r="P90" i="2"/>
  <c r="H91" i="2"/>
  <c r="P91" i="2"/>
  <c r="H92" i="2"/>
  <c r="P92" i="2"/>
  <c r="H93" i="2"/>
  <c r="P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H11" i="2"/>
  <c r="E13" i="2"/>
  <c r="S15" i="2"/>
  <c r="L17" i="2"/>
  <c r="C20" i="2"/>
  <c r="F22" i="2"/>
  <c r="Q23" i="2"/>
  <c r="M25" i="2"/>
  <c r="T26" i="2"/>
  <c r="I28" i="2"/>
  <c r="W31" i="2"/>
  <c r="B33" i="2"/>
  <c r="R39" i="2"/>
  <c r="K40" i="2"/>
  <c r="E41" i="2"/>
  <c r="W41" i="2"/>
  <c r="P42" i="2"/>
  <c r="K43" i="2"/>
  <c r="D44" i="2"/>
  <c r="T44" i="2"/>
  <c r="N45" i="2"/>
  <c r="C46" i="2"/>
  <c r="S46" i="2"/>
  <c r="K47" i="2"/>
  <c r="Q48" i="2"/>
  <c r="L49" i="2"/>
  <c r="B50" i="2"/>
  <c r="R50" i="2"/>
  <c r="J51" i="2"/>
  <c r="P52" i="2"/>
  <c r="I53" i="2"/>
  <c r="J54" i="2"/>
  <c r="M55" i="2"/>
  <c r="P56" i="2"/>
  <c r="D57" i="2"/>
  <c r="Q57" i="2"/>
  <c r="F58" i="2"/>
  <c r="S58" i="2"/>
  <c r="G59" i="2"/>
  <c r="W59" i="2"/>
  <c r="J60" i="2"/>
  <c r="W60" i="2"/>
  <c r="M61" i="2"/>
  <c r="N62" i="2"/>
  <c r="D63" i="2"/>
  <c r="Q63" i="2"/>
  <c r="E64" i="2"/>
  <c r="U64" i="2"/>
  <c r="H65" i="2"/>
  <c r="U65" i="2"/>
  <c r="J66" i="2"/>
  <c r="G67" i="2"/>
  <c r="U67" i="2"/>
  <c r="F68" i="2"/>
  <c r="R68" i="2"/>
  <c r="E69" i="2"/>
  <c r="Q69" i="2"/>
  <c r="O70" i="2"/>
  <c r="L71" i="2"/>
  <c r="K72" i="2"/>
  <c r="J73" i="2"/>
  <c r="U73" i="2"/>
  <c r="G74" i="2"/>
  <c r="S74" i="2"/>
  <c r="C75" i="2"/>
  <c r="M75" i="2"/>
  <c r="I76" i="2"/>
  <c r="S76" i="2"/>
  <c r="E77" i="2"/>
  <c r="O77" i="2"/>
  <c r="K78" i="2"/>
  <c r="U78" i="2"/>
  <c r="E79" i="2"/>
  <c r="Q79" i="2"/>
  <c r="K80" i="2"/>
  <c r="W80" i="2"/>
  <c r="G81" i="2"/>
  <c r="Q81" i="2"/>
  <c r="B82" i="2"/>
  <c r="L82" i="2"/>
  <c r="J83" i="2"/>
  <c r="T83" i="2"/>
  <c r="F84" i="2"/>
  <c r="R84" i="2"/>
  <c r="D85" i="2"/>
  <c r="N85" i="2"/>
  <c r="B86" i="2"/>
  <c r="L86" i="2"/>
  <c r="J87" i="2"/>
  <c r="T87" i="2"/>
  <c r="F88" i="2"/>
  <c r="R88" i="2"/>
  <c r="D89" i="2"/>
  <c r="N89" i="2"/>
  <c r="I90" i="2"/>
  <c r="Q90" i="2"/>
  <c r="I91" i="2"/>
  <c r="Q91" i="2"/>
  <c r="I92" i="2"/>
  <c r="Q92" i="2"/>
  <c r="I93" i="2"/>
  <c r="Q93" i="2"/>
  <c r="H94" i="2"/>
  <c r="P94" i="2"/>
  <c r="H95" i="2"/>
  <c r="P95" i="2"/>
  <c r="H96" i="2"/>
  <c r="P96" i="2"/>
  <c r="H97" i="2"/>
  <c r="P97" i="2"/>
  <c r="H98" i="2"/>
  <c r="P98" i="2"/>
  <c r="H99" i="2"/>
  <c r="P99" i="2"/>
  <c r="H100" i="2"/>
  <c r="P100" i="2"/>
  <c r="H101" i="2"/>
  <c r="P101" i="2"/>
  <c r="H102" i="2"/>
  <c r="P102" i="2"/>
  <c r="H103" i="2"/>
  <c r="P103" i="2"/>
  <c r="H104" i="2"/>
  <c r="P104" i="2"/>
  <c r="H105" i="2"/>
  <c r="P105" i="2"/>
  <c r="O10" i="2"/>
  <c r="K14" i="2"/>
  <c r="S16" i="2"/>
  <c r="R18" i="2"/>
  <c r="D21" i="2"/>
  <c r="R22" i="2"/>
  <c r="L24" i="2"/>
  <c r="F26" i="2"/>
  <c r="K27" i="2"/>
  <c r="F30" i="2"/>
  <c r="P31" i="2"/>
  <c r="N32" i="2"/>
  <c r="L33" i="2"/>
  <c r="M34" i="2"/>
  <c r="K35" i="2"/>
  <c r="I36" i="2"/>
  <c r="M37" i="2"/>
  <c r="J38" i="2"/>
  <c r="F39" i="2"/>
  <c r="C40" i="2"/>
  <c r="U40" i="2"/>
  <c r="M41" i="2"/>
  <c r="H42" i="2"/>
  <c r="R43" i="2"/>
  <c r="O44" i="2"/>
  <c r="E45" i="2"/>
  <c r="U45" i="2"/>
  <c r="L46" i="2"/>
  <c r="B47" i="2"/>
  <c r="R47" i="2"/>
  <c r="K48" i="2"/>
  <c r="Q49" i="2"/>
  <c r="K50" i="2"/>
  <c r="Q51" i="2"/>
  <c r="I52" i="2"/>
  <c r="N53" i="2"/>
  <c r="D54" i="2"/>
  <c r="R54" i="2"/>
  <c r="E55" i="2"/>
  <c r="U55" i="2"/>
  <c r="H56" i="2"/>
  <c r="L57" i="2"/>
  <c r="K58" i="2"/>
  <c r="O59" i="2"/>
  <c r="B60" i="2"/>
  <c r="R60" i="2"/>
  <c r="E61" i="2"/>
  <c r="S61" i="2"/>
  <c r="I62" i="2"/>
  <c r="B14" i="2"/>
  <c r="P18" i="2"/>
  <c r="N22" i="2"/>
  <c r="T25" i="2"/>
  <c r="K31" i="2"/>
  <c r="H33" i="2"/>
  <c r="J35" i="2"/>
  <c r="J37" i="2"/>
  <c r="B39" i="2"/>
  <c r="T40" i="2"/>
  <c r="G42" i="2"/>
  <c r="Q43" i="2"/>
  <c r="B45" i="2"/>
  <c r="K46" i="2"/>
  <c r="Q47" i="2"/>
  <c r="J50" i="2"/>
  <c r="P51" i="2"/>
  <c r="C54" i="2"/>
  <c r="C55" i="2"/>
  <c r="G56" i="2"/>
  <c r="J57" i="2"/>
  <c r="J58" i="2"/>
  <c r="M59" i="2"/>
  <c r="P60" i="2"/>
  <c r="Q61" i="2"/>
  <c r="T62" i="2"/>
  <c r="T63" i="2"/>
  <c r="N64" i="2"/>
  <c r="N65" i="2"/>
  <c r="K66" i="2"/>
  <c r="B67" i="2"/>
  <c r="W67" i="2"/>
  <c r="N68" i="2"/>
  <c r="I69" i="2"/>
  <c r="E70" i="2"/>
  <c r="S70" i="2"/>
  <c r="P71" i="2"/>
  <c r="G72" i="2"/>
  <c r="B73" i="2"/>
  <c r="W73" i="2"/>
  <c r="M74" i="2"/>
  <c r="E75" i="2"/>
  <c r="T75" i="2"/>
  <c r="N76" i="2"/>
  <c r="F77" i="2"/>
  <c r="U77" i="2"/>
  <c r="M78" i="2"/>
  <c r="B79" i="2"/>
  <c r="T79" i="2"/>
  <c r="N80" i="2"/>
  <c r="U81" i="2"/>
  <c r="I82" i="2"/>
  <c r="C83" i="2"/>
  <c r="U83" i="2"/>
  <c r="L84" i="2"/>
  <c r="F85" i="2"/>
  <c r="U85" i="2"/>
  <c r="Q86" i="2"/>
  <c r="K87" i="2"/>
  <c r="B88" i="2"/>
  <c r="T88" i="2"/>
  <c r="K89" i="2"/>
  <c r="C90" i="2"/>
  <c r="R90" i="2"/>
  <c r="E91" i="2"/>
  <c r="S91" i="2"/>
  <c r="F92" i="2"/>
  <c r="T92" i="2"/>
  <c r="J93" i="2"/>
  <c r="U93" i="2"/>
  <c r="J94" i="2"/>
  <c r="U94" i="2"/>
  <c r="K95" i="2"/>
  <c r="L96" i="2"/>
  <c r="B97" i="2"/>
  <c r="M97" i="2"/>
  <c r="C98" i="2"/>
  <c r="Q98" i="2"/>
  <c r="D99" i="2"/>
  <c r="R99" i="2"/>
  <c r="E100" i="2"/>
  <c r="S100" i="2"/>
  <c r="I101" i="2"/>
  <c r="T101" i="2"/>
  <c r="J102" i="2"/>
  <c r="U102" i="2"/>
  <c r="K103" i="2"/>
  <c r="L104" i="2"/>
  <c r="B105" i="2"/>
  <c r="M105" i="2"/>
  <c r="H106" i="2"/>
  <c r="P106" i="2"/>
  <c r="H107" i="2"/>
  <c r="P107" i="2"/>
  <c r="H108" i="2"/>
  <c r="P108" i="2"/>
  <c r="H109" i="2"/>
  <c r="P109" i="2"/>
  <c r="H110" i="2"/>
  <c r="P110" i="2"/>
  <c r="H111" i="2"/>
  <c r="P111" i="2"/>
  <c r="H112" i="2"/>
  <c r="P112" i="2"/>
  <c r="H113" i="2"/>
  <c r="P113" i="2"/>
  <c r="H114" i="2"/>
  <c r="P114" i="2"/>
  <c r="H115" i="2"/>
  <c r="P115" i="2"/>
  <c r="H116" i="2"/>
  <c r="P116" i="2"/>
  <c r="H117" i="2"/>
  <c r="P117" i="2"/>
  <c r="G118" i="2"/>
  <c r="O118" i="2"/>
  <c r="G119" i="2"/>
  <c r="O119" i="2"/>
  <c r="G120" i="2"/>
  <c r="O120" i="2"/>
  <c r="G121" i="2"/>
  <c r="O121" i="2"/>
  <c r="G122" i="2"/>
  <c r="O122" i="2"/>
  <c r="G123" i="2"/>
  <c r="O123" i="2"/>
  <c r="G124" i="2"/>
  <c r="O124" i="2"/>
  <c r="G125" i="2"/>
  <c r="O125" i="2"/>
  <c r="G126" i="2"/>
  <c r="O126" i="2"/>
  <c r="G127" i="2"/>
  <c r="O127" i="2"/>
  <c r="G128" i="2"/>
  <c r="O128" i="2"/>
  <c r="G129" i="2"/>
  <c r="O129" i="2"/>
  <c r="F130" i="2"/>
  <c r="N130" i="2"/>
  <c r="F131" i="2"/>
  <c r="N131" i="2"/>
  <c r="F132" i="2"/>
  <c r="N132" i="2"/>
  <c r="F133" i="2"/>
  <c r="N133" i="2"/>
  <c r="F134" i="2"/>
  <c r="N134" i="2"/>
  <c r="F135" i="2"/>
  <c r="N135" i="2"/>
  <c r="F136" i="2"/>
  <c r="N136" i="2"/>
  <c r="F137" i="2"/>
  <c r="N137" i="2"/>
  <c r="F138" i="2"/>
  <c r="N138" i="2"/>
  <c r="F139" i="2"/>
  <c r="N139" i="2"/>
  <c r="F140" i="2"/>
  <c r="N140" i="2"/>
  <c r="F141" i="2"/>
  <c r="N141" i="2"/>
  <c r="E142" i="2"/>
  <c r="M142" i="2"/>
  <c r="U142" i="2"/>
  <c r="E143" i="2"/>
  <c r="M143" i="2"/>
  <c r="U143" i="2"/>
  <c r="E144" i="2"/>
  <c r="M144" i="2"/>
  <c r="U144" i="2"/>
  <c r="E145" i="2"/>
  <c r="M145" i="2"/>
  <c r="U145" i="2"/>
  <c r="E146" i="2"/>
  <c r="M146" i="2"/>
  <c r="U146" i="2"/>
  <c r="E147" i="2"/>
  <c r="M147" i="2"/>
  <c r="U147" i="2"/>
  <c r="E148" i="2"/>
  <c r="M148" i="2"/>
  <c r="U148" i="2"/>
  <c r="E149" i="2"/>
  <c r="M149" i="2"/>
  <c r="U149" i="2"/>
  <c r="E150" i="2"/>
  <c r="M150" i="2"/>
  <c r="U150" i="2"/>
  <c r="E151" i="2"/>
  <c r="M151" i="2"/>
  <c r="U151" i="2"/>
  <c r="E152" i="2"/>
  <c r="M152" i="2"/>
  <c r="U152" i="2"/>
  <c r="E153" i="2"/>
  <c r="M153" i="2"/>
  <c r="U153" i="2"/>
  <c r="D154" i="2"/>
  <c r="L154" i="2"/>
  <c r="T154" i="2"/>
  <c r="D155" i="2"/>
  <c r="L155" i="2"/>
  <c r="T155" i="2"/>
  <c r="D156" i="2"/>
  <c r="L156" i="2"/>
  <c r="T156" i="2"/>
  <c r="D157" i="2"/>
  <c r="L157" i="2"/>
  <c r="T157" i="2"/>
  <c r="D158" i="2"/>
  <c r="L158" i="2"/>
  <c r="T158" i="2"/>
  <c r="D159" i="2"/>
  <c r="L159" i="2"/>
  <c r="T159" i="2"/>
  <c r="D160" i="2"/>
  <c r="L160" i="2"/>
  <c r="T160" i="2"/>
  <c r="D161" i="2"/>
  <c r="L161" i="2"/>
  <c r="T161" i="2"/>
  <c r="D162" i="2"/>
  <c r="L162" i="2"/>
  <c r="T162" i="2"/>
  <c r="D163" i="2"/>
  <c r="L163" i="2"/>
  <c r="T163" i="2"/>
  <c r="D164" i="2"/>
  <c r="L164" i="2"/>
  <c r="T164" i="2"/>
  <c r="D165" i="2"/>
  <c r="L165" i="2"/>
  <c r="T165" i="2"/>
  <c r="C166" i="2"/>
  <c r="K166" i="2"/>
  <c r="S166" i="2"/>
  <c r="C167" i="2"/>
  <c r="K167" i="2"/>
  <c r="S167" i="2"/>
  <c r="C168" i="2"/>
  <c r="K168" i="2"/>
  <c r="J11" i="2"/>
  <c r="Q14" i="2"/>
  <c r="D19" i="2"/>
  <c r="D23" i="2"/>
  <c r="H26" i="2"/>
  <c r="B29" i="2"/>
  <c r="R31" i="2"/>
  <c r="R33" i="2"/>
  <c r="M35" i="2"/>
  <c r="R37" i="2"/>
  <c r="K39" i="2"/>
  <c r="J42" i="2"/>
  <c r="F45" i="2"/>
  <c r="M46" i="2"/>
  <c r="D49" i="2"/>
  <c r="L50" i="2"/>
  <c r="U51" i="2"/>
  <c r="E54" i="2"/>
  <c r="I55" i="2"/>
  <c r="I56" i="2"/>
  <c r="M57" i="2"/>
  <c r="O58" i="2"/>
  <c r="P59" i="2"/>
  <c r="S60" i="2"/>
  <c r="W62" i="2"/>
  <c r="P65" i="2"/>
  <c r="L66" i="2"/>
  <c r="D67" i="2"/>
  <c r="U68" i="2"/>
  <c r="J69" i="2"/>
  <c r="F70" i="2"/>
  <c r="W70" i="2"/>
  <c r="Q71" i="2"/>
  <c r="L72" i="2"/>
  <c r="C73" i="2"/>
  <c r="N74" i="2"/>
  <c r="H75" i="2"/>
  <c r="O76" i="2"/>
  <c r="G77" i="2"/>
  <c r="N78" i="2"/>
  <c r="H79" i="2"/>
  <c r="U79" i="2"/>
  <c r="O80" i="2"/>
  <c r="D81" i="2"/>
  <c r="M82" i="2"/>
  <c r="D83" i="2"/>
  <c r="M84" i="2"/>
  <c r="I85" i="2"/>
  <c r="C86" i="2"/>
  <c r="R86" i="2"/>
  <c r="L87" i="2"/>
  <c r="C88" i="2"/>
  <c r="U88" i="2"/>
  <c r="P89" i="2"/>
  <c r="D90" i="2"/>
  <c r="S90" i="2"/>
  <c r="F91" i="2"/>
  <c r="T91" i="2"/>
  <c r="J92" i="2"/>
  <c r="U92" i="2"/>
  <c r="K93" i="2"/>
  <c r="K94" i="2"/>
  <c r="L95" i="2"/>
  <c r="B96" i="2"/>
  <c r="M96" i="2"/>
  <c r="C97" i="2"/>
  <c r="Q97" i="2"/>
  <c r="D98" i="2"/>
  <c r="R98" i="2"/>
  <c r="E99" i="2"/>
  <c r="S99" i="2"/>
  <c r="I100" i="2"/>
  <c r="T100" i="2"/>
  <c r="J101" i="2"/>
  <c r="U101" i="2"/>
  <c r="K102" i="2"/>
  <c r="L103" i="2"/>
  <c r="B104" i="2"/>
  <c r="M104" i="2"/>
  <c r="C105" i="2"/>
  <c r="Q105" i="2"/>
  <c r="I106" i="2"/>
  <c r="Q106" i="2"/>
  <c r="I107" i="2"/>
  <c r="Q107" i="2"/>
  <c r="I108" i="2"/>
  <c r="Q108" i="2"/>
  <c r="I109" i="2"/>
  <c r="Q109" i="2"/>
  <c r="I110" i="2"/>
  <c r="Q110" i="2"/>
  <c r="I111" i="2"/>
  <c r="Q111" i="2"/>
  <c r="I112" i="2"/>
  <c r="Q112" i="2"/>
  <c r="I113" i="2"/>
  <c r="Q113" i="2"/>
  <c r="I114" i="2"/>
  <c r="Q114" i="2"/>
  <c r="I115" i="2"/>
  <c r="Q115" i="2"/>
  <c r="I116" i="2"/>
  <c r="Q116" i="2"/>
  <c r="I117" i="2"/>
  <c r="Q117" i="2"/>
  <c r="H118" i="2"/>
  <c r="P118" i="2"/>
  <c r="H119" i="2"/>
  <c r="P119" i="2"/>
  <c r="H120" i="2"/>
  <c r="P120" i="2"/>
  <c r="H121" i="2"/>
  <c r="P121" i="2"/>
  <c r="H122" i="2"/>
  <c r="P122" i="2"/>
  <c r="H123" i="2"/>
  <c r="P123" i="2"/>
  <c r="H124" i="2"/>
  <c r="P124" i="2"/>
  <c r="H125" i="2"/>
  <c r="P125" i="2"/>
  <c r="H126" i="2"/>
  <c r="P126" i="2"/>
  <c r="H127" i="2"/>
  <c r="P127" i="2"/>
  <c r="H128" i="2"/>
  <c r="P128" i="2"/>
  <c r="H129" i="2"/>
  <c r="P129" i="2"/>
  <c r="G130" i="2"/>
  <c r="O130" i="2"/>
  <c r="G131" i="2"/>
  <c r="O131" i="2"/>
  <c r="G132" i="2"/>
  <c r="O132" i="2"/>
  <c r="G133" i="2"/>
  <c r="O133" i="2"/>
  <c r="G134" i="2"/>
  <c r="O134" i="2"/>
  <c r="G135" i="2"/>
  <c r="O135" i="2"/>
  <c r="G136" i="2"/>
  <c r="O136" i="2"/>
  <c r="G137" i="2"/>
  <c r="O137" i="2"/>
  <c r="G138" i="2"/>
  <c r="O138" i="2"/>
  <c r="G139" i="2"/>
  <c r="O139" i="2"/>
  <c r="G140" i="2"/>
  <c r="O140" i="2"/>
  <c r="G141" i="2"/>
  <c r="O141" i="2"/>
  <c r="F142" i="2"/>
  <c r="N142" i="2"/>
  <c r="F143" i="2"/>
  <c r="N143" i="2"/>
  <c r="F144" i="2"/>
  <c r="N144" i="2"/>
  <c r="F145" i="2"/>
  <c r="N145" i="2"/>
  <c r="F146" i="2"/>
  <c r="N146" i="2"/>
  <c r="F147" i="2"/>
  <c r="N147" i="2"/>
  <c r="F148" i="2"/>
  <c r="N148" i="2"/>
  <c r="F149" i="2"/>
  <c r="N149" i="2"/>
  <c r="F150" i="2"/>
  <c r="N150" i="2"/>
  <c r="F151" i="2"/>
  <c r="N151" i="2"/>
  <c r="R11" i="2"/>
  <c r="T15" i="2"/>
  <c r="E20" i="2"/>
  <c r="T23" i="2"/>
  <c r="F27" i="2"/>
  <c r="E32" i="2"/>
  <c r="C36" i="2"/>
  <c r="E38" i="2"/>
  <c r="S39" i="2"/>
  <c r="F41" i="2"/>
  <c r="W42" i="2"/>
  <c r="G44" i="2"/>
  <c r="O45" i="2"/>
  <c r="W46" i="2"/>
  <c r="C48" i="2"/>
  <c r="M49" i="2"/>
  <c r="U50" i="2"/>
  <c r="J53" i="2"/>
  <c r="M54" i="2"/>
  <c r="N55" i="2"/>
  <c r="Q56" i="2"/>
  <c r="U57" i="2"/>
  <c r="T58" i="2"/>
  <c r="B62" i="2"/>
  <c r="E63" i="2"/>
  <c r="W64" i="2"/>
  <c r="Q65" i="2"/>
  <c r="N66" i="2"/>
  <c r="J67" i="2"/>
  <c r="M69" i="2"/>
  <c r="G70" i="2"/>
  <c r="S71" i="2"/>
  <c r="M72" i="2"/>
  <c r="D73" i="2"/>
  <c r="T74" i="2"/>
  <c r="I75" i="2"/>
  <c r="P76" i="2"/>
  <c r="H77" i="2"/>
  <c r="B78" i="2"/>
  <c r="O78" i="2"/>
  <c r="I79" i="2"/>
  <c r="P80" i="2"/>
  <c r="H81" i="2"/>
  <c r="W81" i="2"/>
  <c r="N82" i="2"/>
  <c r="E83" i="2"/>
  <c r="S84" i="2"/>
  <c r="J85" i="2"/>
  <c r="D86" i="2"/>
  <c r="S86" i="2"/>
  <c r="M87" i="2"/>
  <c r="I88" i="2"/>
  <c r="Q89" i="2"/>
  <c r="E90" i="2"/>
  <c r="T90" i="2"/>
  <c r="J91" i="2"/>
  <c r="U91" i="2"/>
  <c r="K92" i="2"/>
  <c r="L93" i="2"/>
  <c r="L94" i="2"/>
  <c r="B95" i="2"/>
  <c r="M95" i="2"/>
  <c r="C96" i="2"/>
  <c r="Q96" i="2"/>
  <c r="D97" i="2"/>
  <c r="R97" i="2"/>
  <c r="E98" i="2"/>
  <c r="S98" i="2"/>
  <c r="I99" i="2"/>
  <c r="T99" i="2"/>
  <c r="J100" i="2"/>
  <c r="U100" i="2"/>
  <c r="K101" i="2"/>
  <c r="L102" i="2"/>
  <c r="B103" i="2"/>
  <c r="M103" i="2"/>
  <c r="C104" i="2"/>
  <c r="Q104" i="2"/>
  <c r="D105" i="2"/>
  <c r="R105" i="2"/>
  <c r="B106" i="2"/>
  <c r="J106" i="2"/>
  <c r="R106" i="2"/>
  <c r="B107" i="2"/>
  <c r="J107" i="2"/>
  <c r="R107" i="2"/>
  <c r="B108" i="2"/>
  <c r="J108" i="2"/>
  <c r="R108" i="2"/>
  <c r="B109" i="2"/>
  <c r="J109" i="2"/>
  <c r="R109" i="2"/>
  <c r="B110" i="2"/>
  <c r="J110" i="2"/>
  <c r="R110" i="2"/>
  <c r="B111" i="2"/>
  <c r="J111" i="2"/>
  <c r="R111" i="2"/>
  <c r="B112" i="2"/>
  <c r="J112" i="2"/>
  <c r="R112" i="2"/>
  <c r="B113" i="2"/>
  <c r="J113" i="2"/>
  <c r="R113" i="2"/>
  <c r="B114" i="2"/>
  <c r="J114" i="2"/>
  <c r="R114" i="2"/>
  <c r="B115" i="2"/>
  <c r="J115" i="2"/>
  <c r="R115" i="2"/>
  <c r="B116" i="2"/>
  <c r="J116" i="2"/>
  <c r="R116" i="2"/>
  <c r="B117" i="2"/>
  <c r="J117" i="2"/>
  <c r="R117" i="2"/>
  <c r="I118" i="2"/>
  <c r="Q118" i="2"/>
  <c r="I119" i="2"/>
  <c r="Q119" i="2"/>
  <c r="I120" i="2"/>
  <c r="Q120" i="2"/>
  <c r="I121" i="2"/>
  <c r="Q121" i="2"/>
  <c r="I122" i="2"/>
  <c r="Q122" i="2"/>
  <c r="I123" i="2"/>
  <c r="Q123" i="2"/>
  <c r="I124" i="2"/>
  <c r="Q124" i="2"/>
  <c r="I125" i="2"/>
  <c r="Q125" i="2"/>
  <c r="I126" i="2"/>
  <c r="Q126" i="2"/>
  <c r="I127" i="2"/>
  <c r="Q127" i="2"/>
  <c r="I128" i="2"/>
  <c r="Q128" i="2"/>
  <c r="I129" i="2"/>
  <c r="Q129" i="2"/>
  <c r="H130" i="2"/>
  <c r="P130" i="2"/>
  <c r="H131" i="2"/>
  <c r="P131" i="2"/>
  <c r="H132" i="2"/>
  <c r="P132" i="2"/>
  <c r="H133" i="2"/>
  <c r="P133" i="2"/>
  <c r="H134" i="2"/>
  <c r="P134" i="2"/>
  <c r="H135" i="2"/>
  <c r="P135" i="2"/>
  <c r="H136" i="2"/>
  <c r="P136" i="2"/>
  <c r="H137" i="2"/>
  <c r="P137" i="2"/>
  <c r="H138" i="2"/>
  <c r="P138" i="2"/>
  <c r="H139" i="2"/>
  <c r="P139" i="2"/>
  <c r="H140" i="2"/>
  <c r="P140" i="2"/>
  <c r="H141" i="2"/>
  <c r="P141" i="2"/>
  <c r="G142" i="2"/>
  <c r="O142" i="2"/>
  <c r="G143" i="2"/>
  <c r="O143" i="2"/>
  <c r="G144" i="2"/>
  <c r="O144" i="2"/>
  <c r="G145" i="2"/>
  <c r="O145" i="2"/>
  <c r="G146" i="2"/>
  <c r="O146" i="2"/>
  <c r="G147" i="2"/>
  <c r="O147" i="2"/>
  <c r="G148" i="2"/>
  <c r="O148" i="2"/>
  <c r="G149" i="2"/>
  <c r="O149" i="2"/>
  <c r="G150" i="2"/>
  <c r="O150" i="2"/>
  <c r="G151" i="2"/>
  <c r="O151" i="2"/>
  <c r="G152" i="2"/>
  <c r="O152" i="2"/>
  <c r="G153" i="2"/>
  <c r="O153" i="2"/>
  <c r="F154" i="2"/>
  <c r="N154" i="2"/>
  <c r="F155" i="2"/>
  <c r="N155" i="2"/>
  <c r="F156" i="2"/>
  <c r="N156" i="2"/>
  <c r="F157" i="2"/>
  <c r="N157" i="2"/>
  <c r="F158" i="2"/>
  <c r="N158" i="2"/>
  <c r="F159" i="2"/>
  <c r="N159" i="2"/>
  <c r="F160" i="2"/>
  <c r="N160" i="2"/>
  <c r="F161" i="2"/>
  <c r="N161" i="2"/>
  <c r="F162" i="2"/>
  <c r="N162" i="2"/>
  <c r="F163" i="2"/>
  <c r="N163" i="2"/>
  <c r="F164" i="2"/>
  <c r="N164" i="2"/>
  <c r="F165" i="2"/>
  <c r="N165" i="2"/>
  <c r="E166" i="2"/>
  <c r="M166" i="2"/>
  <c r="U166" i="2"/>
  <c r="E167" i="2"/>
  <c r="M167" i="2"/>
  <c r="U167" i="2"/>
  <c r="E168" i="2"/>
  <c r="M168" i="2"/>
  <c r="U168" i="2"/>
  <c r="E169" i="2"/>
  <c r="M169" i="2"/>
  <c r="U169" i="2"/>
  <c r="E170" i="2"/>
  <c r="M170" i="2"/>
  <c r="U170" i="2"/>
  <c r="E171" i="2"/>
  <c r="M171" i="2"/>
  <c r="U171" i="2"/>
  <c r="E172" i="2"/>
  <c r="M172" i="2"/>
  <c r="U172" i="2"/>
  <c r="E173" i="2"/>
  <c r="M173" i="2"/>
  <c r="U173" i="2"/>
  <c r="E174" i="2"/>
  <c r="M174" i="2"/>
  <c r="U174" i="2"/>
  <c r="E175" i="2"/>
  <c r="M175" i="2"/>
  <c r="U175" i="2"/>
  <c r="E176" i="2"/>
  <c r="M176" i="2"/>
  <c r="U176" i="2"/>
  <c r="E177" i="2"/>
  <c r="M177" i="2"/>
  <c r="U177" i="2"/>
  <c r="D178" i="2"/>
  <c r="L178" i="2"/>
  <c r="T178" i="2"/>
  <c r="D179" i="2"/>
  <c r="L179" i="2"/>
  <c r="T179" i="2"/>
  <c r="D180" i="2"/>
  <c r="L180" i="2"/>
  <c r="T180" i="2"/>
  <c r="D181" i="2"/>
  <c r="L181" i="2"/>
  <c r="T181" i="2"/>
  <c r="D182" i="2"/>
  <c r="L182" i="2"/>
  <c r="T182" i="2"/>
  <c r="D183" i="2"/>
  <c r="L183" i="2"/>
  <c r="T183" i="2"/>
  <c r="D184" i="2"/>
  <c r="L184" i="2"/>
  <c r="T184" i="2"/>
  <c r="D185" i="2"/>
  <c r="L185" i="2"/>
  <c r="T185" i="2"/>
  <c r="Q10" i="2"/>
  <c r="C16" i="2"/>
  <c r="K22" i="2"/>
  <c r="N27" i="2"/>
  <c r="F32" i="2"/>
  <c r="C35" i="2"/>
  <c r="H38" i="2"/>
  <c r="P40" i="2"/>
  <c r="B43" i="2"/>
  <c r="P45" i="2"/>
  <c r="M47" i="2"/>
  <c r="O49" i="2"/>
  <c r="M51" i="2"/>
  <c r="R53" i="2"/>
  <c r="P55" i="2"/>
  <c r="E57" i="2"/>
  <c r="M60" i="2"/>
  <c r="J62" i="2"/>
  <c r="I65" i="2"/>
  <c r="R66" i="2"/>
  <c r="H70" i="2"/>
  <c r="H71" i="2"/>
  <c r="R72" i="2"/>
  <c r="R73" i="2"/>
  <c r="W74" i="2"/>
  <c r="B76" i="2"/>
  <c r="D78" i="2"/>
  <c r="F80" i="2"/>
  <c r="I81" i="2"/>
  <c r="E82" i="2"/>
  <c r="L83" i="2"/>
  <c r="K84" i="2"/>
  <c r="R85" i="2"/>
  <c r="E89" i="2"/>
  <c r="B90" i="2"/>
  <c r="V90" i="2" s="1"/>
  <c r="B91" i="2"/>
  <c r="R92" i="2"/>
  <c r="N93" i="2"/>
  <c r="I94" i="2"/>
  <c r="E95" i="2"/>
  <c r="D96" i="2"/>
  <c r="U96" i="2"/>
  <c r="T97" i="2"/>
  <c r="M98" i="2"/>
  <c r="L99" i="2"/>
  <c r="K100" i="2"/>
  <c r="D101" i="2"/>
  <c r="C102" i="2"/>
  <c r="T102" i="2"/>
  <c r="S103" i="2"/>
  <c r="R104" i="2"/>
  <c r="K105" i="2"/>
  <c r="D106" i="2"/>
  <c r="O106" i="2"/>
  <c r="E107" i="2"/>
  <c r="S107" i="2"/>
  <c r="F108" i="2"/>
  <c r="T108" i="2"/>
  <c r="G109" i="2"/>
  <c r="U109" i="2"/>
  <c r="K110" i="2"/>
  <c r="L111" i="2"/>
  <c r="M112" i="2"/>
  <c r="C113" i="2"/>
  <c r="N113" i="2"/>
  <c r="D114" i="2"/>
  <c r="O114" i="2"/>
  <c r="E115" i="2"/>
  <c r="S115" i="2"/>
  <c r="F116" i="2"/>
  <c r="T116" i="2"/>
  <c r="G117" i="2"/>
  <c r="U117" i="2"/>
  <c r="J118" i="2"/>
  <c r="U118" i="2"/>
  <c r="K119" i="2"/>
  <c r="L120" i="2"/>
  <c r="B121" i="2"/>
  <c r="M121" i="2"/>
  <c r="C122" i="2"/>
  <c r="N122" i="2"/>
  <c r="D123" i="2"/>
  <c r="R123" i="2"/>
  <c r="E124" i="2"/>
  <c r="S124" i="2"/>
  <c r="F125" i="2"/>
  <c r="T125" i="2"/>
  <c r="J126" i="2"/>
  <c r="U126" i="2"/>
  <c r="K127" i="2"/>
  <c r="L128" i="2"/>
  <c r="B129" i="2"/>
  <c r="M129" i="2"/>
  <c r="B130" i="2"/>
  <c r="M130" i="2"/>
  <c r="C131" i="2"/>
  <c r="Q131" i="2"/>
  <c r="D132" i="2"/>
  <c r="R132" i="2"/>
  <c r="E133" i="2"/>
  <c r="S133" i="2"/>
  <c r="I134" i="2"/>
  <c r="T134" i="2"/>
  <c r="J135" i="2"/>
  <c r="U135" i="2"/>
  <c r="K136" i="2"/>
  <c r="L137" i="2"/>
  <c r="B138" i="2"/>
  <c r="M138" i="2"/>
  <c r="C139" i="2"/>
  <c r="Q139" i="2"/>
  <c r="D140" i="2"/>
  <c r="R140" i="2"/>
  <c r="E141" i="2"/>
  <c r="S141" i="2"/>
  <c r="H142" i="2"/>
  <c r="S142" i="2"/>
  <c r="I143" i="2"/>
  <c r="T143" i="2"/>
  <c r="J144" i="2"/>
  <c r="K145" i="2"/>
  <c r="L146" i="2"/>
  <c r="B147" i="2"/>
  <c r="P147" i="2"/>
  <c r="C148" i="2"/>
  <c r="Q148" i="2"/>
  <c r="D149" i="2"/>
  <c r="R149" i="2"/>
  <c r="H150" i="2"/>
  <c r="S150" i="2"/>
  <c r="I151" i="2"/>
  <c r="T151" i="2"/>
  <c r="I152" i="2"/>
  <c r="S152" i="2"/>
  <c r="F153" i="2"/>
  <c r="Q153" i="2"/>
  <c r="B154" i="2"/>
  <c r="M154" i="2"/>
  <c r="J155" i="2"/>
  <c r="U155" i="2"/>
  <c r="H156" i="2"/>
  <c r="R156" i="2"/>
  <c r="E157" i="2"/>
  <c r="P157" i="2"/>
  <c r="B158" i="2"/>
  <c r="M158" i="2"/>
  <c r="J159" i="2"/>
  <c r="U159" i="2"/>
  <c r="H160" i="2"/>
  <c r="R160" i="2"/>
  <c r="E161" i="2"/>
  <c r="P161" i="2"/>
  <c r="B162" i="2"/>
  <c r="M162" i="2"/>
  <c r="J163" i="2"/>
  <c r="U163" i="2"/>
  <c r="H164" i="2"/>
  <c r="R164" i="2"/>
  <c r="E165" i="2"/>
  <c r="P165" i="2"/>
  <c r="L166" i="2"/>
  <c r="I167" i="2"/>
  <c r="T167" i="2"/>
  <c r="G168" i="2"/>
  <c r="Q168" i="2"/>
  <c r="B169" i="2"/>
  <c r="K169" i="2"/>
  <c r="T169" i="2"/>
  <c r="F170" i="2"/>
  <c r="O170" i="2"/>
  <c r="I171" i="2"/>
  <c r="R171" i="2"/>
  <c r="C172" i="2"/>
  <c r="L172" i="2"/>
  <c r="G173" i="2"/>
  <c r="P173" i="2"/>
  <c r="J174" i="2"/>
  <c r="S174" i="2"/>
  <c r="D175" i="2"/>
  <c r="N175" i="2"/>
  <c r="H176" i="2"/>
  <c r="Q176" i="2"/>
  <c r="B177" i="2"/>
  <c r="K177" i="2"/>
  <c r="T177" i="2"/>
  <c r="E178" i="2"/>
  <c r="N178" i="2"/>
  <c r="H179" i="2"/>
  <c r="Q179" i="2"/>
  <c r="B180" i="2"/>
  <c r="K180" i="2"/>
  <c r="U180" i="2"/>
  <c r="F181" i="2"/>
  <c r="O181" i="2"/>
  <c r="I182" i="2"/>
  <c r="R182" i="2"/>
  <c r="C183" i="2"/>
  <c r="M183" i="2"/>
  <c r="G184" i="2"/>
  <c r="P184" i="2"/>
  <c r="J185" i="2"/>
  <c r="S185" i="2"/>
  <c r="D186" i="2"/>
  <c r="L186" i="2"/>
  <c r="T186" i="2"/>
  <c r="D187" i="2"/>
  <c r="L187" i="2"/>
  <c r="T187" i="2"/>
  <c r="D188" i="2"/>
  <c r="L188" i="2"/>
  <c r="T188" i="2"/>
  <c r="D189" i="2"/>
  <c r="L189" i="2"/>
  <c r="T189" i="2"/>
  <c r="C190" i="2"/>
  <c r="K190" i="2"/>
  <c r="S190" i="2"/>
  <c r="C191" i="2"/>
  <c r="K191" i="2"/>
  <c r="S191" i="2"/>
  <c r="C192" i="2"/>
  <c r="K192" i="2"/>
  <c r="S192" i="2"/>
  <c r="C193" i="2"/>
  <c r="K193" i="2"/>
  <c r="S193" i="2"/>
  <c r="C194" i="2"/>
  <c r="K194" i="2"/>
  <c r="S194" i="2"/>
  <c r="C195" i="2"/>
  <c r="K195" i="2"/>
  <c r="S195" i="2"/>
  <c r="C196" i="2"/>
  <c r="K196" i="2"/>
  <c r="S196" i="2"/>
  <c r="C197" i="2"/>
  <c r="K197" i="2"/>
  <c r="S197" i="2"/>
  <c r="C198" i="2"/>
  <c r="K198" i="2"/>
  <c r="S198" i="2"/>
  <c r="C199" i="2"/>
  <c r="K199" i="2"/>
  <c r="B17" i="2"/>
  <c r="G24" i="2"/>
  <c r="J28" i="2"/>
  <c r="J32" i="2"/>
  <c r="I35" i="2"/>
  <c r="O38" i="2"/>
  <c r="I41" i="2"/>
  <c r="O43" i="2"/>
  <c r="R45" i="2"/>
  <c r="P47" i="2"/>
  <c r="C52" i="2"/>
  <c r="W53" i="2"/>
  <c r="S55" i="2"/>
  <c r="F57" i="2"/>
  <c r="B59" i="2"/>
  <c r="C61" i="2"/>
  <c r="R62" i="2"/>
  <c r="H64" i="2"/>
  <c r="K65" i="2"/>
  <c r="W66" i="2"/>
  <c r="C68" i="2"/>
  <c r="F69" i="2"/>
  <c r="I70" i="2"/>
  <c r="O71" i="2"/>
  <c r="S72" i="2"/>
  <c r="B74" i="2"/>
  <c r="C76" i="2"/>
  <c r="E78" i="2"/>
  <c r="J79" i="2"/>
  <c r="G80" i="2"/>
  <c r="L81" i="2"/>
  <c r="F82" i="2"/>
  <c r="M83" i="2"/>
  <c r="T84" i="2"/>
  <c r="S85" i="2"/>
  <c r="B87" i="2"/>
  <c r="F89" i="2"/>
  <c r="J90" i="2"/>
  <c r="C91" i="2"/>
  <c r="B92" i="2"/>
  <c r="V92" i="2" s="1"/>
  <c r="S92" i="2"/>
  <c r="R93" i="2"/>
  <c r="M94" i="2"/>
  <c r="I95" i="2"/>
  <c r="E96" i="2"/>
  <c r="U97" i="2"/>
  <c r="T98" i="2"/>
  <c r="M99" i="2"/>
  <c r="L100" i="2"/>
  <c r="E101" i="2"/>
  <c r="D102" i="2"/>
  <c r="C103" i="2"/>
  <c r="T103" i="2"/>
  <c r="S104" i="2"/>
  <c r="L105" i="2"/>
  <c r="E106" i="2"/>
  <c r="S106" i="2"/>
  <c r="F107" i="2"/>
  <c r="T107" i="2"/>
  <c r="G108" i="2"/>
  <c r="U108" i="2"/>
  <c r="K109" i="2"/>
  <c r="L110" i="2"/>
  <c r="M111" i="2"/>
  <c r="C112" i="2"/>
  <c r="N112" i="2"/>
  <c r="D113" i="2"/>
  <c r="O113" i="2"/>
  <c r="E114" i="2"/>
  <c r="S114" i="2"/>
  <c r="F115" i="2"/>
  <c r="T115" i="2"/>
  <c r="G116" i="2"/>
  <c r="U116" i="2"/>
  <c r="K117" i="2"/>
  <c r="K118" i="2"/>
  <c r="L119" i="2"/>
  <c r="B120" i="2"/>
  <c r="M120" i="2"/>
  <c r="C121" i="2"/>
  <c r="N121" i="2"/>
  <c r="D122" i="2"/>
  <c r="R122" i="2"/>
  <c r="E123" i="2"/>
  <c r="S123" i="2"/>
  <c r="F124" i="2"/>
  <c r="T124" i="2"/>
  <c r="J125" i="2"/>
  <c r="U125" i="2"/>
  <c r="K126" i="2"/>
  <c r="L127" i="2"/>
  <c r="B128" i="2"/>
  <c r="M128" i="2"/>
  <c r="C129" i="2"/>
  <c r="N129" i="2"/>
  <c r="C130" i="2"/>
  <c r="Q130" i="2"/>
  <c r="D131" i="2"/>
  <c r="R131" i="2"/>
  <c r="E132" i="2"/>
  <c r="S132" i="2"/>
  <c r="I133" i="2"/>
  <c r="T133" i="2"/>
  <c r="J134" i="2"/>
  <c r="U134" i="2"/>
  <c r="K135" i="2"/>
  <c r="L136" i="2"/>
  <c r="B137" i="2"/>
  <c r="M137" i="2"/>
  <c r="C138" i="2"/>
  <c r="Q138" i="2"/>
  <c r="D139" i="2"/>
  <c r="R139" i="2"/>
  <c r="E140" i="2"/>
  <c r="S140" i="2"/>
  <c r="I141" i="2"/>
  <c r="T141" i="2"/>
  <c r="I142" i="2"/>
  <c r="T142" i="2"/>
  <c r="J143" i="2"/>
  <c r="K144" i="2"/>
  <c r="L145" i="2"/>
  <c r="B146" i="2"/>
  <c r="P146" i="2"/>
  <c r="C147" i="2"/>
  <c r="Q147" i="2"/>
  <c r="D148" i="2"/>
  <c r="R148" i="2"/>
  <c r="H149" i="2"/>
  <c r="S149" i="2"/>
  <c r="I150" i="2"/>
  <c r="T150" i="2"/>
  <c r="J151" i="2"/>
  <c r="J152" i="2"/>
  <c r="T152" i="2"/>
  <c r="H153" i="2"/>
  <c r="R153" i="2"/>
  <c r="C154" i="2"/>
  <c r="O154" i="2"/>
  <c r="K155" i="2"/>
  <c r="I156" i="2"/>
  <c r="S156" i="2"/>
  <c r="G157" i="2"/>
  <c r="Q157" i="2"/>
  <c r="C158" i="2"/>
  <c r="O158" i="2"/>
  <c r="K159" i="2"/>
  <c r="I160" i="2"/>
  <c r="S160" i="2"/>
  <c r="G161" i="2"/>
  <c r="Q161" i="2"/>
  <c r="C162" i="2"/>
  <c r="O162" i="2"/>
  <c r="K163" i="2"/>
  <c r="I164" i="2"/>
  <c r="S164" i="2"/>
  <c r="G165" i="2"/>
  <c r="Q165" i="2"/>
  <c r="B166" i="2"/>
  <c r="N166" i="2"/>
  <c r="J167" i="2"/>
  <c r="H168" i="2"/>
  <c r="R168" i="2"/>
  <c r="C169" i="2"/>
  <c r="L169" i="2"/>
  <c r="G170" i="2"/>
  <c r="P170" i="2"/>
  <c r="J171" i="2"/>
  <c r="S171" i="2"/>
  <c r="D172" i="2"/>
  <c r="N172" i="2"/>
  <c r="H173" i="2"/>
  <c r="Q173" i="2"/>
  <c r="B174" i="2"/>
  <c r="K174" i="2"/>
  <c r="T174" i="2"/>
  <c r="F175" i="2"/>
  <c r="O175" i="2"/>
  <c r="I176" i="2"/>
  <c r="R176" i="2"/>
  <c r="C177" i="2"/>
  <c r="L177" i="2"/>
  <c r="F178" i="2"/>
  <c r="O178" i="2"/>
  <c r="I179" i="2"/>
  <c r="R179" i="2"/>
  <c r="C180" i="2"/>
  <c r="M180" i="2"/>
  <c r="G181" i="2"/>
  <c r="P181" i="2"/>
  <c r="J182" i="2"/>
  <c r="S182" i="2"/>
  <c r="E183" i="2"/>
  <c r="N183" i="2"/>
  <c r="H184" i="2"/>
  <c r="Q184" i="2"/>
  <c r="B185" i="2"/>
  <c r="K185" i="2"/>
  <c r="U185" i="2"/>
  <c r="E186" i="2"/>
  <c r="M186" i="2"/>
  <c r="U186" i="2"/>
  <c r="E187" i="2"/>
  <c r="M187" i="2"/>
  <c r="U187" i="2"/>
  <c r="E188" i="2"/>
  <c r="M188" i="2"/>
  <c r="U188" i="2"/>
  <c r="E189" i="2"/>
  <c r="M189" i="2"/>
  <c r="U189" i="2"/>
  <c r="D190" i="2"/>
  <c r="L190" i="2"/>
  <c r="T190" i="2"/>
  <c r="D191" i="2"/>
  <c r="L191" i="2"/>
  <c r="T191" i="2"/>
  <c r="D192" i="2"/>
  <c r="L192" i="2"/>
  <c r="T192" i="2"/>
  <c r="D193" i="2"/>
  <c r="L193" i="2"/>
  <c r="T193" i="2"/>
  <c r="D194" i="2"/>
  <c r="L194" i="2"/>
  <c r="T194" i="2"/>
  <c r="D195" i="2"/>
  <c r="L195" i="2"/>
  <c r="T195" i="2"/>
  <c r="D196" i="2"/>
  <c r="L196" i="2"/>
  <c r="T196" i="2"/>
  <c r="D197" i="2"/>
  <c r="L197" i="2"/>
  <c r="T197" i="2"/>
  <c r="D198" i="2"/>
  <c r="L198" i="2"/>
  <c r="T198" i="2"/>
  <c r="D199" i="2"/>
  <c r="J18" i="2"/>
  <c r="J24" i="2"/>
  <c r="L28" i="2"/>
  <c r="P32" i="2"/>
  <c r="G36" i="2"/>
  <c r="L41" i="2"/>
  <c r="P43" i="2"/>
  <c r="F48" i="2"/>
  <c r="C50" i="2"/>
  <c r="H52" i="2"/>
  <c r="J59" i="2"/>
  <c r="D61" i="2"/>
  <c r="S62" i="2"/>
  <c r="J64" i="2"/>
  <c r="G68" i="2"/>
  <c r="H69" i="2"/>
  <c r="P70" i="2"/>
  <c r="T71" i="2"/>
  <c r="C74" i="2"/>
  <c r="D75" i="2"/>
  <c r="F76" i="2"/>
  <c r="I77" i="2"/>
  <c r="F78" i="2"/>
  <c r="K79" i="2"/>
  <c r="H80" i="2"/>
  <c r="M81" i="2"/>
  <c r="Q82" i="2"/>
  <c r="N83" i="2"/>
  <c r="U84" i="2"/>
  <c r="T85" i="2"/>
  <c r="C87" i="2"/>
  <c r="J88" i="2"/>
  <c r="I89" i="2"/>
  <c r="K90" i="2"/>
  <c r="D91" i="2"/>
  <c r="C92" i="2"/>
  <c r="B93" i="2"/>
  <c r="S93" i="2"/>
  <c r="Q94" i="2"/>
  <c r="J95" i="2"/>
  <c r="I96" i="2"/>
  <c r="E97" i="2"/>
  <c r="U98" i="2"/>
  <c r="Q99" i="2"/>
  <c r="M100" i="2"/>
  <c r="L101" i="2"/>
  <c r="E102" i="2"/>
  <c r="D103" i="2"/>
  <c r="U103" i="2"/>
  <c r="T104" i="2"/>
  <c r="S105" i="2"/>
  <c r="F106" i="2"/>
  <c r="T106" i="2"/>
  <c r="G107" i="2"/>
  <c r="U107" i="2"/>
  <c r="K108" i="2"/>
  <c r="L109" i="2"/>
  <c r="M110" i="2"/>
  <c r="C111" i="2"/>
  <c r="N111" i="2"/>
  <c r="D112" i="2"/>
  <c r="O112" i="2"/>
  <c r="E113" i="2"/>
  <c r="S113" i="2"/>
  <c r="F114" i="2"/>
  <c r="T114" i="2"/>
  <c r="G115" i="2"/>
  <c r="U115" i="2"/>
  <c r="K116" i="2"/>
  <c r="L117" i="2"/>
  <c r="L118" i="2"/>
  <c r="B119" i="2"/>
  <c r="M119" i="2"/>
  <c r="C120" i="2"/>
  <c r="N120" i="2"/>
  <c r="D121" i="2"/>
  <c r="R121" i="2"/>
  <c r="E122" i="2"/>
  <c r="S122" i="2"/>
  <c r="F123" i="2"/>
  <c r="T123" i="2"/>
  <c r="J124" i="2"/>
  <c r="U124" i="2"/>
  <c r="K125" i="2"/>
  <c r="L126" i="2"/>
  <c r="B127" i="2"/>
  <c r="M127" i="2"/>
  <c r="C128" i="2"/>
  <c r="N128" i="2"/>
  <c r="D129" i="2"/>
  <c r="R129" i="2"/>
  <c r="D130" i="2"/>
  <c r="R130" i="2"/>
  <c r="E131" i="2"/>
  <c r="S131" i="2"/>
  <c r="I132" i="2"/>
  <c r="T132" i="2"/>
  <c r="J133" i="2"/>
  <c r="U133" i="2"/>
  <c r="K134" i="2"/>
  <c r="L135" i="2"/>
  <c r="B136" i="2"/>
  <c r="M136" i="2"/>
  <c r="C137" i="2"/>
  <c r="Q137" i="2"/>
  <c r="D138" i="2"/>
  <c r="R138" i="2"/>
  <c r="E139" i="2"/>
  <c r="S139" i="2"/>
  <c r="I140" i="2"/>
  <c r="T140" i="2"/>
  <c r="J141" i="2"/>
  <c r="U141" i="2"/>
  <c r="J142" i="2"/>
  <c r="K143" i="2"/>
  <c r="L144" i="2"/>
  <c r="B145" i="2"/>
  <c r="P145" i="2"/>
  <c r="C146" i="2"/>
  <c r="Q146" i="2"/>
  <c r="D147" i="2"/>
  <c r="R147" i="2"/>
  <c r="H148" i="2"/>
  <c r="S148" i="2"/>
  <c r="I149" i="2"/>
  <c r="T149" i="2"/>
  <c r="J150" i="2"/>
  <c r="K151" i="2"/>
  <c r="K152" i="2"/>
  <c r="I153" i="2"/>
  <c r="S153" i="2"/>
  <c r="E154" i="2"/>
  <c r="P154" i="2"/>
  <c r="B155" i="2"/>
  <c r="M155" i="2"/>
  <c r="J156" i="2"/>
  <c r="U156" i="2"/>
  <c r="H157" i="2"/>
  <c r="R157" i="2"/>
  <c r="E158" i="2"/>
  <c r="P158" i="2"/>
  <c r="B159" i="2"/>
  <c r="M159" i="2"/>
  <c r="J160" i="2"/>
  <c r="U160" i="2"/>
  <c r="H161" i="2"/>
  <c r="R161" i="2"/>
  <c r="E162" i="2"/>
  <c r="P162" i="2"/>
  <c r="B163" i="2"/>
  <c r="M163" i="2"/>
  <c r="J164" i="2"/>
  <c r="U164" i="2"/>
  <c r="H165" i="2"/>
  <c r="R165" i="2"/>
  <c r="D166" i="2"/>
  <c r="O166" i="2"/>
  <c r="L167" i="2"/>
  <c r="I168" i="2"/>
  <c r="S168" i="2"/>
  <c r="D169" i="2"/>
  <c r="N169" i="2"/>
  <c r="H170" i="2"/>
  <c r="Q170" i="2"/>
  <c r="B171" i="2"/>
  <c r="K171" i="2"/>
  <c r="T171" i="2"/>
  <c r="F172" i="2"/>
  <c r="O172" i="2"/>
  <c r="I173" i="2"/>
  <c r="R173" i="2"/>
  <c r="C174" i="2"/>
  <c r="L174" i="2"/>
  <c r="G175" i="2"/>
  <c r="P175" i="2"/>
  <c r="J176" i="2"/>
  <c r="S176" i="2"/>
  <c r="D177" i="2"/>
  <c r="N177" i="2"/>
  <c r="G178" i="2"/>
  <c r="P178" i="2"/>
  <c r="J179" i="2"/>
  <c r="S179" i="2"/>
  <c r="E180" i="2"/>
  <c r="N180" i="2"/>
  <c r="H181" i="2"/>
  <c r="Q181" i="2"/>
  <c r="B182" i="2"/>
  <c r="K182" i="2"/>
  <c r="U182" i="2"/>
  <c r="F183" i="2"/>
  <c r="O183" i="2"/>
  <c r="I184" i="2"/>
  <c r="R184" i="2"/>
  <c r="C185" i="2"/>
  <c r="M185" i="2"/>
  <c r="F186" i="2"/>
  <c r="N186" i="2"/>
  <c r="F187" i="2"/>
  <c r="N187" i="2"/>
  <c r="F188" i="2"/>
  <c r="N188" i="2"/>
  <c r="F189" i="2"/>
  <c r="N189" i="2"/>
  <c r="E190" i="2"/>
  <c r="M190" i="2"/>
  <c r="U190" i="2"/>
  <c r="E191" i="2"/>
  <c r="M191" i="2"/>
  <c r="U191" i="2"/>
  <c r="E192" i="2"/>
  <c r="M192" i="2"/>
  <c r="U192" i="2"/>
  <c r="E193" i="2"/>
  <c r="M193" i="2"/>
  <c r="U193" i="2"/>
  <c r="E194" i="2"/>
  <c r="M194" i="2"/>
  <c r="U194" i="2"/>
  <c r="E195" i="2"/>
  <c r="M195" i="2"/>
  <c r="U195" i="2"/>
  <c r="E196" i="2"/>
  <c r="M196" i="2"/>
  <c r="U196" i="2"/>
  <c r="E197" i="2"/>
  <c r="M197" i="2"/>
  <c r="U197" i="2"/>
  <c r="E198" i="2"/>
  <c r="M198" i="2"/>
  <c r="U198" i="2"/>
  <c r="E199" i="2"/>
  <c r="M199" i="2"/>
  <c r="U199" i="2"/>
  <c r="E200" i="2"/>
  <c r="M200" i="2"/>
  <c r="U200" i="2"/>
  <c r="E201" i="2"/>
  <c r="M201" i="2"/>
  <c r="U201" i="2"/>
  <c r="D202" i="2"/>
  <c r="L202" i="2"/>
  <c r="T202" i="2"/>
  <c r="D203" i="2"/>
  <c r="L203" i="2"/>
  <c r="T203" i="2"/>
  <c r="D204" i="2"/>
  <c r="L204" i="2"/>
  <c r="T204" i="2"/>
  <c r="D205" i="2"/>
  <c r="L205" i="2"/>
  <c r="T205" i="2"/>
  <c r="D206" i="2"/>
  <c r="I10" i="2"/>
  <c r="F21" i="2"/>
  <c r="H27" i="2"/>
  <c r="D31" i="2"/>
  <c r="L34" i="2"/>
  <c r="E37" i="2"/>
  <c r="D40" i="2"/>
  <c r="B51" i="2"/>
  <c r="L53" i="2"/>
  <c r="T56" i="2"/>
  <c r="I58" i="2"/>
  <c r="F60" i="2"/>
  <c r="C62" i="2"/>
  <c r="M63" i="2"/>
  <c r="D66" i="2"/>
  <c r="N67" i="2"/>
  <c r="W68" i="2"/>
  <c r="F71" i="2"/>
  <c r="D72" i="2"/>
  <c r="M73" i="2"/>
  <c r="U74" i="2"/>
  <c r="R75" i="2"/>
  <c r="W76" i="2"/>
  <c r="T77" i="2"/>
  <c r="W78" i="2"/>
  <c r="B80" i="2"/>
  <c r="C82" i="2"/>
  <c r="B83" i="2"/>
  <c r="I84" i="2"/>
  <c r="K85" i="2"/>
  <c r="M86" i="2"/>
  <c r="Q87" i="2"/>
  <c r="S88" i="2"/>
  <c r="T89" i="2"/>
  <c r="U90" i="2"/>
  <c r="N91" i="2"/>
  <c r="M92" i="2"/>
  <c r="F93" i="2"/>
  <c r="D94" i="2"/>
  <c r="C95" i="2"/>
  <c r="T95" i="2"/>
  <c r="S96" i="2"/>
  <c r="L97" i="2"/>
  <c r="K98" i="2"/>
  <c r="J99" i="2"/>
  <c r="C100" i="2"/>
  <c r="B101" i="2"/>
  <c r="S101" i="2"/>
  <c r="R102" i="2"/>
  <c r="Q103" i="2"/>
  <c r="J104" i="2"/>
  <c r="I105" i="2"/>
  <c r="M106" i="2"/>
  <c r="C107" i="2"/>
  <c r="N107" i="2"/>
  <c r="D108" i="2"/>
  <c r="O108" i="2"/>
  <c r="E109" i="2"/>
  <c r="S109" i="2"/>
  <c r="F110" i="2"/>
  <c r="T110" i="2"/>
  <c r="G111" i="2"/>
  <c r="U111" i="2"/>
  <c r="K112" i="2"/>
  <c r="L113" i="2"/>
  <c r="M114" i="2"/>
  <c r="C115" i="2"/>
  <c r="N115" i="2"/>
  <c r="D116" i="2"/>
  <c r="O116" i="2"/>
  <c r="E117" i="2"/>
  <c r="S117" i="2"/>
  <c r="E118" i="2"/>
  <c r="S118" i="2"/>
  <c r="F119" i="2"/>
  <c r="T119" i="2"/>
  <c r="J120" i="2"/>
  <c r="U120" i="2"/>
  <c r="K121" i="2"/>
  <c r="L122" i="2"/>
  <c r="B123" i="2"/>
  <c r="M123" i="2"/>
  <c r="C124" i="2"/>
  <c r="N124" i="2"/>
  <c r="D125" i="2"/>
  <c r="R125" i="2"/>
  <c r="E126" i="2"/>
  <c r="S126" i="2"/>
  <c r="F127" i="2"/>
  <c r="T127" i="2"/>
  <c r="J128" i="2"/>
  <c r="U128" i="2"/>
  <c r="K129" i="2"/>
  <c r="K130" i="2"/>
  <c r="L131" i="2"/>
  <c r="B132" i="2"/>
  <c r="M132" i="2"/>
  <c r="C133" i="2"/>
  <c r="Q133" i="2"/>
  <c r="D134" i="2"/>
  <c r="R134" i="2"/>
  <c r="E135" i="2"/>
  <c r="S135" i="2"/>
  <c r="I136" i="2"/>
  <c r="T136" i="2"/>
  <c r="J137" i="2"/>
  <c r="U137" i="2"/>
  <c r="K138" i="2"/>
  <c r="L139" i="2"/>
  <c r="B140" i="2"/>
  <c r="M140" i="2"/>
  <c r="C141" i="2"/>
  <c r="Q141" i="2"/>
  <c r="C142" i="2"/>
  <c r="Q142" i="2"/>
  <c r="D143" i="2"/>
  <c r="R143" i="2"/>
  <c r="H144" i="2"/>
  <c r="S144" i="2"/>
  <c r="I145" i="2"/>
  <c r="T145" i="2"/>
  <c r="J146" i="2"/>
  <c r="K147" i="2"/>
  <c r="L148" i="2"/>
  <c r="B149" i="2"/>
  <c r="P149" i="2"/>
  <c r="C150" i="2"/>
  <c r="Q150" i="2"/>
  <c r="D151" i="2"/>
  <c r="R151" i="2"/>
  <c r="F152" i="2"/>
  <c r="Q152" i="2"/>
  <c r="C153" i="2"/>
  <c r="N153" i="2"/>
  <c r="J154" i="2"/>
  <c r="U154" i="2"/>
  <c r="H155" i="2"/>
  <c r="R155" i="2"/>
  <c r="E156" i="2"/>
  <c r="P156" i="2"/>
  <c r="B157" i="2"/>
  <c r="M157" i="2"/>
  <c r="J158" i="2"/>
  <c r="U158" i="2"/>
  <c r="H159" i="2"/>
  <c r="R159" i="2"/>
  <c r="E160" i="2"/>
  <c r="P160" i="2"/>
  <c r="B161" i="2"/>
  <c r="M161" i="2"/>
  <c r="J162" i="2"/>
  <c r="U162" i="2"/>
  <c r="H163" i="2"/>
  <c r="R163" i="2"/>
  <c r="E164" i="2"/>
  <c r="P164" i="2"/>
  <c r="B165" i="2"/>
  <c r="M165" i="2"/>
  <c r="I166" i="2"/>
  <c r="T166" i="2"/>
  <c r="G167" i="2"/>
  <c r="Q167" i="2"/>
  <c r="D168" i="2"/>
  <c r="O168" i="2"/>
  <c r="I169" i="2"/>
  <c r="R169" i="2"/>
  <c r="C170" i="2"/>
  <c r="L170" i="2"/>
  <c r="G171" i="2"/>
  <c r="P171" i="2"/>
  <c r="J172" i="2"/>
  <c r="S172" i="2"/>
  <c r="D173" i="2"/>
  <c r="N173" i="2"/>
  <c r="H174" i="2"/>
  <c r="Q174" i="2"/>
  <c r="B175" i="2"/>
  <c r="K175" i="2"/>
  <c r="T175" i="2"/>
  <c r="F176" i="2"/>
  <c r="O176" i="2"/>
  <c r="I177" i="2"/>
  <c r="R177" i="2"/>
  <c r="B178" i="2"/>
  <c r="K178" i="2"/>
  <c r="U178" i="2"/>
  <c r="F179" i="2"/>
  <c r="O179" i="2"/>
  <c r="I180" i="2"/>
  <c r="R180" i="2"/>
  <c r="C181" i="2"/>
  <c r="M181" i="2"/>
  <c r="G182" i="2"/>
  <c r="P182" i="2"/>
  <c r="J183" i="2"/>
  <c r="S183" i="2"/>
  <c r="E184" i="2"/>
  <c r="N184" i="2"/>
  <c r="H185" i="2"/>
  <c r="Q185" i="2"/>
  <c r="B186" i="2"/>
  <c r="J186" i="2"/>
  <c r="R186" i="2"/>
  <c r="B187" i="2"/>
  <c r="J187" i="2"/>
  <c r="R187" i="2"/>
  <c r="B188" i="2"/>
  <c r="J188" i="2"/>
  <c r="R188" i="2"/>
  <c r="B189" i="2"/>
  <c r="J189" i="2"/>
  <c r="R189" i="2"/>
  <c r="I190" i="2"/>
  <c r="Q190" i="2"/>
  <c r="I191" i="2"/>
  <c r="Q191" i="2"/>
  <c r="I192" i="2"/>
  <c r="Q192" i="2"/>
  <c r="I193" i="2"/>
  <c r="Q193" i="2"/>
  <c r="I194" i="2"/>
  <c r="Q194" i="2"/>
  <c r="I195" i="2"/>
  <c r="Q195" i="2"/>
  <c r="I196" i="2"/>
  <c r="Q196" i="2"/>
  <c r="I197" i="2"/>
  <c r="Q197" i="2"/>
  <c r="I198" i="2"/>
  <c r="Q198" i="2"/>
  <c r="I199" i="2"/>
  <c r="Q199" i="2"/>
  <c r="I200" i="2"/>
  <c r="Q200" i="2"/>
  <c r="I201" i="2"/>
  <c r="Q201" i="2"/>
  <c r="H202" i="2"/>
  <c r="P202" i="2"/>
  <c r="H203" i="2"/>
  <c r="P203" i="2"/>
  <c r="H204" i="2"/>
  <c r="P204" i="2"/>
  <c r="H205" i="2"/>
  <c r="P205" i="2"/>
  <c r="H206" i="2"/>
  <c r="P206" i="2"/>
  <c r="H207" i="2"/>
  <c r="P207" i="2"/>
  <c r="H208" i="2"/>
  <c r="P208" i="2"/>
  <c r="H209" i="2"/>
  <c r="P209" i="2"/>
  <c r="H210" i="2"/>
  <c r="P210" i="2"/>
  <c r="H211" i="2"/>
  <c r="P211" i="2"/>
  <c r="H212" i="2"/>
  <c r="P212" i="2"/>
  <c r="H213" i="2"/>
  <c r="P213" i="2"/>
  <c r="G214" i="2"/>
  <c r="O214" i="2"/>
  <c r="G215" i="2"/>
  <c r="O215" i="2"/>
  <c r="G216" i="2"/>
  <c r="O216" i="2"/>
  <c r="G217" i="2"/>
  <c r="O217" i="2"/>
  <c r="G218" i="2"/>
  <c r="O218" i="2"/>
  <c r="G219" i="2"/>
  <c r="O219" i="2"/>
  <c r="G220" i="2"/>
  <c r="O220" i="2"/>
  <c r="G221" i="2"/>
  <c r="O221" i="2"/>
  <c r="G222" i="2"/>
  <c r="N12" i="2"/>
  <c r="O25" i="2"/>
  <c r="F33" i="2"/>
  <c r="U39" i="2"/>
  <c r="L44" i="2"/>
  <c r="N48" i="2"/>
  <c r="F56" i="2"/>
  <c r="H63" i="2"/>
  <c r="B66" i="2"/>
  <c r="L68" i="2"/>
  <c r="R70" i="2"/>
  <c r="K73" i="2"/>
  <c r="P75" i="2"/>
  <c r="P77" i="2"/>
  <c r="R79" i="2"/>
  <c r="T81" i="2"/>
  <c r="B84" i="2"/>
  <c r="F86" i="2"/>
  <c r="L88" i="2"/>
  <c r="M90" i="2"/>
  <c r="E92" i="2"/>
  <c r="B94" i="2"/>
  <c r="R95" i="2"/>
  <c r="J97" i="2"/>
  <c r="B99" i="2"/>
  <c r="R100" i="2"/>
  <c r="M102" i="2"/>
  <c r="E104" i="2"/>
  <c r="U105" i="2"/>
  <c r="C109" i="2"/>
  <c r="D110" i="2"/>
  <c r="E111" i="2"/>
  <c r="F112" i="2"/>
  <c r="G113" i="2"/>
  <c r="K114" i="2"/>
  <c r="L115" i="2"/>
  <c r="M116" i="2"/>
  <c r="N117" i="2"/>
  <c r="N118" i="2"/>
  <c r="R119" i="2"/>
  <c r="S120" i="2"/>
  <c r="T121" i="2"/>
  <c r="U122" i="2"/>
  <c r="B125" i="2"/>
  <c r="C126" i="2"/>
  <c r="D127" i="2"/>
  <c r="E128" i="2"/>
  <c r="F129" i="2"/>
  <c r="I130" i="2"/>
  <c r="J131" i="2"/>
  <c r="K132" i="2"/>
  <c r="L133" i="2"/>
  <c r="M134" i="2"/>
  <c r="Q135" i="2"/>
  <c r="R136" i="2"/>
  <c r="S137" i="2"/>
  <c r="T138" i="2"/>
  <c r="U139" i="2"/>
  <c r="B143" i="2"/>
  <c r="C144" i="2"/>
  <c r="D145" i="2"/>
  <c r="H146" i="2"/>
  <c r="I147" i="2"/>
  <c r="J148" i="2"/>
  <c r="K149" i="2"/>
  <c r="L150" i="2"/>
  <c r="P151" i="2"/>
  <c r="N152" i="2"/>
  <c r="K153" i="2"/>
  <c r="H154" i="2"/>
  <c r="E155" i="2"/>
  <c r="B156" i="2"/>
  <c r="U157" i="2"/>
  <c r="R158" i="2"/>
  <c r="P159" i="2"/>
  <c r="M160" i="2"/>
  <c r="J161" i="2"/>
  <c r="H162" i="2"/>
  <c r="E163" i="2"/>
  <c r="B164" i="2"/>
  <c r="U165" i="2"/>
  <c r="Q166" i="2"/>
  <c r="O167" i="2"/>
  <c r="L168" i="2"/>
  <c r="G169" i="2"/>
  <c r="S170" i="2"/>
  <c r="N171" i="2"/>
  <c r="H172" i="2"/>
  <c r="B173" i="2"/>
  <c r="T173" i="2"/>
  <c r="O174" i="2"/>
  <c r="I175" i="2"/>
  <c r="C176" i="2"/>
  <c r="P177" i="2"/>
  <c r="I178" i="2"/>
  <c r="C179" i="2"/>
  <c r="P180" i="2"/>
  <c r="J181" i="2"/>
  <c r="E182" i="2"/>
  <c r="Q183" i="2"/>
  <c r="K184" i="2"/>
  <c r="F185" i="2"/>
  <c r="P186" i="2"/>
  <c r="H187" i="2"/>
  <c r="P188" i="2"/>
  <c r="H189" i="2"/>
  <c r="O190" i="2"/>
  <c r="G191" i="2"/>
  <c r="O192" i="2"/>
  <c r="G193" i="2"/>
  <c r="O194" i="2"/>
  <c r="G195" i="2"/>
  <c r="O196" i="2"/>
  <c r="G197" i="2"/>
  <c r="O198" i="2"/>
  <c r="G199" i="2"/>
  <c r="S199" i="2"/>
  <c r="F200" i="2"/>
  <c r="P200" i="2"/>
  <c r="C201" i="2"/>
  <c r="N201" i="2"/>
  <c r="J202" i="2"/>
  <c r="U202" i="2"/>
  <c r="G203" i="2"/>
  <c r="R203" i="2"/>
  <c r="E204" i="2"/>
  <c r="O204" i="2"/>
  <c r="B205" i="2"/>
  <c r="M205" i="2"/>
  <c r="J206" i="2"/>
  <c r="S206" i="2"/>
  <c r="D207" i="2"/>
  <c r="M207" i="2"/>
  <c r="G208" i="2"/>
  <c r="Q208" i="2"/>
  <c r="B209" i="2"/>
  <c r="K209" i="2"/>
  <c r="T209" i="2"/>
  <c r="E210" i="2"/>
  <c r="N210" i="2"/>
  <c r="I211" i="2"/>
  <c r="R211" i="2"/>
  <c r="C212" i="2"/>
  <c r="L212" i="2"/>
  <c r="U212" i="2"/>
  <c r="F213" i="2"/>
  <c r="O213" i="2"/>
  <c r="I214" i="2"/>
  <c r="R214" i="2"/>
  <c r="C215" i="2"/>
  <c r="L215" i="2"/>
  <c r="U215" i="2"/>
  <c r="F216" i="2"/>
  <c r="P216" i="2"/>
  <c r="J217" i="2"/>
  <c r="S217" i="2"/>
  <c r="D218" i="2"/>
  <c r="M218" i="2"/>
  <c r="H219" i="2"/>
  <c r="Q219" i="2"/>
  <c r="B220" i="2"/>
  <c r="K220" i="2"/>
  <c r="T220" i="2"/>
  <c r="E221" i="2"/>
  <c r="N221" i="2"/>
  <c r="I222" i="2"/>
  <c r="Q222" i="2"/>
  <c r="I223" i="2"/>
  <c r="Q223" i="2"/>
  <c r="I224" i="2"/>
  <c r="Q224" i="2"/>
  <c r="I225" i="2"/>
  <c r="Q225" i="2"/>
  <c r="H226" i="2"/>
  <c r="P226" i="2"/>
  <c r="H227" i="2"/>
  <c r="P227" i="2"/>
  <c r="H228" i="2"/>
  <c r="P228" i="2"/>
  <c r="H229" i="2"/>
  <c r="P229" i="2"/>
  <c r="H230" i="2"/>
  <c r="P230" i="2"/>
  <c r="H231" i="2"/>
  <c r="P231" i="2"/>
  <c r="H232" i="2"/>
  <c r="P232" i="2"/>
  <c r="H233" i="2"/>
  <c r="P233" i="2"/>
  <c r="H234" i="2"/>
  <c r="P234" i="2"/>
  <c r="H235" i="2"/>
  <c r="P235" i="2"/>
  <c r="H236" i="2"/>
  <c r="P236" i="2"/>
  <c r="H237" i="2"/>
  <c r="P237" i="2"/>
  <c r="G238" i="2"/>
  <c r="O238" i="2"/>
  <c r="G239" i="2"/>
  <c r="O239" i="2"/>
  <c r="G240" i="2"/>
  <c r="O240" i="2"/>
  <c r="G241" i="2"/>
  <c r="O241" i="2"/>
  <c r="G242" i="2"/>
  <c r="O242" i="2"/>
  <c r="G243" i="2"/>
  <c r="O243" i="2"/>
  <c r="G244" i="2"/>
  <c r="O244" i="2"/>
  <c r="G245" i="2"/>
  <c r="O245" i="2"/>
  <c r="G246" i="2"/>
  <c r="O246" i="2"/>
  <c r="G247" i="2"/>
  <c r="O247" i="2"/>
  <c r="G248" i="2"/>
  <c r="O248" i="2"/>
  <c r="G249" i="2"/>
  <c r="O249" i="2"/>
  <c r="F13" i="2"/>
  <c r="P25" i="2"/>
  <c r="C34" i="2"/>
  <c r="P44" i="2"/>
  <c r="W48" i="2"/>
  <c r="W52" i="2"/>
  <c r="S56" i="2"/>
  <c r="I63" i="2"/>
  <c r="C66" i="2"/>
  <c r="M68" i="2"/>
  <c r="C71" i="2"/>
  <c r="L73" i="2"/>
  <c r="Q75" i="2"/>
  <c r="Q77" i="2"/>
  <c r="S79" i="2"/>
  <c r="C84" i="2"/>
  <c r="I86" i="2"/>
  <c r="M88" i="2"/>
  <c r="N90" i="2"/>
  <c r="L92" i="2"/>
  <c r="C94" i="2"/>
  <c r="S95" i="2"/>
  <c r="K97" i="2"/>
  <c r="C99" i="2"/>
  <c r="Q102" i="2"/>
  <c r="I104" i="2"/>
  <c r="C108" i="2"/>
  <c r="D109" i="2"/>
  <c r="E110" i="2"/>
  <c r="F111" i="2"/>
  <c r="G112" i="2"/>
  <c r="K113" i="2"/>
  <c r="L114" i="2"/>
  <c r="M115" i="2"/>
  <c r="N116" i="2"/>
  <c r="O117" i="2"/>
  <c r="R118" i="2"/>
  <c r="S119" i="2"/>
  <c r="T120" i="2"/>
  <c r="U121" i="2"/>
  <c r="B124" i="2"/>
  <c r="C125" i="2"/>
  <c r="D126" i="2"/>
  <c r="E127" i="2"/>
  <c r="F128" i="2"/>
  <c r="J129" i="2"/>
  <c r="J130" i="2"/>
  <c r="K131" i="2"/>
  <c r="L132" i="2"/>
  <c r="M133" i="2"/>
  <c r="Q134" i="2"/>
  <c r="R135" i="2"/>
  <c r="S136" i="2"/>
  <c r="T137" i="2"/>
  <c r="U138" i="2"/>
  <c r="B141" i="2"/>
  <c r="B142" i="2"/>
  <c r="C143" i="2"/>
  <c r="D144" i="2"/>
  <c r="H145" i="2"/>
  <c r="I146" i="2"/>
  <c r="J147" i="2"/>
  <c r="K148" i="2"/>
  <c r="L149" i="2"/>
  <c r="P150" i="2"/>
  <c r="Q151" i="2"/>
  <c r="P152" i="2"/>
  <c r="L153" i="2"/>
  <c r="I154" i="2"/>
  <c r="G155" i="2"/>
  <c r="C156" i="2"/>
  <c r="S158" i="2"/>
  <c r="Q159" i="2"/>
  <c r="O160" i="2"/>
  <c r="K161" i="2"/>
  <c r="I162" i="2"/>
  <c r="G163" i="2"/>
  <c r="C164" i="2"/>
  <c r="R166" i="2"/>
  <c r="P167" i="2"/>
  <c r="N168" i="2"/>
  <c r="H169" i="2"/>
  <c r="B170" i="2"/>
  <c r="T170" i="2"/>
  <c r="O171" i="2"/>
  <c r="I172" i="2"/>
  <c r="C173" i="2"/>
  <c r="P174" i="2"/>
  <c r="J175" i="2"/>
  <c r="D176" i="2"/>
  <c r="Q177" i="2"/>
  <c r="J178" i="2"/>
  <c r="E179" i="2"/>
  <c r="Q180" i="2"/>
  <c r="K181" i="2"/>
  <c r="F182" i="2"/>
  <c r="R183" i="2"/>
  <c r="M184" i="2"/>
  <c r="G185" i="2"/>
  <c r="Q186" i="2"/>
  <c r="I187" i="2"/>
  <c r="Q188" i="2"/>
  <c r="I189" i="2"/>
  <c r="P190" i="2"/>
  <c r="H191" i="2"/>
  <c r="P192" i="2"/>
  <c r="H193" i="2"/>
  <c r="P194" i="2"/>
  <c r="H195" i="2"/>
  <c r="P196" i="2"/>
  <c r="H197" i="2"/>
  <c r="P198" i="2"/>
  <c r="H199" i="2"/>
  <c r="T199" i="2"/>
  <c r="G200" i="2"/>
  <c r="R200" i="2"/>
  <c r="D201" i="2"/>
  <c r="O201" i="2"/>
  <c r="K202" i="2"/>
  <c r="I203" i="2"/>
  <c r="S203" i="2"/>
  <c r="F204" i="2"/>
  <c r="Q204" i="2"/>
  <c r="C205" i="2"/>
  <c r="N205" i="2"/>
  <c r="K206" i="2"/>
  <c r="T206" i="2"/>
  <c r="E207" i="2"/>
  <c r="N207" i="2"/>
  <c r="I208" i="2"/>
  <c r="R208" i="2"/>
  <c r="C209" i="2"/>
  <c r="L209" i="2"/>
  <c r="U209" i="2"/>
  <c r="F210" i="2"/>
  <c r="O210" i="2"/>
  <c r="J211" i="2"/>
  <c r="S211" i="2"/>
  <c r="D212" i="2"/>
  <c r="M212" i="2"/>
  <c r="G213" i="2"/>
  <c r="Q213" i="2"/>
  <c r="J214" i="2"/>
  <c r="S214" i="2"/>
  <c r="D215" i="2"/>
  <c r="M215" i="2"/>
  <c r="H216" i="2"/>
  <c r="Q216" i="2"/>
  <c r="B217" i="2"/>
  <c r="K217" i="2"/>
  <c r="T217" i="2"/>
  <c r="E218" i="2"/>
  <c r="N218" i="2"/>
  <c r="I219" i="2"/>
  <c r="R219" i="2"/>
  <c r="C220" i="2"/>
  <c r="L220" i="2"/>
  <c r="U220" i="2"/>
  <c r="F221" i="2"/>
  <c r="P221" i="2"/>
  <c r="J222" i="2"/>
  <c r="R222" i="2"/>
  <c r="B223" i="2"/>
  <c r="J223" i="2"/>
  <c r="R223" i="2"/>
  <c r="B224" i="2"/>
  <c r="J224" i="2"/>
  <c r="R224" i="2"/>
  <c r="B225" i="2"/>
  <c r="J225" i="2"/>
  <c r="R225" i="2"/>
  <c r="I226" i="2"/>
  <c r="Q226" i="2"/>
  <c r="I227" i="2"/>
  <c r="Q227" i="2"/>
  <c r="I228" i="2"/>
  <c r="Q228" i="2"/>
  <c r="I229" i="2"/>
  <c r="Q229" i="2"/>
  <c r="I230" i="2"/>
  <c r="Q230" i="2"/>
  <c r="I231" i="2"/>
  <c r="Q231" i="2"/>
  <c r="I232" i="2"/>
  <c r="Q232" i="2"/>
  <c r="I233" i="2"/>
  <c r="Q233" i="2"/>
  <c r="I234" i="2"/>
  <c r="Q234" i="2"/>
  <c r="I235" i="2"/>
  <c r="Q235" i="2"/>
  <c r="I236" i="2"/>
  <c r="Q236" i="2"/>
  <c r="I237" i="2"/>
  <c r="Q237" i="2"/>
  <c r="H238" i="2"/>
  <c r="P238" i="2"/>
  <c r="H239" i="2"/>
  <c r="P239" i="2"/>
  <c r="H240" i="2"/>
  <c r="P240" i="2"/>
  <c r="H241" i="2"/>
  <c r="P241" i="2"/>
  <c r="H242" i="2"/>
  <c r="P242" i="2"/>
  <c r="H243" i="2"/>
  <c r="P243" i="2"/>
  <c r="H244" i="2"/>
  <c r="P244" i="2"/>
  <c r="H245" i="2"/>
  <c r="P245" i="2"/>
  <c r="H246" i="2"/>
  <c r="P246" i="2"/>
  <c r="H247" i="2"/>
  <c r="P247" i="2"/>
  <c r="H248" i="2"/>
  <c r="P248" i="2"/>
  <c r="H249" i="2"/>
  <c r="P249" i="2"/>
  <c r="J27" i="2"/>
  <c r="O34" i="2"/>
  <c r="N40" i="2"/>
  <c r="N49" i="2"/>
  <c r="M53" i="2"/>
  <c r="K60" i="2"/>
  <c r="R63" i="2"/>
  <c r="O66" i="2"/>
  <c r="G71" i="2"/>
  <c r="O73" i="2"/>
  <c r="S75" i="2"/>
  <c r="C78" i="2"/>
  <c r="C80" i="2"/>
  <c r="D82" i="2"/>
  <c r="J84" i="2"/>
  <c r="N86" i="2"/>
  <c r="N92" i="2"/>
  <c r="E94" i="2"/>
  <c r="U95" i="2"/>
  <c r="S97" i="2"/>
  <c r="K99" i="2"/>
  <c r="C101" i="2"/>
  <c r="S102" i="2"/>
  <c r="K104" i="2"/>
  <c r="C106" i="2"/>
  <c r="D107" i="2"/>
  <c r="E108" i="2"/>
  <c r="F109" i="2"/>
  <c r="G110" i="2"/>
  <c r="K111" i="2"/>
  <c r="L112" i="2"/>
  <c r="M113" i="2"/>
  <c r="N114" i="2"/>
  <c r="O115" i="2"/>
  <c r="S116" i="2"/>
  <c r="T117" i="2"/>
  <c r="T118" i="2"/>
  <c r="U119" i="2"/>
  <c r="B122" i="2"/>
  <c r="V122" i="2" s="1"/>
  <c r="C123" i="2"/>
  <c r="D124" i="2"/>
  <c r="E125" i="2"/>
  <c r="F126" i="2"/>
  <c r="J127" i="2"/>
  <c r="K128" i="2"/>
  <c r="L129" i="2"/>
  <c r="L130" i="2"/>
  <c r="M131" i="2"/>
  <c r="Q132" i="2"/>
  <c r="R133" i="2"/>
  <c r="S134" i="2"/>
  <c r="T135" i="2"/>
  <c r="U136" i="2"/>
  <c r="B139" i="2"/>
  <c r="C140" i="2"/>
  <c r="D141" i="2"/>
  <c r="D142" i="2"/>
  <c r="H143" i="2"/>
  <c r="I144" i="2"/>
  <c r="J145" i="2"/>
  <c r="K146" i="2"/>
  <c r="L147" i="2"/>
  <c r="P148" i="2"/>
  <c r="Q149" i="2"/>
  <c r="R150" i="2"/>
  <c r="S151" i="2"/>
  <c r="R152" i="2"/>
  <c r="P153" i="2"/>
  <c r="K154" i="2"/>
  <c r="I155" i="2"/>
  <c r="G156" i="2"/>
  <c r="C157" i="2"/>
  <c r="S159" i="2"/>
  <c r="Q160" i="2"/>
  <c r="O161" i="2"/>
  <c r="K162" i="2"/>
  <c r="I163" i="2"/>
  <c r="G164" i="2"/>
  <c r="C165" i="2"/>
  <c r="R167" i="2"/>
  <c r="P168" i="2"/>
  <c r="J169" i="2"/>
  <c r="D170" i="2"/>
  <c r="Q171" i="2"/>
  <c r="K172" i="2"/>
  <c r="F173" i="2"/>
  <c r="R174" i="2"/>
  <c r="L175" i="2"/>
  <c r="G176" i="2"/>
  <c r="S177" i="2"/>
  <c r="M178" i="2"/>
  <c r="G179" i="2"/>
  <c r="S180" i="2"/>
  <c r="N181" i="2"/>
  <c r="H182" i="2"/>
  <c r="B183" i="2"/>
  <c r="U183" i="2"/>
  <c r="O184" i="2"/>
  <c r="I185" i="2"/>
  <c r="C186" i="2"/>
  <c r="S186" i="2"/>
  <c r="K187" i="2"/>
  <c r="C188" i="2"/>
  <c r="S188" i="2"/>
  <c r="K189" i="2"/>
  <c r="B190" i="2"/>
  <c r="R190" i="2"/>
  <c r="J191" i="2"/>
  <c r="B192" i="2"/>
  <c r="R192" i="2"/>
  <c r="J193" i="2"/>
  <c r="B194" i="2"/>
  <c r="R194" i="2"/>
  <c r="J195" i="2"/>
  <c r="B196" i="2"/>
  <c r="R196" i="2"/>
  <c r="J197" i="2"/>
  <c r="B198" i="2"/>
  <c r="R198" i="2"/>
  <c r="J199" i="2"/>
  <c r="H200" i="2"/>
  <c r="S200" i="2"/>
  <c r="F201" i="2"/>
  <c r="P201" i="2"/>
  <c r="B202" i="2"/>
  <c r="M202" i="2"/>
  <c r="J203" i="2"/>
  <c r="U203" i="2"/>
  <c r="G204" i="2"/>
  <c r="R204" i="2"/>
  <c r="E205" i="2"/>
  <c r="O205" i="2"/>
  <c r="B206" i="2"/>
  <c r="L206" i="2"/>
  <c r="U206" i="2"/>
  <c r="F207" i="2"/>
  <c r="O207" i="2"/>
  <c r="J208" i="2"/>
  <c r="S208" i="2"/>
  <c r="D209" i="2"/>
  <c r="M209" i="2"/>
  <c r="G210" i="2"/>
  <c r="Q210" i="2"/>
  <c r="B211" i="2"/>
  <c r="K211" i="2"/>
  <c r="T211" i="2"/>
  <c r="E212" i="2"/>
  <c r="N212" i="2"/>
  <c r="I213" i="2"/>
  <c r="R213" i="2"/>
  <c r="B214" i="2"/>
  <c r="K214" i="2"/>
  <c r="T214" i="2"/>
  <c r="E215" i="2"/>
  <c r="N215" i="2"/>
  <c r="I216" i="2"/>
  <c r="R216" i="2"/>
  <c r="C217" i="2"/>
  <c r="L217" i="2"/>
  <c r="U217" i="2"/>
  <c r="F218" i="2"/>
  <c r="P218" i="2"/>
  <c r="J219" i="2"/>
  <c r="S219" i="2"/>
  <c r="D220" i="2"/>
  <c r="M220" i="2"/>
  <c r="H221" i="2"/>
  <c r="Q221" i="2"/>
  <c r="B222" i="2"/>
  <c r="K222" i="2"/>
  <c r="S222" i="2"/>
  <c r="C223" i="2"/>
  <c r="K223" i="2"/>
  <c r="S223" i="2"/>
  <c r="C224" i="2"/>
  <c r="K224" i="2"/>
  <c r="S224" i="2"/>
  <c r="C225" i="2"/>
  <c r="K225" i="2"/>
  <c r="S225" i="2"/>
  <c r="B226" i="2"/>
  <c r="J226" i="2"/>
  <c r="R226" i="2"/>
  <c r="B227" i="2"/>
  <c r="J227" i="2"/>
  <c r="R227" i="2"/>
  <c r="B228" i="2"/>
  <c r="J228" i="2"/>
  <c r="R228" i="2"/>
  <c r="B229" i="2"/>
  <c r="J229" i="2"/>
  <c r="R229" i="2"/>
  <c r="B230" i="2"/>
  <c r="J230" i="2"/>
  <c r="R230" i="2"/>
  <c r="B231" i="2"/>
  <c r="J231" i="2"/>
  <c r="R231" i="2"/>
  <c r="B232" i="2"/>
  <c r="J232" i="2"/>
  <c r="R232" i="2"/>
  <c r="B233" i="2"/>
  <c r="J233" i="2"/>
  <c r="R233" i="2"/>
  <c r="B234" i="2"/>
  <c r="J234" i="2"/>
  <c r="R234" i="2"/>
  <c r="B235" i="2"/>
  <c r="J235" i="2"/>
  <c r="R235" i="2"/>
  <c r="B236" i="2"/>
  <c r="J236" i="2"/>
  <c r="R236" i="2"/>
  <c r="B237" i="2"/>
  <c r="J237" i="2"/>
  <c r="R237" i="2"/>
  <c r="I238" i="2"/>
  <c r="Q238" i="2"/>
  <c r="I239" i="2"/>
  <c r="Q239" i="2"/>
  <c r="I240" i="2"/>
  <c r="Q240" i="2"/>
  <c r="I241" i="2"/>
  <c r="Q241" i="2"/>
  <c r="I242" i="2"/>
  <c r="Q242" i="2"/>
  <c r="I243" i="2"/>
  <c r="Q243" i="2"/>
  <c r="I244" i="2"/>
  <c r="Q244" i="2"/>
  <c r="I245" i="2"/>
  <c r="Q245" i="2"/>
  <c r="I246" i="2"/>
  <c r="Q246" i="2"/>
  <c r="I247" i="2"/>
  <c r="Q247" i="2"/>
  <c r="I248" i="2"/>
  <c r="Q248" i="2"/>
  <c r="I249" i="2"/>
  <c r="Q249" i="2"/>
  <c r="J22" i="2"/>
  <c r="F31" i="2"/>
  <c r="G38" i="2"/>
  <c r="C47" i="2"/>
  <c r="K51" i="2"/>
  <c r="B55" i="2"/>
  <c r="G62" i="2"/>
  <c r="D65" i="2"/>
  <c r="O67" i="2"/>
  <c r="Q72" i="2"/>
  <c r="K83" i="2"/>
  <c r="Q85" i="2"/>
  <c r="U87" i="2"/>
  <c r="R91" i="2"/>
  <c r="M93" i="2"/>
  <c r="D95" i="2"/>
  <c r="T96" i="2"/>
  <c r="L98" i="2"/>
  <c r="D100" i="2"/>
  <c r="B102" i="2"/>
  <c r="R103" i="2"/>
  <c r="J105" i="2"/>
  <c r="N106" i="2"/>
  <c r="O107" i="2"/>
  <c r="S108" i="2"/>
  <c r="T109" i="2"/>
  <c r="U110" i="2"/>
  <c r="C114" i="2"/>
  <c r="D115" i="2"/>
  <c r="E116" i="2"/>
  <c r="F117" i="2"/>
  <c r="F118" i="2"/>
  <c r="J119" i="2"/>
  <c r="K120" i="2"/>
  <c r="L121" i="2"/>
  <c r="M122" i="2"/>
  <c r="N123" i="2"/>
  <c r="R124" i="2"/>
  <c r="S125" i="2"/>
  <c r="T126" i="2"/>
  <c r="U127" i="2"/>
  <c r="B131" i="2"/>
  <c r="C132" i="2"/>
  <c r="D133" i="2"/>
  <c r="E134" i="2"/>
  <c r="I135" i="2"/>
  <c r="J136" i="2"/>
  <c r="K137" i="2"/>
  <c r="L138" i="2"/>
  <c r="M139" i="2"/>
  <c r="Q140" i="2"/>
  <c r="R141" i="2"/>
  <c r="R142" i="2"/>
  <c r="S143" i="2"/>
  <c r="T144" i="2"/>
  <c r="B148" i="2"/>
  <c r="C149" i="2"/>
  <c r="D150" i="2"/>
  <c r="H151" i="2"/>
  <c r="H152" i="2"/>
  <c r="D153" i="2"/>
  <c r="S155" i="2"/>
  <c r="Q156" i="2"/>
  <c r="O157" i="2"/>
  <c r="K158" i="2"/>
  <c r="I159" i="2"/>
  <c r="G160" i="2"/>
  <c r="C161" i="2"/>
  <c r="S163" i="2"/>
  <c r="Q164" i="2"/>
  <c r="O165" i="2"/>
  <c r="J166" i="2"/>
  <c r="H167" i="2"/>
  <c r="F168" i="2"/>
  <c r="S169" i="2"/>
  <c r="N170" i="2"/>
  <c r="H171" i="2"/>
  <c r="B172" i="2"/>
  <c r="T172" i="2"/>
  <c r="O173" i="2"/>
  <c r="I174" i="2"/>
  <c r="C175" i="2"/>
  <c r="P176" i="2"/>
  <c r="J177" i="2"/>
  <c r="C178" i="2"/>
  <c r="P179" i="2"/>
  <c r="J180" i="2"/>
  <c r="E181" i="2"/>
  <c r="Q182" i="2"/>
  <c r="K183" i="2"/>
  <c r="F184" i="2"/>
  <c r="R185" i="2"/>
  <c r="K186" i="2"/>
  <c r="C187" i="2"/>
  <c r="S187" i="2"/>
  <c r="K188" i="2"/>
  <c r="C189" i="2"/>
  <c r="S189" i="2"/>
  <c r="J190" i="2"/>
  <c r="B191" i="2"/>
  <c r="R191" i="2"/>
  <c r="J192" i="2"/>
  <c r="B193" i="2"/>
  <c r="V193" i="2" s="1"/>
  <c r="R193" i="2"/>
  <c r="J194" i="2"/>
  <c r="B195" i="2"/>
  <c r="R195" i="2"/>
  <c r="J196" i="2"/>
  <c r="B197" i="2"/>
  <c r="R197" i="2"/>
  <c r="J198" i="2"/>
  <c r="B199" i="2"/>
  <c r="P199" i="2"/>
  <c r="C200" i="2"/>
  <c r="N200" i="2"/>
  <c r="K201" i="2"/>
  <c r="G202" i="2"/>
  <c r="R202" i="2"/>
  <c r="E203" i="2"/>
  <c r="O203" i="2"/>
  <c r="B204" i="2"/>
  <c r="M204" i="2"/>
  <c r="J205" i="2"/>
  <c r="U205" i="2"/>
  <c r="G206" i="2"/>
  <c r="Q206" i="2"/>
  <c r="B207" i="2"/>
  <c r="K207" i="2"/>
  <c r="T207" i="2"/>
  <c r="E208" i="2"/>
  <c r="N208" i="2"/>
  <c r="I209" i="2"/>
  <c r="R209" i="2"/>
  <c r="C210" i="2"/>
  <c r="L210" i="2"/>
  <c r="U210" i="2"/>
  <c r="F211" i="2"/>
  <c r="O211" i="2"/>
  <c r="J212" i="2"/>
  <c r="S212" i="2"/>
  <c r="D213" i="2"/>
  <c r="M213" i="2"/>
  <c r="F214" i="2"/>
  <c r="P214" i="2"/>
  <c r="J215" i="2"/>
  <c r="S215" i="2"/>
  <c r="D216" i="2"/>
  <c r="M216" i="2"/>
  <c r="H217" i="2"/>
  <c r="Q217" i="2"/>
  <c r="B218" i="2"/>
  <c r="K218" i="2"/>
  <c r="T218" i="2"/>
  <c r="E219" i="2"/>
  <c r="N219" i="2"/>
  <c r="I220" i="2"/>
  <c r="R220" i="2"/>
  <c r="C221" i="2"/>
  <c r="L221" i="2"/>
  <c r="U221" i="2"/>
  <c r="F222" i="2"/>
  <c r="O222" i="2"/>
  <c r="G223" i="2"/>
  <c r="O223" i="2"/>
  <c r="G224" i="2"/>
  <c r="O224" i="2"/>
  <c r="G225" i="2"/>
  <c r="O225" i="2"/>
  <c r="F226" i="2"/>
  <c r="N226" i="2"/>
  <c r="F227" i="2"/>
  <c r="N227" i="2"/>
  <c r="F228" i="2"/>
  <c r="N228" i="2"/>
  <c r="F229" i="2"/>
  <c r="N229" i="2"/>
  <c r="F230" i="2"/>
  <c r="N230" i="2"/>
  <c r="F231" i="2"/>
  <c r="N231" i="2"/>
  <c r="F232" i="2"/>
  <c r="N232" i="2"/>
  <c r="F233" i="2"/>
  <c r="N233" i="2"/>
  <c r="F234" i="2"/>
  <c r="N234" i="2"/>
  <c r="F235" i="2"/>
  <c r="N235" i="2"/>
  <c r="F236" i="2"/>
  <c r="N236" i="2"/>
  <c r="F237" i="2"/>
  <c r="N237" i="2"/>
  <c r="E238" i="2"/>
  <c r="M238" i="2"/>
  <c r="U238" i="2"/>
  <c r="E239" i="2"/>
  <c r="M239" i="2"/>
  <c r="U239" i="2"/>
  <c r="E240" i="2"/>
  <c r="M240" i="2"/>
  <c r="U240" i="2"/>
  <c r="E241" i="2"/>
  <c r="M241" i="2"/>
  <c r="U241" i="2"/>
  <c r="E242" i="2"/>
  <c r="M242" i="2"/>
  <c r="U242" i="2"/>
  <c r="E243" i="2"/>
  <c r="M243" i="2"/>
  <c r="U243" i="2"/>
  <c r="E244" i="2"/>
  <c r="M244" i="2"/>
  <c r="U244" i="2"/>
  <c r="E245" i="2"/>
  <c r="M245" i="2"/>
  <c r="U245" i="2"/>
  <c r="E246" i="2"/>
  <c r="M246" i="2"/>
  <c r="U246" i="2"/>
  <c r="E247" i="2"/>
  <c r="M247" i="2"/>
  <c r="U247" i="2"/>
  <c r="E248" i="2"/>
  <c r="M248" i="2"/>
  <c r="U248" i="2"/>
  <c r="E249" i="2"/>
  <c r="M249" i="2"/>
  <c r="U249" i="2"/>
  <c r="N18" i="2"/>
  <c r="H36" i="2"/>
  <c r="D46" i="2"/>
  <c r="O54" i="2"/>
  <c r="F61" i="2"/>
  <c r="J76" i="2"/>
  <c r="Q80" i="2"/>
  <c r="J89" i="2"/>
  <c r="C93" i="2"/>
  <c r="J96" i="2"/>
  <c r="U99" i="2"/>
  <c r="E103" i="2"/>
  <c r="G106" i="2"/>
  <c r="L108" i="2"/>
  <c r="N110" i="2"/>
  <c r="S112" i="2"/>
  <c r="U114" i="2"/>
  <c r="C119" i="2"/>
  <c r="E121" i="2"/>
  <c r="J123" i="2"/>
  <c r="L125" i="2"/>
  <c r="N127" i="2"/>
  <c r="S129" i="2"/>
  <c r="T131" i="2"/>
  <c r="C136" i="2"/>
  <c r="E138" i="2"/>
  <c r="J140" i="2"/>
  <c r="K142" i="2"/>
  <c r="P144" i="2"/>
  <c r="R146" i="2"/>
  <c r="T148" i="2"/>
  <c r="Q154" i="2"/>
  <c r="K156" i="2"/>
  <c r="G158" i="2"/>
  <c r="S161" i="2"/>
  <c r="O163" i="2"/>
  <c r="I165" i="2"/>
  <c r="B167" i="2"/>
  <c r="T168" i="2"/>
  <c r="I170" i="2"/>
  <c r="J173" i="2"/>
  <c r="K176" i="2"/>
  <c r="K179" i="2"/>
  <c r="M182" i="2"/>
  <c r="N185" i="2"/>
  <c r="G188" i="2"/>
  <c r="O189" i="2"/>
  <c r="F192" i="2"/>
  <c r="N193" i="2"/>
  <c r="F196" i="2"/>
  <c r="N197" i="2"/>
  <c r="T200" i="2"/>
  <c r="R201" i="2"/>
  <c r="N202" i="2"/>
  <c r="K203" i="2"/>
  <c r="I204" i="2"/>
  <c r="F205" i="2"/>
  <c r="C206" i="2"/>
  <c r="Q207" i="2"/>
  <c r="K208" i="2"/>
  <c r="E209" i="2"/>
  <c r="R210" i="2"/>
  <c r="L211" i="2"/>
  <c r="F212" i="2"/>
  <c r="S213" i="2"/>
  <c r="L214" i="2"/>
  <c r="F215" i="2"/>
  <c r="S216" i="2"/>
  <c r="M217" i="2"/>
  <c r="H218" i="2"/>
  <c r="G20" i="2"/>
  <c r="S36" i="2"/>
  <c r="E46" i="2"/>
  <c r="P54" i="2"/>
  <c r="N61" i="2"/>
  <c r="L67" i="2"/>
  <c r="B72" i="2"/>
  <c r="K76" i="2"/>
  <c r="R80" i="2"/>
  <c r="R89" i="2"/>
  <c r="D93" i="2"/>
  <c r="K96" i="2"/>
  <c r="I103" i="2"/>
  <c r="K106" i="2"/>
  <c r="M108" i="2"/>
  <c r="O110" i="2"/>
  <c r="T112" i="2"/>
  <c r="C117" i="2"/>
  <c r="D119" i="2"/>
  <c r="F121" i="2"/>
  <c r="K123" i="2"/>
  <c r="M125" i="2"/>
  <c r="R127" i="2"/>
  <c r="T129" i="2"/>
  <c r="U131" i="2"/>
  <c r="B134" i="2"/>
  <c r="D136" i="2"/>
  <c r="I138" i="2"/>
  <c r="K140" i="2"/>
  <c r="L142" i="2"/>
  <c r="Q144" i="2"/>
  <c r="S146" i="2"/>
  <c r="B151" i="2"/>
  <c r="R154" i="2"/>
  <c r="M156" i="2"/>
  <c r="H158" i="2"/>
  <c r="B160" i="2"/>
  <c r="U161" i="2"/>
  <c r="P163" i="2"/>
  <c r="J165" i="2"/>
  <c r="D167" i="2"/>
  <c r="J170" i="2"/>
  <c r="K173" i="2"/>
  <c r="L176" i="2"/>
  <c r="M179" i="2"/>
  <c r="N182" i="2"/>
  <c r="B184" i="2"/>
  <c r="O185" i="2"/>
  <c r="H188" i="2"/>
  <c r="P189" i="2"/>
  <c r="G192" i="2"/>
  <c r="O193" i="2"/>
  <c r="G196" i="2"/>
  <c r="O197" i="2"/>
  <c r="S201" i="2"/>
  <c r="O202" i="2"/>
  <c r="M203" i="2"/>
  <c r="J204" i="2"/>
  <c r="G205" i="2"/>
  <c r="E206" i="2"/>
  <c r="R207" i="2"/>
  <c r="L208" i="2"/>
  <c r="F209" i="2"/>
  <c r="S210" i="2"/>
  <c r="M211" i="2"/>
  <c r="G212" i="2"/>
  <c r="B213" i="2"/>
  <c r="T213" i="2"/>
  <c r="M214" i="2"/>
  <c r="H215" i="2"/>
  <c r="B216" i="2"/>
  <c r="T216" i="2"/>
  <c r="N217" i="2"/>
  <c r="I218" i="2"/>
  <c r="C219" i="2"/>
  <c r="U219" i="2"/>
  <c r="P220" i="2"/>
  <c r="J221" i="2"/>
  <c r="D222" i="2"/>
  <c r="U222" i="2"/>
  <c r="M223" i="2"/>
  <c r="E224" i="2"/>
  <c r="U224" i="2"/>
  <c r="M225" i="2"/>
  <c r="D226" i="2"/>
  <c r="T226" i="2"/>
  <c r="L227" i="2"/>
  <c r="D228" i="2"/>
  <c r="T228" i="2"/>
  <c r="L229" i="2"/>
  <c r="D230" i="2"/>
  <c r="S54" i="2"/>
  <c r="P61" i="2"/>
  <c r="M67" i="2"/>
  <c r="C72" i="2"/>
  <c r="E85" i="2"/>
  <c r="S89" i="2"/>
  <c r="E93" i="2"/>
  <c r="R96" i="2"/>
  <c r="B100" i="2"/>
  <c r="J103" i="2"/>
  <c r="L106" i="2"/>
  <c r="N108" i="2"/>
  <c r="S110" i="2"/>
  <c r="U112" i="2"/>
  <c r="D117" i="2"/>
  <c r="E119" i="2"/>
  <c r="J121" i="2"/>
  <c r="L123" i="2"/>
  <c r="N125" i="2"/>
  <c r="S127" i="2"/>
  <c r="U129" i="2"/>
  <c r="C134" i="2"/>
  <c r="E136" i="2"/>
  <c r="J138" i="2"/>
  <c r="L140" i="2"/>
  <c r="P142" i="2"/>
  <c r="R144" i="2"/>
  <c r="T146" i="2"/>
  <c r="C151" i="2"/>
  <c r="B153" i="2"/>
  <c r="S154" i="2"/>
  <c r="O156" i="2"/>
  <c r="I158" i="2"/>
  <c r="C160" i="2"/>
  <c r="Q163" i="2"/>
  <c r="K165" i="2"/>
  <c r="F167" i="2"/>
  <c r="K170" i="2"/>
  <c r="L173" i="2"/>
  <c r="N176" i="2"/>
  <c r="N179" i="2"/>
  <c r="B181" i="2"/>
  <c r="V181" i="2" s="1"/>
  <c r="O182" i="2"/>
  <c r="C184" i="2"/>
  <c r="P185" i="2"/>
  <c r="I188" i="2"/>
  <c r="Q189" i="2"/>
  <c r="H192" i="2"/>
  <c r="P193" i="2"/>
  <c r="H196" i="2"/>
  <c r="P197" i="2"/>
  <c r="B200" i="2"/>
  <c r="T201" i="2"/>
  <c r="Q202" i="2"/>
  <c r="N203" i="2"/>
  <c r="K204" i="2"/>
  <c r="I205" i="2"/>
  <c r="F206" i="2"/>
  <c r="S207" i="2"/>
  <c r="M208" i="2"/>
  <c r="G209" i="2"/>
  <c r="B210" i="2"/>
  <c r="T210" i="2"/>
  <c r="N211" i="2"/>
  <c r="I212" i="2"/>
  <c r="C213" i="2"/>
  <c r="U213" i="2"/>
  <c r="N214" i="2"/>
  <c r="I215" i="2"/>
  <c r="C216" i="2"/>
  <c r="U216" i="2"/>
  <c r="P217" i="2"/>
  <c r="J218" i="2"/>
  <c r="D219" i="2"/>
  <c r="M10" i="2"/>
  <c r="E30" i="2"/>
  <c r="W50" i="2"/>
  <c r="M64" i="2"/>
  <c r="S69" i="2"/>
  <c r="K74" i="2"/>
  <c r="R78" i="2"/>
  <c r="S82" i="2"/>
  <c r="E87" i="2"/>
  <c r="L91" i="2"/>
  <c r="S94" i="2"/>
  <c r="I98" i="2"/>
  <c r="Q101" i="2"/>
  <c r="L107" i="2"/>
  <c r="N109" i="2"/>
  <c r="S111" i="2"/>
  <c r="U113" i="2"/>
  <c r="C118" i="2"/>
  <c r="E120" i="2"/>
  <c r="J122" i="2"/>
  <c r="L124" i="2"/>
  <c r="N126" i="2"/>
  <c r="S128" i="2"/>
  <c r="T130" i="2"/>
  <c r="C135" i="2"/>
  <c r="E137" i="2"/>
  <c r="J139" i="2"/>
  <c r="L141" i="2"/>
  <c r="P143" i="2"/>
  <c r="R145" i="2"/>
  <c r="T147" i="2"/>
  <c r="C152" i="2"/>
  <c r="P155" i="2"/>
  <c r="J157" i="2"/>
  <c r="E159" i="2"/>
  <c r="R162" i="2"/>
  <c r="M164" i="2"/>
  <c r="G166" i="2"/>
  <c r="P169" i="2"/>
  <c r="D171" i="2"/>
  <c r="Q172" i="2"/>
  <c r="F174" i="2"/>
  <c r="R175" i="2"/>
  <c r="G177" i="2"/>
  <c r="R178" i="2"/>
  <c r="G180" i="2"/>
  <c r="S181" i="2"/>
  <c r="H183" i="2"/>
  <c r="U184" i="2"/>
  <c r="H186" i="2"/>
  <c r="P187" i="2"/>
  <c r="G190" i="2"/>
  <c r="O191" i="2"/>
  <c r="G194" i="2"/>
  <c r="O195" i="2"/>
  <c r="G198" i="2"/>
  <c r="N199" i="2"/>
  <c r="K200" i="2"/>
  <c r="H201" i="2"/>
  <c r="E202" i="2"/>
  <c r="B203" i="2"/>
  <c r="U204" i="2"/>
  <c r="R205" i="2"/>
  <c r="N206" i="2"/>
  <c r="I207" i="2"/>
  <c r="C208" i="2"/>
  <c r="U208" i="2"/>
  <c r="O209" i="2"/>
  <c r="J210" i="2"/>
  <c r="D211" i="2"/>
  <c r="Q212" i="2"/>
  <c r="R30" i="2"/>
  <c r="G58" i="2"/>
  <c r="L74" i="2"/>
  <c r="N87" i="2"/>
  <c r="M91" i="2"/>
  <c r="T94" i="2"/>
  <c r="J98" i="2"/>
  <c r="R101" i="2"/>
  <c r="E105" i="2"/>
  <c r="M107" i="2"/>
  <c r="O109" i="2"/>
  <c r="T111" i="2"/>
  <c r="C116" i="2"/>
  <c r="D118" i="2"/>
  <c r="F120" i="2"/>
  <c r="K122" i="2"/>
  <c r="M124" i="2"/>
  <c r="R126" i="2"/>
  <c r="T128" i="2"/>
  <c r="U130" i="2"/>
  <c r="B133" i="2"/>
  <c r="D135" i="2"/>
  <c r="I137" i="2"/>
  <c r="K139" i="2"/>
  <c r="M141" i="2"/>
  <c r="Q143" i="2"/>
  <c r="S145" i="2"/>
  <c r="B150" i="2"/>
  <c r="D152" i="2"/>
  <c r="Q155" i="2"/>
  <c r="K157" i="2"/>
  <c r="G159" i="2"/>
  <c r="S162" i="2"/>
  <c r="O164" i="2"/>
  <c r="H166" i="2"/>
  <c r="B168" i="2"/>
  <c r="Q169" i="2"/>
  <c r="F171" i="2"/>
  <c r="R172" i="2"/>
  <c r="G174" i="2"/>
  <c r="S175" i="2"/>
  <c r="H177" i="2"/>
  <c r="S178" i="2"/>
  <c r="H180" i="2"/>
  <c r="U181" i="2"/>
  <c r="I183" i="2"/>
  <c r="I186" i="2"/>
  <c r="Q187" i="2"/>
  <c r="H190" i="2"/>
  <c r="P191" i="2"/>
  <c r="H194" i="2"/>
  <c r="P195" i="2"/>
  <c r="H198" i="2"/>
  <c r="O199" i="2"/>
  <c r="L200" i="2"/>
  <c r="J201" i="2"/>
  <c r="F202" i="2"/>
  <c r="C203" i="2"/>
  <c r="S205" i="2"/>
  <c r="O206" i="2"/>
  <c r="J207" i="2"/>
  <c r="D208" i="2"/>
  <c r="Q209" i="2"/>
  <c r="K210" i="2"/>
  <c r="E211" i="2"/>
  <c r="R212" i="2"/>
  <c r="L213" i="2"/>
  <c r="E214" i="2"/>
  <c r="R215" i="2"/>
  <c r="L216" i="2"/>
  <c r="F217" i="2"/>
  <c r="S218" i="2"/>
  <c r="M219" i="2"/>
  <c r="H220" i="2"/>
  <c r="B221" i="2"/>
  <c r="T221" i="2"/>
  <c r="N222" i="2"/>
  <c r="F223" i="2"/>
  <c r="N224" i="2"/>
  <c r="F225" i="2"/>
  <c r="M226" i="2"/>
  <c r="E227" i="2"/>
  <c r="U227" i="2"/>
  <c r="M228" i="2"/>
  <c r="E229" i="2"/>
  <c r="U229" i="2"/>
  <c r="M230" i="2"/>
  <c r="E231" i="2"/>
  <c r="U231" i="2"/>
  <c r="M232" i="2"/>
  <c r="E233" i="2"/>
  <c r="U233" i="2"/>
  <c r="M234" i="2"/>
  <c r="E235" i="2"/>
  <c r="U235" i="2"/>
  <c r="M236" i="2"/>
  <c r="E237" i="2"/>
  <c r="U237" i="2"/>
  <c r="L238" i="2"/>
  <c r="D239" i="2"/>
  <c r="T239" i="2"/>
  <c r="L240" i="2"/>
  <c r="D241" i="2"/>
  <c r="T241" i="2"/>
  <c r="L242" i="2"/>
  <c r="D243" i="2"/>
  <c r="T243" i="2"/>
  <c r="L244" i="2"/>
  <c r="D245" i="2"/>
  <c r="T245" i="2"/>
  <c r="L246" i="2"/>
  <c r="D247" i="2"/>
  <c r="T247" i="2"/>
  <c r="L248" i="2"/>
  <c r="D249" i="2"/>
  <c r="T249" i="2"/>
  <c r="B30" i="2"/>
  <c r="D56" i="2"/>
  <c r="Q70" i="2"/>
  <c r="R82" i="2"/>
  <c r="T93" i="2"/>
  <c r="I102" i="2"/>
  <c r="M109" i="2"/>
  <c r="K115" i="2"/>
  <c r="R120" i="2"/>
  <c r="M126" i="2"/>
  <c r="J132" i="2"/>
  <c r="R137" i="2"/>
  <c r="L143" i="2"/>
  <c r="J149" i="2"/>
  <c r="G154" i="2"/>
  <c r="C159" i="2"/>
  <c r="J168" i="2"/>
  <c r="P172" i="2"/>
  <c r="T176" i="2"/>
  <c r="O180" i="2"/>
  <c r="S184" i="2"/>
  <c r="O188" i="2"/>
  <c r="N195" i="2"/>
  <c r="F199" i="2"/>
  <c r="L201" i="2"/>
  <c r="I206" i="2"/>
  <c r="F208" i="2"/>
  <c r="I210" i="2"/>
  <c r="K212" i="2"/>
  <c r="C214" i="2"/>
  <c r="P215" i="2"/>
  <c r="D217" i="2"/>
  <c r="Q218" i="2"/>
  <c r="T219" i="2"/>
  <c r="T223" i="2"/>
  <c r="P224" i="2"/>
  <c r="N225" i="2"/>
  <c r="K226" i="2"/>
  <c r="G227" i="2"/>
  <c r="E228" i="2"/>
  <c r="C229" i="2"/>
  <c r="T230" i="2"/>
  <c r="M231" i="2"/>
  <c r="G232" i="2"/>
  <c r="C233" i="2"/>
  <c r="T233" i="2"/>
  <c r="O234" i="2"/>
  <c r="K235" i="2"/>
  <c r="D236" i="2"/>
  <c r="U236" i="2"/>
  <c r="O237" i="2"/>
  <c r="J238" i="2"/>
  <c r="C239" i="2"/>
  <c r="R240" i="2"/>
  <c r="K241" i="2"/>
  <c r="D242" i="2"/>
  <c r="R243" i="2"/>
  <c r="K244" i="2"/>
  <c r="C33" i="2"/>
  <c r="W57" i="2"/>
  <c r="Q83" i="2"/>
  <c r="R94" i="2"/>
  <c r="D104" i="2"/>
  <c r="C110" i="2"/>
  <c r="S121" i="2"/>
  <c r="C127" i="2"/>
  <c r="U132" i="2"/>
  <c r="S138" i="2"/>
  <c r="B144" i="2"/>
  <c r="V144" i="2" s="1"/>
  <c r="C155" i="2"/>
  <c r="O159" i="2"/>
  <c r="K164" i="2"/>
  <c r="F169" i="2"/>
  <c r="F177" i="2"/>
  <c r="I181" i="2"/>
  <c r="E185" i="2"/>
  <c r="N192" i="2"/>
  <c r="L199" i="2"/>
  <c r="C204" i="2"/>
  <c r="M206" i="2"/>
  <c r="O208" i="2"/>
  <c r="M210" i="2"/>
  <c r="O212" i="2"/>
  <c r="D214" i="2"/>
  <c r="Q215" i="2"/>
  <c r="E217" i="2"/>
  <c r="R218" i="2"/>
  <c r="C222" i="2"/>
  <c r="U223" i="2"/>
  <c r="T224" i="2"/>
  <c r="P225" i="2"/>
  <c r="L226" i="2"/>
  <c r="K227" i="2"/>
  <c r="G228" i="2"/>
  <c r="D229" i="2"/>
  <c r="C230" i="2"/>
  <c r="U230" i="2"/>
  <c r="O231" i="2"/>
  <c r="K232" i="2"/>
  <c r="D233" i="2"/>
  <c r="S234" i="2"/>
  <c r="L235" i="2"/>
  <c r="E236" i="2"/>
  <c r="S237" i="2"/>
  <c r="K238" i="2"/>
  <c r="F239" i="2"/>
  <c r="B240" i="2"/>
  <c r="S240" i="2"/>
  <c r="L241" i="2"/>
  <c r="F242" i="2"/>
  <c r="B243" i="2"/>
  <c r="V243" i="2" s="1"/>
  <c r="S243" i="2"/>
  <c r="N244" i="2"/>
  <c r="J245" i="2"/>
  <c r="C246" i="2"/>
  <c r="T246" i="2"/>
  <c r="N247" i="2"/>
  <c r="J248" i="2"/>
  <c r="C249" i="2"/>
  <c r="H44" i="2"/>
  <c r="K64" i="2"/>
  <c r="L77" i="2"/>
  <c r="K88" i="2"/>
  <c r="B98" i="2"/>
  <c r="U106" i="2"/>
  <c r="E112" i="2"/>
  <c r="B118" i="2"/>
  <c r="U123" i="2"/>
  <c r="E129" i="2"/>
  <c r="B135" i="2"/>
  <c r="U140" i="2"/>
  <c r="D146" i="2"/>
  <c r="B152" i="2"/>
  <c r="V152" i="2" s="1"/>
  <c r="I161" i="2"/>
  <c r="F166" i="2"/>
  <c r="R170" i="2"/>
  <c r="N174" i="2"/>
  <c r="Q178" i="2"/>
  <c r="O186" i="2"/>
  <c r="F190" i="2"/>
  <c r="F197" i="2"/>
  <c r="J200" i="2"/>
  <c r="S202" i="2"/>
  <c r="G207" i="2"/>
  <c r="J209" i="2"/>
  <c r="G211" i="2"/>
  <c r="J213" i="2"/>
  <c r="U214" i="2"/>
  <c r="J216" i="2"/>
  <c r="F219" i="2"/>
  <c r="J220" i="2"/>
  <c r="K221" i="2"/>
  <c r="L222" i="2"/>
  <c r="H223" i="2"/>
  <c r="F224" i="2"/>
  <c r="D225" i="2"/>
  <c r="U226" i="2"/>
  <c r="S227" i="2"/>
  <c r="O228" i="2"/>
  <c r="M229" i="2"/>
  <c r="K230" i="2"/>
  <c r="D231" i="2"/>
  <c r="S232" i="2"/>
  <c r="L233" i="2"/>
  <c r="E234" i="2"/>
  <c r="S235" i="2"/>
  <c r="L236" i="2"/>
  <c r="G237" i="2"/>
  <c r="B238" i="2"/>
  <c r="S238" i="2"/>
  <c r="L239" i="2"/>
  <c r="F240" i="2"/>
  <c r="B241" i="2"/>
  <c r="S241" i="2"/>
  <c r="N242" i="2"/>
  <c r="J243" i="2"/>
  <c r="C244" i="2"/>
  <c r="T244" i="2"/>
  <c r="N245" i="2"/>
  <c r="J246" i="2"/>
  <c r="C247" i="2"/>
  <c r="R248" i="2"/>
  <c r="K249" i="2"/>
  <c r="D50" i="2"/>
  <c r="H68" i="2"/>
  <c r="L79" i="2"/>
  <c r="K91" i="2"/>
  <c r="Q100" i="2"/>
  <c r="T113" i="2"/>
  <c r="N119" i="2"/>
  <c r="S130" i="2"/>
  <c r="Q136" i="2"/>
  <c r="S147" i="2"/>
  <c r="J153" i="2"/>
  <c r="S157" i="2"/>
  <c r="Q162" i="2"/>
  <c r="N167" i="2"/>
  <c r="L171" i="2"/>
  <c r="Q175" i="2"/>
  <c r="U179" i="2"/>
  <c r="P183" i="2"/>
  <c r="O187" i="2"/>
  <c r="F191" i="2"/>
  <c r="N194" i="2"/>
  <c r="F198" i="2"/>
  <c r="B201" i="2"/>
  <c r="F203" i="2"/>
  <c r="Q205" i="2"/>
  <c r="U207" i="2"/>
  <c r="S209" i="2"/>
  <c r="U211" i="2"/>
  <c r="N213" i="2"/>
  <c r="B215" i="2"/>
  <c r="V215" i="2" s="1"/>
  <c r="N216" i="2"/>
  <c r="C218" i="2"/>
  <c r="L219" i="2"/>
  <c r="Q220" i="2"/>
  <c r="R221" i="2"/>
  <c r="P222" i="2"/>
  <c r="N223" i="2"/>
  <c r="L224" i="2"/>
  <c r="H225" i="2"/>
  <c r="E226" i="2"/>
  <c r="C227" i="2"/>
  <c r="U228" i="2"/>
  <c r="S229" i="2"/>
  <c r="O230" i="2"/>
  <c r="K231" i="2"/>
  <c r="D232" i="2"/>
  <c r="U232" i="2"/>
  <c r="O233" i="2"/>
  <c r="K234" i="2"/>
  <c r="D235" i="2"/>
  <c r="S236" i="2"/>
  <c r="L237" i="2"/>
  <c r="D238" i="2"/>
  <c r="R239" i="2"/>
  <c r="K240" i="2"/>
  <c r="F241" i="2"/>
  <c r="B242" i="2"/>
  <c r="S242" i="2"/>
  <c r="L243" i="2"/>
  <c r="F244" i="2"/>
  <c r="B245" i="2"/>
  <c r="S245" i="2"/>
  <c r="N246" i="2"/>
  <c r="J247" i="2"/>
  <c r="C248" i="2"/>
  <c r="T248" i="2"/>
  <c r="N249" i="2"/>
  <c r="J74" i="2"/>
  <c r="Q95" i="2"/>
  <c r="D111" i="2"/>
  <c r="F122" i="2"/>
  <c r="K133" i="2"/>
  <c r="C145" i="2"/>
  <c r="O155" i="2"/>
  <c r="S173" i="2"/>
  <c r="R181" i="2"/>
  <c r="G189" i="2"/>
  <c r="N196" i="2"/>
  <c r="C202" i="2"/>
  <c r="R206" i="2"/>
  <c r="H214" i="2"/>
  <c r="I217" i="2"/>
  <c r="E220" i="2"/>
  <c r="E222" i="2"/>
  <c r="T225" i="2"/>
  <c r="M227" i="2"/>
  <c r="G229" i="2"/>
  <c r="L232" i="2"/>
  <c r="C234" i="2"/>
  <c r="M235" i="2"/>
  <c r="C237" i="2"/>
  <c r="N238" i="2"/>
  <c r="C240" i="2"/>
  <c r="N241" i="2"/>
  <c r="C243" i="2"/>
  <c r="R244" i="2"/>
  <c r="B247" i="2"/>
  <c r="F248" i="2"/>
  <c r="L249" i="2"/>
  <c r="R41" i="2"/>
  <c r="J75" i="2"/>
  <c r="I97" i="2"/>
  <c r="O111" i="2"/>
  <c r="T122" i="2"/>
  <c r="L134" i="2"/>
  <c r="Q145" i="2"/>
  <c r="S165" i="2"/>
  <c r="D174" i="2"/>
  <c r="C182" i="2"/>
  <c r="I202" i="2"/>
  <c r="C207" i="2"/>
  <c r="C211" i="2"/>
  <c r="Q214" i="2"/>
  <c r="R217" i="2"/>
  <c r="F220" i="2"/>
  <c r="H222" i="2"/>
  <c r="D224" i="2"/>
  <c r="U225" i="2"/>
  <c r="O227" i="2"/>
  <c r="K229" i="2"/>
  <c r="C231" i="2"/>
  <c r="O232" i="2"/>
  <c r="D234" i="2"/>
  <c r="O235" i="2"/>
  <c r="D237" i="2"/>
  <c r="R238" i="2"/>
  <c r="D240" i="2"/>
  <c r="R241" i="2"/>
  <c r="F243" i="2"/>
  <c r="S244" i="2"/>
  <c r="B246" i="2"/>
  <c r="F247" i="2"/>
  <c r="K248" i="2"/>
  <c r="R249" i="2"/>
  <c r="L59" i="2"/>
  <c r="E86" i="2"/>
  <c r="U104" i="2"/>
  <c r="L116" i="2"/>
  <c r="D128" i="2"/>
  <c r="I139" i="2"/>
  <c r="K150" i="2"/>
  <c r="K160" i="2"/>
  <c r="O169" i="2"/>
  <c r="O177" i="2"/>
  <c r="R199" i="2"/>
  <c r="N204" i="2"/>
  <c r="T208" i="2"/>
  <c r="T212" i="2"/>
  <c r="T215" i="2"/>
  <c r="U218" i="2"/>
  <c r="D221" i="2"/>
  <c r="D223" i="2"/>
  <c r="O226" i="2"/>
  <c r="K228" i="2"/>
  <c r="E230" i="2"/>
  <c r="S231" i="2"/>
  <c r="G233" i="2"/>
  <c r="T234" i="2"/>
  <c r="G236" i="2"/>
  <c r="T237" i="2"/>
  <c r="J239" i="2"/>
  <c r="T240" i="2"/>
  <c r="J242" i="2"/>
  <c r="F245" i="2"/>
  <c r="K246" i="2"/>
  <c r="R247" i="2"/>
  <c r="L90" i="2"/>
  <c r="K107" i="2"/>
  <c r="M118" i="2"/>
  <c r="E130" i="2"/>
  <c r="K141" i="2"/>
  <c r="L152" i="2"/>
  <c r="G162" i="2"/>
  <c r="C171" i="2"/>
  <c r="B179" i="2"/>
  <c r="G187" i="2"/>
  <c r="F194" i="2"/>
  <c r="O200" i="2"/>
  <c r="K205" i="2"/>
  <c r="N209" i="2"/>
  <c r="K213" i="2"/>
  <c r="K216" i="2"/>
  <c r="K219" i="2"/>
  <c r="M221" i="2"/>
  <c r="L223" i="2"/>
  <c r="E225" i="2"/>
  <c r="S228" i="2"/>
  <c r="L230" i="2"/>
  <c r="C232" i="2"/>
  <c r="M233" i="2"/>
  <c r="C235" i="2"/>
  <c r="O236" i="2"/>
  <c r="C238" i="2"/>
  <c r="N239" i="2"/>
  <c r="C241" i="2"/>
  <c r="R242" i="2"/>
  <c r="D244" i="2"/>
  <c r="L245" i="2"/>
  <c r="S246" i="2"/>
  <c r="B248" i="2"/>
  <c r="F249" i="2"/>
  <c r="I48" i="2"/>
  <c r="K124" i="2"/>
  <c r="H147" i="2"/>
  <c r="P166" i="2"/>
  <c r="G183" i="2"/>
  <c r="L207" i="2"/>
  <c r="N220" i="2"/>
  <c r="H224" i="2"/>
  <c r="T227" i="2"/>
  <c r="G231" i="2"/>
  <c r="G234" i="2"/>
  <c r="K237" i="2"/>
  <c r="J240" i="2"/>
  <c r="K243" i="2"/>
  <c r="D246" i="2"/>
  <c r="N248" i="2"/>
  <c r="K52" i="2"/>
  <c r="M101" i="2"/>
  <c r="B126" i="2"/>
  <c r="V126" i="2" s="1"/>
  <c r="I148" i="2"/>
  <c r="J184" i="2"/>
  <c r="N198" i="2"/>
  <c r="B208" i="2"/>
  <c r="K215" i="2"/>
  <c r="S220" i="2"/>
  <c r="M224" i="2"/>
  <c r="C228" i="2"/>
  <c r="L231" i="2"/>
  <c r="L234" i="2"/>
  <c r="M237" i="2"/>
  <c r="N240" i="2"/>
  <c r="N243" i="2"/>
  <c r="F246" i="2"/>
  <c r="S248" i="2"/>
  <c r="L78" i="2"/>
  <c r="F113" i="2"/>
  <c r="M135" i="2"/>
  <c r="I157" i="2"/>
  <c r="H175" i="2"/>
  <c r="N190" i="2"/>
  <c r="Q211" i="2"/>
  <c r="M222" i="2"/>
  <c r="C226" i="2"/>
  <c r="O229" i="2"/>
  <c r="T232" i="2"/>
  <c r="T235" i="2"/>
  <c r="T238" i="2"/>
  <c r="K247" i="2"/>
  <c r="S249" i="2"/>
  <c r="D87" i="2"/>
  <c r="M117" i="2"/>
  <c r="T139" i="2"/>
  <c r="H178" i="2"/>
  <c r="F193" i="2"/>
  <c r="S204" i="2"/>
  <c r="E213" i="2"/>
  <c r="B219" i="2"/>
  <c r="E223" i="2"/>
  <c r="S226" i="2"/>
  <c r="G230" i="2"/>
  <c r="K233" i="2"/>
  <c r="K236" i="2"/>
  <c r="K239" i="2"/>
  <c r="K242" i="2"/>
  <c r="K245" i="2"/>
  <c r="S247" i="2"/>
  <c r="G63" i="2"/>
  <c r="R128" i="2"/>
  <c r="D200" i="2"/>
  <c r="E216" i="2"/>
  <c r="T231" i="2"/>
  <c r="B244" i="2"/>
  <c r="B249" i="2"/>
  <c r="R69" i="2"/>
  <c r="I131" i="2"/>
  <c r="G172" i="2"/>
  <c r="G201" i="2"/>
  <c r="L225" i="2"/>
  <c r="E232" i="2"/>
  <c r="F238" i="2"/>
  <c r="J244" i="2"/>
  <c r="J249" i="2"/>
  <c r="N81" i="2"/>
  <c r="D137" i="2"/>
  <c r="B176" i="2"/>
  <c r="V176" i="2" s="1"/>
  <c r="Q203" i="2"/>
  <c r="L218" i="2"/>
  <c r="G226" i="2"/>
  <c r="B239" i="2"/>
  <c r="C245" i="2"/>
  <c r="T105" i="2"/>
  <c r="L151" i="2"/>
  <c r="G186" i="2"/>
  <c r="I221" i="2"/>
  <c r="L228" i="2"/>
  <c r="U234" i="2"/>
  <c r="R246" i="2"/>
  <c r="G114" i="2"/>
  <c r="Q158" i="2"/>
  <c r="N191" i="2"/>
  <c r="B212" i="2"/>
  <c r="V212" i="2" s="1"/>
  <c r="T222" i="2"/>
  <c r="T229" i="2"/>
  <c r="C236" i="2"/>
  <c r="C242" i="2"/>
  <c r="L247" i="2"/>
  <c r="C163" i="2"/>
  <c r="S221" i="2"/>
  <c r="S239" i="2"/>
  <c r="F180" i="2"/>
  <c r="P223" i="2"/>
  <c r="J241" i="2"/>
  <c r="D92" i="2"/>
  <c r="D210" i="2"/>
  <c r="T236" i="2"/>
  <c r="T242" i="2"/>
  <c r="D120" i="2"/>
  <c r="P219" i="2"/>
  <c r="R245" i="2"/>
  <c r="S230" i="2"/>
  <c r="T153" i="2"/>
  <c r="D248" i="2"/>
  <c r="S233" i="2"/>
  <c r="F195" i="2"/>
  <c r="D227" i="2"/>
  <c r="G235" i="2"/>
  <c r="Q24" i="2"/>
  <c r="AC106" i="1"/>
  <c r="AC109" i="19"/>
  <c r="AJ35" i="1"/>
  <c r="E35" i="1" s="1"/>
  <c r="E37" i="19"/>
  <c r="AJ38" i="19"/>
  <c r="P62" i="37"/>
  <c r="S3" i="37"/>
  <c r="R106" i="37"/>
  <c r="I118" i="37"/>
  <c r="AQ110" i="37"/>
  <c r="I123" i="37"/>
  <c r="L129" i="37"/>
  <c r="K42" i="6"/>
  <c r="J14" i="4"/>
  <c r="AE228" i="1"/>
  <c r="AE231" i="19"/>
  <c r="AG119" i="1"/>
  <c r="AG122" i="19"/>
  <c r="AG228" i="1"/>
  <c r="AG231" i="19"/>
  <c r="AD13" i="1"/>
  <c r="AD16" i="19"/>
  <c r="L122" i="37"/>
  <c r="P21" i="37"/>
  <c r="R11" i="37"/>
  <c r="L110" i="23"/>
  <c r="E110" i="23"/>
  <c r="E114" i="23" s="1"/>
  <c r="E39" i="4" s="1"/>
  <c r="AD144" i="1"/>
  <c r="AD147" i="19"/>
  <c r="AG215" i="1"/>
  <c r="AG218" i="19"/>
  <c r="AG11" i="1"/>
  <c r="AG14" i="19"/>
  <c r="E59" i="1"/>
  <c r="AG191" i="1"/>
  <c r="AG194" i="19"/>
  <c r="R159" i="12"/>
  <c r="AJ179" i="19"/>
  <c r="AD227" i="1"/>
  <c r="AD230" i="19"/>
  <c r="AD155" i="1"/>
  <c r="AD158" i="19"/>
  <c r="AJ117" i="1"/>
  <c r="E117" i="1" s="1"/>
  <c r="E119" i="19"/>
  <c r="AJ120" i="19"/>
  <c r="P30" i="37"/>
  <c r="O95" i="37"/>
  <c r="AD204" i="1"/>
  <c r="AD207" i="19"/>
  <c r="S198" i="12"/>
  <c r="AK191" i="19"/>
  <c r="AD168" i="1"/>
  <c r="AD171" i="19"/>
  <c r="AE97" i="1"/>
  <c r="AE100" i="19"/>
  <c r="T81" i="23"/>
  <c r="AE167" i="1"/>
  <c r="AE170" i="19"/>
  <c r="E43" i="6"/>
  <c r="F10" i="6"/>
  <c r="E28" i="23"/>
  <c r="E29" i="23"/>
  <c r="E30" i="23"/>
  <c r="AG167" i="1"/>
  <c r="AG170" i="19"/>
  <c r="C43" i="23"/>
  <c r="AD73" i="1"/>
  <c r="AD76" i="19"/>
  <c r="AC75" i="37"/>
  <c r="AC96" i="37" s="1"/>
  <c r="AC125" i="37" s="1"/>
  <c r="U10" i="23" s="1"/>
  <c r="AG111" i="19"/>
  <c r="AG108" i="1"/>
  <c r="AJ153" i="1"/>
  <c r="E153" i="1" s="1"/>
  <c r="E155" i="19"/>
  <c r="AJ156" i="19"/>
  <c r="AK46" i="1"/>
  <c r="F46" i="1" s="1"/>
  <c r="AK49" i="19"/>
  <c r="F48" i="19"/>
  <c r="O27" i="37"/>
  <c r="AK24" i="1"/>
  <c r="F24" i="1" s="1"/>
  <c r="F26" i="19"/>
  <c r="AK27" i="19"/>
  <c r="AK119" i="1"/>
  <c r="F119" i="1" s="1"/>
  <c r="F121" i="19"/>
  <c r="AK122" i="19"/>
  <c r="E15" i="23"/>
  <c r="E13" i="23"/>
  <c r="E12" i="23"/>
  <c r="E14" i="23"/>
  <c r="M128" i="37"/>
  <c r="AJ23" i="1"/>
  <c r="E23" i="1" s="1"/>
  <c r="AJ26" i="19"/>
  <c r="E25" i="19"/>
  <c r="S9" i="37"/>
  <c r="T9" i="37" s="1"/>
  <c r="AK34" i="1"/>
  <c r="F34" i="1" s="1"/>
  <c r="F36" i="19"/>
  <c r="AK37" i="19"/>
  <c r="AC58" i="1"/>
  <c r="AC61" i="19"/>
  <c r="AQ59" i="37"/>
  <c r="AG85" i="19"/>
  <c r="AG82" i="1"/>
  <c r="L81" i="23"/>
  <c r="AG204" i="1"/>
  <c r="AG207" i="19"/>
  <c r="F118" i="1"/>
  <c r="Z14" i="2"/>
  <c r="A15" i="2"/>
  <c r="AA14" i="2"/>
  <c r="N116" i="37"/>
  <c r="M129" i="37"/>
  <c r="P108" i="11"/>
  <c r="P18" i="4" s="1"/>
  <c r="P21" i="4" s="1"/>
  <c r="P37" i="4" s="1"/>
  <c r="AK143" i="1"/>
  <c r="AK146" i="19"/>
  <c r="F145" i="19"/>
  <c r="AE107" i="1"/>
  <c r="AE110" i="19"/>
  <c r="AK106" i="1"/>
  <c r="F106" i="1" s="1"/>
  <c r="F108" i="19"/>
  <c r="AK109" i="19"/>
  <c r="AD195" i="19"/>
  <c r="AD192" i="1"/>
  <c r="AK96" i="1"/>
  <c r="F96" i="1" s="1"/>
  <c r="AK99" i="19"/>
  <c r="F98" i="19"/>
  <c r="Q98" i="37"/>
  <c r="R36" i="37"/>
  <c r="AI60" i="37"/>
  <c r="S110" i="23"/>
  <c r="AC226" i="1"/>
  <c r="AC229" i="19"/>
  <c r="O19" i="37"/>
  <c r="N125" i="37"/>
  <c r="F10" i="23" s="1"/>
  <c r="AG135" i="19"/>
  <c r="AG132" i="1"/>
  <c r="AC142" i="1"/>
  <c r="AC145" i="19"/>
  <c r="AN79" i="37"/>
  <c r="AQ9" i="37"/>
  <c r="M93" i="37"/>
  <c r="AC46" i="1"/>
  <c r="AC49" i="19"/>
  <c r="N110" i="23"/>
  <c r="O66" i="37"/>
  <c r="AG180" i="1"/>
  <c r="AG183" i="19"/>
  <c r="AG181" i="1" l="1"/>
  <c r="AG184" i="19"/>
  <c r="AG168" i="1"/>
  <c r="AG171" i="19"/>
  <c r="V241" i="2"/>
  <c r="V232" i="2"/>
  <c r="V52" i="2"/>
  <c r="X52" i="2" s="1"/>
  <c r="R23" i="37"/>
  <c r="V125" i="3"/>
  <c r="O92" i="37"/>
  <c r="M122" i="37"/>
  <c r="M102" i="37"/>
  <c r="AC146" i="19"/>
  <c r="AC143" i="1"/>
  <c r="AJ177" i="1"/>
  <c r="E177" i="1" s="1"/>
  <c r="E179" i="19"/>
  <c r="AJ180" i="19"/>
  <c r="AD14" i="1"/>
  <c r="AD17" i="19"/>
  <c r="V172" i="2"/>
  <c r="V237" i="2"/>
  <c r="V229" i="2"/>
  <c r="V198" i="2"/>
  <c r="V139" i="2"/>
  <c r="V225" i="2"/>
  <c r="V119" i="2"/>
  <c r="V166" i="2"/>
  <c r="V76" i="2"/>
  <c r="X76" i="2" s="1"/>
  <c r="V117" i="2"/>
  <c r="AK167" i="1"/>
  <c r="F167" i="1" s="1"/>
  <c r="AK170" i="19"/>
  <c r="F169" i="19"/>
  <c r="S40" i="37"/>
  <c r="R100" i="37"/>
  <c r="V177" i="3"/>
  <c r="V241" i="3"/>
  <c r="V157" i="3"/>
  <c r="V148" i="3"/>
  <c r="V212" i="3"/>
  <c r="V54" i="3"/>
  <c r="V56" i="3"/>
  <c r="V15" i="3"/>
  <c r="V13" i="3"/>
  <c r="V20" i="3"/>
  <c r="AE120" i="1"/>
  <c r="AE123" i="19"/>
  <c r="F12" i="23"/>
  <c r="F14" i="23"/>
  <c r="F15" i="23"/>
  <c r="F13" i="23"/>
  <c r="Q7" i="37"/>
  <c r="AJ107" i="1"/>
  <c r="E107" i="1" s="1"/>
  <c r="E109" i="19"/>
  <c r="AJ110" i="19"/>
  <c r="AK97" i="1"/>
  <c r="F97" i="1" s="1"/>
  <c r="AK100" i="19"/>
  <c r="F99" i="19"/>
  <c r="AK144" i="1"/>
  <c r="AK147" i="19"/>
  <c r="F146" i="19"/>
  <c r="AG205" i="1"/>
  <c r="AG208" i="19"/>
  <c r="AK120" i="1"/>
  <c r="F120" i="1" s="1"/>
  <c r="AK123" i="19"/>
  <c r="F122" i="19"/>
  <c r="AK189" i="1"/>
  <c r="F189" i="1" s="1"/>
  <c r="F191" i="19"/>
  <c r="AK192" i="19"/>
  <c r="AJ118" i="1"/>
  <c r="E118" i="1" s="1"/>
  <c r="AJ121" i="19"/>
  <c r="E120" i="19"/>
  <c r="AG12" i="1"/>
  <c r="AG15" i="19"/>
  <c r="AG216" i="1"/>
  <c r="AG219" i="19"/>
  <c r="AG120" i="1"/>
  <c r="AG123" i="19"/>
  <c r="AJ36" i="1"/>
  <c r="E36" i="1" s="1"/>
  <c r="E38" i="19"/>
  <c r="AJ39" i="19"/>
  <c r="V208" i="2"/>
  <c r="V248" i="2"/>
  <c r="V118" i="2"/>
  <c r="V221" i="2"/>
  <c r="V200" i="2"/>
  <c r="V216" i="2"/>
  <c r="V184" i="2"/>
  <c r="V72" i="2"/>
  <c r="X72" i="2" s="1"/>
  <c r="V204" i="2"/>
  <c r="V230" i="2"/>
  <c r="V222" i="2"/>
  <c r="V220" i="2"/>
  <c r="V173" i="2"/>
  <c r="V99" i="2"/>
  <c r="V84" i="2"/>
  <c r="V66" i="2"/>
  <c r="X66" i="2" s="1"/>
  <c r="V140" i="2"/>
  <c r="V74" i="2"/>
  <c r="X74" i="2" s="1"/>
  <c r="V110" i="2"/>
  <c r="V95" i="2"/>
  <c r="V88" i="2"/>
  <c r="V60" i="2"/>
  <c r="X60" i="2" s="1"/>
  <c r="V47" i="2"/>
  <c r="X47" i="2" s="1"/>
  <c r="V50" i="2"/>
  <c r="X50" i="2" s="1"/>
  <c r="V26" i="2"/>
  <c r="X26" i="2" s="1"/>
  <c r="V69" i="2"/>
  <c r="X69" i="2" s="1"/>
  <c r="V32" i="2"/>
  <c r="X32" i="2" s="1"/>
  <c r="V56" i="2"/>
  <c r="X56" i="2" s="1"/>
  <c r="V35" i="2"/>
  <c r="X35" i="2" s="1"/>
  <c r="S58" i="37"/>
  <c r="R62" i="37"/>
  <c r="V39" i="3"/>
  <c r="V113" i="3"/>
  <c r="V162" i="3"/>
  <c r="V146" i="3"/>
  <c r="V121" i="3"/>
  <c r="V85" i="3"/>
  <c r="V171" i="3"/>
  <c r="V152" i="3"/>
  <c r="V64" i="3"/>
  <c r="V86" i="3"/>
  <c r="Q67" i="37"/>
  <c r="AJ83" i="1"/>
  <c r="E83" i="1" s="1"/>
  <c r="AJ86" i="19"/>
  <c r="E85" i="19"/>
  <c r="AD121" i="1"/>
  <c r="AD124" i="19"/>
  <c r="P66" i="37"/>
  <c r="AC47" i="1"/>
  <c r="AC50" i="19"/>
  <c r="AJ60" i="37"/>
  <c r="F143" i="1"/>
  <c r="AG109" i="1"/>
  <c r="AG112" i="19"/>
  <c r="AE168" i="1"/>
  <c r="AE171" i="19"/>
  <c r="T198" i="12"/>
  <c r="AK203" i="19"/>
  <c r="AD228" i="1"/>
  <c r="AD231" i="19"/>
  <c r="V179" i="2"/>
  <c r="V201" i="2"/>
  <c r="V199" i="2"/>
  <c r="V148" i="2"/>
  <c r="V235" i="2"/>
  <c r="V227" i="2"/>
  <c r="V211" i="2"/>
  <c r="V194" i="2"/>
  <c r="V183" i="2"/>
  <c r="V223" i="2"/>
  <c r="V170" i="2"/>
  <c r="V209" i="2"/>
  <c r="V205" i="2"/>
  <c r="V164" i="2"/>
  <c r="V156" i="2"/>
  <c r="V165" i="2"/>
  <c r="V161" i="2"/>
  <c r="V157" i="2"/>
  <c r="V149" i="2"/>
  <c r="V17" i="2"/>
  <c r="X17" i="2" s="1"/>
  <c r="V138" i="2"/>
  <c r="V129" i="2"/>
  <c r="V91" i="2"/>
  <c r="V115" i="2"/>
  <c r="V107" i="2"/>
  <c r="V97" i="2"/>
  <c r="V25" i="2"/>
  <c r="X25" i="2" s="1"/>
  <c r="V61" i="2"/>
  <c r="X61" i="2" s="1"/>
  <c r="V19" i="2"/>
  <c r="X19" i="2" s="1"/>
  <c r="V11" i="2"/>
  <c r="X11" i="2" s="1"/>
  <c r="Z11" i="3" s="1"/>
  <c r="V37" i="2"/>
  <c r="X37" i="2" s="1"/>
  <c r="V27" i="2"/>
  <c r="X27" i="2" s="1"/>
  <c r="V22" i="2"/>
  <c r="X22" i="2" s="1"/>
  <c r="V38" i="2"/>
  <c r="X38" i="2" s="1"/>
  <c r="V20" i="2"/>
  <c r="X20" i="2" s="1"/>
  <c r="AJ166" i="1"/>
  <c r="E166" i="1" s="1"/>
  <c r="E168" i="19"/>
  <c r="AJ169" i="19"/>
  <c r="AG36" i="1"/>
  <c r="AG39" i="19"/>
  <c r="V140" i="3"/>
  <c r="V80" i="3"/>
  <c r="V211" i="3"/>
  <c r="V143" i="3"/>
  <c r="V249" i="3"/>
  <c r="V198" i="3"/>
  <c r="V179" i="3"/>
  <c r="V172" i="3"/>
  <c r="V159" i="3"/>
  <c r="V237" i="3"/>
  <c r="V242" i="3"/>
  <c r="V199" i="3"/>
  <c r="V180" i="3"/>
  <c r="V14" i="3"/>
  <c r="V224" i="3"/>
  <c r="V208" i="3"/>
  <c r="V210" i="3"/>
  <c r="V203" i="3"/>
  <c r="Y189" i="3"/>
  <c r="V178" i="3"/>
  <c r="V164" i="3"/>
  <c r="V201" i="3"/>
  <c r="V105" i="3"/>
  <c r="V75" i="3"/>
  <c r="V181" i="3"/>
  <c r="V106" i="3"/>
  <c r="Y117" i="3"/>
  <c r="V58" i="3"/>
  <c r="V23" i="3"/>
  <c r="V19" i="3"/>
  <c r="V17" i="3"/>
  <c r="AE204" i="1"/>
  <c r="AE207" i="19"/>
  <c r="G12" i="19"/>
  <c r="AG60" i="1"/>
  <c r="AG63" i="19"/>
  <c r="N127" i="37"/>
  <c r="F16" i="23" s="1"/>
  <c r="O114" i="37"/>
  <c r="AC36" i="1"/>
  <c r="AC39" i="19"/>
  <c r="V214" i="2"/>
  <c r="V83" i="2"/>
  <c r="V112" i="2"/>
  <c r="V96" i="2"/>
  <c r="V81" i="2"/>
  <c r="X81" i="2" s="1"/>
  <c r="V18" i="2"/>
  <c r="X18" i="2" s="1"/>
  <c r="V215" i="3"/>
  <c r="V248" i="3"/>
  <c r="V167" i="3"/>
  <c r="V135" i="3"/>
  <c r="V73" i="3"/>
  <c r="AG158" i="1"/>
  <c r="AG161" i="19"/>
  <c r="T73" i="37"/>
  <c r="AD193" i="1"/>
  <c r="AD196" i="19"/>
  <c r="E41" i="23"/>
  <c r="E36" i="23"/>
  <c r="E40" i="23"/>
  <c r="E37" i="23"/>
  <c r="E38" i="23"/>
  <c r="E39" i="23"/>
  <c r="V98" i="2"/>
  <c r="V100" i="2"/>
  <c r="V55" i="2"/>
  <c r="X55" i="2" s="1"/>
  <c r="V142" i="2"/>
  <c r="V94" i="2"/>
  <c r="V59" i="2"/>
  <c r="X59" i="2" s="1"/>
  <c r="V163" i="3"/>
  <c r="V219" i="3"/>
  <c r="V221" i="3"/>
  <c r="V234" i="3"/>
  <c r="V69" i="3"/>
  <c r="V38" i="3"/>
  <c r="AJ11" i="1"/>
  <c r="E11" i="1" s="1"/>
  <c r="AD12" i="3" s="1"/>
  <c r="AJ14" i="19"/>
  <c r="E13" i="19"/>
  <c r="AE62" i="1"/>
  <c r="AE65" i="19"/>
  <c r="AC240" i="1"/>
  <c r="AC243" i="19"/>
  <c r="S36" i="37"/>
  <c r="R98" i="37"/>
  <c r="O116" i="37"/>
  <c r="N129" i="37"/>
  <c r="AG83" i="1"/>
  <c r="AG86" i="19"/>
  <c r="AE98" i="1"/>
  <c r="AE101" i="19"/>
  <c r="V213" i="2"/>
  <c r="V234" i="2"/>
  <c r="V192" i="2"/>
  <c r="V80" i="2"/>
  <c r="X80" i="2" s="1"/>
  <c r="V174" i="2"/>
  <c r="V120" i="2"/>
  <c r="V162" i="2"/>
  <c r="V158" i="2"/>
  <c r="V114" i="2"/>
  <c r="V104" i="2"/>
  <c r="V79" i="2"/>
  <c r="X79" i="2" s="1"/>
  <c r="V82" i="2"/>
  <c r="V77" i="2"/>
  <c r="X77" i="2" s="1"/>
  <c r="V48" i="2"/>
  <c r="X48" i="2" s="1"/>
  <c r="V40" i="2"/>
  <c r="X40" i="2" s="1"/>
  <c r="AD109" i="1"/>
  <c r="AD112" i="19"/>
  <c r="V74" i="3"/>
  <c r="V147" i="3"/>
  <c r="V128" i="3"/>
  <c r="V116" i="3"/>
  <c r="V72" i="3"/>
  <c r="V53" i="3"/>
  <c r="V137" i="3"/>
  <c r="V41" i="3"/>
  <c r="V29" i="3"/>
  <c r="AJ48" i="1"/>
  <c r="E48" i="1" s="1"/>
  <c r="AJ51" i="19"/>
  <c r="E50" i="19"/>
  <c r="AE12" i="1"/>
  <c r="AE15" i="19"/>
  <c r="AJ61" i="1"/>
  <c r="AJ64" i="19"/>
  <c r="P19" i="37"/>
  <c r="Z15" i="2"/>
  <c r="AA15" i="2"/>
  <c r="A16" i="2"/>
  <c r="AJ154" i="1"/>
  <c r="E154" i="1" s="1"/>
  <c r="AJ157" i="19"/>
  <c r="E156" i="19"/>
  <c r="AD156" i="1"/>
  <c r="AD159" i="19"/>
  <c r="AG192" i="1"/>
  <c r="AG195" i="19"/>
  <c r="AC107" i="1"/>
  <c r="AC110" i="19"/>
  <c r="V246" i="2"/>
  <c r="V135" i="2"/>
  <c r="V203" i="2"/>
  <c r="V134" i="2"/>
  <c r="V191" i="2"/>
  <c r="V102" i="2"/>
  <c r="V231" i="2"/>
  <c r="V125" i="2"/>
  <c r="V186" i="2"/>
  <c r="V175" i="2"/>
  <c r="V123" i="2"/>
  <c r="V163" i="2"/>
  <c r="V159" i="2"/>
  <c r="V155" i="2"/>
  <c r="V136" i="2"/>
  <c r="V127" i="2"/>
  <c r="V185" i="2"/>
  <c r="V111" i="2"/>
  <c r="V62" i="2"/>
  <c r="X62" i="2" s="1"/>
  <c r="V73" i="2"/>
  <c r="X73" i="2" s="1"/>
  <c r="V67" i="2"/>
  <c r="X67" i="2" s="1"/>
  <c r="V63" i="2"/>
  <c r="X63" i="2" s="1"/>
  <c r="V70" i="2"/>
  <c r="X70" i="2" s="1"/>
  <c r="V49" i="2"/>
  <c r="X49" i="2" s="1"/>
  <c r="V36" i="2"/>
  <c r="X36" i="2" s="1"/>
  <c r="V23" i="2"/>
  <c r="X23" i="2" s="1"/>
  <c r="V12" i="2"/>
  <c r="X12" i="2" s="1"/>
  <c r="Z12" i="3" s="1"/>
  <c r="AO79" i="37"/>
  <c r="AO99" i="37" s="1"/>
  <c r="AO128" i="37" s="1"/>
  <c r="AG27" i="23" s="1"/>
  <c r="AJ130" i="1"/>
  <c r="E130" i="1" s="1"/>
  <c r="E132" i="19"/>
  <c r="AJ133" i="19"/>
  <c r="AG71" i="1"/>
  <c r="AG74" i="19"/>
  <c r="I131" i="37"/>
  <c r="I132" i="37" s="1"/>
  <c r="V161" i="3"/>
  <c r="V55" i="3"/>
  <c r="V183" i="3"/>
  <c r="V209" i="3"/>
  <c r="V207" i="3"/>
  <c r="V239" i="3"/>
  <c r="V220" i="3"/>
  <c r="V229" i="3"/>
  <c r="V226" i="3"/>
  <c r="Y237" i="3"/>
  <c r="V191" i="3"/>
  <c r="V173" i="3"/>
  <c r="V98" i="3"/>
  <c r="V217" i="3"/>
  <c r="V156" i="3"/>
  <c r="V227" i="3"/>
  <c r="V134" i="3"/>
  <c r="V193" i="3"/>
  <c r="V151" i="3"/>
  <c r="V189" i="3"/>
  <c r="V65" i="3"/>
  <c r="V79" i="3"/>
  <c r="V68" i="3"/>
  <c r="V47" i="3"/>
  <c r="V10" i="3"/>
  <c r="V114" i="3"/>
  <c r="V66" i="3"/>
  <c r="V11" i="3"/>
  <c r="AD51" i="1"/>
  <c r="AD54" i="19"/>
  <c r="AJ95" i="1"/>
  <c r="E95" i="1" s="1"/>
  <c r="AJ98" i="19"/>
  <c r="E97" i="19"/>
  <c r="N93" i="37"/>
  <c r="N122" i="37" s="1"/>
  <c r="C49" i="22"/>
  <c r="D52" i="22"/>
  <c r="P8" i="37"/>
  <c r="AK35" i="1"/>
  <c r="F35" i="1" s="1"/>
  <c r="F37" i="19"/>
  <c r="AK38" i="19"/>
  <c r="D17" i="23"/>
  <c r="D31" i="23"/>
  <c r="D20" i="23"/>
  <c r="D19" i="23"/>
  <c r="D18" i="23"/>
  <c r="L131" i="37"/>
  <c r="V160" i="2"/>
  <c r="V207" i="2"/>
  <c r="V31" i="2"/>
  <c r="X31" i="2" s="1"/>
  <c r="V245" i="3"/>
  <c r="V144" i="3"/>
  <c r="V192" i="3"/>
  <c r="V132" i="3"/>
  <c r="V149" i="3"/>
  <c r="AE108" i="1"/>
  <c r="AE111" i="19"/>
  <c r="AK25" i="1"/>
  <c r="F25" i="1" s="1"/>
  <c r="F27" i="19"/>
  <c r="AK28" i="19"/>
  <c r="AK47" i="1"/>
  <c r="F47" i="1" s="1"/>
  <c r="F49" i="19"/>
  <c r="AK50" i="19"/>
  <c r="AD145" i="1"/>
  <c r="AD148" i="19"/>
  <c r="AE229" i="1"/>
  <c r="AE232" i="19"/>
  <c r="V245" i="2"/>
  <c r="V124" i="2"/>
  <c r="V109" i="2"/>
  <c r="V235" i="3"/>
  <c r="V247" i="3"/>
  <c r="V119" i="3"/>
  <c r="V233" i="3"/>
  <c r="V186" i="3"/>
  <c r="V138" i="3"/>
  <c r="V238" i="3"/>
  <c r="Y249" i="3"/>
  <c r="Y129" i="3"/>
  <c r="V118" i="3"/>
  <c r="V124" i="3"/>
  <c r="V197" i="3"/>
  <c r="S159" i="12"/>
  <c r="AJ191" i="19"/>
  <c r="V202" i="2"/>
  <c r="V141" i="2"/>
  <c r="V86" i="2"/>
  <c r="AJ71" i="1"/>
  <c r="E71" i="1" s="1"/>
  <c r="E73" i="19"/>
  <c r="AJ74" i="19"/>
  <c r="V51" i="3"/>
  <c r="V145" i="3"/>
  <c r="V90" i="3"/>
  <c r="V43" i="3"/>
  <c r="V46" i="3"/>
  <c r="AC96" i="1"/>
  <c r="AC99" i="19"/>
  <c r="AE181" i="1"/>
  <c r="AE184" i="19"/>
  <c r="AB96" i="37"/>
  <c r="AB125" i="37" s="1"/>
  <c r="T10" i="23" s="1"/>
  <c r="AC227" i="1"/>
  <c r="AC230" i="19"/>
  <c r="AD74" i="1"/>
  <c r="AD77" i="19"/>
  <c r="AD169" i="1"/>
  <c r="AD172" i="19"/>
  <c r="O124" i="37"/>
  <c r="AG229" i="1"/>
  <c r="AG232" i="19"/>
  <c r="V249" i="2"/>
  <c r="V219" i="2"/>
  <c r="V30" i="2"/>
  <c r="X30" i="2" s="1"/>
  <c r="V133" i="2"/>
  <c r="V210" i="2"/>
  <c r="V153" i="2"/>
  <c r="V151" i="2"/>
  <c r="V236" i="2"/>
  <c r="V228" i="2"/>
  <c r="V196" i="2"/>
  <c r="V224" i="2"/>
  <c r="V143" i="2"/>
  <c r="V178" i="2"/>
  <c r="V132" i="2"/>
  <c r="V51" i="2"/>
  <c r="X51" i="2" s="1"/>
  <c r="V171" i="2"/>
  <c r="V145" i="2"/>
  <c r="V93" i="2"/>
  <c r="V137" i="2"/>
  <c r="V128" i="2"/>
  <c r="V87" i="2"/>
  <c r="V177" i="2"/>
  <c r="V116" i="2"/>
  <c r="V108" i="2"/>
  <c r="V78" i="2"/>
  <c r="X78" i="2" s="1"/>
  <c r="V57" i="2"/>
  <c r="X57" i="2" s="1"/>
  <c r="V89" i="2"/>
  <c r="V85" i="2"/>
  <c r="V64" i="2"/>
  <c r="X64" i="2" s="1"/>
  <c r="V68" i="2"/>
  <c r="X68" i="2" s="1"/>
  <c r="V58" i="2"/>
  <c r="X58" i="2" s="1"/>
  <c r="AK155" i="1"/>
  <c r="F155" i="1" s="1"/>
  <c r="AK158" i="19"/>
  <c r="F157" i="19"/>
  <c r="T30" i="23"/>
  <c r="T28" i="23"/>
  <c r="T29" i="23"/>
  <c r="V176" i="3"/>
  <c r="Y225" i="3"/>
  <c r="V214" i="3"/>
  <c r="V231" i="3"/>
  <c r="V111" i="3"/>
  <c r="V44" i="3"/>
  <c r="V225" i="3"/>
  <c r="V218" i="3"/>
  <c r="V131" i="3"/>
  <c r="V82" i="3"/>
  <c r="Y93" i="3"/>
  <c r="V240" i="3"/>
  <c r="V184" i="3"/>
  <c r="V160" i="3"/>
  <c r="V213" i="3"/>
  <c r="V182" i="3"/>
  <c r="V169" i="3"/>
  <c r="V232" i="3"/>
  <c r="V170" i="3"/>
  <c r="V78" i="3"/>
  <c r="V71" i="3"/>
  <c r="V93" i="3"/>
  <c r="V139" i="3"/>
  <c r="V101" i="3"/>
  <c r="V22" i="3"/>
  <c r="V175" i="3"/>
  <c r="V112" i="3"/>
  <c r="V42" i="3"/>
  <c r="V126" i="3"/>
  <c r="V100" i="3"/>
  <c r="AG25" i="1"/>
  <c r="AG28" i="19"/>
  <c r="P130" i="37"/>
  <c r="G42" i="23"/>
  <c r="G112" i="23" s="1"/>
  <c r="G114" i="23" s="1"/>
  <c r="G39" i="4" s="1"/>
  <c r="AC179" i="1"/>
  <c r="AC182" i="19"/>
  <c r="AC168" i="1"/>
  <c r="AC171" i="19"/>
  <c r="AC155" i="1"/>
  <c r="AC158" i="19"/>
  <c r="Z10" i="37"/>
  <c r="S11" i="37"/>
  <c r="E27" i="23"/>
  <c r="V218" i="2"/>
  <c r="V187" i="2"/>
  <c r="V147" i="2"/>
  <c r="V103" i="2"/>
  <c r="V44" i="2"/>
  <c r="X44" i="2" s="1"/>
  <c r="V158" i="3"/>
  <c r="Y141" i="3"/>
  <c r="V130" i="3"/>
  <c r="AC203" i="1"/>
  <c r="AC206" i="19"/>
  <c r="AD205" i="1"/>
  <c r="AD208" i="19"/>
  <c r="V240" i="2"/>
  <c r="V197" i="2"/>
  <c r="V226" i="2"/>
  <c r="V206" i="2"/>
  <c r="V189" i="2"/>
  <c r="V154" i="2"/>
  <c r="V43" i="2"/>
  <c r="X43" i="2" s="1"/>
  <c r="V106" i="2"/>
  <c r="V29" i="2"/>
  <c r="X29" i="2" s="1"/>
  <c r="V15" i="2"/>
  <c r="X15" i="2" s="1"/>
  <c r="Z15" i="3" s="1"/>
  <c r="V99" i="3"/>
  <c r="Y165" i="3"/>
  <c r="V154" i="3"/>
  <c r="V102" i="3"/>
  <c r="V32" i="3"/>
  <c r="V35" i="3"/>
  <c r="AF77" i="37"/>
  <c r="AE97" i="37"/>
  <c r="AE126" i="37" s="1"/>
  <c r="W11" i="23" s="1"/>
  <c r="AG240" i="1"/>
  <c r="AG243" i="19"/>
  <c r="O94" i="37"/>
  <c r="L42" i="6"/>
  <c r="K14" i="4"/>
  <c r="P27" i="37"/>
  <c r="V239" i="2"/>
  <c r="V238" i="2"/>
  <c r="P67" i="37"/>
  <c r="AG133" i="1"/>
  <c r="AG136" i="19"/>
  <c r="AK107" i="1"/>
  <c r="F107" i="1" s="1"/>
  <c r="AK110" i="19"/>
  <c r="F109" i="19"/>
  <c r="AC59" i="1"/>
  <c r="AC62" i="19"/>
  <c r="AJ24" i="1"/>
  <c r="E24" i="1" s="1"/>
  <c r="AJ27" i="19"/>
  <c r="E26" i="19"/>
  <c r="F43" i="6"/>
  <c r="G10" i="6"/>
  <c r="P95" i="37"/>
  <c r="P124" i="37" s="1"/>
  <c r="Q30" i="37"/>
  <c r="Q21" i="37"/>
  <c r="D40" i="23"/>
  <c r="D38" i="23"/>
  <c r="D39" i="23"/>
  <c r="D41" i="23"/>
  <c r="D37" i="23"/>
  <c r="D36" i="23"/>
  <c r="S106" i="37"/>
  <c r="T3" i="37"/>
  <c r="V244" i="2"/>
  <c r="V247" i="2"/>
  <c r="V242" i="2"/>
  <c r="V168" i="2"/>
  <c r="V150" i="2"/>
  <c r="V167" i="2"/>
  <c r="V195" i="2"/>
  <c r="V131" i="2"/>
  <c r="V233" i="2"/>
  <c r="V190" i="2"/>
  <c r="V217" i="2"/>
  <c r="V188" i="2"/>
  <c r="V101" i="2"/>
  <c r="V182" i="2"/>
  <c r="V146" i="2"/>
  <c r="V180" i="2"/>
  <c r="V169" i="2"/>
  <c r="V130" i="2"/>
  <c r="V121" i="2"/>
  <c r="V113" i="2"/>
  <c r="V45" i="2"/>
  <c r="X45" i="2" s="1"/>
  <c r="V33" i="2"/>
  <c r="X33" i="2" s="1"/>
  <c r="V75" i="2"/>
  <c r="X75" i="2" s="1"/>
  <c r="V71" i="2"/>
  <c r="X71" i="2" s="1"/>
  <c r="V65" i="2"/>
  <c r="X65" i="2" s="1"/>
  <c r="V41" i="2"/>
  <c r="X41" i="2" s="1"/>
  <c r="V42" i="2"/>
  <c r="X42" i="2" s="1"/>
  <c r="V24" i="2"/>
  <c r="X24" i="2" s="1"/>
  <c r="V16" i="2"/>
  <c r="X16" i="2" s="1"/>
  <c r="V13" i="2"/>
  <c r="X13" i="2" s="1"/>
  <c r="Z13" i="3" s="1"/>
  <c r="AC83" i="1"/>
  <c r="AC86" i="19"/>
  <c r="T58" i="37"/>
  <c r="T62" i="37" s="1"/>
  <c r="AD71" i="37"/>
  <c r="AC94" i="37"/>
  <c r="AC123" i="37" s="1"/>
  <c r="V243" i="3"/>
  <c r="V188" i="3"/>
  <c r="V222" i="3"/>
  <c r="V195" i="3"/>
  <c r="V60" i="3"/>
  <c r="V246" i="3"/>
  <c r="V165" i="3"/>
  <c r="F29" i="23"/>
  <c r="F28" i="23"/>
  <c r="F30" i="23"/>
  <c r="S97" i="37"/>
  <c r="S126" i="37" s="1"/>
  <c r="T34" i="37"/>
  <c r="AD85" i="1"/>
  <c r="AD88" i="19"/>
  <c r="AC215" i="1"/>
  <c r="AC218" i="19"/>
  <c r="AK72" i="1"/>
  <c r="AK75" i="19"/>
  <c r="F74" i="19"/>
  <c r="AK14" i="19"/>
  <c r="AK11" i="1"/>
  <c r="F11" i="1" s="1"/>
  <c r="AF12" i="3" s="1"/>
  <c r="F13" i="19"/>
  <c r="AD180" i="1"/>
  <c r="AD183" i="19"/>
  <c r="V105" i="2"/>
  <c r="V39" i="2"/>
  <c r="X39" i="2" s="1"/>
  <c r="V14" i="2"/>
  <c r="X14" i="2" s="1"/>
  <c r="Z14" i="3" s="1"/>
  <c r="V46" i="2"/>
  <c r="X46" i="2" s="1"/>
  <c r="V28" i="2"/>
  <c r="X28" i="2" s="1"/>
  <c r="V54" i="2"/>
  <c r="X54" i="2" s="1"/>
  <c r="V53" i="2"/>
  <c r="X53" i="2" s="1"/>
  <c r="V34" i="2"/>
  <c r="X34" i="2" s="1"/>
  <c r="V21" i="2"/>
  <c r="X21" i="2" s="1"/>
  <c r="V10" i="2"/>
  <c r="AD218" i="1"/>
  <c r="AD221" i="19"/>
  <c r="V77" i="3"/>
  <c r="V230" i="3"/>
  <c r="V108" i="3"/>
  <c r="V244" i="3"/>
  <c r="V205" i="3"/>
  <c r="V216" i="3"/>
  <c r="V206" i="3"/>
  <c r="V202" i="3"/>
  <c r="Y213" i="3"/>
  <c r="V115" i="3"/>
  <c r="V236" i="3"/>
  <c r="V153" i="3"/>
  <c r="V141" i="3"/>
  <c r="V174" i="3"/>
  <c r="V109" i="3"/>
  <c r="V136" i="3"/>
  <c r="V142" i="3"/>
  <c r="Y153" i="3"/>
  <c r="V92" i="3"/>
  <c r="V81" i="3"/>
  <c r="V76" i="3"/>
  <c r="V31" i="3"/>
  <c r="V36" i="3"/>
  <c r="V83" i="3"/>
  <c r="V45" i="3"/>
  <c r="AK83" i="1"/>
  <c r="F83" i="1" s="1"/>
  <c r="F85" i="19"/>
  <c r="AK86" i="19"/>
  <c r="AD75" i="37"/>
  <c r="AK131" i="1"/>
  <c r="F131" i="1" s="1"/>
  <c r="F133" i="19"/>
  <c r="AK134" i="19"/>
  <c r="P64" i="37"/>
  <c r="O69" i="37"/>
  <c r="O83" i="37" s="1"/>
  <c r="AJ142" i="1"/>
  <c r="E142" i="1" s="1"/>
  <c r="AJ145" i="19"/>
  <c r="E144" i="19"/>
  <c r="AK59" i="1"/>
  <c r="F59" i="1" s="1"/>
  <c r="AK62" i="19"/>
  <c r="F61" i="19"/>
  <c r="AG98" i="1"/>
  <c r="AG101" i="19"/>
  <c r="R10" i="21"/>
  <c r="R10" i="20" s="1"/>
  <c r="AD96" i="1"/>
  <c r="AD99" i="19"/>
  <c r="M118" i="37"/>
  <c r="N108" i="37"/>
  <c r="AE144" i="1"/>
  <c r="AE147" i="19"/>
  <c r="AC192" i="1"/>
  <c r="AC195" i="19"/>
  <c r="V187" i="3"/>
  <c r="V168" i="3"/>
  <c r="V155" i="3"/>
  <c r="V88" i="3"/>
  <c r="V223" i="3"/>
  <c r="V204" i="3"/>
  <c r="V24" i="3"/>
  <c r="V228" i="3"/>
  <c r="V200" i="3"/>
  <c r="V196" i="3"/>
  <c r="V150" i="3"/>
  <c r="Y177" i="3"/>
  <c r="V166" i="3"/>
  <c r="V63" i="3"/>
  <c r="V129" i="3"/>
  <c r="V185" i="3"/>
  <c r="V194" i="3"/>
  <c r="V103" i="3"/>
  <c r="V26" i="3"/>
  <c r="V104" i="3"/>
  <c r="V97" i="3"/>
  <c r="V27" i="3"/>
  <c r="V59" i="3"/>
  <c r="V33" i="3"/>
  <c r="V52" i="3"/>
  <c r="V34" i="3"/>
  <c r="V133" i="3"/>
  <c r="V91" i="3"/>
  <c r="V37" i="3"/>
  <c r="V25" i="3"/>
  <c r="V16" i="3"/>
  <c r="AK178" i="1"/>
  <c r="F178" i="1" s="1"/>
  <c r="F180" i="19"/>
  <c r="AK181" i="19"/>
  <c r="Q32" i="37"/>
  <c r="P96" i="37"/>
  <c r="AA125" i="37"/>
  <c r="S10" i="23" s="1"/>
  <c r="P16" i="37"/>
  <c r="O25" i="37"/>
  <c r="O93" i="37" s="1"/>
  <c r="O122" i="37" s="1"/>
  <c r="AD241" i="1"/>
  <c r="AD244" i="19"/>
  <c r="E60" i="1"/>
  <c r="AE72" i="1"/>
  <c r="AE75" i="19"/>
  <c r="AC120" i="1"/>
  <c r="AC123" i="19"/>
  <c r="AE216" i="1"/>
  <c r="AE219" i="19"/>
  <c r="P38" i="37"/>
  <c r="O99" i="37"/>
  <c r="I10" i="21"/>
  <c r="I10" i="20" s="1"/>
  <c r="P10" i="21"/>
  <c r="P10" i="20" s="1"/>
  <c r="V107" i="3"/>
  <c r="V70" i="3"/>
  <c r="V117" i="3"/>
  <c r="V84" i="3"/>
  <c r="V57" i="3"/>
  <c r="V110" i="3"/>
  <c r="V62" i="3"/>
  <c r="V21" i="3"/>
  <c r="AG145" i="1"/>
  <c r="AG148" i="19"/>
  <c r="AC23" i="1"/>
  <c r="AC26" i="19"/>
  <c r="AC131" i="1"/>
  <c r="AC134" i="19"/>
  <c r="AD132" i="1"/>
  <c r="AD135" i="19"/>
  <c r="AB11" i="1"/>
  <c r="D11" i="1" s="1"/>
  <c r="AB12" i="3" s="1"/>
  <c r="AB14" i="19"/>
  <c r="D13" i="19"/>
  <c r="D29" i="23"/>
  <c r="D28" i="23"/>
  <c r="D30" i="23"/>
  <c r="AE192" i="1"/>
  <c r="AE195" i="19"/>
  <c r="AE133" i="1"/>
  <c r="AE136" i="19"/>
  <c r="AC11" i="1"/>
  <c r="AC14" i="19"/>
  <c r="AG48" i="1"/>
  <c r="AG51" i="19"/>
  <c r="V49" i="3"/>
  <c r="Y201" i="3"/>
  <c r="V190" i="3"/>
  <c r="V123" i="3"/>
  <c r="V122" i="3"/>
  <c r="V96" i="3"/>
  <c r="V67" i="3"/>
  <c r="V127" i="3"/>
  <c r="V120" i="3"/>
  <c r="Y105" i="3"/>
  <c r="V94" i="3"/>
  <c r="V18" i="3"/>
  <c r="V48" i="3"/>
  <c r="V61" i="3"/>
  <c r="V30" i="3"/>
  <c r="V87" i="3"/>
  <c r="V12" i="3"/>
  <c r="AE157" i="1"/>
  <c r="AE160" i="19"/>
  <c r="M121" i="37"/>
  <c r="N92" i="37"/>
  <c r="N42" i="37"/>
  <c r="N86" i="37" s="1"/>
  <c r="AB11" i="3"/>
  <c r="AE50" i="1"/>
  <c r="AE53" i="19"/>
  <c r="E16" i="23"/>
  <c r="AC71" i="1"/>
  <c r="AC74" i="19"/>
  <c r="AE240" i="1"/>
  <c r="AE243" i="19"/>
  <c r="AE84" i="1"/>
  <c r="AE87" i="19"/>
  <c r="AD60" i="1"/>
  <c r="AD63" i="19"/>
  <c r="E63" i="19" s="1"/>
  <c r="Y15" i="21"/>
  <c r="A16" i="21"/>
  <c r="X15" i="21"/>
  <c r="AE85" i="1" l="1"/>
  <c r="AE88" i="19"/>
  <c r="AE51" i="1"/>
  <c r="AE54" i="19"/>
  <c r="AK108" i="1"/>
  <c r="F108" i="1" s="1"/>
  <c r="F110" i="19"/>
  <c r="AK111" i="19"/>
  <c r="Y237" i="2"/>
  <c r="AC97" i="1"/>
  <c r="AC100" i="19"/>
  <c r="AK36" i="1"/>
  <c r="F36" i="1" s="1"/>
  <c r="F38" i="19"/>
  <c r="AK39" i="19"/>
  <c r="AE13" i="1"/>
  <c r="AE16" i="19"/>
  <c r="AG37" i="1"/>
  <c r="AG40" i="19"/>
  <c r="AE169" i="1"/>
  <c r="AE172" i="19"/>
  <c r="AD133" i="1"/>
  <c r="AD136" i="19"/>
  <c r="AG146" i="1"/>
  <c r="AG149" i="19"/>
  <c r="P125" i="37"/>
  <c r="AD96" i="37"/>
  <c r="AD125" i="37" s="1"/>
  <c r="V10" i="23" s="1"/>
  <c r="AK26" i="1"/>
  <c r="F26" i="1" s="1"/>
  <c r="F28" i="19"/>
  <c r="AK29" i="19"/>
  <c r="AG121" i="1"/>
  <c r="AG124" i="19"/>
  <c r="AK98" i="1"/>
  <c r="F98" i="1" s="1"/>
  <c r="AK101" i="19"/>
  <c r="F100" i="19"/>
  <c r="Y177" i="2"/>
  <c r="AC144" i="1"/>
  <c r="AC147" i="19"/>
  <c r="AG52" i="19"/>
  <c r="AG49" i="1"/>
  <c r="AC121" i="1"/>
  <c r="AC124" i="19"/>
  <c r="AG99" i="1"/>
  <c r="AG102" i="19"/>
  <c r="Y141" i="2"/>
  <c r="Y201" i="2"/>
  <c r="M42" i="6"/>
  <c r="L14" i="4"/>
  <c r="AK156" i="1"/>
  <c r="F156" i="1" s="1"/>
  <c r="AK159" i="19"/>
  <c r="F158" i="19"/>
  <c r="AE230" i="1"/>
  <c r="AE233" i="19"/>
  <c r="A17" i="2"/>
  <c r="Z16" i="2"/>
  <c r="AA16" i="2"/>
  <c r="Z16" i="3" s="1"/>
  <c r="Q19" i="37"/>
  <c r="AG159" i="1"/>
  <c r="AG162" i="19"/>
  <c r="P114" i="37"/>
  <c r="O127" i="37"/>
  <c r="G16" i="23" s="1"/>
  <c r="AE205" i="1"/>
  <c r="AE208" i="19"/>
  <c r="AG110" i="1"/>
  <c r="AG113" i="19"/>
  <c r="Y129" i="2"/>
  <c r="AD15" i="1"/>
  <c r="AD18" i="19"/>
  <c r="AG169" i="1"/>
  <c r="AG172" i="19"/>
  <c r="AC132" i="1"/>
  <c r="AC135" i="19"/>
  <c r="O108" i="37"/>
  <c r="N118" i="37"/>
  <c r="AK84" i="1"/>
  <c r="F84" i="1" s="1"/>
  <c r="AK87" i="19"/>
  <c r="F86" i="19"/>
  <c r="AC84" i="1"/>
  <c r="AC87" i="19"/>
  <c r="AG134" i="1"/>
  <c r="AG137" i="19"/>
  <c r="AJ49" i="1"/>
  <c r="E49" i="1" s="1"/>
  <c r="AJ52" i="19"/>
  <c r="E51" i="19"/>
  <c r="Y93" i="2"/>
  <c r="AC241" i="1"/>
  <c r="AC244" i="19"/>
  <c r="AG217" i="1"/>
  <c r="AG220" i="19"/>
  <c r="S100" i="37"/>
  <c r="T40" i="37"/>
  <c r="Y16" i="21"/>
  <c r="A17" i="21"/>
  <c r="X16" i="21"/>
  <c r="AC72" i="1"/>
  <c r="AC75" i="19"/>
  <c r="AC12" i="1"/>
  <c r="AC15" i="19"/>
  <c r="G17" i="23"/>
  <c r="G20" i="23"/>
  <c r="G18" i="23"/>
  <c r="G31" i="23"/>
  <c r="G19" i="23"/>
  <c r="AD86" i="1"/>
  <c r="AD89" i="19"/>
  <c r="Y69" i="2"/>
  <c r="AC228" i="1"/>
  <c r="AC231" i="19"/>
  <c r="Y213" i="2"/>
  <c r="Q8" i="37"/>
  <c r="AD157" i="1"/>
  <c r="AD160" i="19"/>
  <c r="V10" i="21"/>
  <c r="AJ108" i="1"/>
  <c r="E108" i="1" s="1"/>
  <c r="E110" i="19"/>
  <c r="AJ111" i="19"/>
  <c r="AJ178" i="1"/>
  <c r="E178" i="1" s="1"/>
  <c r="AJ181" i="19"/>
  <c r="E180" i="19"/>
  <c r="E23" i="23"/>
  <c r="E24" i="23"/>
  <c r="E33" i="23"/>
  <c r="E21" i="23"/>
  <c r="E26" i="23"/>
  <c r="E35" i="23"/>
  <c r="E34" i="23"/>
  <c r="E32" i="23"/>
  <c r="E25" i="23"/>
  <c r="M131" i="37"/>
  <c r="E22" i="23"/>
  <c r="P25" i="37"/>
  <c r="Q16" i="37"/>
  <c r="S16" i="37" s="1"/>
  <c r="R16" i="37"/>
  <c r="AD97" i="1"/>
  <c r="AD100" i="19"/>
  <c r="AK60" i="1"/>
  <c r="F60" i="1" s="1"/>
  <c r="AK63" i="19"/>
  <c r="F62" i="19"/>
  <c r="Q64" i="37"/>
  <c r="P69" i="37"/>
  <c r="P83" i="37" s="1"/>
  <c r="Y45" i="2"/>
  <c r="F72" i="1"/>
  <c r="H10" i="6"/>
  <c r="G43" i="6"/>
  <c r="Y165" i="2"/>
  <c r="AC169" i="1"/>
  <c r="AC172" i="19"/>
  <c r="S23" i="37"/>
  <c r="AE109" i="1"/>
  <c r="AE112" i="19"/>
  <c r="D53" i="22"/>
  <c r="F37" i="23"/>
  <c r="F36" i="23"/>
  <c r="F40" i="23"/>
  <c r="F38" i="23"/>
  <c r="F39" i="23"/>
  <c r="F41" i="23"/>
  <c r="AD122" i="1"/>
  <c r="AD125" i="19"/>
  <c r="S62" i="37"/>
  <c r="AJ37" i="1"/>
  <c r="E37" i="1" s="1"/>
  <c r="AJ40" i="19"/>
  <c r="E39" i="19"/>
  <c r="AG16" i="19"/>
  <c r="AG13" i="1"/>
  <c r="AE75" i="37"/>
  <c r="AK145" i="1"/>
  <c r="F147" i="19"/>
  <c r="AK148" i="19"/>
  <c r="AE121" i="1"/>
  <c r="AE124" i="19"/>
  <c r="AK168" i="1"/>
  <c r="F168" i="1" s="1"/>
  <c r="AK171" i="19"/>
  <c r="F170" i="19"/>
  <c r="O102" i="37"/>
  <c r="O121" i="37"/>
  <c r="AG182" i="1"/>
  <c r="AG185" i="19"/>
  <c r="U34" i="37"/>
  <c r="T97" i="37"/>
  <c r="T126" i="37" s="1"/>
  <c r="L11" i="23" s="1"/>
  <c r="P94" i="37"/>
  <c r="P123" i="37" s="1"/>
  <c r="AG26" i="1"/>
  <c r="AG29" i="19"/>
  <c r="J11" i="21"/>
  <c r="J11" i="20" s="1"/>
  <c r="I11" i="21"/>
  <c r="I11" i="20" s="1"/>
  <c r="R11" i="21"/>
  <c r="R11" i="20" s="1"/>
  <c r="M11" i="21"/>
  <c r="M11" i="20" s="1"/>
  <c r="N11" i="21"/>
  <c r="N11" i="20" s="1"/>
  <c r="E11" i="21"/>
  <c r="E11" i="20" s="1"/>
  <c r="L11" i="21"/>
  <c r="L11" i="20" s="1"/>
  <c r="K11" i="21"/>
  <c r="K11" i="20" s="1"/>
  <c r="P11" i="21"/>
  <c r="P11" i="20" s="1"/>
  <c r="U11" i="21"/>
  <c r="U11" i="20" s="1"/>
  <c r="T11" i="21"/>
  <c r="T11" i="20" s="1"/>
  <c r="H11" i="21"/>
  <c r="H11" i="20" s="1"/>
  <c r="D11" i="21"/>
  <c r="D11" i="20" s="1"/>
  <c r="B11" i="21"/>
  <c r="F11" i="21"/>
  <c r="F11" i="20" s="1"/>
  <c r="S11" i="21"/>
  <c r="S11" i="20" s="1"/>
  <c r="Q11" i="21"/>
  <c r="Q11" i="20" s="1"/>
  <c r="O11" i="21"/>
  <c r="O11" i="20" s="1"/>
  <c r="G11" i="21"/>
  <c r="G11" i="20" s="1"/>
  <c r="C11" i="21"/>
  <c r="C11" i="20" s="1"/>
  <c r="AJ119" i="1"/>
  <c r="E119" i="1" s="1"/>
  <c r="E121" i="19"/>
  <c r="AJ122" i="19"/>
  <c r="AE193" i="1"/>
  <c r="AE196" i="19"/>
  <c r="AE145" i="1"/>
  <c r="AE148" i="19"/>
  <c r="Y57" i="2"/>
  <c r="AJ25" i="1"/>
  <c r="E25" i="1" s="1"/>
  <c r="E27" i="19"/>
  <c r="AJ28" i="19"/>
  <c r="AD75" i="1"/>
  <c r="AD78" i="19"/>
  <c r="Y81" i="2"/>
  <c r="U73" i="37"/>
  <c r="AK12" i="1"/>
  <c r="F12" i="1" s="1"/>
  <c r="AF13" i="3" s="1"/>
  <c r="AK15" i="19"/>
  <c r="F14" i="19"/>
  <c r="AG193" i="1"/>
  <c r="AG196" i="19"/>
  <c r="AG84" i="1"/>
  <c r="AG87" i="19"/>
  <c r="AK190" i="1"/>
  <c r="F190" i="1" s="1"/>
  <c r="AK193" i="19"/>
  <c r="F192" i="19"/>
  <c r="AG206" i="1"/>
  <c r="AG209" i="19"/>
  <c r="AK179" i="1"/>
  <c r="F179" i="1" s="1"/>
  <c r="AK182" i="19"/>
  <c r="F181" i="19"/>
  <c r="X10" i="2"/>
  <c r="Y21" i="2"/>
  <c r="R30" i="37"/>
  <c r="Q95" i="37"/>
  <c r="Q124" i="37" s="1"/>
  <c r="Y117" i="2"/>
  <c r="AG230" i="1"/>
  <c r="AG233" i="19"/>
  <c r="Y105" i="2"/>
  <c r="AK73" i="1"/>
  <c r="AK76" i="19"/>
  <c r="F75" i="19"/>
  <c r="H15" i="23"/>
  <c r="H13" i="23"/>
  <c r="H14" i="23"/>
  <c r="H12" i="23"/>
  <c r="O42" i="37"/>
  <c r="O86" i="37" s="1"/>
  <c r="AD61" i="1"/>
  <c r="AD64" i="19"/>
  <c r="G13" i="19"/>
  <c r="AD11" i="3"/>
  <c r="AC193" i="1"/>
  <c r="AC196" i="19"/>
  <c r="AK132" i="1"/>
  <c r="F132" i="1" s="1"/>
  <c r="F134" i="19"/>
  <c r="AK135" i="19"/>
  <c r="AD181" i="1"/>
  <c r="AD184" i="19"/>
  <c r="R21" i="37"/>
  <c r="Y249" i="2"/>
  <c r="AA10" i="37"/>
  <c r="AA13" i="37" s="1"/>
  <c r="Y189" i="2"/>
  <c r="G14" i="23"/>
  <c r="G13" i="23"/>
  <c r="G12" i="23"/>
  <c r="G15" i="23"/>
  <c r="R67" i="37"/>
  <c r="AE182" i="1"/>
  <c r="AE185" i="19"/>
  <c r="AJ189" i="1"/>
  <c r="E189" i="1" s="1"/>
  <c r="AJ192" i="19"/>
  <c r="E191" i="19"/>
  <c r="AK48" i="1"/>
  <c r="F48" i="1" s="1"/>
  <c r="AK51" i="19"/>
  <c r="F50" i="19"/>
  <c r="D54" i="22"/>
  <c r="D56" i="22" s="1"/>
  <c r="E52" i="22" s="1"/>
  <c r="O54" i="22"/>
  <c r="J54" i="22"/>
  <c r="R54" i="22"/>
  <c r="E54" i="22"/>
  <c r="F54" i="22"/>
  <c r="I54" i="22"/>
  <c r="K54" i="22"/>
  <c r="N54" i="22"/>
  <c r="M54" i="22"/>
  <c r="P54" i="22"/>
  <c r="G54" i="22"/>
  <c r="L54" i="22"/>
  <c r="H54" i="22"/>
  <c r="Q54" i="22"/>
  <c r="AG75" i="19"/>
  <c r="AG72" i="1"/>
  <c r="AJ62" i="1"/>
  <c r="AJ65" i="19"/>
  <c r="E64" i="19"/>
  <c r="AD110" i="1"/>
  <c r="AD113" i="19"/>
  <c r="P116" i="37"/>
  <c r="O129" i="37"/>
  <c r="AE63" i="1"/>
  <c r="AE66" i="19"/>
  <c r="AD194" i="1"/>
  <c r="AD197" i="19"/>
  <c r="AC37" i="1"/>
  <c r="AC40" i="19"/>
  <c r="AG61" i="1"/>
  <c r="AG64" i="19"/>
  <c r="AK201" i="1"/>
  <c r="F201" i="1" s="1"/>
  <c r="AK204" i="19"/>
  <c r="F203" i="19"/>
  <c r="AC48" i="1"/>
  <c r="AC51" i="19"/>
  <c r="F144" i="1"/>
  <c r="Q27" i="37"/>
  <c r="Q94" i="37" s="1"/>
  <c r="Q123" i="37" s="1"/>
  <c r="AQ79" i="37"/>
  <c r="AE217" i="1"/>
  <c r="AE220" i="19"/>
  <c r="AJ143" i="1"/>
  <c r="E143" i="1" s="1"/>
  <c r="E145" i="19"/>
  <c r="AJ146" i="19"/>
  <c r="AD219" i="1"/>
  <c r="AD222" i="19"/>
  <c r="AC216" i="1"/>
  <c r="AC219" i="19"/>
  <c r="O123" i="37"/>
  <c r="F18" i="23"/>
  <c r="F19" i="23"/>
  <c r="F31" i="23"/>
  <c r="F17" i="23"/>
  <c r="F20" i="23"/>
  <c r="AJ131" i="1"/>
  <c r="E131" i="1" s="1"/>
  <c r="AJ134" i="19"/>
  <c r="E133" i="19"/>
  <c r="AC108" i="1"/>
  <c r="AC111" i="19"/>
  <c r="T36" i="37"/>
  <c r="S98" i="37"/>
  <c r="AK60" i="37"/>
  <c r="AJ84" i="1"/>
  <c r="E84" i="1" s="1"/>
  <c r="AJ87" i="19"/>
  <c r="E86" i="19"/>
  <c r="R7" i="37"/>
  <c r="K11" i="23"/>
  <c r="AC180" i="1"/>
  <c r="AC183" i="19"/>
  <c r="AJ12" i="1"/>
  <c r="E12" i="1" s="1"/>
  <c r="AD13" i="3" s="1"/>
  <c r="AJ15" i="19"/>
  <c r="E14" i="19"/>
  <c r="Y225" i="2"/>
  <c r="AL60" i="37"/>
  <c r="Q66" i="37"/>
  <c r="AE241" i="1"/>
  <c r="AE244" i="19"/>
  <c r="Q96" i="37"/>
  <c r="Q125" i="37" s="1"/>
  <c r="I10" i="23" s="1"/>
  <c r="R32" i="37"/>
  <c r="AG241" i="1"/>
  <c r="AG244" i="19"/>
  <c r="AC156" i="1"/>
  <c r="AC159" i="19"/>
  <c r="AJ96" i="1"/>
  <c r="E96" i="1" s="1"/>
  <c r="E98" i="19"/>
  <c r="AJ99" i="19"/>
  <c r="AJ167" i="1"/>
  <c r="E167" i="1" s="1"/>
  <c r="AJ170" i="19"/>
  <c r="E169" i="19"/>
  <c r="AC60" i="1"/>
  <c r="AC63" i="19"/>
  <c r="AD229" i="1"/>
  <c r="AD232" i="19"/>
  <c r="E19" i="23"/>
  <c r="E18" i="23"/>
  <c r="E20" i="23"/>
  <c r="E17" i="23"/>
  <c r="E31" i="23"/>
  <c r="N102" i="37"/>
  <c r="N121" i="37"/>
  <c r="AE73" i="1"/>
  <c r="AE76" i="19"/>
  <c r="T106" i="37"/>
  <c r="U3" i="37"/>
  <c r="AD206" i="1"/>
  <c r="AD209" i="19"/>
  <c r="AD146" i="1"/>
  <c r="AD149" i="19"/>
  <c r="AD52" i="1"/>
  <c r="AD55" i="19"/>
  <c r="Y153" i="2"/>
  <c r="AF11" i="3"/>
  <c r="AC24" i="1"/>
  <c r="AC27" i="19"/>
  <c r="O128" i="37"/>
  <c r="U29" i="23"/>
  <c r="U30" i="23"/>
  <c r="U28" i="23"/>
  <c r="AE158" i="1"/>
  <c r="AE161" i="19"/>
  <c r="AE134" i="1"/>
  <c r="AE137" i="19"/>
  <c r="AB12" i="1"/>
  <c r="D12" i="1" s="1"/>
  <c r="AB13" i="3" s="1"/>
  <c r="AB15" i="19"/>
  <c r="D14" i="19"/>
  <c r="Q38" i="37"/>
  <c r="P99" i="37"/>
  <c r="P128" i="37" s="1"/>
  <c r="H27" i="23" s="1"/>
  <c r="AD242" i="1"/>
  <c r="AD245" i="19"/>
  <c r="AE71" i="37"/>
  <c r="AD94" i="37"/>
  <c r="AD123" i="37" s="1"/>
  <c r="AG77" i="37"/>
  <c r="AF97" i="37"/>
  <c r="AF126" i="37" s="1"/>
  <c r="X11" i="23" s="1"/>
  <c r="AC204" i="1"/>
  <c r="AC207" i="19"/>
  <c r="AQ10" i="37"/>
  <c r="H42" i="23"/>
  <c r="H112" i="23" s="1"/>
  <c r="H114" i="23" s="1"/>
  <c r="H39" i="4" s="1"/>
  <c r="Q130" i="37"/>
  <c r="AD170" i="1"/>
  <c r="AD173" i="19"/>
  <c r="AJ72" i="1"/>
  <c r="E72" i="1" s="1"/>
  <c r="E74" i="19"/>
  <c r="AJ75" i="19"/>
  <c r="T159" i="12"/>
  <c r="AJ203" i="19"/>
  <c r="D43" i="23"/>
  <c r="AJ155" i="1"/>
  <c r="E155" i="1" s="1"/>
  <c r="AJ158" i="19"/>
  <c r="E157" i="19"/>
  <c r="E61" i="1"/>
  <c r="AE99" i="1"/>
  <c r="AE102" i="19"/>
  <c r="Y33" i="2"/>
  <c r="U198" i="12"/>
  <c r="AK215" i="19"/>
  <c r="U58" i="37"/>
  <c r="U62" i="37" s="1"/>
  <c r="AK121" i="1"/>
  <c r="F121" i="1" s="1"/>
  <c r="F123" i="19"/>
  <c r="AK124" i="19"/>
  <c r="P13" i="37"/>
  <c r="T11" i="37"/>
  <c r="E53" i="22" l="1"/>
  <c r="E56" i="22"/>
  <c r="F52" i="22" s="1"/>
  <c r="T16" i="37"/>
  <c r="U16" i="37" s="1"/>
  <c r="AK13" i="1"/>
  <c r="F13" i="1" s="1"/>
  <c r="AF14" i="3" s="1"/>
  <c r="AK16" i="19"/>
  <c r="F15" i="19"/>
  <c r="AC122" i="1"/>
  <c r="AC125" i="19"/>
  <c r="AJ73" i="1"/>
  <c r="E73" i="1" s="1"/>
  <c r="E75" i="19"/>
  <c r="AJ76" i="19"/>
  <c r="G14" i="19"/>
  <c r="AG231" i="1"/>
  <c r="AG234" i="19"/>
  <c r="V11" i="21"/>
  <c r="B11" i="20"/>
  <c r="AE14" i="1"/>
  <c r="AE17" i="19"/>
  <c r="AB13" i="1"/>
  <c r="AB16" i="19"/>
  <c r="D15" i="19"/>
  <c r="AG62" i="1"/>
  <c r="AG65" i="19"/>
  <c r="AG207" i="1"/>
  <c r="AG210" i="19"/>
  <c r="AE122" i="1"/>
  <c r="AE125" i="19"/>
  <c r="AK99" i="1"/>
  <c r="F99" i="1" s="1"/>
  <c r="AK102" i="19"/>
  <c r="F101" i="19"/>
  <c r="V58" i="37"/>
  <c r="AD147" i="1"/>
  <c r="AD150" i="19"/>
  <c r="AJ168" i="1"/>
  <c r="E168" i="1" s="1"/>
  <c r="AJ171" i="19"/>
  <c r="E170" i="19"/>
  <c r="AJ85" i="1"/>
  <c r="E85" i="1" s="1"/>
  <c r="E87" i="19"/>
  <c r="AJ88" i="19"/>
  <c r="AJ132" i="1"/>
  <c r="E132" i="1" s="1"/>
  <c r="AJ135" i="19"/>
  <c r="E134" i="19"/>
  <c r="AC217" i="1"/>
  <c r="AC220" i="19"/>
  <c r="AK74" i="1"/>
  <c r="AK77" i="19"/>
  <c r="F76" i="19"/>
  <c r="AE194" i="1"/>
  <c r="AE197" i="19"/>
  <c r="AG27" i="1"/>
  <c r="AG30" i="19"/>
  <c r="V34" i="37"/>
  <c r="U97" i="37"/>
  <c r="U126" i="37" s="1"/>
  <c r="T23" i="37"/>
  <c r="AC170" i="1"/>
  <c r="AC173" i="19"/>
  <c r="AK64" i="19"/>
  <c r="AK61" i="1"/>
  <c r="F61" i="1" s="1"/>
  <c r="F63" i="19"/>
  <c r="AJ109" i="1"/>
  <c r="E109" i="1" s="1"/>
  <c r="E111" i="19"/>
  <c r="AJ112" i="19"/>
  <c r="W10" i="20"/>
  <c r="AC10" i="20"/>
  <c r="Y10" i="20"/>
  <c r="AA10" i="20"/>
  <c r="T100" i="37"/>
  <c r="U40" i="37"/>
  <c r="AK157" i="1"/>
  <c r="F157" i="1" s="1"/>
  <c r="F159" i="19"/>
  <c r="AK160" i="19"/>
  <c r="AG50" i="1"/>
  <c r="AG53" i="19"/>
  <c r="AD134" i="1"/>
  <c r="AD137" i="19"/>
  <c r="AE170" i="1"/>
  <c r="AE173" i="19"/>
  <c r="U159" i="12"/>
  <c r="AJ215" i="19"/>
  <c r="R38" i="37"/>
  <c r="Q99" i="37"/>
  <c r="AD230" i="1"/>
  <c r="AD233" i="19"/>
  <c r="AJ26" i="1"/>
  <c r="E26" i="1" s="1"/>
  <c r="E28" i="19"/>
  <c r="AJ29" i="19"/>
  <c r="AE96" i="37"/>
  <c r="AE125" i="37" s="1"/>
  <c r="W10" i="23" s="1"/>
  <c r="AF75" i="37"/>
  <c r="AK85" i="1"/>
  <c r="F85" i="1" s="1"/>
  <c r="F87" i="19"/>
  <c r="AK88" i="19"/>
  <c r="Q69" i="37"/>
  <c r="Q83" i="37" s="1"/>
  <c r="R64" i="37"/>
  <c r="R8" i="37"/>
  <c r="S67" i="37"/>
  <c r="AG135" i="1"/>
  <c r="AG138" i="19"/>
  <c r="AD16" i="1"/>
  <c r="AD19" i="19"/>
  <c r="AE206" i="1"/>
  <c r="AE209" i="19"/>
  <c r="AC98" i="1"/>
  <c r="AC101" i="19"/>
  <c r="F24" i="23"/>
  <c r="F34" i="23"/>
  <c r="F23" i="23"/>
  <c r="F35" i="23"/>
  <c r="F43" i="23" s="1"/>
  <c r="F33" i="23"/>
  <c r="F25" i="23"/>
  <c r="F26" i="23"/>
  <c r="F32" i="23"/>
  <c r="F22" i="23"/>
  <c r="F21" i="23"/>
  <c r="N131" i="37"/>
  <c r="AE218" i="1"/>
  <c r="AE221" i="19"/>
  <c r="AK202" i="1"/>
  <c r="F202" i="1" s="1"/>
  <c r="F204" i="19"/>
  <c r="AK205" i="19"/>
  <c r="AK49" i="1"/>
  <c r="F49" i="1" s="1"/>
  <c r="F51" i="19"/>
  <c r="AK52" i="19"/>
  <c r="AD182" i="1"/>
  <c r="AD185" i="19"/>
  <c r="R95" i="37"/>
  <c r="R124" i="37" s="1"/>
  <c r="S30" i="37"/>
  <c r="G25" i="23"/>
  <c r="G21" i="23"/>
  <c r="G26" i="23"/>
  <c r="G35" i="23"/>
  <c r="G23" i="23"/>
  <c r="G22" i="23"/>
  <c r="G43" i="23" s="1"/>
  <c r="G24" i="23"/>
  <c r="G34" i="23"/>
  <c r="G33" i="23"/>
  <c r="O131" i="37"/>
  <c r="G32" i="23"/>
  <c r="AG14" i="1"/>
  <c r="AG17" i="19"/>
  <c r="AC13" i="1"/>
  <c r="AC16" i="19"/>
  <c r="A18" i="2"/>
  <c r="Z17" i="2"/>
  <c r="AA17" i="2"/>
  <c r="Z17" i="3" s="1"/>
  <c r="AK27" i="1"/>
  <c r="F27" i="1" s="1"/>
  <c r="F29" i="19"/>
  <c r="AK30" i="19"/>
  <c r="AJ156" i="1"/>
  <c r="E156" i="1" s="1"/>
  <c r="AJ159" i="19"/>
  <c r="E158" i="19"/>
  <c r="AE135" i="1"/>
  <c r="AE138" i="19"/>
  <c r="AC61" i="1"/>
  <c r="AC64" i="19"/>
  <c r="S32" i="37"/>
  <c r="R96" i="37"/>
  <c r="R125" i="37" s="1"/>
  <c r="J10" i="23" s="1"/>
  <c r="AC38" i="1"/>
  <c r="AC41" i="19"/>
  <c r="AE64" i="1"/>
  <c r="AE67" i="19"/>
  <c r="AK133" i="1"/>
  <c r="F133" i="1" s="1"/>
  <c r="F135" i="19"/>
  <c r="AK136" i="19"/>
  <c r="I12" i="21"/>
  <c r="I12" i="20" s="1"/>
  <c r="O12" i="21"/>
  <c r="O12" i="20" s="1"/>
  <c r="M12" i="21"/>
  <c r="M12" i="20" s="1"/>
  <c r="T12" i="21"/>
  <c r="T12" i="20" s="1"/>
  <c r="S12" i="21"/>
  <c r="S12" i="20" s="1"/>
  <c r="B12" i="21"/>
  <c r="U12" i="21"/>
  <c r="U12" i="20" s="1"/>
  <c r="P12" i="21"/>
  <c r="P12" i="20" s="1"/>
  <c r="D12" i="21"/>
  <c r="D12" i="20" s="1"/>
  <c r="K12" i="21"/>
  <c r="K12" i="20" s="1"/>
  <c r="G12" i="21"/>
  <c r="G12" i="20" s="1"/>
  <c r="Q12" i="21"/>
  <c r="Q12" i="20" s="1"/>
  <c r="E12" i="21"/>
  <c r="E12" i="20" s="1"/>
  <c r="F12" i="21"/>
  <c r="F12" i="20" s="1"/>
  <c r="C12" i="21"/>
  <c r="C12" i="20" s="1"/>
  <c r="L12" i="21"/>
  <c r="L12" i="20" s="1"/>
  <c r="H12" i="21"/>
  <c r="H12" i="20" s="1"/>
  <c r="J12" i="21"/>
  <c r="J12" i="20" s="1"/>
  <c r="R12" i="21"/>
  <c r="R12" i="20" s="1"/>
  <c r="N12" i="21"/>
  <c r="N12" i="20" s="1"/>
  <c r="F73" i="1"/>
  <c r="AG85" i="1"/>
  <c r="AG88" i="19"/>
  <c r="AD76" i="1"/>
  <c r="AD79" i="19"/>
  <c r="AJ38" i="1"/>
  <c r="E38" i="1" s="1"/>
  <c r="AJ41" i="19"/>
  <c r="E40" i="19"/>
  <c r="AD158" i="1"/>
  <c r="AD161" i="19"/>
  <c r="AC229" i="1"/>
  <c r="AC232" i="19"/>
  <c r="AC73" i="1"/>
  <c r="AC76" i="19"/>
  <c r="AJ50" i="1"/>
  <c r="E50" i="1" s="1"/>
  <c r="AJ53" i="19"/>
  <c r="E52" i="19"/>
  <c r="AC85" i="1"/>
  <c r="AC88" i="19"/>
  <c r="O118" i="37"/>
  <c r="P108" i="37"/>
  <c r="Q114" i="37"/>
  <c r="P127" i="37"/>
  <c r="AC145" i="1"/>
  <c r="AC148" i="19"/>
  <c r="AD171" i="1"/>
  <c r="AD174" i="19"/>
  <c r="I42" i="23"/>
  <c r="I112" i="23" s="1"/>
  <c r="I114" i="23" s="1"/>
  <c r="I39" i="4" s="1"/>
  <c r="R130" i="37"/>
  <c r="AC157" i="1"/>
  <c r="AC160" i="19"/>
  <c r="R13" i="37"/>
  <c r="T98" i="37"/>
  <c r="U36" i="37"/>
  <c r="AD220" i="1"/>
  <c r="AD223" i="19"/>
  <c r="I28" i="23"/>
  <c r="I29" i="23"/>
  <c r="I30" i="23"/>
  <c r="AJ63" i="1"/>
  <c r="AJ66" i="19"/>
  <c r="E65" i="19"/>
  <c r="AJ190" i="1"/>
  <c r="E190" i="1" s="1"/>
  <c r="E192" i="19"/>
  <c r="AJ193" i="19"/>
  <c r="S21" i="37"/>
  <c r="AD62" i="1"/>
  <c r="E62" i="1" s="1"/>
  <c r="AD65" i="19"/>
  <c r="AD10" i="3"/>
  <c r="AB10" i="3"/>
  <c r="Z10" i="3"/>
  <c r="AF10" i="3"/>
  <c r="AK191" i="1"/>
  <c r="F191" i="1" s="1"/>
  <c r="F193" i="19"/>
  <c r="AK194" i="19"/>
  <c r="R27" i="37"/>
  <c r="AK146" i="1"/>
  <c r="F148" i="19"/>
  <c r="AK149" i="19"/>
  <c r="AD123" i="1"/>
  <c r="AD126" i="19"/>
  <c r="AD98" i="1"/>
  <c r="AD101" i="19"/>
  <c r="AG218" i="1"/>
  <c r="AG221" i="19"/>
  <c r="AC242" i="1"/>
  <c r="AC245" i="19"/>
  <c r="AC133" i="1"/>
  <c r="AC136" i="19"/>
  <c r="AG111" i="1"/>
  <c r="AG114" i="19"/>
  <c r="AG160" i="1"/>
  <c r="AG163" i="19"/>
  <c r="AG122" i="1"/>
  <c r="AG125" i="19"/>
  <c r="AK37" i="1"/>
  <c r="F37" i="1" s="1"/>
  <c r="F39" i="19"/>
  <c r="AK40" i="19"/>
  <c r="D55" i="22"/>
  <c r="D60" i="22" s="1"/>
  <c r="D63" i="22" s="1"/>
  <c r="D58" i="22"/>
  <c r="D40" i="22"/>
  <c r="D41" i="22" s="1"/>
  <c r="V198" i="12"/>
  <c r="AK239" i="19" s="1"/>
  <c r="AK227" i="19"/>
  <c r="AJ120" i="1"/>
  <c r="E120" i="1" s="1"/>
  <c r="E122" i="19"/>
  <c r="AJ123" i="19"/>
  <c r="Q25" i="37"/>
  <c r="Q93" i="37" s="1"/>
  <c r="Q122" i="37" s="1"/>
  <c r="AJ179" i="1"/>
  <c r="E179" i="1" s="1"/>
  <c r="E181" i="19"/>
  <c r="AJ182" i="19"/>
  <c r="AE231" i="1"/>
  <c r="AE234" i="19"/>
  <c r="AG100" i="1"/>
  <c r="AG103" i="19"/>
  <c r="AG38" i="1"/>
  <c r="AG41" i="19"/>
  <c r="AE52" i="1"/>
  <c r="AE55" i="19"/>
  <c r="AK213" i="1"/>
  <c r="F213" i="1" s="1"/>
  <c r="AK216" i="19"/>
  <c r="F215" i="19"/>
  <c r="AD243" i="1"/>
  <c r="AD246" i="19"/>
  <c r="AC25" i="1"/>
  <c r="AC28" i="19"/>
  <c r="H30" i="23"/>
  <c r="H29" i="23"/>
  <c r="H28" i="23"/>
  <c r="AD87" i="1"/>
  <c r="AD90" i="19"/>
  <c r="H10" i="23"/>
  <c r="AE89" i="19"/>
  <c r="AE86" i="1"/>
  <c r="P92" i="37"/>
  <c r="P42" i="37"/>
  <c r="P86" i="37" s="1"/>
  <c r="AD53" i="1"/>
  <c r="AD56" i="19"/>
  <c r="V3" i="37"/>
  <c r="U106" i="37"/>
  <c r="AD198" i="19"/>
  <c r="AD195" i="1"/>
  <c r="I13" i="23"/>
  <c r="I14" i="23"/>
  <c r="I12" i="23"/>
  <c r="I15" i="23"/>
  <c r="AE146" i="1"/>
  <c r="AE149" i="19"/>
  <c r="AE110" i="1"/>
  <c r="AE113" i="19"/>
  <c r="AG147" i="1"/>
  <c r="AG150" i="19"/>
  <c r="AK122" i="1"/>
  <c r="F122" i="1" s="1"/>
  <c r="F124" i="19"/>
  <c r="AK125" i="19"/>
  <c r="AC205" i="1"/>
  <c r="AC208" i="19"/>
  <c r="AD114" i="19"/>
  <c r="AD111" i="1"/>
  <c r="I10" i="6"/>
  <c r="H43" i="6"/>
  <c r="AE103" i="19"/>
  <c r="AE100" i="1"/>
  <c r="AH77" i="37"/>
  <c r="AG97" i="37"/>
  <c r="AG126" i="37" s="1"/>
  <c r="Y11" i="23" s="1"/>
  <c r="V29" i="23"/>
  <c r="V30" i="23"/>
  <c r="V28" i="23"/>
  <c r="AE159" i="1"/>
  <c r="AE162" i="19"/>
  <c r="E43" i="23"/>
  <c r="AE242" i="1"/>
  <c r="AE245" i="19"/>
  <c r="AJ13" i="1"/>
  <c r="E13" i="1" s="1"/>
  <c r="AD14" i="3" s="1"/>
  <c r="AJ16" i="19"/>
  <c r="E15" i="19"/>
  <c r="Q13" i="37"/>
  <c r="AM60" i="37"/>
  <c r="AN60" i="37" s="1"/>
  <c r="AO60" i="37" s="1"/>
  <c r="AQ60" i="37" s="1"/>
  <c r="G38" i="23"/>
  <c r="G37" i="23"/>
  <c r="G39" i="23"/>
  <c r="G36" i="23"/>
  <c r="G41" i="23"/>
  <c r="G40" i="23"/>
  <c r="V73" i="37"/>
  <c r="AJ201" i="1"/>
  <c r="E201" i="1" s="1"/>
  <c r="AJ204" i="19"/>
  <c r="E203" i="19"/>
  <c r="AE94" i="37"/>
  <c r="AE123" i="37" s="1"/>
  <c r="AF71" i="37"/>
  <c r="G27" i="23"/>
  <c r="AD207" i="1"/>
  <c r="AD210" i="19"/>
  <c r="AE74" i="1"/>
  <c r="AE77" i="19"/>
  <c r="AJ97" i="1"/>
  <c r="E97" i="1" s="1"/>
  <c r="AJ100" i="19"/>
  <c r="E99" i="19"/>
  <c r="AG242" i="1"/>
  <c r="AG245" i="19"/>
  <c r="R66" i="37"/>
  <c r="AC181" i="1"/>
  <c r="AC184" i="19"/>
  <c r="AC109" i="1"/>
  <c r="AC112" i="19"/>
  <c r="G30" i="23"/>
  <c r="G28" i="23"/>
  <c r="G29" i="23"/>
  <c r="AJ144" i="1"/>
  <c r="E144" i="1" s="1"/>
  <c r="E146" i="19"/>
  <c r="AJ147" i="19"/>
  <c r="AC49" i="1"/>
  <c r="AC52" i="19"/>
  <c r="Q116" i="37"/>
  <c r="P129" i="37"/>
  <c r="AG76" i="19"/>
  <c r="AG73" i="1"/>
  <c r="AE183" i="1"/>
  <c r="AE186" i="19"/>
  <c r="AC194" i="1"/>
  <c r="AC197" i="19"/>
  <c r="AK180" i="1"/>
  <c r="F180" i="1" s="1"/>
  <c r="F182" i="19"/>
  <c r="AK183" i="19"/>
  <c r="AG194" i="1"/>
  <c r="AG197" i="19"/>
  <c r="AG183" i="1"/>
  <c r="AG186" i="19"/>
  <c r="AK169" i="1"/>
  <c r="F169" i="1" s="1"/>
  <c r="AK172" i="19"/>
  <c r="F171" i="19"/>
  <c r="F145" i="1"/>
  <c r="U11" i="37"/>
  <c r="V11" i="37" s="1"/>
  <c r="V13" i="37" s="1"/>
  <c r="P93" i="37"/>
  <c r="Y17" i="21"/>
  <c r="X17" i="21"/>
  <c r="A18" i="21"/>
  <c r="AG170" i="1"/>
  <c r="AG173" i="19"/>
  <c r="R19" i="37"/>
  <c r="R25" i="37" s="1"/>
  <c r="N42" i="6"/>
  <c r="M14" i="4"/>
  <c r="AK109" i="1"/>
  <c r="F109" i="1" s="1"/>
  <c r="AK112" i="19"/>
  <c r="F111" i="19"/>
  <c r="AQ7" i="37"/>
  <c r="V16" i="37" l="1"/>
  <c r="W30" i="23"/>
  <c r="W29" i="23"/>
  <c r="W28" i="23"/>
  <c r="Q42" i="37"/>
  <c r="Q92" i="37"/>
  <c r="AD244" i="1"/>
  <c r="AD247" i="19"/>
  <c r="AK147" i="1"/>
  <c r="F149" i="19"/>
  <c r="AK150" i="19"/>
  <c r="Y11" i="20"/>
  <c r="W11" i="20"/>
  <c r="AA11" i="20"/>
  <c r="AC11" i="20"/>
  <c r="AG112" i="1"/>
  <c r="AG115" i="19"/>
  <c r="AC146" i="1"/>
  <c r="AC149" i="19"/>
  <c r="AC230" i="1"/>
  <c r="AC233" i="19"/>
  <c r="AC99" i="1"/>
  <c r="AC102" i="19"/>
  <c r="AK158" i="1"/>
  <c r="F158" i="1" s="1"/>
  <c r="F160" i="19"/>
  <c r="AK161" i="19"/>
  <c r="AE123" i="1"/>
  <c r="AE126" i="19"/>
  <c r="AG232" i="1"/>
  <c r="AG235" i="19"/>
  <c r="S66" i="37"/>
  <c r="AJ14" i="1"/>
  <c r="E14" i="1" s="1"/>
  <c r="AD15" i="3" s="1"/>
  <c r="AJ17" i="19"/>
  <c r="E16" i="19"/>
  <c r="AK225" i="1"/>
  <c r="F225" i="1" s="1"/>
  <c r="AK228" i="19"/>
  <c r="F227" i="19"/>
  <c r="F146" i="1"/>
  <c r="AJ191" i="1"/>
  <c r="E191" i="1" s="1"/>
  <c r="E193" i="19"/>
  <c r="AJ194" i="19"/>
  <c r="AG15" i="1"/>
  <c r="AG18" i="19"/>
  <c r="AD183" i="1"/>
  <c r="AD186" i="19"/>
  <c r="AE219" i="1"/>
  <c r="AE222" i="19"/>
  <c r="AK86" i="1"/>
  <c r="F86" i="1" s="1"/>
  <c r="F88" i="19"/>
  <c r="AK89" i="19"/>
  <c r="AD231" i="1"/>
  <c r="AD234" i="19"/>
  <c r="AC171" i="1"/>
  <c r="AC174" i="19"/>
  <c r="AJ169" i="1"/>
  <c r="E169" i="1" s="1"/>
  <c r="AJ172" i="19"/>
  <c r="E171" i="19"/>
  <c r="G15" i="19"/>
  <c r="F53" i="22"/>
  <c r="F56" i="22"/>
  <c r="G52" i="22" s="1"/>
  <c r="AG171" i="1"/>
  <c r="AG174" i="19"/>
  <c r="P122" i="37"/>
  <c r="AE184" i="1"/>
  <c r="AE187" i="19"/>
  <c r="AC110" i="1"/>
  <c r="AC113" i="19"/>
  <c r="AG243" i="1"/>
  <c r="AG246" i="19"/>
  <c r="AE101" i="1"/>
  <c r="AE104" i="19"/>
  <c r="AK214" i="1"/>
  <c r="F214" i="1" s="1"/>
  <c r="AK217" i="19"/>
  <c r="F216" i="19"/>
  <c r="AG101" i="1"/>
  <c r="AG104" i="19"/>
  <c r="AK237" i="1"/>
  <c r="F237" i="1" s="1"/>
  <c r="AK240" i="19"/>
  <c r="F239" i="19"/>
  <c r="AC134" i="1"/>
  <c r="AC137" i="19"/>
  <c r="R94" i="37"/>
  <c r="S27" i="37"/>
  <c r="AD63" i="1"/>
  <c r="AD66" i="19"/>
  <c r="J42" i="23"/>
  <c r="J112" i="23" s="1"/>
  <c r="J114" i="23" s="1"/>
  <c r="J39" i="4" s="1"/>
  <c r="S130" i="37"/>
  <c r="AD162" i="19"/>
  <c r="AD159" i="1"/>
  <c r="AE136" i="1"/>
  <c r="AE139" i="19"/>
  <c r="AD138" i="19"/>
  <c r="AD135" i="1"/>
  <c r="AJ110" i="1"/>
  <c r="E110" i="1" s="1"/>
  <c r="E112" i="19"/>
  <c r="AJ113" i="19"/>
  <c r="M11" i="23"/>
  <c r="AK75" i="1"/>
  <c r="AK78" i="19"/>
  <c r="F77" i="19"/>
  <c r="AK100" i="1"/>
  <c r="F100" i="1" s="1"/>
  <c r="AK103" i="19"/>
  <c r="F102" i="19"/>
  <c r="AB14" i="1"/>
  <c r="AB17" i="19"/>
  <c r="D16" i="19"/>
  <c r="E40" i="22"/>
  <c r="E41" i="22" s="1"/>
  <c r="E55" i="22"/>
  <c r="E60" i="22" s="1"/>
  <c r="E63" i="22" s="1"/>
  <c r="E58" i="22"/>
  <c r="H36" i="23"/>
  <c r="H39" i="23"/>
  <c r="H38" i="23"/>
  <c r="H37" i="23"/>
  <c r="H41" i="23"/>
  <c r="H40" i="23"/>
  <c r="AE75" i="1"/>
  <c r="AE78" i="19"/>
  <c r="P102" i="37"/>
  <c r="P121" i="37"/>
  <c r="R116" i="37"/>
  <c r="Q129" i="37"/>
  <c r="AI77" i="37"/>
  <c r="AH97" i="37"/>
  <c r="AH126" i="37" s="1"/>
  <c r="Z11" i="23" s="1"/>
  <c r="AK38" i="1"/>
  <c r="F38" i="1" s="1"/>
  <c r="F40" i="19"/>
  <c r="AK41" i="19"/>
  <c r="AC86" i="1"/>
  <c r="AC89" i="19"/>
  <c r="J13" i="23"/>
  <c r="J15" i="23"/>
  <c r="J14" i="23"/>
  <c r="J12" i="23"/>
  <c r="AK62" i="1"/>
  <c r="F62" i="1" s="1"/>
  <c r="AK65" i="19"/>
  <c r="F64" i="19"/>
  <c r="AC218" i="1"/>
  <c r="AC221" i="19"/>
  <c r="AK14" i="1"/>
  <c r="F14" i="1" s="1"/>
  <c r="AF15" i="3" s="1"/>
  <c r="AK17" i="19"/>
  <c r="F16" i="19"/>
  <c r="AJ202" i="1"/>
  <c r="E202" i="1" s="1"/>
  <c r="E204" i="19"/>
  <c r="AJ205" i="19"/>
  <c r="AG148" i="1"/>
  <c r="AG151" i="19"/>
  <c r="AG195" i="1"/>
  <c r="AG198" i="19"/>
  <c r="AE246" i="19"/>
  <c r="AE243" i="1"/>
  <c r="D43" i="22"/>
  <c r="D42" i="22"/>
  <c r="AC161" i="19"/>
  <c r="AC158" i="1"/>
  <c r="F52" i="19"/>
  <c r="AK53" i="19"/>
  <c r="AK50" i="1"/>
  <c r="F50" i="1" s="1"/>
  <c r="AE207" i="1"/>
  <c r="AE210" i="19"/>
  <c r="S8" i="37"/>
  <c r="V40" i="37"/>
  <c r="U100" i="37"/>
  <c r="U23" i="37"/>
  <c r="V23" i="37" s="1"/>
  <c r="V97" i="37"/>
  <c r="V126" i="37" s="1"/>
  <c r="N11" i="23" s="1"/>
  <c r="W34" i="37"/>
  <c r="E135" i="19"/>
  <c r="AJ136" i="19"/>
  <c r="AJ133" i="1"/>
  <c r="E133" i="1" s="1"/>
  <c r="AG208" i="1"/>
  <c r="AG211" i="19"/>
  <c r="D13" i="1"/>
  <c r="AB14" i="3" s="1"/>
  <c r="AK170" i="1"/>
  <c r="F170" i="1" s="1"/>
  <c r="AK173" i="19"/>
  <c r="F172" i="19"/>
  <c r="AC182" i="1"/>
  <c r="AC185" i="19"/>
  <c r="T67" i="37"/>
  <c r="I43" i="6"/>
  <c r="J10" i="6"/>
  <c r="AC206" i="1"/>
  <c r="AC209" i="19"/>
  <c r="AE111" i="1"/>
  <c r="AE114" i="19"/>
  <c r="AD54" i="1"/>
  <c r="AD57" i="19"/>
  <c r="AD88" i="1"/>
  <c r="AD91" i="19"/>
  <c r="AE56" i="19"/>
  <c r="AE53" i="1"/>
  <c r="AE232" i="1"/>
  <c r="AE235" i="19"/>
  <c r="I19" i="23"/>
  <c r="I18" i="23"/>
  <c r="I17" i="23"/>
  <c r="I31" i="23"/>
  <c r="I20" i="23"/>
  <c r="AG123" i="1"/>
  <c r="AG126" i="19"/>
  <c r="AD172" i="1"/>
  <c r="AD175" i="19"/>
  <c r="H16" i="23"/>
  <c r="W11" i="37"/>
  <c r="AA18" i="2"/>
  <c r="Z18" i="3" s="1"/>
  <c r="Z18" i="2"/>
  <c r="A19" i="2"/>
  <c r="AF96" i="37"/>
  <c r="AF125" i="37" s="1"/>
  <c r="X10" i="23" s="1"/>
  <c r="AG75" i="37"/>
  <c r="Q128" i="37"/>
  <c r="AG28" i="1"/>
  <c r="AG31" i="19"/>
  <c r="AE15" i="1"/>
  <c r="AE18" i="19"/>
  <c r="AC123" i="1"/>
  <c r="AC126" i="19"/>
  <c r="AG39" i="1"/>
  <c r="AG42" i="19"/>
  <c r="AG219" i="1"/>
  <c r="AG222" i="19"/>
  <c r="R42" i="37"/>
  <c r="R92" i="37"/>
  <c r="AJ157" i="1"/>
  <c r="E157" i="1" s="1"/>
  <c r="AJ160" i="19"/>
  <c r="E159" i="19"/>
  <c r="S95" i="37"/>
  <c r="S124" i="37" s="1"/>
  <c r="T30" i="37"/>
  <c r="AG136" i="1"/>
  <c r="AG139" i="19"/>
  <c r="V159" i="12"/>
  <c r="AJ239" i="19" s="1"/>
  <c r="AJ227" i="19"/>
  <c r="P13" i="21"/>
  <c r="P13" i="20" s="1"/>
  <c r="L13" i="21"/>
  <c r="L13" i="20" s="1"/>
  <c r="I13" i="21"/>
  <c r="I13" i="20" s="1"/>
  <c r="U13" i="21"/>
  <c r="U13" i="20" s="1"/>
  <c r="K13" i="21"/>
  <c r="K13" i="20" s="1"/>
  <c r="N13" i="21"/>
  <c r="N13" i="20" s="1"/>
  <c r="T13" i="21"/>
  <c r="T13" i="20" s="1"/>
  <c r="G13" i="21"/>
  <c r="G13" i="20" s="1"/>
  <c r="F13" i="21"/>
  <c r="F13" i="20" s="1"/>
  <c r="J13" i="21"/>
  <c r="J13" i="20" s="1"/>
  <c r="S13" i="21"/>
  <c r="S13" i="20" s="1"/>
  <c r="M13" i="21"/>
  <c r="M13" i="20" s="1"/>
  <c r="B13" i="21"/>
  <c r="R13" i="21"/>
  <c r="R13" i="20" s="1"/>
  <c r="Q13" i="21"/>
  <c r="Q13" i="20" s="1"/>
  <c r="C13" i="21"/>
  <c r="C13" i="20" s="1"/>
  <c r="O13" i="21"/>
  <c r="O13" i="20" s="1"/>
  <c r="E13" i="21"/>
  <c r="E13" i="20" s="1"/>
  <c r="H13" i="21"/>
  <c r="H13" i="20" s="1"/>
  <c r="D13" i="21"/>
  <c r="D13" i="20" s="1"/>
  <c r="AC195" i="1"/>
  <c r="AC198" i="19"/>
  <c r="AE160" i="1"/>
  <c r="AE163" i="19"/>
  <c r="AJ39" i="1"/>
  <c r="E39" i="1" s="1"/>
  <c r="AJ42" i="19"/>
  <c r="E41" i="19"/>
  <c r="AJ77" i="19"/>
  <c r="AJ74" i="1"/>
  <c r="E74" i="1" s="1"/>
  <c r="E76" i="19"/>
  <c r="AK110" i="1"/>
  <c r="F110" i="1" s="1"/>
  <c r="AK113" i="19"/>
  <c r="F112" i="19"/>
  <c r="AJ145" i="1"/>
  <c r="E145" i="1" s="1"/>
  <c r="AJ148" i="19"/>
  <c r="E147" i="19"/>
  <c r="AD124" i="1"/>
  <c r="AD127" i="19"/>
  <c r="AK192" i="1"/>
  <c r="F192" i="1" s="1"/>
  <c r="AK195" i="19"/>
  <c r="F194" i="19"/>
  <c r="AD224" i="19"/>
  <c r="AD221" i="1"/>
  <c r="F74" i="1"/>
  <c r="Y18" i="21"/>
  <c r="A19" i="21"/>
  <c r="X18" i="21"/>
  <c r="AK181" i="1"/>
  <c r="F181" i="1" s="1"/>
  <c r="F183" i="19"/>
  <c r="AK184" i="19"/>
  <c r="AG77" i="19"/>
  <c r="AG74" i="1"/>
  <c r="AJ98" i="1"/>
  <c r="E98" i="1" s="1"/>
  <c r="AJ101" i="19"/>
  <c r="E100" i="19"/>
  <c r="AC26" i="1"/>
  <c r="AC29" i="19"/>
  <c r="AJ121" i="1"/>
  <c r="E121" i="1" s="1"/>
  <c r="AJ124" i="19"/>
  <c r="E123" i="19"/>
  <c r="AC243" i="1"/>
  <c r="AC246" i="19"/>
  <c r="AD99" i="1"/>
  <c r="AD102" i="19"/>
  <c r="AJ64" i="1"/>
  <c r="AJ67" i="19"/>
  <c r="U98" i="37"/>
  <c r="V36" i="37"/>
  <c r="R114" i="37"/>
  <c r="Q127" i="37"/>
  <c r="I16" i="23" s="1"/>
  <c r="AG86" i="1"/>
  <c r="AG89" i="19"/>
  <c r="AK134" i="1"/>
  <c r="F134" i="1" s="1"/>
  <c r="AK137" i="19"/>
  <c r="F136" i="19"/>
  <c r="AC39" i="1"/>
  <c r="AC42" i="19"/>
  <c r="S96" i="37"/>
  <c r="T32" i="37"/>
  <c r="AD17" i="1"/>
  <c r="AD20" i="19"/>
  <c r="S64" i="37"/>
  <c r="R69" i="37"/>
  <c r="R83" i="37" s="1"/>
  <c r="R99" i="37"/>
  <c r="R128" i="37" s="1"/>
  <c r="J27" i="23" s="1"/>
  <c r="S38" i="37"/>
  <c r="AJ86" i="1"/>
  <c r="E86" i="1" s="1"/>
  <c r="E88" i="19"/>
  <c r="AJ89" i="19"/>
  <c r="V62" i="37"/>
  <c r="W58" i="37"/>
  <c r="V12" i="21"/>
  <c r="B12" i="20"/>
  <c r="AC62" i="1"/>
  <c r="AC65" i="19"/>
  <c r="AD112" i="1"/>
  <c r="AD115" i="19"/>
  <c r="AD196" i="1"/>
  <c r="AD199" i="19"/>
  <c r="AE171" i="1"/>
  <c r="AE174" i="19"/>
  <c r="S19" i="37"/>
  <c r="T19" i="37" s="1"/>
  <c r="AC50" i="1"/>
  <c r="AC53" i="19"/>
  <c r="AD208" i="1"/>
  <c r="AD211" i="19"/>
  <c r="AE87" i="1"/>
  <c r="AE90" i="19"/>
  <c r="W3" i="37"/>
  <c r="V106" i="37"/>
  <c r="AJ51" i="1"/>
  <c r="E51" i="1" s="1"/>
  <c r="AJ54" i="19"/>
  <c r="E53" i="19"/>
  <c r="AD77" i="1"/>
  <c r="AD80" i="19"/>
  <c r="AE65" i="1"/>
  <c r="AE68" i="19"/>
  <c r="AD148" i="1"/>
  <c r="AD151" i="19"/>
  <c r="N14" i="4"/>
  <c r="O42" i="6"/>
  <c r="V92" i="37"/>
  <c r="AG184" i="1"/>
  <c r="AG187" i="19"/>
  <c r="AF94" i="37"/>
  <c r="AF123" i="37" s="1"/>
  <c r="AG71" i="37"/>
  <c r="W73" i="37"/>
  <c r="AK123" i="1"/>
  <c r="F123" i="1" s="1"/>
  <c r="F125" i="19"/>
  <c r="AK126" i="19"/>
  <c r="AE147" i="1"/>
  <c r="AE150" i="19"/>
  <c r="AJ180" i="1"/>
  <c r="E180" i="1" s="1"/>
  <c r="AJ183" i="19"/>
  <c r="E182" i="19"/>
  <c r="AG161" i="1"/>
  <c r="AG164" i="19"/>
  <c r="T21" i="37"/>
  <c r="U21" i="37" s="1"/>
  <c r="V21" i="37" s="1"/>
  <c r="W21" i="37" s="1"/>
  <c r="X21" i="37" s="1"/>
  <c r="Y21" i="37" s="1"/>
  <c r="Z21" i="37" s="1"/>
  <c r="E63" i="1"/>
  <c r="P118" i="37"/>
  <c r="Q108" i="37"/>
  <c r="AC74" i="1"/>
  <c r="AC77" i="19"/>
  <c r="AK28" i="1"/>
  <c r="F28" i="1" s="1"/>
  <c r="F30" i="19"/>
  <c r="AK31" i="19"/>
  <c r="AC14" i="1"/>
  <c r="AC17" i="19"/>
  <c r="AK203" i="1"/>
  <c r="F203" i="1" s="1"/>
  <c r="AK206" i="19"/>
  <c r="F205" i="19"/>
  <c r="Q86" i="37"/>
  <c r="AJ27" i="1"/>
  <c r="E27" i="1" s="1"/>
  <c r="E29" i="19"/>
  <c r="AJ30" i="19"/>
  <c r="AJ213" i="1"/>
  <c r="E213" i="1" s="1"/>
  <c r="E215" i="19"/>
  <c r="AJ216" i="19"/>
  <c r="AG51" i="1"/>
  <c r="AG54" i="19"/>
  <c r="AE195" i="1"/>
  <c r="AE198" i="19"/>
  <c r="AG63" i="1"/>
  <c r="AG66" i="19"/>
  <c r="U19" i="37" l="1"/>
  <c r="T25" i="37"/>
  <c r="W23" i="37"/>
  <c r="X23" i="37" s="1"/>
  <c r="Y23" i="37" s="1"/>
  <c r="Z23" i="37" s="1"/>
  <c r="AQ23" i="37" s="1"/>
  <c r="AD209" i="1"/>
  <c r="AD212" i="19"/>
  <c r="AK15" i="1"/>
  <c r="F15" i="1" s="1"/>
  <c r="AF16" i="3" s="1"/>
  <c r="AK18" i="19"/>
  <c r="F17" i="19"/>
  <c r="AD64" i="1"/>
  <c r="AD67" i="19"/>
  <c r="AD149" i="1"/>
  <c r="AD152" i="19"/>
  <c r="AE172" i="1"/>
  <c r="AE175" i="19"/>
  <c r="AD18" i="1"/>
  <c r="AD21" i="19"/>
  <c r="W36" i="37"/>
  <c r="V98" i="37"/>
  <c r="AC15" i="1"/>
  <c r="AC18" i="19"/>
  <c r="X73" i="37"/>
  <c r="Y73" i="37" s="1"/>
  <c r="Z73" i="37" s="1"/>
  <c r="AA73" i="37" s="1"/>
  <c r="W106" i="37"/>
  <c r="X3" i="37"/>
  <c r="AC63" i="1"/>
  <c r="AC66" i="19"/>
  <c r="T96" i="37"/>
  <c r="T125" i="37" s="1"/>
  <c r="L10" i="23" s="1"/>
  <c r="U32" i="37"/>
  <c r="AJ65" i="1"/>
  <c r="AJ68" i="19"/>
  <c r="E67" i="19"/>
  <c r="AG40" i="1"/>
  <c r="AG43" i="19"/>
  <c r="AJ203" i="1"/>
  <c r="E203" i="1" s="1"/>
  <c r="E205" i="19"/>
  <c r="AJ206" i="19"/>
  <c r="AB15" i="1"/>
  <c r="D15" i="1" s="1"/>
  <c r="AB16" i="3" s="1"/>
  <c r="D17" i="19"/>
  <c r="AB18" i="19"/>
  <c r="AK79" i="19"/>
  <c r="AK76" i="1"/>
  <c r="F76" i="1" s="1"/>
  <c r="F78" i="19"/>
  <c r="AC231" i="1"/>
  <c r="AC234" i="19"/>
  <c r="AH71" i="37"/>
  <c r="AG94" i="37"/>
  <c r="AG123" i="37" s="1"/>
  <c r="AD78" i="1"/>
  <c r="AD81" i="19"/>
  <c r="AD200" i="19"/>
  <c r="AD197" i="1"/>
  <c r="S125" i="37"/>
  <c r="E64" i="1"/>
  <c r="AE161" i="1"/>
  <c r="AE164" i="19"/>
  <c r="AJ158" i="1"/>
  <c r="E158" i="1" s="1"/>
  <c r="AJ161" i="19"/>
  <c r="E160" i="19"/>
  <c r="W13" i="37"/>
  <c r="Y11" i="37"/>
  <c r="Y13" i="37" s="1"/>
  <c r="X11" i="37"/>
  <c r="X13" i="37" s="1"/>
  <c r="AE233" i="1"/>
  <c r="AE236" i="19"/>
  <c r="AC183" i="1"/>
  <c r="AC186" i="19"/>
  <c r="AG209" i="1"/>
  <c r="AG212" i="19"/>
  <c r="AK63" i="1"/>
  <c r="F63" i="1" s="1"/>
  <c r="AK66" i="19"/>
  <c r="F65" i="19"/>
  <c r="AC87" i="1"/>
  <c r="AC90" i="19"/>
  <c r="H26" i="23"/>
  <c r="H25" i="23"/>
  <c r="H32" i="23"/>
  <c r="H22" i="23"/>
  <c r="H23" i="23"/>
  <c r="H35" i="23"/>
  <c r="P131" i="37"/>
  <c r="H24" i="23"/>
  <c r="H33" i="23"/>
  <c r="H21" i="23"/>
  <c r="H34" i="23"/>
  <c r="F75" i="1"/>
  <c r="AD136" i="1"/>
  <c r="AD139" i="19"/>
  <c r="AK238" i="1"/>
  <c r="F238" i="1" s="1"/>
  <c r="AK241" i="19"/>
  <c r="F240" i="19"/>
  <c r="AC172" i="1"/>
  <c r="AC175" i="19"/>
  <c r="AK226" i="1"/>
  <c r="F226" i="1" s="1"/>
  <c r="AK229" i="19"/>
  <c r="F228" i="19"/>
  <c r="AK159" i="1"/>
  <c r="F159" i="1" s="1"/>
  <c r="AK162" i="19"/>
  <c r="F161" i="19"/>
  <c r="F147" i="1"/>
  <c r="Q118" i="37"/>
  <c r="R108" i="37"/>
  <c r="R121" i="37" s="1"/>
  <c r="AK124" i="1"/>
  <c r="F126" i="19"/>
  <c r="AK127" i="19"/>
  <c r="X29" i="23"/>
  <c r="X28" i="23"/>
  <c r="X30" i="23"/>
  <c r="AE88" i="1"/>
  <c r="AE91" i="19"/>
  <c r="AC40" i="1"/>
  <c r="AC43" i="19"/>
  <c r="S114" i="37"/>
  <c r="R127" i="37"/>
  <c r="J16" i="23" s="1"/>
  <c r="AC27" i="1"/>
  <c r="AC30" i="19"/>
  <c r="AG75" i="1"/>
  <c r="AG78" i="19"/>
  <c r="AJ237" i="1"/>
  <c r="E237" i="1" s="1"/>
  <c r="AJ240" i="19"/>
  <c r="E239" i="19"/>
  <c r="AG96" i="37"/>
  <c r="AG125" i="37" s="1"/>
  <c r="Y10" i="23" s="1"/>
  <c r="AH75" i="37"/>
  <c r="AG124" i="1"/>
  <c r="AG127" i="19"/>
  <c r="F53" i="19"/>
  <c r="AK51" i="1"/>
  <c r="F51" i="1" s="1"/>
  <c r="AK54" i="19"/>
  <c r="I37" i="23"/>
  <c r="I40" i="23"/>
  <c r="I39" i="23"/>
  <c r="I41" i="23"/>
  <c r="I38" i="23"/>
  <c r="I36" i="23"/>
  <c r="S94" i="37"/>
  <c r="S123" i="37" s="1"/>
  <c r="T27" i="37"/>
  <c r="T94" i="37" s="1"/>
  <c r="T123" i="37" s="1"/>
  <c r="B14" i="21"/>
  <c r="J14" i="21"/>
  <c r="J14" i="20" s="1"/>
  <c r="H14" i="21"/>
  <c r="H14" i="20" s="1"/>
  <c r="I14" i="21"/>
  <c r="I14" i="20" s="1"/>
  <c r="M14" i="21"/>
  <c r="M14" i="20" s="1"/>
  <c r="U14" i="21"/>
  <c r="U14" i="20" s="1"/>
  <c r="R14" i="21"/>
  <c r="R14" i="20" s="1"/>
  <c r="P14" i="21"/>
  <c r="P14" i="20" s="1"/>
  <c r="T14" i="21"/>
  <c r="T14" i="20" s="1"/>
  <c r="F14" i="21"/>
  <c r="F14" i="20" s="1"/>
  <c r="S14" i="21"/>
  <c r="S14" i="20" s="1"/>
  <c r="E14" i="21"/>
  <c r="E14" i="20" s="1"/>
  <c r="C14" i="21"/>
  <c r="C14" i="20" s="1"/>
  <c r="G14" i="21"/>
  <c r="G14" i="20" s="1"/>
  <c r="D14" i="21"/>
  <c r="D14" i="20" s="1"/>
  <c r="L14" i="21"/>
  <c r="L14" i="20" s="1"/>
  <c r="N14" i="21"/>
  <c r="N14" i="20" s="1"/>
  <c r="K14" i="21"/>
  <c r="K14" i="20" s="1"/>
  <c r="Q14" i="21"/>
  <c r="Q14" i="20" s="1"/>
  <c r="O14" i="21"/>
  <c r="O14" i="20" s="1"/>
  <c r="AE220" i="1"/>
  <c r="AE223" i="19"/>
  <c r="AJ192" i="1"/>
  <c r="E192" i="1" s="1"/>
  <c r="E194" i="19"/>
  <c r="AJ195" i="19"/>
  <c r="AC147" i="1"/>
  <c r="AC150" i="19"/>
  <c r="AG52" i="1"/>
  <c r="AG55" i="19"/>
  <c r="S25" i="37"/>
  <c r="E89" i="19"/>
  <c r="AJ87" i="1"/>
  <c r="E87" i="1" s="1"/>
  <c r="AJ90" i="19"/>
  <c r="AD222" i="1"/>
  <c r="AD225" i="19"/>
  <c r="AE54" i="1"/>
  <c r="AE57" i="19"/>
  <c r="AG196" i="1"/>
  <c r="AG199" i="19"/>
  <c r="AK39" i="1"/>
  <c r="F39" i="1" s="1"/>
  <c r="F41" i="19"/>
  <c r="AK42" i="19"/>
  <c r="AJ111" i="1"/>
  <c r="E111" i="1" s="1"/>
  <c r="E113" i="19"/>
  <c r="AJ114" i="19"/>
  <c r="AG172" i="1"/>
  <c r="AG175" i="19"/>
  <c r="AD184" i="1"/>
  <c r="AD187" i="19"/>
  <c r="AG236" i="19"/>
  <c r="AG233" i="1"/>
  <c r="AE148" i="1"/>
  <c r="AE151" i="19"/>
  <c r="AJ122" i="1"/>
  <c r="E122" i="1" s="1"/>
  <c r="E124" i="19"/>
  <c r="AJ125" i="19"/>
  <c r="Y19" i="21"/>
  <c r="A20" i="21"/>
  <c r="X19" i="21"/>
  <c r="AD125" i="1"/>
  <c r="AD128" i="19"/>
  <c r="AE16" i="1"/>
  <c r="AE19" i="19"/>
  <c r="X34" i="37"/>
  <c r="W97" i="37"/>
  <c r="W126" i="37" s="1"/>
  <c r="O11" i="23" s="1"/>
  <c r="AJ77" i="37"/>
  <c r="AI97" i="37"/>
  <c r="AI126" i="37" s="1"/>
  <c r="AA11" i="23" s="1"/>
  <c r="AE102" i="1"/>
  <c r="AE105" i="19"/>
  <c r="F55" i="22"/>
  <c r="F40" i="22"/>
  <c r="F41" i="22" s="1"/>
  <c r="F58" i="22"/>
  <c r="AJ28" i="1"/>
  <c r="E28" i="1" s="1"/>
  <c r="E30" i="19"/>
  <c r="AJ31" i="19"/>
  <c r="S99" i="37"/>
  <c r="S128" i="37" s="1"/>
  <c r="K27" i="23" s="1"/>
  <c r="T38" i="37"/>
  <c r="AJ225" i="1"/>
  <c r="E225" i="1" s="1"/>
  <c r="AJ228" i="19"/>
  <c r="E227" i="19"/>
  <c r="I27" i="23"/>
  <c r="AE112" i="1"/>
  <c r="AE115" i="19"/>
  <c r="D14" i="1"/>
  <c r="AB15" i="3" s="1"/>
  <c r="K42" i="23"/>
  <c r="K112" i="23" s="1"/>
  <c r="K114" i="23" s="1"/>
  <c r="K39" i="4" s="1"/>
  <c r="T130" i="37"/>
  <c r="AK29" i="1"/>
  <c r="F29" i="1" s="1"/>
  <c r="F31" i="19"/>
  <c r="AK32" i="19"/>
  <c r="AG162" i="1"/>
  <c r="AG165" i="19"/>
  <c r="AG64" i="1"/>
  <c r="AG67" i="19"/>
  <c r="P42" i="6"/>
  <c r="O14" i="4"/>
  <c r="AD113" i="1"/>
  <c r="AD116" i="19"/>
  <c r="W12" i="20"/>
  <c r="AA12" i="20"/>
  <c r="AC12" i="20"/>
  <c r="Y12" i="20"/>
  <c r="R86" i="37"/>
  <c r="AD100" i="1"/>
  <c r="AD103" i="19"/>
  <c r="AK182" i="1"/>
  <c r="F182" i="1" s="1"/>
  <c r="F184" i="19"/>
  <c r="AK185" i="19"/>
  <c r="AJ146" i="1"/>
  <c r="E146" i="1" s="1"/>
  <c r="E148" i="19"/>
  <c r="AJ149" i="19"/>
  <c r="AJ75" i="1"/>
  <c r="E75" i="1" s="1"/>
  <c r="E77" i="19"/>
  <c r="AJ78" i="19"/>
  <c r="AC196" i="1"/>
  <c r="AC199" i="19"/>
  <c r="AG137" i="1"/>
  <c r="AG140" i="19"/>
  <c r="AG29" i="1"/>
  <c r="AG32" i="19"/>
  <c r="AC207" i="1"/>
  <c r="AC210" i="19"/>
  <c r="V100" i="37"/>
  <c r="W40" i="37"/>
  <c r="AE244" i="1"/>
  <c r="AE247" i="19"/>
  <c r="S116" i="37"/>
  <c r="R129" i="37"/>
  <c r="AE76" i="1"/>
  <c r="AE79" i="19"/>
  <c r="AK101" i="1"/>
  <c r="F101" i="1" s="1"/>
  <c r="AK104" i="19"/>
  <c r="F103" i="19"/>
  <c r="R123" i="37"/>
  <c r="AG102" i="1"/>
  <c r="AG105" i="19"/>
  <c r="AG244" i="1"/>
  <c r="AG247" i="19"/>
  <c r="H18" i="23"/>
  <c r="H31" i="23"/>
  <c r="H20" i="23"/>
  <c r="H17" i="23"/>
  <c r="H43" i="23" s="1"/>
  <c r="H19" i="23"/>
  <c r="T66" i="37"/>
  <c r="AD245" i="1"/>
  <c r="AD248" i="19"/>
  <c r="R93" i="37"/>
  <c r="AJ52" i="1"/>
  <c r="E52" i="1" s="1"/>
  <c r="AJ55" i="19"/>
  <c r="E54" i="19"/>
  <c r="V13" i="21"/>
  <c r="B13" i="20"/>
  <c r="AJ15" i="1"/>
  <c r="E15" i="1" s="1"/>
  <c r="AD16" i="3" s="1"/>
  <c r="AJ18" i="19"/>
  <c r="E17" i="19"/>
  <c r="AC100" i="1"/>
  <c r="AC103" i="19"/>
  <c r="AG113" i="1"/>
  <c r="AG116" i="19"/>
  <c r="AK135" i="1"/>
  <c r="F135" i="1" s="1"/>
  <c r="AK138" i="19"/>
  <c r="F137" i="19"/>
  <c r="AC244" i="1"/>
  <c r="AC247" i="19"/>
  <c r="AC124" i="1"/>
  <c r="AC127" i="19"/>
  <c r="AD89" i="1"/>
  <c r="AD92" i="19"/>
  <c r="AK171" i="1"/>
  <c r="F171" i="1" s="1"/>
  <c r="AK174" i="19"/>
  <c r="F173" i="19"/>
  <c r="AJ134" i="1"/>
  <c r="E134" i="1" s="1"/>
  <c r="E136" i="19"/>
  <c r="AJ137" i="19"/>
  <c r="AC162" i="19"/>
  <c r="AC159" i="1"/>
  <c r="AE196" i="1"/>
  <c r="AE199" i="19"/>
  <c r="AK204" i="1"/>
  <c r="F204" i="1" s="1"/>
  <c r="F206" i="19"/>
  <c r="AK207" i="19"/>
  <c r="AQ21" i="37"/>
  <c r="AC51" i="1"/>
  <c r="AC54" i="19"/>
  <c r="W62" i="37"/>
  <c r="X58" i="37"/>
  <c r="AK193" i="1"/>
  <c r="F193" i="1" s="1"/>
  <c r="AK196" i="19"/>
  <c r="F195" i="19"/>
  <c r="AJ40" i="1"/>
  <c r="E40" i="1" s="1"/>
  <c r="AJ43" i="19"/>
  <c r="E42" i="19"/>
  <c r="T95" i="37"/>
  <c r="T124" i="37" s="1"/>
  <c r="U30" i="37"/>
  <c r="Z19" i="2"/>
  <c r="A20" i="2"/>
  <c r="AA19" i="2"/>
  <c r="Z19" i="3" s="1"/>
  <c r="AD173" i="1"/>
  <c r="AD176" i="19"/>
  <c r="T8" i="37"/>
  <c r="S13" i="37"/>
  <c r="AG149" i="1"/>
  <c r="AG152" i="19"/>
  <c r="F217" i="19"/>
  <c r="AK215" i="1"/>
  <c r="F215" i="1" s="1"/>
  <c r="AK218" i="19"/>
  <c r="AJ170" i="1"/>
  <c r="E170" i="1" s="1"/>
  <c r="AJ173" i="19"/>
  <c r="E172" i="19"/>
  <c r="AG16" i="1"/>
  <c r="AG19" i="19"/>
  <c r="S69" i="37"/>
  <c r="S83" i="37" s="1"/>
  <c r="T64" i="37"/>
  <c r="AE137" i="1"/>
  <c r="AE140" i="19"/>
  <c r="K10" i="6"/>
  <c r="J43" i="6"/>
  <c r="E42" i="22"/>
  <c r="E43" i="22" s="1"/>
  <c r="AC135" i="1"/>
  <c r="AC138" i="19"/>
  <c r="AC111" i="1"/>
  <c r="AC114" i="19"/>
  <c r="AD232" i="1"/>
  <c r="AD235" i="19"/>
  <c r="Q121" i="37"/>
  <c r="Q102" i="37"/>
  <c r="AJ214" i="1"/>
  <c r="E214" i="1" s="1"/>
  <c r="AJ217" i="19"/>
  <c r="E216" i="19"/>
  <c r="AJ181" i="1"/>
  <c r="E181" i="1" s="1"/>
  <c r="AJ184" i="19"/>
  <c r="E183" i="19"/>
  <c r="AJ99" i="1"/>
  <c r="E99" i="1" s="1"/>
  <c r="AJ102" i="19"/>
  <c r="E101" i="19"/>
  <c r="AG220" i="1"/>
  <c r="AG223" i="19"/>
  <c r="AC219" i="1"/>
  <c r="AC222" i="19"/>
  <c r="AE124" i="1"/>
  <c r="AE127" i="19"/>
  <c r="AC75" i="1"/>
  <c r="AC78" i="19"/>
  <c r="AG185" i="1"/>
  <c r="AG188" i="19"/>
  <c r="AE66" i="1"/>
  <c r="AE69" i="19"/>
  <c r="AG87" i="1"/>
  <c r="AG90" i="19"/>
  <c r="E66" i="19"/>
  <c r="AK111" i="1"/>
  <c r="F111" i="1" s="1"/>
  <c r="AK114" i="19"/>
  <c r="F113" i="19"/>
  <c r="K12" i="23"/>
  <c r="K15" i="23"/>
  <c r="K14" i="23"/>
  <c r="K13" i="23"/>
  <c r="AD55" i="1"/>
  <c r="AD58" i="19"/>
  <c r="AD56" i="1" s="1"/>
  <c r="W67" i="37"/>
  <c r="X67" i="37" s="1"/>
  <c r="Y67" i="37" s="1"/>
  <c r="Z67" i="37" s="1"/>
  <c r="AA67" i="37" s="1"/>
  <c r="AB67" i="37" s="1"/>
  <c r="AC67" i="37" s="1"/>
  <c r="AD67" i="37" s="1"/>
  <c r="AE67" i="37" s="1"/>
  <c r="AF67" i="37" s="1"/>
  <c r="AG67" i="37" s="1"/>
  <c r="AH67" i="37" s="1"/>
  <c r="AI67" i="37" s="1"/>
  <c r="AJ67" i="37" s="1"/>
  <c r="AK67" i="37" s="1"/>
  <c r="AL67" i="37" s="1"/>
  <c r="AM67" i="37" s="1"/>
  <c r="AN67" i="37" s="1"/>
  <c r="AO67" i="37" s="1"/>
  <c r="AQ67" i="37" s="1"/>
  <c r="U67" i="37"/>
  <c r="V67" i="37"/>
  <c r="AE208" i="1"/>
  <c r="AE211" i="19"/>
  <c r="G16" i="19"/>
  <c r="AD160" i="1"/>
  <c r="AD163" i="19"/>
  <c r="U27" i="37"/>
  <c r="AE185" i="1"/>
  <c r="AE188" i="19"/>
  <c r="G56" i="22"/>
  <c r="H52" i="22" s="1"/>
  <c r="G53" i="22"/>
  <c r="AK87" i="1"/>
  <c r="F87" i="1" s="1"/>
  <c r="F89" i="19"/>
  <c r="AK90" i="19"/>
  <c r="AK148" i="1"/>
  <c r="F148" i="1" s="1"/>
  <c r="F150" i="19"/>
  <c r="AK151" i="19"/>
  <c r="W16" i="37"/>
  <c r="J33" i="23" l="1"/>
  <c r="J22" i="23"/>
  <c r="J32" i="23"/>
  <c r="J34" i="23"/>
  <c r="J21" i="23"/>
  <c r="J24" i="23"/>
  <c r="J25" i="23"/>
  <c r="J26" i="23"/>
  <c r="J23" i="23"/>
  <c r="J35" i="23"/>
  <c r="V30" i="37"/>
  <c r="U95" i="37"/>
  <c r="U124" i="37" s="1"/>
  <c r="AC101" i="1"/>
  <c r="AC104" i="19"/>
  <c r="Q42" i="6"/>
  <c r="P14" i="4"/>
  <c r="AE113" i="1"/>
  <c r="AE116" i="19"/>
  <c r="AD126" i="1"/>
  <c r="AD129" i="19"/>
  <c r="AE149" i="1"/>
  <c r="AE152" i="19"/>
  <c r="AJ88" i="1"/>
  <c r="E88" i="1" s="1"/>
  <c r="AJ91" i="19"/>
  <c r="E90" i="19"/>
  <c r="AC148" i="1"/>
  <c r="AC151" i="19"/>
  <c r="K29" i="23"/>
  <c r="K30" i="23"/>
  <c r="K28" i="23"/>
  <c r="AH96" i="37"/>
  <c r="AH125" i="37" s="1"/>
  <c r="Z10" i="23" s="1"/>
  <c r="AI75" i="37"/>
  <c r="AC41" i="1"/>
  <c r="AC44" i="19"/>
  <c r="AK160" i="1"/>
  <c r="F160" i="1" s="1"/>
  <c r="AK163" i="19"/>
  <c r="F162" i="19"/>
  <c r="AK239" i="1"/>
  <c r="F239" i="1" s="1"/>
  <c r="AK242" i="19"/>
  <c r="F241" i="19"/>
  <c r="AG210" i="1"/>
  <c r="AG213" i="19"/>
  <c r="Y28" i="23"/>
  <c r="Y29" i="23"/>
  <c r="Y30" i="23"/>
  <c r="AG41" i="1"/>
  <c r="AG44" i="19"/>
  <c r="V32" i="37"/>
  <c r="U96" i="37"/>
  <c r="U125" i="37" s="1"/>
  <c r="M10" i="23" s="1"/>
  <c r="AC16" i="1"/>
  <c r="AC19" i="19"/>
  <c r="AE173" i="1"/>
  <c r="AE176" i="19"/>
  <c r="U25" i="37"/>
  <c r="V19" i="37"/>
  <c r="AK88" i="1"/>
  <c r="F88" i="1" s="1"/>
  <c r="F90" i="19"/>
  <c r="AK91" i="19"/>
  <c r="AK112" i="1"/>
  <c r="F112" i="1" s="1"/>
  <c r="AK115" i="19"/>
  <c r="F114" i="19"/>
  <c r="I23" i="23"/>
  <c r="I22" i="23"/>
  <c r="I32" i="23"/>
  <c r="I25" i="23"/>
  <c r="I21" i="23"/>
  <c r="I43" i="23" s="1"/>
  <c r="I26" i="23"/>
  <c r="I33" i="23"/>
  <c r="I35" i="23"/>
  <c r="I24" i="23"/>
  <c r="Q131" i="37"/>
  <c r="I34" i="23"/>
  <c r="T13" i="37"/>
  <c r="U8" i="37"/>
  <c r="L13" i="23"/>
  <c r="L15" i="23"/>
  <c r="L14" i="23"/>
  <c r="L12" i="23"/>
  <c r="AC248" i="19"/>
  <c r="AC245" i="1"/>
  <c r="W13" i="20"/>
  <c r="Y13" i="20"/>
  <c r="AA13" i="20"/>
  <c r="AC13" i="20"/>
  <c r="AD246" i="1"/>
  <c r="AD249" i="19"/>
  <c r="AG103" i="1"/>
  <c r="AG106" i="19"/>
  <c r="AG104" i="1" s="1"/>
  <c r="W100" i="37"/>
  <c r="X40" i="37"/>
  <c r="AC197" i="1"/>
  <c r="AC200" i="19"/>
  <c r="AK183" i="1"/>
  <c r="F183" i="1" s="1"/>
  <c r="F185" i="19"/>
  <c r="AK186" i="19"/>
  <c r="AK77" i="37"/>
  <c r="AJ97" i="37"/>
  <c r="AJ126" i="37" s="1"/>
  <c r="AB11" i="23" s="1"/>
  <c r="AG173" i="1"/>
  <c r="AG176" i="19"/>
  <c r="AG197" i="1"/>
  <c r="AG200" i="19"/>
  <c r="AG76" i="1"/>
  <c r="AG79" i="19"/>
  <c r="AK125" i="1"/>
  <c r="F125" i="1" s="1"/>
  <c r="F127" i="19"/>
  <c r="AK128" i="19"/>
  <c r="AC88" i="1"/>
  <c r="AC91" i="19"/>
  <c r="W92" i="37"/>
  <c r="AI71" i="37"/>
  <c r="AH94" i="37"/>
  <c r="AH123" i="37" s="1"/>
  <c r="AK77" i="1"/>
  <c r="F77" i="1" s="1"/>
  <c r="AK80" i="19"/>
  <c r="F79" i="19"/>
  <c r="U94" i="37"/>
  <c r="U123" i="37" s="1"/>
  <c r="V27" i="37"/>
  <c r="AE67" i="1"/>
  <c r="AE70" i="19"/>
  <c r="AE68" i="1" s="1"/>
  <c r="AG221" i="1"/>
  <c r="AG224" i="19"/>
  <c r="AD233" i="1"/>
  <c r="AD236" i="19"/>
  <c r="AK216" i="1"/>
  <c r="F216" i="1" s="1"/>
  <c r="AK219" i="19"/>
  <c r="F218" i="19"/>
  <c r="AK172" i="1"/>
  <c r="F172" i="1" s="1"/>
  <c r="AK175" i="19"/>
  <c r="F174" i="19"/>
  <c r="J38" i="23"/>
  <c r="J41" i="23"/>
  <c r="J40" i="23"/>
  <c r="J37" i="23"/>
  <c r="J39" i="23"/>
  <c r="J36" i="23"/>
  <c r="AK52" i="1"/>
  <c r="F52" i="1" s="1"/>
  <c r="F54" i="19"/>
  <c r="AK55" i="19"/>
  <c r="AE89" i="1"/>
  <c r="AE92" i="19"/>
  <c r="AD137" i="1"/>
  <c r="AD140" i="19"/>
  <c r="AC184" i="1"/>
  <c r="AC187" i="19"/>
  <c r="K10" i="23"/>
  <c r="AC232" i="1"/>
  <c r="AC235" i="19"/>
  <c r="AB16" i="1"/>
  <c r="AB19" i="19"/>
  <c r="D18" i="19"/>
  <c r="AC64" i="1"/>
  <c r="AC67" i="19"/>
  <c r="AD150" i="1"/>
  <c r="AD153" i="19"/>
  <c r="AK16" i="1"/>
  <c r="F16" i="1" s="1"/>
  <c r="AF17" i="3" s="1"/>
  <c r="F18" i="19"/>
  <c r="AK19" i="19"/>
  <c r="AJ171" i="1"/>
  <c r="E171" i="1" s="1"/>
  <c r="AJ174" i="19"/>
  <c r="E173" i="19"/>
  <c r="R122" i="37"/>
  <c r="R131" i="37" s="1"/>
  <c r="AE77" i="1"/>
  <c r="AE80" i="19"/>
  <c r="F32" i="19"/>
  <c r="AK30" i="1"/>
  <c r="F30" i="1" s="1"/>
  <c r="AK33" i="19"/>
  <c r="AD161" i="1"/>
  <c r="AD164" i="19"/>
  <c r="AE125" i="1"/>
  <c r="AE128" i="19"/>
  <c r="AJ182" i="1"/>
  <c r="E182" i="1" s="1"/>
  <c r="AJ185" i="19"/>
  <c r="E184" i="19"/>
  <c r="L10" i="6"/>
  <c r="K43" i="6"/>
  <c r="T69" i="37"/>
  <c r="T83" i="37" s="1"/>
  <c r="U64" i="37"/>
  <c r="AD174" i="1"/>
  <c r="AD177" i="19"/>
  <c r="AJ41" i="1"/>
  <c r="E41" i="1" s="1"/>
  <c r="E43" i="19"/>
  <c r="AJ44" i="19"/>
  <c r="X62" i="37"/>
  <c r="Y58" i="37"/>
  <c r="AK205" i="1"/>
  <c r="F205" i="1" s="1"/>
  <c r="AK208" i="19"/>
  <c r="F207" i="19"/>
  <c r="AJ16" i="1"/>
  <c r="E16" i="1" s="1"/>
  <c r="AD17" i="3" s="1"/>
  <c r="AJ19" i="19"/>
  <c r="E18" i="19"/>
  <c r="T116" i="37"/>
  <c r="S129" i="37"/>
  <c r="AC208" i="1"/>
  <c r="AC211" i="19"/>
  <c r="AJ76" i="1"/>
  <c r="E76" i="1" s="1"/>
  <c r="E78" i="19"/>
  <c r="AJ79" i="19"/>
  <c r="U38" i="37"/>
  <c r="T99" i="37"/>
  <c r="T128" i="37" s="1"/>
  <c r="L27" i="23" s="1"/>
  <c r="Y20" i="21"/>
  <c r="A21" i="21"/>
  <c r="X20" i="21"/>
  <c r="AJ112" i="1"/>
  <c r="E112" i="1" s="1"/>
  <c r="E114" i="19"/>
  <c r="AJ115" i="19"/>
  <c r="AE55" i="1"/>
  <c r="AE58" i="19"/>
  <c r="AE56" i="1" s="1"/>
  <c r="AC28" i="1"/>
  <c r="AC31" i="19"/>
  <c r="F124" i="1"/>
  <c r="AK227" i="1"/>
  <c r="F227" i="1" s="1"/>
  <c r="AK230" i="19"/>
  <c r="F229" i="19"/>
  <c r="AJ162" i="19"/>
  <c r="E161" i="19"/>
  <c r="AJ159" i="1"/>
  <c r="E159" i="1" s="1"/>
  <c r="G17" i="19"/>
  <c r="X16" i="37"/>
  <c r="AG186" i="1"/>
  <c r="AG189" i="19"/>
  <c r="AD90" i="1"/>
  <c r="AD93" i="19"/>
  <c r="AK139" i="19"/>
  <c r="F138" i="19"/>
  <c r="AK136" i="1"/>
  <c r="F136" i="1" s="1"/>
  <c r="J28" i="23"/>
  <c r="J30" i="23"/>
  <c r="J29" i="23"/>
  <c r="AD114" i="1"/>
  <c r="AD117" i="19"/>
  <c r="AJ193" i="1"/>
  <c r="E193" i="1" s="1"/>
  <c r="E195" i="19"/>
  <c r="AJ196" i="19"/>
  <c r="AJ66" i="1"/>
  <c r="AJ69" i="19"/>
  <c r="AK149" i="1"/>
  <c r="F149" i="1" s="1"/>
  <c r="F151" i="19"/>
  <c r="AK152" i="19"/>
  <c r="G58" i="22"/>
  <c r="G40" i="22"/>
  <c r="G41" i="22" s="1"/>
  <c r="G55" i="22"/>
  <c r="G60" i="22" s="1"/>
  <c r="G63" i="22" s="1"/>
  <c r="AG17" i="1"/>
  <c r="AG20" i="19"/>
  <c r="AC160" i="1"/>
  <c r="AC163" i="19"/>
  <c r="AJ53" i="1"/>
  <c r="E53" i="1" s="1"/>
  <c r="AJ56" i="19"/>
  <c r="E55" i="19"/>
  <c r="AE245" i="1"/>
  <c r="AE248" i="19"/>
  <c r="AG30" i="1"/>
  <c r="AG33" i="19"/>
  <c r="L42" i="23"/>
  <c r="L112" i="23" s="1"/>
  <c r="L114" i="23" s="1"/>
  <c r="L39" i="4" s="1"/>
  <c r="U130" i="37"/>
  <c r="AJ226" i="1"/>
  <c r="E226" i="1" s="1"/>
  <c r="AJ229" i="19"/>
  <c r="E228" i="19"/>
  <c r="F60" i="22"/>
  <c r="F63" i="22" s="1"/>
  <c r="AE17" i="1"/>
  <c r="AE20" i="19"/>
  <c r="AJ123" i="1"/>
  <c r="E123" i="1" s="1"/>
  <c r="AJ126" i="19"/>
  <c r="E125" i="19"/>
  <c r="S93" i="37"/>
  <c r="S122" i="37" s="1"/>
  <c r="AC173" i="1"/>
  <c r="AC176" i="19"/>
  <c r="AE162" i="1"/>
  <c r="AE165" i="19"/>
  <c r="AD198" i="1"/>
  <c r="AD201" i="19"/>
  <c r="AJ204" i="1"/>
  <c r="E204" i="1" s="1"/>
  <c r="E206" i="19"/>
  <c r="AJ207" i="19"/>
  <c r="E65" i="1"/>
  <c r="AD19" i="1"/>
  <c r="AD22" i="19"/>
  <c r="AD20" i="1" s="1"/>
  <c r="H56" i="22"/>
  <c r="I52" i="22" s="1"/>
  <c r="H53" i="22"/>
  <c r="E15" i="21"/>
  <c r="E15" i="20" s="1"/>
  <c r="U15" i="21"/>
  <c r="U15" i="20" s="1"/>
  <c r="I15" i="21"/>
  <c r="I15" i="20" s="1"/>
  <c r="G15" i="21"/>
  <c r="G15" i="20" s="1"/>
  <c r="L15" i="21"/>
  <c r="L15" i="20" s="1"/>
  <c r="C15" i="21"/>
  <c r="C15" i="20" s="1"/>
  <c r="M15" i="21"/>
  <c r="M15" i="20" s="1"/>
  <c r="P15" i="21"/>
  <c r="P15" i="20" s="1"/>
  <c r="F15" i="21"/>
  <c r="F15" i="20" s="1"/>
  <c r="Q15" i="21"/>
  <c r="Q15" i="20" s="1"/>
  <c r="S15" i="21"/>
  <c r="S15" i="20" s="1"/>
  <c r="R15" i="21"/>
  <c r="R15" i="20" s="1"/>
  <c r="O15" i="21"/>
  <c r="O15" i="20" s="1"/>
  <c r="B15" i="21"/>
  <c r="J15" i="21"/>
  <c r="J15" i="20" s="1"/>
  <c r="K15" i="21"/>
  <c r="K15" i="20" s="1"/>
  <c r="D15" i="21"/>
  <c r="D15" i="20" s="1"/>
  <c r="H15" i="21"/>
  <c r="H15" i="20" s="1"/>
  <c r="N15" i="21"/>
  <c r="N15" i="20" s="1"/>
  <c r="T15" i="21"/>
  <c r="T15" i="20" s="1"/>
  <c r="AJ100" i="1"/>
  <c r="E100" i="1" s="1"/>
  <c r="AJ103" i="19"/>
  <c r="E102" i="19"/>
  <c r="AJ215" i="1"/>
  <c r="E215" i="1" s="1"/>
  <c r="E217" i="19"/>
  <c r="AJ218" i="19"/>
  <c r="AC136" i="1"/>
  <c r="AC139" i="19"/>
  <c r="AE138" i="1"/>
  <c r="AE141" i="19"/>
  <c r="AG150" i="1"/>
  <c r="AG153" i="19"/>
  <c r="A21" i="2"/>
  <c r="Z20" i="2"/>
  <c r="AA20" i="2"/>
  <c r="Z20" i="3" s="1"/>
  <c r="AK194" i="1"/>
  <c r="F194" i="1" s="1"/>
  <c r="AK197" i="19"/>
  <c r="F196" i="19"/>
  <c r="AE197" i="1"/>
  <c r="AE200" i="19"/>
  <c r="AJ135" i="1"/>
  <c r="E135" i="1" s="1"/>
  <c r="E137" i="19"/>
  <c r="AJ138" i="19"/>
  <c r="AC125" i="1"/>
  <c r="AC128" i="19"/>
  <c r="AG114" i="1"/>
  <c r="AG117" i="19"/>
  <c r="U66" i="37"/>
  <c r="V66" i="37" s="1"/>
  <c r="W66" i="37" s="1"/>
  <c r="X66" i="37" s="1"/>
  <c r="Y66" i="37" s="1"/>
  <c r="Z66" i="37" s="1"/>
  <c r="AA66" i="37" s="1"/>
  <c r="AB66" i="37" s="1"/>
  <c r="AC66" i="37" s="1"/>
  <c r="AD66" i="37" s="1"/>
  <c r="AE66" i="37" s="1"/>
  <c r="AF66" i="37" s="1"/>
  <c r="AG66" i="37" s="1"/>
  <c r="AH66" i="37" s="1"/>
  <c r="AI66" i="37" s="1"/>
  <c r="AJ66" i="37" s="1"/>
  <c r="AK66" i="37" s="1"/>
  <c r="AL66" i="37" s="1"/>
  <c r="AM66" i="37" s="1"/>
  <c r="AN66" i="37" s="1"/>
  <c r="AO66" i="37" s="1"/>
  <c r="AQ66" i="37" s="1"/>
  <c r="AK102" i="1"/>
  <c r="F102" i="1" s="1"/>
  <c r="AK105" i="19"/>
  <c r="F104" i="19"/>
  <c r="AJ147" i="1"/>
  <c r="E147" i="1" s="1"/>
  <c r="AJ150" i="19"/>
  <c r="E149" i="19"/>
  <c r="AG163" i="1"/>
  <c r="AG166" i="19"/>
  <c r="AG164" i="1" s="1"/>
  <c r="AJ32" i="19"/>
  <c r="E31" i="19"/>
  <c r="AJ29" i="1"/>
  <c r="E29" i="1" s="1"/>
  <c r="AE103" i="1"/>
  <c r="AE106" i="19"/>
  <c r="AE104" i="1" s="1"/>
  <c r="AG234" i="1"/>
  <c r="AG237" i="19"/>
  <c r="AK40" i="1"/>
  <c r="F40" i="1" s="1"/>
  <c r="F42" i="19"/>
  <c r="AK43" i="19"/>
  <c r="AD223" i="1"/>
  <c r="AD226" i="19"/>
  <c r="AD224" i="1" s="1"/>
  <c r="AG53" i="1"/>
  <c r="AG56" i="19"/>
  <c r="L29" i="23"/>
  <c r="L28" i="23"/>
  <c r="L30" i="23"/>
  <c r="AG125" i="1"/>
  <c r="AG128" i="19"/>
  <c r="Z11" i="37"/>
  <c r="AD79" i="1"/>
  <c r="AD82" i="19"/>
  <c r="AD80" i="1" s="1"/>
  <c r="AD65" i="1"/>
  <c r="AD68" i="19"/>
  <c r="AD210" i="1"/>
  <c r="AD213" i="19"/>
  <c r="AE209" i="1"/>
  <c r="AE212" i="19"/>
  <c r="S92" i="37"/>
  <c r="S42" i="37"/>
  <c r="S86" i="37" s="1"/>
  <c r="AC112" i="1"/>
  <c r="AC115" i="19"/>
  <c r="AD104" i="19"/>
  <c r="AD101" i="1"/>
  <c r="AG65" i="1"/>
  <c r="AG68" i="19"/>
  <c r="F43" i="22"/>
  <c r="F42" i="22"/>
  <c r="X97" i="37"/>
  <c r="X126" i="37" s="1"/>
  <c r="P11" i="23" s="1"/>
  <c r="Y34" i="37"/>
  <c r="V14" i="21"/>
  <c r="B14" i="20"/>
  <c r="AJ238" i="1"/>
  <c r="E238" i="1" s="1"/>
  <c r="AJ241" i="19"/>
  <c r="E240" i="19"/>
  <c r="S108" i="37"/>
  <c r="R118" i="37"/>
  <c r="AK64" i="1"/>
  <c r="F64" i="1" s="1"/>
  <c r="AK67" i="19"/>
  <c r="F66" i="19"/>
  <c r="AE234" i="1"/>
  <c r="AE237" i="19"/>
  <c r="X106" i="37"/>
  <c r="Y3" i="37"/>
  <c r="W98" i="37"/>
  <c r="X36" i="37"/>
  <c r="AE186" i="1"/>
  <c r="AE189" i="19"/>
  <c r="AG88" i="1"/>
  <c r="AG91" i="19"/>
  <c r="AC76" i="1"/>
  <c r="AC79" i="19"/>
  <c r="AC220" i="1"/>
  <c r="AC223" i="19"/>
  <c r="AC52" i="1"/>
  <c r="AC55" i="19"/>
  <c r="R102" i="37"/>
  <c r="AG245" i="1"/>
  <c r="AG248" i="19"/>
  <c r="AG138" i="1"/>
  <c r="AG141" i="19"/>
  <c r="AD185" i="1"/>
  <c r="AD188" i="19"/>
  <c r="AE221" i="1"/>
  <c r="AE224" i="19"/>
  <c r="T114" i="37"/>
  <c r="S127" i="37"/>
  <c r="K16" i="23" s="1"/>
  <c r="X92" i="37"/>
  <c r="AA95" i="37"/>
  <c r="AA124" i="37" s="1"/>
  <c r="AB73" i="37"/>
  <c r="T93" i="37"/>
  <c r="T122" i="37" s="1"/>
  <c r="AG139" i="1" l="1"/>
  <c r="AG142" i="19"/>
  <c r="AG140" i="1" s="1"/>
  <c r="AE198" i="1"/>
  <c r="AE201" i="19"/>
  <c r="AJ216" i="1"/>
  <c r="E216" i="1" s="1"/>
  <c r="E218" i="19"/>
  <c r="AJ219" i="19"/>
  <c r="A22" i="21"/>
  <c r="X21" i="21"/>
  <c r="Y21" i="21"/>
  <c r="AJ42" i="1"/>
  <c r="E42" i="1" s="1"/>
  <c r="E44" i="19"/>
  <c r="AJ45" i="19"/>
  <c r="AD151" i="1"/>
  <c r="AD154" i="19"/>
  <c r="AD152" i="1" s="1"/>
  <c r="AG89" i="1"/>
  <c r="AG92" i="19"/>
  <c r="Z34" i="37"/>
  <c r="Y97" i="37"/>
  <c r="Y126" i="37" s="1"/>
  <c r="Q11" i="23" s="1"/>
  <c r="AJ30" i="1"/>
  <c r="E30" i="1" s="1"/>
  <c r="AJ33" i="19"/>
  <c r="E32" i="19"/>
  <c r="AG151" i="1"/>
  <c r="AG154" i="19"/>
  <c r="AG152" i="1" s="1"/>
  <c r="AK78" i="1"/>
  <c r="F78" i="1" s="1"/>
  <c r="AK81" i="19"/>
  <c r="F80" i="19"/>
  <c r="AG198" i="1"/>
  <c r="AG201" i="19"/>
  <c r="AC174" i="1"/>
  <c r="AC177" i="19"/>
  <c r="AC221" i="1"/>
  <c r="AC224" i="19"/>
  <c r="AJ239" i="1"/>
  <c r="E239" i="1" s="1"/>
  <c r="AJ242" i="19"/>
  <c r="E241" i="19"/>
  <c r="AC113" i="1"/>
  <c r="AC116" i="19"/>
  <c r="AD66" i="1"/>
  <c r="E66" i="1" s="1"/>
  <c r="AD69" i="19"/>
  <c r="AJ136" i="1"/>
  <c r="E136" i="1" s="1"/>
  <c r="E138" i="19"/>
  <c r="AJ139" i="19"/>
  <c r="AC164" i="19"/>
  <c r="AC161" i="1"/>
  <c r="AC29" i="1"/>
  <c r="AC32" i="19"/>
  <c r="U116" i="37"/>
  <c r="T129" i="37"/>
  <c r="AE129" i="19"/>
  <c r="AE126" i="1"/>
  <c r="AE78" i="1"/>
  <c r="AE81" i="19"/>
  <c r="AK17" i="1"/>
  <c r="F17" i="1" s="1"/>
  <c r="AF18" i="3" s="1"/>
  <c r="F19" i="19"/>
  <c r="AK20" i="19"/>
  <c r="AB17" i="1"/>
  <c r="D17" i="1" s="1"/>
  <c r="AB18" i="3" s="1"/>
  <c r="D19" i="19"/>
  <c r="AB20" i="19"/>
  <c r="AE150" i="1"/>
  <c r="AE153" i="19"/>
  <c r="R42" i="6"/>
  <c r="Q14" i="4"/>
  <c r="AB95" i="37"/>
  <c r="AB124" i="37" s="1"/>
  <c r="AC73" i="37"/>
  <c r="AK65" i="1"/>
  <c r="F65" i="1" s="1"/>
  <c r="AK68" i="19"/>
  <c r="F67" i="19"/>
  <c r="AG66" i="1"/>
  <c r="AG69" i="19"/>
  <c r="AJ148" i="1"/>
  <c r="E148" i="1" s="1"/>
  <c r="AJ151" i="19"/>
  <c r="E150" i="19"/>
  <c r="AC137" i="1"/>
  <c r="AC140" i="19"/>
  <c r="AE163" i="1"/>
  <c r="AE166" i="19"/>
  <c r="AE164" i="1" s="1"/>
  <c r="K20" i="23"/>
  <c r="K31" i="23"/>
  <c r="K19" i="23"/>
  <c r="K17" i="23"/>
  <c r="K18" i="23"/>
  <c r="AE246" i="1"/>
  <c r="AE249" i="19"/>
  <c r="G42" i="22"/>
  <c r="G43" i="22" s="1"/>
  <c r="AK137" i="1"/>
  <c r="F137" i="1" s="1"/>
  <c r="F139" i="19"/>
  <c r="AK140" i="19"/>
  <c r="Y16" i="37"/>
  <c r="AJ77" i="1"/>
  <c r="E77" i="1" s="1"/>
  <c r="AJ80" i="19"/>
  <c r="E79" i="19"/>
  <c r="Y62" i="37"/>
  <c r="Z58" i="37"/>
  <c r="U69" i="37"/>
  <c r="U83" i="37" s="1"/>
  <c r="V64" i="37"/>
  <c r="D16" i="1"/>
  <c r="AB17" i="3" s="1"/>
  <c r="AD138" i="1"/>
  <c r="AD141" i="19"/>
  <c r="AG222" i="1"/>
  <c r="AG225" i="19"/>
  <c r="AG77" i="1"/>
  <c r="AG80" i="19"/>
  <c r="AK97" i="37"/>
  <c r="AK126" i="37" s="1"/>
  <c r="AC11" i="23" s="1"/>
  <c r="AL77" i="37"/>
  <c r="W32" i="37"/>
  <c r="V96" i="37"/>
  <c r="V125" i="37" s="1"/>
  <c r="AK164" i="19"/>
  <c r="AK161" i="1"/>
  <c r="F161" i="1" s="1"/>
  <c r="F163" i="19"/>
  <c r="W14" i="20"/>
  <c r="AC14" i="20"/>
  <c r="Y14" i="20"/>
  <c r="AA14" i="20"/>
  <c r="Z21" i="2"/>
  <c r="A22" i="2"/>
  <c r="AA21" i="2"/>
  <c r="Z21" i="3" s="1"/>
  <c r="AA21" i="3" s="1"/>
  <c r="AG211" i="1"/>
  <c r="AG214" i="19"/>
  <c r="AG212" i="1" s="1"/>
  <c r="AC102" i="1"/>
  <c r="AC105" i="19"/>
  <c r="Z3" i="37"/>
  <c r="Y106" i="37"/>
  <c r="AE210" i="1"/>
  <c r="AE213" i="19"/>
  <c r="AG115" i="1"/>
  <c r="AG118" i="19"/>
  <c r="AG116" i="1" s="1"/>
  <c r="AJ205" i="1"/>
  <c r="E205" i="1" s="1"/>
  <c r="E207" i="19"/>
  <c r="AJ208" i="19"/>
  <c r="AJ124" i="1"/>
  <c r="E124" i="1" s="1"/>
  <c r="E126" i="19"/>
  <c r="AJ127" i="19"/>
  <c r="AG18" i="1"/>
  <c r="AG21" i="19"/>
  <c r="AC209" i="1"/>
  <c r="AC212" i="19"/>
  <c r="F219" i="19"/>
  <c r="AK217" i="1"/>
  <c r="F217" i="1" s="1"/>
  <c r="AK220" i="19"/>
  <c r="L17" i="23"/>
  <c r="L19" i="23"/>
  <c r="L20" i="23"/>
  <c r="L18" i="23"/>
  <c r="L31" i="23"/>
  <c r="AG126" i="1"/>
  <c r="AG129" i="19"/>
  <c r="V15" i="21"/>
  <c r="B15" i="20"/>
  <c r="AD115" i="1"/>
  <c r="AD118" i="19"/>
  <c r="AD116" i="1" s="1"/>
  <c r="AK173" i="1"/>
  <c r="F173" i="1" s="1"/>
  <c r="F175" i="19"/>
  <c r="AK176" i="19"/>
  <c r="S14" i="23"/>
  <c r="S12" i="23"/>
  <c r="S13" i="23"/>
  <c r="S15" i="23"/>
  <c r="U114" i="37"/>
  <c r="T127" i="37"/>
  <c r="L16" i="23" s="1"/>
  <c r="AC53" i="1"/>
  <c r="AC56" i="19"/>
  <c r="AC77" i="1"/>
  <c r="AC80" i="19"/>
  <c r="X98" i="37"/>
  <c r="Y36" i="37"/>
  <c r="AK41" i="1"/>
  <c r="F41" i="1" s="1"/>
  <c r="F43" i="19"/>
  <c r="AK44" i="19"/>
  <c r="AJ227" i="1"/>
  <c r="E227" i="1" s="1"/>
  <c r="AJ230" i="19"/>
  <c r="E229" i="19"/>
  <c r="AD91" i="1"/>
  <c r="AD94" i="19"/>
  <c r="AD92" i="1" s="1"/>
  <c r="AJ163" i="19"/>
  <c r="AJ160" i="1"/>
  <c r="E160" i="1" s="1"/>
  <c r="E162" i="19"/>
  <c r="AJ17" i="1"/>
  <c r="E17" i="1" s="1"/>
  <c r="AD18" i="3" s="1"/>
  <c r="AJ20" i="19"/>
  <c r="E19" i="19"/>
  <c r="T86" i="37"/>
  <c r="AD162" i="1"/>
  <c r="AD165" i="19"/>
  <c r="AC233" i="1"/>
  <c r="AC236" i="19"/>
  <c r="AC89" i="1"/>
  <c r="AC92" i="19"/>
  <c r="Y40" i="37"/>
  <c r="X100" i="37"/>
  <c r="W19" i="37"/>
  <c r="V25" i="37"/>
  <c r="AG42" i="1"/>
  <c r="AG45" i="19"/>
  <c r="AC149" i="1"/>
  <c r="AC152" i="19"/>
  <c r="AD127" i="1"/>
  <c r="AD130" i="19"/>
  <c r="AD128" i="1" s="1"/>
  <c r="AK150" i="1"/>
  <c r="F152" i="19"/>
  <c r="AK153" i="19"/>
  <c r="U93" i="37"/>
  <c r="U122" i="37" s="1"/>
  <c r="AC42" i="1"/>
  <c r="AC45" i="19"/>
  <c r="AJ194" i="1"/>
  <c r="E194" i="1" s="1"/>
  <c r="E196" i="19"/>
  <c r="AJ197" i="19"/>
  <c r="AK228" i="1"/>
  <c r="F228" i="1" s="1"/>
  <c r="F230" i="19"/>
  <c r="AK231" i="19"/>
  <c r="AK31" i="1"/>
  <c r="F31" i="1" s="1"/>
  <c r="F33" i="19"/>
  <c r="AK34" i="19"/>
  <c r="U13" i="37"/>
  <c r="AQ8" i="37"/>
  <c r="AI96" i="37"/>
  <c r="AI125" i="37" s="1"/>
  <c r="AA10" i="23" s="1"/>
  <c r="AJ75" i="37"/>
  <c r="AD186" i="1"/>
  <c r="AD189" i="19"/>
  <c r="AG246" i="1"/>
  <c r="AG249" i="19"/>
  <c r="AE187" i="1"/>
  <c r="AE190" i="19"/>
  <c r="AE188" i="1" s="1"/>
  <c r="AE238" i="19"/>
  <c r="AE236" i="1" s="1"/>
  <c r="AE235" i="1"/>
  <c r="T108" i="37"/>
  <c r="S118" i="37"/>
  <c r="AD211" i="1"/>
  <c r="AD214" i="19"/>
  <c r="AD212" i="1" s="1"/>
  <c r="Z13" i="37"/>
  <c r="AQ11" i="37"/>
  <c r="AG54" i="1"/>
  <c r="AG57" i="19"/>
  <c r="AC126" i="1"/>
  <c r="AC129" i="19"/>
  <c r="H40" i="22"/>
  <c r="H41" i="22" s="1"/>
  <c r="H55" i="22"/>
  <c r="H58" i="22"/>
  <c r="AE18" i="1"/>
  <c r="AE21" i="19"/>
  <c r="AJ67" i="1"/>
  <c r="AJ70" i="19"/>
  <c r="E69" i="19"/>
  <c r="R16" i="21"/>
  <c r="R16" i="20" s="1"/>
  <c r="T16" i="21"/>
  <c r="T16" i="20" s="1"/>
  <c r="M16" i="21"/>
  <c r="M16" i="20" s="1"/>
  <c r="K16" i="21"/>
  <c r="K16" i="20" s="1"/>
  <c r="O16" i="21"/>
  <c r="O16" i="20" s="1"/>
  <c r="F16" i="21"/>
  <c r="F16" i="20" s="1"/>
  <c r="S16" i="21"/>
  <c r="S16" i="20" s="1"/>
  <c r="B16" i="21"/>
  <c r="P16" i="21"/>
  <c r="P16" i="20" s="1"/>
  <c r="N16" i="21"/>
  <c r="N16" i="20" s="1"/>
  <c r="L16" i="21"/>
  <c r="L16" i="20" s="1"/>
  <c r="C16" i="21"/>
  <c r="C16" i="20" s="1"/>
  <c r="H16" i="21"/>
  <c r="H16" i="20" s="1"/>
  <c r="I16" i="21"/>
  <c r="I16" i="20" s="1"/>
  <c r="D16" i="21"/>
  <c r="D16" i="20" s="1"/>
  <c r="E16" i="21"/>
  <c r="E16" i="20" s="1"/>
  <c r="G16" i="21"/>
  <c r="G16" i="20" s="1"/>
  <c r="J16" i="21"/>
  <c r="J16" i="20" s="1"/>
  <c r="U16" i="21"/>
  <c r="U16" i="20" s="1"/>
  <c r="Q16" i="21"/>
  <c r="Q16" i="20" s="1"/>
  <c r="U99" i="37"/>
  <c r="U128" i="37" s="1"/>
  <c r="M27" i="23" s="1"/>
  <c r="V38" i="37"/>
  <c r="AD175" i="1"/>
  <c r="AD178" i="19"/>
  <c r="AD176" i="1" s="1"/>
  <c r="AJ186" i="19"/>
  <c r="AJ183" i="1"/>
  <c r="E183" i="1" s="1"/>
  <c r="E185" i="19"/>
  <c r="AJ172" i="1"/>
  <c r="E172" i="1" s="1"/>
  <c r="E174" i="19"/>
  <c r="AJ175" i="19"/>
  <c r="AD234" i="1"/>
  <c r="AD237" i="19"/>
  <c r="V94" i="37"/>
  <c r="V123" i="37" s="1"/>
  <c r="W27" i="37"/>
  <c r="Z28" i="23"/>
  <c r="Z30" i="23"/>
  <c r="Z29" i="23"/>
  <c r="AK126" i="1"/>
  <c r="F126" i="1" s="1"/>
  <c r="F128" i="19"/>
  <c r="AK129" i="19"/>
  <c r="AG174" i="1"/>
  <c r="AG177" i="19"/>
  <c r="AC246" i="1"/>
  <c r="AC249" i="19"/>
  <c r="T42" i="37"/>
  <c r="T92" i="37"/>
  <c r="AC17" i="1"/>
  <c r="AC20" i="19"/>
  <c r="AK240" i="1"/>
  <c r="F240" i="1" s="1"/>
  <c r="AK243" i="19"/>
  <c r="F242" i="19"/>
  <c r="M12" i="23"/>
  <c r="M14" i="23"/>
  <c r="M13" i="23"/>
  <c r="M15" i="23"/>
  <c r="AE222" i="1"/>
  <c r="AE225" i="19"/>
  <c r="S102" i="37"/>
  <c r="S121" i="37"/>
  <c r="J20" i="23"/>
  <c r="J17" i="23"/>
  <c r="J18" i="23"/>
  <c r="J31" i="23"/>
  <c r="J19" i="23"/>
  <c r="AD102" i="1"/>
  <c r="AD105" i="19"/>
  <c r="AK103" i="1"/>
  <c r="F103" i="1" s="1"/>
  <c r="AK106" i="19"/>
  <c r="F105" i="19"/>
  <c r="M42" i="23"/>
  <c r="M112" i="23" s="1"/>
  <c r="M114" i="23" s="1"/>
  <c r="M39" i="4" s="1"/>
  <c r="V130" i="37"/>
  <c r="L43" i="6"/>
  <c r="M10" i="6"/>
  <c r="AK184" i="1"/>
  <c r="F184" i="1" s="1"/>
  <c r="AK187" i="19"/>
  <c r="F186" i="19"/>
  <c r="AE174" i="1"/>
  <c r="AE177" i="19"/>
  <c r="AG235" i="1"/>
  <c r="AG238" i="19"/>
  <c r="AG236" i="1" s="1"/>
  <c r="AJ54" i="1"/>
  <c r="E54" i="1" s="1"/>
  <c r="E56" i="19"/>
  <c r="AJ57" i="19"/>
  <c r="AC65" i="1"/>
  <c r="AC68" i="19"/>
  <c r="AE90" i="1"/>
  <c r="AE93" i="19"/>
  <c r="AK113" i="1"/>
  <c r="F113" i="1" s="1"/>
  <c r="AK116" i="19"/>
  <c r="F115" i="19"/>
  <c r="AJ89" i="1"/>
  <c r="E89" i="1" s="1"/>
  <c r="E91" i="19"/>
  <c r="AJ92" i="19"/>
  <c r="AE114" i="1"/>
  <c r="AE117" i="19"/>
  <c r="AK195" i="1"/>
  <c r="F195" i="1" s="1"/>
  <c r="AK198" i="19"/>
  <c r="F197" i="19"/>
  <c r="AE139" i="1"/>
  <c r="AE142" i="19"/>
  <c r="AE140" i="1" s="1"/>
  <c r="AJ101" i="1"/>
  <c r="E101" i="1" s="1"/>
  <c r="AJ104" i="19"/>
  <c r="E103" i="19"/>
  <c r="I53" i="22"/>
  <c r="I56" i="22"/>
  <c r="J52" i="22" s="1"/>
  <c r="AD199" i="1"/>
  <c r="AD202" i="19"/>
  <c r="AD200" i="1" s="1"/>
  <c r="AG31" i="1"/>
  <c r="AG34" i="19"/>
  <c r="AG32" i="1" s="1"/>
  <c r="E68" i="19"/>
  <c r="AG190" i="19"/>
  <c r="AG188" i="1" s="1"/>
  <c r="AG187" i="1"/>
  <c r="AJ113" i="1"/>
  <c r="E113" i="1" s="1"/>
  <c r="E115" i="19"/>
  <c r="AJ116" i="19"/>
  <c r="K39" i="23"/>
  <c r="K41" i="23"/>
  <c r="K38" i="23"/>
  <c r="K40" i="23"/>
  <c r="K37" i="23"/>
  <c r="K36" i="23"/>
  <c r="AK206" i="1"/>
  <c r="F206" i="1" s="1"/>
  <c r="F208" i="19"/>
  <c r="AK209" i="19"/>
  <c r="G18" i="19"/>
  <c r="AC188" i="19"/>
  <c r="AC185" i="1"/>
  <c r="AK53" i="1"/>
  <c r="F53" i="1" s="1"/>
  <c r="F55" i="19"/>
  <c r="AK56" i="19"/>
  <c r="M29" i="23"/>
  <c r="M28" i="23"/>
  <c r="M30" i="23"/>
  <c r="AJ71" i="37"/>
  <c r="AI94" i="37"/>
  <c r="AI123" i="37" s="1"/>
  <c r="AC198" i="1"/>
  <c r="AC201" i="19"/>
  <c r="AD247" i="1"/>
  <c r="AD250" i="19"/>
  <c r="AD248" i="1" s="1"/>
  <c r="AK92" i="19"/>
  <c r="AK89" i="1"/>
  <c r="F89" i="1" s="1"/>
  <c r="F91" i="19"/>
  <c r="W30" i="37"/>
  <c r="V95" i="37"/>
  <c r="V124" i="37" s="1"/>
  <c r="AK90" i="1" l="1"/>
  <c r="F90" i="1" s="1"/>
  <c r="AK93" i="19"/>
  <c r="F92" i="19"/>
  <c r="AA22" i="2"/>
  <c r="Z22" i="2"/>
  <c r="A23" i="2"/>
  <c r="AJ195" i="1"/>
  <c r="E195" i="1" s="1"/>
  <c r="E197" i="19"/>
  <c r="AJ198" i="19"/>
  <c r="AC153" i="19"/>
  <c r="AC150" i="1"/>
  <c r="AC78" i="1"/>
  <c r="AC81" i="19"/>
  <c r="N10" i="23"/>
  <c r="AJ78" i="1"/>
  <c r="E78" i="1" s="1"/>
  <c r="AJ81" i="19"/>
  <c r="E80" i="19"/>
  <c r="A23" i="21"/>
  <c r="X22" i="21"/>
  <c r="Y22" i="21"/>
  <c r="AC186" i="1"/>
  <c r="AC189" i="19"/>
  <c r="W25" i="37"/>
  <c r="X19" i="37"/>
  <c r="AK138" i="1"/>
  <c r="F138" i="1" s="1"/>
  <c r="AK141" i="19"/>
  <c r="F140" i="19"/>
  <c r="AE91" i="1"/>
  <c r="AE94" i="19"/>
  <c r="AE92" i="1" s="1"/>
  <c r="AK66" i="1"/>
  <c r="F66" i="1" s="1"/>
  <c r="AK69" i="19"/>
  <c r="F68" i="19"/>
  <c r="AK18" i="1"/>
  <c r="F18" i="1" s="1"/>
  <c r="AF19" i="3" s="1"/>
  <c r="F20" i="19"/>
  <c r="AK21" i="19"/>
  <c r="V116" i="37"/>
  <c r="U129" i="37"/>
  <c r="AC114" i="1"/>
  <c r="AC117" i="19"/>
  <c r="AC175" i="1"/>
  <c r="AC178" i="19"/>
  <c r="AC176" i="1" s="1"/>
  <c r="AG90" i="1"/>
  <c r="AG93" i="19"/>
  <c r="AC199" i="1"/>
  <c r="AC202" i="19"/>
  <c r="AC200" i="1" s="1"/>
  <c r="AC18" i="1"/>
  <c r="AC21" i="19"/>
  <c r="W38" i="37"/>
  <c r="V99" i="37"/>
  <c r="V128" i="37" s="1"/>
  <c r="N27" i="23" s="1"/>
  <c r="AJ96" i="37"/>
  <c r="AJ125" i="37" s="1"/>
  <c r="AB10" i="23" s="1"/>
  <c r="AK75" i="37"/>
  <c r="W15" i="20"/>
  <c r="AA15" i="20"/>
  <c r="Y15" i="20"/>
  <c r="AC15" i="20"/>
  <c r="W96" i="37"/>
  <c r="W125" i="37" s="1"/>
  <c r="O10" i="23" s="1"/>
  <c r="X32" i="37"/>
  <c r="AG223" i="1"/>
  <c r="AG226" i="19"/>
  <c r="AG224" i="1" s="1"/>
  <c r="AC95" i="37"/>
  <c r="AC124" i="37" s="1"/>
  <c r="AD73" i="37"/>
  <c r="AK54" i="1"/>
  <c r="F54" i="1" s="1"/>
  <c r="AK57" i="19"/>
  <c r="F56" i="19"/>
  <c r="AK188" i="19"/>
  <c r="AK185" i="1"/>
  <c r="F185" i="1" s="1"/>
  <c r="F187" i="19"/>
  <c r="AG175" i="1"/>
  <c r="AG178" i="19"/>
  <c r="AG176" i="1" s="1"/>
  <c r="Z92" i="37"/>
  <c r="AC90" i="1"/>
  <c r="AC93" i="19"/>
  <c r="AC54" i="1"/>
  <c r="AC57" i="19"/>
  <c r="V69" i="37"/>
  <c r="V83" i="37" s="1"/>
  <c r="W64" i="37"/>
  <c r="T12" i="23"/>
  <c r="T15" i="23"/>
  <c r="T13" i="23"/>
  <c r="T14" i="23"/>
  <c r="AE79" i="1"/>
  <c r="AE82" i="19"/>
  <c r="AE80" i="1" s="1"/>
  <c r="AJ240" i="1"/>
  <c r="E240" i="1" s="1"/>
  <c r="E242" i="19"/>
  <c r="AJ243" i="19"/>
  <c r="AG199" i="1"/>
  <c r="AG202" i="19"/>
  <c r="AG200" i="1" s="1"/>
  <c r="AK114" i="1"/>
  <c r="F114" i="1" s="1"/>
  <c r="AK117" i="19"/>
  <c r="F116" i="19"/>
  <c r="N30" i="23"/>
  <c r="N28" i="23"/>
  <c r="N29" i="23"/>
  <c r="AG247" i="1"/>
  <c r="AG250" i="19"/>
  <c r="AG248" i="1" s="1"/>
  <c r="AQ13" i="37"/>
  <c r="AK229" i="1"/>
  <c r="F229" i="1" s="1"/>
  <c r="AK232" i="19"/>
  <c r="F231" i="19"/>
  <c r="AG43" i="1"/>
  <c r="AG46" i="19"/>
  <c r="AG44" i="1" s="1"/>
  <c r="AG127" i="1"/>
  <c r="AG130" i="19"/>
  <c r="AG128" i="1" s="1"/>
  <c r="AK218" i="1"/>
  <c r="F218" i="1" s="1"/>
  <c r="F220" i="19"/>
  <c r="AK221" i="19"/>
  <c r="AJ125" i="1"/>
  <c r="E125" i="1" s="1"/>
  <c r="E127" i="19"/>
  <c r="AJ128" i="19"/>
  <c r="AE211" i="1"/>
  <c r="AE214" i="19"/>
  <c r="AE212" i="1" s="1"/>
  <c r="AM77" i="37"/>
  <c r="AL97" i="37"/>
  <c r="AL126" i="37" s="1"/>
  <c r="AD11" i="23" s="1"/>
  <c r="AE247" i="1"/>
  <c r="AE250" i="19"/>
  <c r="AE248" i="1" s="1"/>
  <c r="AG67" i="1"/>
  <c r="AG70" i="19"/>
  <c r="AG68" i="1" s="1"/>
  <c r="AJ31" i="1"/>
  <c r="E31" i="1" s="1"/>
  <c r="AJ34" i="19"/>
  <c r="E33" i="19"/>
  <c r="AJ43" i="1"/>
  <c r="E43" i="1" s="1"/>
  <c r="E45" i="19"/>
  <c r="AJ46" i="19"/>
  <c r="Y98" i="37"/>
  <c r="Z36" i="37"/>
  <c r="AJ206" i="1"/>
  <c r="E206" i="1" s="1"/>
  <c r="E208" i="19"/>
  <c r="AJ209" i="19"/>
  <c r="Z97" i="37"/>
  <c r="Z126" i="37" s="1"/>
  <c r="R11" i="23" s="1"/>
  <c r="AA34" i="37"/>
  <c r="AE175" i="1"/>
  <c r="AE178" i="19"/>
  <c r="AE176" i="1" s="1"/>
  <c r="Y100" i="37"/>
  <c r="Z40" i="37"/>
  <c r="AG19" i="1"/>
  <c r="AG22" i="19"/>
  <c r="AG20" i="1" s="1"/>
  <c r="AJ149" i="1"/>
  <c r="E149" i="1" s="1"/>
  <c r="AJ152" i="19"/>
  <c r="E151" i="19"/>
  <c r="AK104" i="1"/>
  <c r="F104" i="1" s="1"/>
  <c r="F106" i="19"/>
  <c r="AK42" i="1"/>
  <c r="F42" i="1" s="1"/>
  <c r="F44" i="19"/>
  <c r="AK45" i="19"/>
  <c r="AA29" i="23"/>
  <c r="AA28" i="23"/>
  <c r="AA30" i="23"/>
  <c r="AJ102" i="1"/>
  <c r="E102" i="1" s="1"/>
  <c r="E104" i="19"/>
  <c r="AJ105" i="19"/>
  <c r="AE115" i="1"/>
  <c r="AE118" i="19"/>
  <c r="AE116" i="1" s="1"/>
  <c r="M43" i="6"/>
  <c r="N10" i="6"/>
  <c r="AD103" i="1"/>
  <c r="AD106" i="19"/>
  <c r="AD104" i="1" s="1"/>
  <c r="T102" i="37"/>
  <c r="T121" i="37"/>
  <c r="AK127" i="1"/>
  <c r="F127" i="1" s="1"/>
  <c r="AK130" i="19"/>
  <c r="F129" i="19"/>
  <c r="AD235" i="1"/>
  <c r="AD238" i="19"/>
  <c r="AD236" i="1" s="1"/>
  <c r="AJ184" i="1"/>
  <c r="E184" i="1" s="1"/>
  <c r="AJ187" i="19"/>
  <c r="E186" i="19"/>
  <c r="U42" i="37"/>
  <c r="U86" i="37" s="1"/>
  <c r="U92" i="37"/>
  <c r="F150" i="1"/>
  <c r="AC234" i="1"/>
  <c r="AC237" i="19"/>
  <c r="AJ18" i="1"/>
  <c r="E18" i="1" s="1"/>
  <c r="AD19" i="3" s="1"/>
  <c r="E20" i="19"/>
  <c r="AJ21" i="19"/>
  <c r="Z62" i="37"/>
  <c r="AA58" i="37"/>
  <c r="Z16" i="37"/>
  <c r="S42" i="6"/>
  <c r="R14" i="4"/>
  <c r="AB18" i="1"/>
  <c r="D20" i="19"/>
  <c r="AB21" i="19"/>
  <c r="AJ90" i="1"/>
  <c r="E90" i="1" s="1"/>
  <c r="AJ93" i="19"/>
  <c r="E92" i="19"/>
  <c r="AJ55" i="1"/>
  <c r="E55" i="1" s="1"/>
  <c r="AJ58" i="19"/>
  <c r="E57" i="19"/>
  <c r="N42" i="23"/>
  <c r="N112" i="23" s="1"/>
  <c r="N114" i="23" s="1"/>
  <c r="N39" i="4" s="1"/>
  <c r="W130" i="37"/>
  <c r="AC247" i="1"/>
  <c r="AC250" i="19"/>
  <c r="AC248" i="1" s="1"/>
  <c r="AJ173" i="1"/>
  <c r="E173" i="1" s="1"/>
  <c r="AJ176" i="19"/>
  <c r="E175" i="19"/>
  <c r="T118" i="37"/>
  <c r="U108" i="37"/>
  <c r="AC210" i="1"/>
  <c r="AC213" i="19"/>
  <c r="AA3" i="37"/>
  <c r="Z106" i="37"/>
  <c r="L40" i="23"/>
  <c r="L36" i="23"/>
  <c r="L38" i="23"/>
  <c r="L37" i="23"/>
  <c r="L41" i="23"/>
  <c r="L39" i="23"/>
  <c r="P17" i="21"/>
  <c r="P17" i="20" s="1"/>
  <c r="T17" i="21"/>
  <c r="T17" i="20" s="1"/>
  <c r="S17" i="21"/>
  <c r="S17" i="20" s="1"/>
  <c r="B17" i="21"/>
  <c r="F17" i="21"/>
  <c r="F17" i="20" s="1"/>
  <c r="E17" i="21"/>
  <c r="E17" i="20" s="1"/>
  <c r="J17" i="21"/>
  <c r="J17" i="20" s="1"/>
  <c r="Q17" i="21"/>
  <c r="Q17" i="20" s="1"/>
  <c r="U17" i="21"/>
  <c r="U17" i="20" s="1"/>
  <c r="N17" i="21"/>
  <c r="N17" i="20" s="1"/>
  <c r="D17" i="21"/>
  <c r="D17" i="20" s="1"/>
  <c r="I17" i="21"/>
  <c r="I17" i="20" s="1"/>
  <c r="K17" i="21"/>
  <c r="K17" i="20" s="1"/>
  <c r="O17" i="21"/>
  <c r="O17" i="20" s="1"/>
  <c r="H17" i="21"/>
  <c r="H17" i="20" s="1"/>
  <c r="L17" i="21"/>
  <c r="L17" i="20" s="1"/>
  <c r="G17" i="21"/>
  <c r="G17" i="20" s="1"/>
  <c r="M17" i="21"/>
  <c r="M17" i="20" s="1"/>
  <c r="R17" i="21"/>
  <c r="R17" i="20" s="1"/>
  <c r="C17" i="21"/>
  <c r="C17" i="20" s="1"/>
  <c r="AE223" i="1"/>
  <c r="AE226" i="19"/>
  <c r="AE224" i="1" s="1"/>
  <c r="AK241" i="1"/>
  <c r="F241" i="1" s="1"/>
  <c r="F243" i="19"/>
  <c r="AK244" i="19"/>
  <c r="AG55" i="1"/>
  <c r="AG58" i="19"/>
  <c r="AG56" i="1" s="1"/>
  <c r="AK32" i="1"/>
  <c r="F32" i="1" s="1"/>
  <c r="F34" i="19"/>
  <c r="M18" i="23"/>
  <c r="M19" i="23"/>
  <c r="M20" i="23"/>
  <c r="M31" i="23"/>
  <c r="M17" i="23"/>
  <c r="AD163" i="1"/>
  <c r="AD166" i="19"/>
  <c r="AD164" i="1" s="1"/>
  <c r="AC103" i="1"/>
  <c r="AC106" i="19"/>
  <c r="AC104" i="1" s="1"/>
  <c r="AK162" i="1"/>
  <c r="F162" i="1" s="1"/>
  <c r="AK165" i="19"/>
  <c r="F164" i="19"/>
  <c r="AC162" i="1"/>
  <c r="AC165" i="19"/>
  <c r="V16" i="21"/>
  <c r="B16" i="20"/>
  <c r="N12" i="23"/>
  <c r="N14" i="23"/>
  <c r="N15" i="23"/>
  <c r="N13" i="23"/>
  <c r="J56" i="22"/>
  <c r="K52" i="22" s="1"/>
  <c r="J53" i="22"/>
  <c r="AK196" i="1"/>
  <c r="F196" i="1" s="1"/>
  <c r="AK199" i="19"/>
  <c r="F198" i="19"/>
  <c r="AC66" i="1"/>
  <c r="AC69" i="19"/>
  <c r="H60" i="22"/>
  <c r="H63" i="22" s="1"/>
  <c r="AJ161" i="1"/>
  <c r="E161" i="1" s="1"/>
  <c r="E163" i="19"/>
  <c r="AJ164" i="19"/>
  <c r="AC30" i="1"/>
  <c r="AC33" i="19"/>
  <c r="AJ137" i="1"/>
  <c r="E137" i="1" s="1"/>
  <c r="E139" i="19"/>
  <c r="AJ140" i="19"/>
  <c r="X30" i="37"/>
  <c r="W95" i="37"/>
  <c r="W124" i="37" s="1"/>
  <c r="I40" i="22"/>
  <c r="I41" i="22" s="1"/>
  <c r="I58" i="22"/>
  <c r="I55" i="22"/>
  <c r="J43" i="23"/>
  <c r="W94" i="37"/>
  <c r="W123" i="37" s="1"/>
  <c r="X27" i="37"/>
  <c r="AJ68" i="1"/>
  <c r="E68" i="1" s="1"/>
  <c r="E70" i="19"/>
  <c r="H43" i="22"/>
  <c r="H42" i="22"/>
  <c r="AK151" i="1"/>
  <c r="AK154" i="19"/>
  <c r="F153" i="19"/>
  <c r="AK177" i="19"/>
  <c r="AK174" i="1"/>
  <c r="F174" i="1" s="1"/>
  <c r="F176" i="19"/>
  <c r="AJ217" i="1"/>
  <c r="E217" i="1" s="1"/>
  <c r="AJ220" i="19"/>
  <c r="E219" i="19"/>
  <c r="AK207" i="1"/>
  <c r="F207" i="1" s="1"/>
  <c r="AK210" i="19"/>
  <c r="F209" i="19"/>
  <c r="AK71" i="37"/>
  <c r="AJ94" i="37"/>
  <c r="AJ123" i="37" s="1"/>
  <c r="AJ114" i="1"/>
  <c r="E114" i="1" s="1"/>
  <c r="E116" i="19"/>
  <c r="AJ117" i="19"/>
  <c r="K21" i="23"/>
  <c r="K25" i="23"/>
  <c r="K24" i="23"/>
  <c r="K34" i="23"/>
  <c r="K33" i="23"/>
  <c r="K32" i="23"/>
  <c r="K35" i="23"/>
  <c r="K22" i="23"/>
  <c r="K23" i="23"/>
  <c r="K26" i="23"/>
  <c r="S131" i="37"/>
  <c r="AE19" i="1"/>
  <c r="AE22" i="19"/>
  <c r="AE20" i="1" s="1"/>
  <c r="AC127" i="1"/>
  <c r="AC130" i="19"/>
  <c r="AC128" i="1" s="1"/>
  <c r="AD187" i="1"/>
  <c r="AD190" i="19"/>
  <c r="AD188" i="1" s="1"/>
  <c r="AC43" i="1"/>
  <c r="AC46" i="19"/>
  <c r="AC44" i="1" s="1"/>
  <c r="V93" i="37"/>
  <c r="V42" i="37"/>
  <c r="AJ228" i="1"/>
  <c r="E228" i="1" s="1"/>
  <c r="AJ231" i="19"/>
  <c r="E230" i="19"/>
  <c r="V114" i="37"/>
  <c r="U127" i="37"/>
  <c r="M16" i="23" s="1"/>
  <c r="AG78" i="1"/>
  <c r="AG81" i="19"/>
  <c r="AD139" i="1"/>
  <c r="AD142" i="19"/>
  <c r="AD140" i="1" s="1"/>
  <c r="Y92" i="37"/>
  <c r="AC138" i="1"/>
  <c r="AC141" i="19"/>
  <c r="AE151" i="1"/>
  <c r="AE154" i="19"/>
  <c r="AE152" i="1" s="1"/>
  <c r="G19" i="19"/>
  <c r="AE127" i="1"/>
  <c r="AE130" i="19"/>
  <c r="AE128" i="1" s="1"/>
  <c r="AD67" i="1"/>
  <c r="E67" i="1" s="1"/>
  <c r="AD70" i="19"/>
  <c r="AD68" i="1" s="1"/>
  <c r="AC222" i="1"/>
  <c r="AC225" i="19"/>
  <c r="AK79" i="1"/>
  <c r="F79" i="1" s="1"/>
  <c r="AK82" i="19"/>
  <c r="F81" i="19"/>
  <c r="AE199" i="1"/>
  <c r="AE202" i="19"/>
  <c r="AE200" i="1" s="1"/>
  <c r="AK115" i="1" l="1"/>
  <c r="F115" i="1" s="1"/>
  <c r="AK118" i="19"/>
  <c r="F117" i="19"/>
  <c r="X96" i="37"/>
  <c r="X125" i="37" s="1"/>
  <c r="P10" i="23" s="1"/>
  <c r="Y32" i="37"/>
  <c r="X23" i="21"/>
  <c r="Y23" i="21"/>
  <c r="A24" i="21"/>
  <c r="V17" i="21"/>
  <c r="B17" i="20"/>
  <c r="E46" i="19"/>
  <c r="AJ44" i="1"/>
  <c r="E44" i="1" s="1"/>
  <c r="X64" i="37"/>
  <c r="W69" i="37"/>
  <c r="W83" i="37" s="1"/>
  <c r="W86" i="37" s="1"/>
  <c r="AK55" i="1"/>
  <c r="F55" i="1" s="1"/>
  <c r="AK58" i="19"/>
  <c r="F57" i="19"/>
  <c r="M41" i="23"/>
  <c r="M36" i="23"/>
  <c r="M37" i="23"/>
  <c r="M39" i="23"/>
  <c r="M40" i="23"/>
  <c r="M38" i="23"/>
  <c r="Y19" i="37"/>
  <c r="X25" i="37"/>
  <c r="AJ196" i="1"/>
  <c r="E196" i="1" s="1"/>
  <c r="E198" i="19"/>
  <c r="AJ199" i="19"/>
  <c r="AK178" i="19"/>
  <c r="AK175" i="1"/>
  <c r="F175" i="1" s="1"/>
  <c r="F177" i="19"/>
  <c r="X95" i="37"/>
  <c r="X124" i="37" s="1"/>
  <c r="Y30" i="37"/>
  <c r="W16" i="20"/>
  <c r="Y16" i="20"/>
  <c r="AA16" i="20"/>
  <c r="AC16" i="20"/>
  <c r="AQ16" i="37"/>
  <c r="U121" i="37"/>
  <c r="U102" i="37"/>
  <c r="AK128" i="1"/>
  <c r="F128" i="1" s="1"/>
  <c r="F130" i="19"/>
  <c r="AJ207" i="1"/>
  <c r="E207" i="1" s="1"/>
  <c r="E209" i="19"/>
  <c r="AJ210" i="19"/>
  <c r="F232" i="19"/>
  <c r="AK230" i="1"/>
  <c r="F230" i="1" s="1"/>
  <c r="AK233" i="19"/>
  <c r="V86" i="37"/>
  <c r="X38" i="37"/>
  <c r="W99" i="37"/>
  <c r="W128" i="37" s="1"/>
  <c r="O27" i="23" s="1"/>
  <c r="W116" i="37"/>
  <c r="V129" i="37"/>
  <c r="W42" i="37"/>
  <c r="V122" i="37"/>
  <c r="V102" i="37"/>
  <c r="AJ115" i="1"/>
  <c r="E115" i="1" s="1"/>
  <c r="AJ118" i="19"/>
  <c r="E117" i="19"/>
  <c r="I42" i="22"/>
  <c r="I43" i="22"/>
  <c r="AD22" i="3"/>
  <c r="AF22" i="3"/>
  <c r="Z22" i="3"/>
  <c r="O15" i="23"/>
  <c r="O12" i="23"/>
  <c r="O14" i="23"/>
  <c r="O13" i="23"/>
  <c r="W114" i="37"/>
  <c r="V127" i="37"/>
  <c r="N16" i="23" s="1"/>
  <c r="AJ138" i="1"/>
  <c r="E138" i="1" s="1"/>
  <c r="E140" i="19"/>
  <c r="AJ141" i="19"/>
  <c r="AK242" i="1"/>
  <c r="F242" i="1" s="1"/>
  <c r="F244" i="19"/>
  <c r="AK245" i="19"/>
  <c r="AJ56" i="1"/>
  <c r="E56" i="1" s="1"/>
  <c r="E58" i="19"/>
  <c r="AJ150" i="1"/>
  <c r="E150" i="1" s="1"/>
  <c r="E152" i="19"/>
  <c r="AJ153" i="19"/>
  <c r="AJ126" i="1"/>
  <c r="E126" i="1" s="1"/>
  <c r="AJ129" i="19"/>
  <c r="E128" i="19"/>
  <c r="AC55" i="1"/>
  <c r="AC58" i="19"/>
  <c r="AC56" i="1" s="1"/>
  <c r="AK19" i="1"/>
  <c r="F19" i="1" s="1"/>
  <c r="AF20" i="3" s="1"/>
  <c r="F21" i="19"/>
  <c r="AK22" i="19"/>
  <c r="O29" i="23"/>
  <c r="O28" i="23"/>
  <c r="O30" i="23"/>
  <c r="K53" i="22"/>
  <c r="K56" i="22"/>
  <c r="L52" i="22" s="1"/>
  <c r="AA62" i="37"/>
  <c r="AB58" i="37"/>
  <c r="AK43" i="1"/>
  <c r="F43" i="1" s="1"/>
  <c r="F45" i="19"/>
  <c r="AK46" i="19"/>
  <c r="AD95" i="37"/>
  <c r="AD124" i="37" s="1"/>
  <c r="AE73" i="37"/>
  <c r="AC187" i="1"/>
  <c r="AC190" i="19"/>
  <c r="AC188" i="1" s="1"/>
  <c r="AC223" i="1"/>
  <c r="AC226" i="19"/>
  <c r="AC224" i="1" s="1"/>
  <c r="AG79" i="1"/>
  <c r="AG82" i="19"/>
  <c r="AG80" i="1" s="1"/>
  <c r="AJ229" i="1"/>
  <c r="E229" i="1" s="1"/>
  <c r="E231" i="19"/>
  <c r="AJ232" i="19"/>
  <c r="AL71" i="37"/>
  <c r="AK94" i="37"/>
  <c r="AK123" i="37" s="1"/>
  <c r="AJ218" i="1"/>
  <c r="E218" i="1" s="1"/>
  <c r="AJ221" i="19"/>
  <c r="E220" i="19"/>
  <c r="F151" i="1"/>
  <c r="AC163" i="1"/>
  <c r="AC166" i="19"/>
  <c r="AC164" i="1" s="1"/>
  <c r="AC211" i="1"/>
  <c r="AC214" i="19"/>
  <c r="AC212" i="1" s="1"/>
  <c r="AB19" i="1"/>
  <c r="D21" i="19"/>
  <c r="AB22" i="19"/>
  <c r="AJ185" i="1"/>
  <c r="E185" i="1" s="1"/>
  <c r="AJ188" i="19"/>
  <c r="E187" i="19"/>
  <c r="AJ103" i="1"/>
  <c r="E103" i="1" s="1"/>
  <c r="AJ106" i="19"/>
  <c r="E105" i="19"/>
  <c r="AA36" i="37"/>
  <c r="Z98" i="37"/>
  <c r="AJ32" i="1"/>
  <c r="E32" i="1" s="1"/>
  <c r="E34" i="19"/>
  <c r="AC91" i="1"/>
  <c r="AC94" i="19"/>
  <c r="AC92" i="1" s="1"/>
  <c r="U13" i="23"/>
  <c r="U12" i="23"/>
  <c r="U15" i="23"/>
  <c r="U14" i="23"/>
  <c r="AC151" i="1"/>
  <c r="AC154" i="19"/>
  <c r="AC152" i="1" s="1"/>
  <c r="AK197" i="1"/>
  <c r="F197" i="1" s="1"/>
  <c r="F199" i="19"/>
  <c r="AK200" i="19"/>
  <c r="AG91" i="1"/>
  <c r="AG94" i="19"/>
  <c r="AG92" i="1" s="1"/>
  <c r="AK91" i="1"/>
  <c r="F91" i="1" s="1"/>
  <c r="AK94" i="19"/>
  <c r="F93" i="19"/>
  <c r="K43" i="23"/>
  <c r="I60" i="22"/>
  <c r="I63" i="22" s="1"/>
  <c r="AC31" i="1"/>
  <c r="AC34" i="19"/>
  <c r="AC32" i="1" s="1"/>
  <c r="AC67" i="1"/>
  <c r="AC70" i="19"/>
  <c r="AC68" i="1" s="1"/>
  <c r="AJ91" i="1"/>
  <c r="E91" i="1" s="1"/>
  <c r="E93" i="19"/>
  <c r="AJ94" i="19"/>
  <c r="G20" i="19"/>
  <c r="AC235" i="1"/>
  <c r="AC238" i="19"/>
  <c r="AC236" i="1" s="1"/>
  <c r="AK219" i="1"/>
  <c r="F219" i="1" s="1"/>
  <c r="F221" i="19"/>
  <c r="AK222" i="19"/>
  <c r="AK186" i="1"/>
  <c r="F186" i="1" s="1"/>
  <c r="AK189" i="19"/>
  <c r="F188" i="19"/>
  <c r="AK96" i="37"/>
  <c r="AK125" i="37" s="1"/>
  <c r="AC10" i="23" s="1"/>
  <c r="AL75" i="37"/>
  <c r="AK139" i="1"/>
  <c r="F139" i="1" s="1"/>
  <c r="F141" i="19"/>
  <c r="AK142" i="19"/>
  <c r="AJ79" i="1"/>
  <c r="E79" i="1" s="1"/>
  <c r="E81" i="19"/>
  <c r="AJ82" i="19"/>
  <c r="AA23" i="2"/>
  <c r="Z23" i="2"/>
  <c r="A24" i="2"/>
  <c r="AK208" i="1"/>
  <c r="F208" i="1" s="1"/>
  <c r="F210" i="19"/>
  <c r="AK211" i="19"/>
  <c r="AJ162" i="1"/>
  <c r="E162" i="1" s="1"/>
  <c r="AJ165" i="19"/>
  <c r="E164" i="19"/>
  <c r="O42" i="23"/>
  <c r="O112" i="23" s="1"/>
  <c r="O114" i="23" s="1"/>
  <c r="O39" i="4" s="1"/>
  <c r="X130" i="37"/>
  <c r="O10" i="6"/>
  <c r="N43" i="6"/>
  <c r="Z100" i="37"/>
  <c r="AA40" i="37"/>
  <c r="AK163" i="1"/>
  <c r="F163" i="1" s="1"/>
  <c r="F165" i="19"/>
  <c r="AK166" i="19"/>
  <c r="U118" i="37"/>
  <c r="V108" i="37"/>
  <c r="T42" i="6"/>
  <c r="S14" i="4"/>
  <c r="AK80" i="1"/>
  <c r="F80" i="1" s="1"/>
  <c r="F82" i="19"/>
  <c r="X94" i="37"/>
  <c r="X123" i="37" s="1"/>
  <c r="Y27" i="37"/>
  <c r="J40" i="22"/>
  <c r="J41" i="22" s="1"/>
  <c r="J55" i="22"/>
  <c r="J58" i="22"/>
  <c r="AJ19" i="1"/>
  <c r="E19" i="1" s="1"/>
  <c r="AD20" i="3" s="1"/>
  <c r="AJ22" i="19"/>
  <c r="E21" i="19"/>
  <c r="AC19" i="1"/>
  <c r="AC22" i="19"/>
  <c r="AC20" i="1" s="1"/>
  <c r="AC79" i="1"/>
  <c r="AC82" i="19"/>
  <c r="AC80" i="1" s="1"/>
  <c r="I18" i="21"/>
  <c r="I18" i="20" s="1"/>
  <c r="H18" i="21"/>
  <c r="H18" i="20" s="1"/>
  <c r="T18" i="21"/>
  <c r="T18" i="20" s="1"/>
  <c r="F18" i="21"/>
  <c r="F18" i="20" s="1"/>
  <c r="P18" i="21"/>
  <c r="P18" i="20" s="1"/>
  <c r="Q18" i="21"/>
  <c r="Q18" i="20" s="1"/>
  <c r="O18" i="21"/>
  <c r="O18" i="20" s="1"/>
  <c r="R18" i="21"/>
  <c r="R18" i="20" s="1"/>
  <c r="U18" i="21"/>
  <c r="U18" i="20" s="1"/>
  <c r="J18" i="21"/>
  <c r="J18" i="20" s="1"/>
  <c r="C18" i="21"/>
  <c r="C18" i="20" s="1"/>
  <c r="D18" i="21"/>
  <c r="D18" i="20" s="1"/>
  <c r="K18" i="21"/>
  <c r="K18" i="20" s="1"/>
  <c r="M18" i="21"/>
  <c r="M18" i="20" s="1"/>
  <c r="S18" i="21"/>
  <c r="S18" i="20" s="1"/>
  <c r="E18" i="21"/>
  <c r="E18" i="20" s="1"/>
  <c r="N18" i="21"/>
  <c r="N18" i="20" s="1"/>
  <c r="G18" i="21"/>
  <c r="G18" i="20" s="1"/>
  <c r="L18" i="21"/>
  <c r="L18" i="20" s="1"/>
  <c r="B18" i="21"/>
  <c r="AB28" i="23"/>
  <c r="AB30" i="23"/>
  <c r="AB29" i="23"/>
  <c r="AK152" i="1"/>
  <c r="F152" i="1" s="1"/>
  <c r="F154" i="19"/>
  <c r="AA106" i="37"/>
  <c r="AB3" i="37"/>
  <c r="AJ174" i="1"/>
  <c r="E174" i="1" s="1"/>
  <c r="E176" i="19"/>
  <c r="AJ177" i="19"/>
  <c r="L22" i="23"/>
  <c r="L32" i="23"/>
  <c r="L35" i="23"/>
  <c r="L24" i="23"/>
  <c r="L34" i="23"/>
  <c r="L23" i="23"/>
  <c r="L25" i="23"/>
  <c r="L33" i="23"/>
  <c r="L21" i="23"/>
  <c r="L43" i="23" s="1"/>
  <c r="T131" i="37"/>
  <c r="L26" i="23"/>
  <c r="AC139" i="1"/>
  <c r="AC142" i="19"/>
  <c r="AC140" i="1" s="1"/>
  <c r="D18" i="1"/>
  <c r="AB19" i="3" s="1"/>
  <c r="AA97" i="37"/>
  <c r="AA126" i="37" s="1"/>
  <c r="S11" i="23" s="1"/>
  <c r="AQ34" i="37"/>
  <c r="AN77" i="37"/>
  <c r="AM97" i="37"/>
  <c r="AM126" i="37" s="1"/>
  <c r="AE11" i="23" s="1"/>
  <c r="AJ241" i="1"/>
  <c r="E241" i="1" s="1"/>
  <c r="AJ244" i="19"/>
  <c r="E243" i="19"/>
  <c r="AC115" i="1"/>
  <c r="AC118" i="19"/>
  <c r="AC116" i="1" s="1"/>
  <c r="AK67" i="1"/>
  <c r="F67" i="1" s="1"/>
  <c r="AK70" i="19"/>
  <c r="F69" i="19"/>
  <c r="AJ175" i="1" l="1"/>
  <c r="E175" i="1" s="1"/>
  <c r="AJ178" i="19"/>
  <c r="E177" i="19"/>
  <c r="AK231" i="1"/>
  <c r="F231" i="1" s="1"/>
  <c r="F233" i="19"/>
  <c r="AK234" i="19"/>
  <c r="Y64" i="37"/>
  <c r="X69" i="37"/>
  <c r="X83" i="37" s="1"/>
  <c r="X86" i="37" s="1"/>
  <c r="AO77" i="37"/>
  <c r="AN97" i="37"/>
  <c r="AN126" i="37" s="1"/>
  <c r="AF11" i="23" s="1"/>
  <c r="AK140" i="1"/>
  <c r="F140" i="1" s="1"/>
  <c r="F142" i="19"/>
  <c r="AA98" i="37"/>
  <c r="AB36" i="37"/>
  <c r="AC28" i="23"/>
  <c r="AC29" i="23"/>
  <c r="AC30" i="23"/>
  <c r="W93" i="37"/>
  <c r="X42" i="37"/>
  <c r="W17" i="20"/>
  <c r="Y17" i="20"/>
  <c r="AA17" i="20"/>
  <c r="AC17" i="20"/>
  <c r="AK116" i="1"/>
  <c r="F116" i="1" s="1"/>
  <c r="F118" i="19"/>
  <c r="AK68" i="1"/>
  <c r="F68" i="1" s="1"/>
  <c r="F70" i="19"/>
  <c r="AJ219" i="1"/>
  <c r="E219" i="1" s="1"/>
  <c r="E221" i="19"/>
  <c r="AJ222" i="19"/>
  <c r="V12" i="23"/>
  <c r="V14" i="23"/>
  <c r="V13" i="23"/>
  <c r="V15" i="23"/>
  <c r="P10" i="6"/>
  <c r="O43" i="6"/>
  <c r="AK187" i="1"/>
  <c r="F187" i="1" s="1"/>
  <c r="AK190" i="19"/>
  <c r="F189" i="19"/>
  <c r="AK220" i="1"/>
  <c r="F220" i="1" s="1"/>
  <c r="F222" i="19"/>
  <c r="AK223" i="19"/>
  <c r="AK198" i="1"/>
  <c r="F198" i="1" s="1"/>
  <c r="AK201" i="19"/>
  <c r="F200" i="19"/>
  <c r="AB62" i="37"/>
  <c r="AC58" i="37"/>
  <c r="N37" i="23"/>
  <c r="N36" i="23"/>
  <c r="N38" i="23"/>
  <c r="N39" i="23"/>
  <c r="N41" i="23"/>
  <c r="N40" i="23"/>
  <c r="AK176" i="1"/>
  <c r="F176" i="1" s="1"/>
  <c r="F178" i="19"/>
  <c r="G21" i="19"/>
  <c r="AJ230" i="1"/>
  <c r="E230" i="1" s="1"/>
  <c r="E232" i="19"/>
  <c r="AJ233" i="19"/>
  <c r="AA92" i="37"/>
  <c r="X116" i="37"/>
  <c r="W129" i="37"/>
  <c r="M23" i="23"/>
  <c r="M22" i="23"/>
  <c r="M33" i="23"/>
  <c r="M21" i="23"/>
  <c r="M43" i="23" s="1"/>
  <c r="M26" i="23"/>
  <c r="M35" i="23"/>
  <c r="M34" i="23"/>
  <c r="M24" i="23"/>
  <c r="M32" i="23"/>
  <c r="U131" i="37"/>
  <c r="M25" i="23"/>
  <c r="AK56" i="1"/>
  <c r="F56" i="1" s="1"/>
  <c r="F58" i="19"/>
  <c r="X24" i="21"/>
  <c r="A25" i="21"/>
  <c r="Y24" i="21"/>
  <c r="AJ242" i="1"/>
  <c r="E242" i="1" s="1"/>
  <c r="AJ245" i="19"/>
  <c r="E244" i="19"/>
  <c r="V18" i="21"/>
  <c r="B18" i="20"/>
  <c r="J60" i="22"/>
  <c r="J63" i="22" s="1"/>
  <c r="W108" i="37"/>
  <c r="V118" i="37"/>
  <c r="V121" i="37"/>
  <c r="J19" i="21"/>
  <c r="J19" i="20" s="1"/>
  <c r="S19" i="21"/>
  <c r="S19" i="20" s="1"/>
  <c r="T19" i="21"/>
  <c r="T19" i="20" s="1"/>
  <c r="R19" i="21"/>
  <c r="R19" i="20" s="1"/>
  <c r="E19" i="21"/>
  <c r="E19" i="20" s="1"/>
  <c r="F19" i="21"/>
  <c r="F19" i="20" s="1"/>
  <c r="U19" i="21"/>
  <c r="U19" i="20" s="1"/>
  <c r="B19" i="21"/>
  <c r="D19" i="21"/>
  <c r="D19" i="20" s="1"/>
  <c r="G19" i="21"/>
  <c r="G19" i="20" s="1"/>
  <c r="P19" i="21"/>
  <c r="P19" i="20" s="1"/>
  <c r="Q19" i="21"/>
  <c r="Q19" i="20" s="1"/>
  <c r="N19" i="21"/>
  <c r="N19" i="20" s="1"/>
  <c r="M19" i="21"/>
  <c r="M19" i="20" s="1"/>
  <c r="C19" i="21"/>
  <c r="C19" i="20" s="1"/>
  <c r="H19" i="21"/>
  <c r="H19" i="20" s="1"/>
  <c r="K19" i="21"/>
  <c r="K19" i="20" s="1"/>
  <c r="I19" i="21"/>
  <c r="I19" i="20" s="1"/>
  <c r="O19" i="21"/>
  <c r="O19" i="20" s="1"/>
  <c r="L19" i="21"/>
  <c r="L19" i="20" s="1"/>
  <c r="AJ104" i="1"/>
  <c r="E104" i="1" s="1"/>
  <c r="E106" i="19"/>
  <c r="D19" i="1"/>
  <c r="AB20" i="3" s="1"/>
  <c r="AK20" i="1"/>
  <c r="F20" i="1" s="1"/>
  <c r="AF21" i="3" s="1"/>
  <c r="AG21" i="3" s="1"/>
  <c r="F22" i="19"/>
  <c r="AJ151" i="1"/>
  <c r="E151" i="1" s="1"/>
  <c r="E153" i="19"/>
  <c r="AJ154" i="19"/>
  <c r="AJ208" i="1"/>
  <c r="E208" i="1" s="1"/>
  <c r="E210" i="19"/>
  <c r="AJ211" i="19"/>
  <c r="AJ186" i="1"/>
  <c r="E186" i="1" s="1"/>
  <c r="AJ189" i="19"/>
  <c r="E188" i="19"/>
  <c r="AJ20" i="1"/>
  <c r="E20" i="1" s="1"/>
  <c r="AD21" i="3" s="1"/>
  <c r="AE21" i="3" s="1"/>
  <c r="E22" i="19"/>
  <c r="AK209" i="1"/>
  <c r="F209" i="1" s="1"/>
  <c r="AK212" i="19"/>
  <c r="F211" i="19"/>
  <c r="J42" i="22"/>
  <c r="J43" i="22"/>
  <c r="AA100" i="37"/>
  <c r="AB40" i="37"/>
  <c r="AJ163" i="1"/>
  <c r="E163" i="1" s="1"/>
  <c r="E165" i="19"/>
  <c r="AJ166" i="19"/>
  <c r="AF23" i="3"/>
  <c r="Z23" i="3"/>
  <c r="AD23" i="3"/>
  <c r="AL96" i="37"/>
  <c r="AL125" i="37" s="1"/>
  <c r="AD10" i="23" s="1"/>
  <c r="AM75" i="37"/>
  <c r="AK92" i="1"/>
  <c r="F92" i="1" s="1"/>
  <c r="F94" i="19"/>
  <c r="L53" i="22"/>
  <c r="L56" i="22"/>
  <c r="M52" i="22" s="1"/>
  <c r="AJ139" i="1"/>
  <c r="E139" i="1" s="1"/>
  <c r="AJ142" i="19"/>
  <c r="E141" i="19"/>
  <c r="N19" i="23"/>
  <c r="N18" i="23"/>
  <c r="N31" i="23"/>
  <c r="N20" i="23"/>
  <c r="N17" i="23"/>
  <c r="Y38" i="37"/>
  <c r="X99" i="37"/>
  <c r="X128" i="37" s="1"/>
  <c r="P27" i="23" s="1"/>
  <c r="AJ197" i="1"/>
  <c r="E197" i="1" s="1"/>
  <c r="AJ200" i="19"/>
  <c r="E199" i="19"/>
  <c r="P28" i="23"/>
  <c r="P30" i="23"/>
  <c r="P29" i="23"/>
  <c r="P14" i="23"/>
  <c r="P12" i="23"/>
  <c r="P15" i="23"/>
  <c r="P13" i="23"/>
  <c r="P42" i="23"/>
  <c r="P112" i="23" s="1"/>
  <c r="P114" i="23" s="1"/>
  <c r="P39" i="4" s="1"/>
  <c r="Y130" i="37"/>
  <c r="AB20" i="1"/>
  <c r="D20" i="1" s="1"/>
  <c r="AB21" i="3" s="1"/>
  <c r="AC21" i="3" s="1"/>
  <c r="D22" i="19"/>
  <c r="AB23" i="19"/>
  <c r="AM71" i="37"/>
  <c r="AL94" i="37"/>
  <c r="AL123" i="37" s="1"/>
  <c r="E129" i="19"/>
  <c r="AJ127" i="1"/>
  <c r="E127" i="1" s="1"/>
  <c r="AJ130" i="19"/>
  <c r="AK243" i="1"/>
  <c r="F243" i="1" s="1"/>
  <c r="F245" i="19"/>
  <c r="AK246" i="19"/>
  <c r="X114" i="37"/>
  <c r="W127" i="37"/>
  <c r="O16" i="23" s="1"/>
  <c r="AJ116" i="1"/>
  <c r="E116" i="1" s="1"/>
  <c r="E118" i="19"/>
  <c r="Z19" i="37"/>
  <c r="Y25" i="37"/>
  <c r="AB106" i="37"/>
  <c r="AC3" i="37"/>
  <c r="U42" i="6"/>
  <c r="T14" i="4"/>
  <c r="A25" i="2"/>
  <c r="Z24" i="2"/>
  <c r="AA24" i="2"/>
  <c r="Y94" i="37"/>
  <c r="Y123" i="37" s="1"/>
  <c r="Z27" i="37"/>
  <c r="AK164" i="1"/>
  <c r="F164" i="1" s="1"/>
  <c r="F166" i="19"/>
  <c r="AJ80" i="1"/>
  <c r="E80" i="1" s="1"/>
  <c r="E82" i="19"/>
  <c r="AJ92" i="1"/>
  <c r="E92" i="1" s="1"/>
  <c r="E94" i="19"/>
  <c r="AE95" i="37"/>
  <c r="AE124" i="37" s="1"/>
  <c r="AF73" i="37"/>
  <c r="AK44" i="1"/>
  <c r="F44" i="1" s="1"/>
  <c r="F46" i="19"/>
  <c r="K58" i="22"/>
  <c r="K55" i="22"/>
  <c r="K60" i="22" s="1"/>
  <c r="K63" i="22" s="1"/>
  <c r="K40" i="22"/>
  <c r="K41" i="22" s="1"/>
  <c r="Y95" i="37"/>
  <c r="Y124" i="37" s="1"/>
  <c r="Z30" i="37"/>
  <c r="Y96" i="37"/>
  <c r="Y125" i="37" s="1"/>
  <c r="Q10" i="23" s="1"/>
  <c r="Z32" i="37"/>
  <c r="AJ140" i="1" l="1"/>
  <c r="E140" i="1" s="1"/>
  <c r="E142" i="19"/>
  <c r="AJ164" i="1"/>
  <c r="E164" i="1" s="1"/>
  <c r="E166" i="19"/>
  <c r="AJ243" i="1"/>
  <c r="E243" i="1" s="1"/>
  <c r="E245" i="19"/>
  <c r="AJ246" i="19"/>
  <c r="Z24" i="3"/>
  <c r="AD24" i="3"/>
  <c r="AF24" i="3"/>
  <c r="Y42" i="37"/>
  <c r="AJ198" i="1"/>
  <c r="E198" i="1" s="1"/>
  <c r="E200" i="19"/>
  <c r="AJ201" i="19"/>
  <c r="F20" i="21"/>
  <c r="F20" i="20" s="1"/>
  <c r="K20" i="21"/>
  <c r="K20" i="20" s="1"/>
  <c r="B20" i="21"/>
  <c r="O20" i="21"/>
  <c r="O20" i="20" s="1"/>
  <c r="P20" i="21"/>
  <c r="P20" i="20" s="1"/>
  <c r="I20" i="21"/>
  <c r="I20" i="20" s="1"/>
  <c r="E20" i="21"/>
  <c r="E20" i="20" s="1"/>
  <c r="T20" i="21"/>
  <c r="T20" i="20" s="1"/>
  <c r="S20" i="21"/>
  <c r="S20" i="20" s="1"/>
  <c r="J20" i="21"/>
  <c r="J20" i="20" s="1"/>
  <c r="Q20" i="21"/>
  <c r="Q20" i="20" s="1"/>
  <c r="R20" i="21"/>
  <c r="R20" i="20" s="1"/>
  <c r="L20" i="21"/>
  <c r="L20" i="20" s="1"/>
  <c r="M20" i="21"/>
  <c r="M20" i="20" s="1"/>
  <c r="H20" i="21"/>
  <c r="H20" i="20" s="1"/>
  <c r="D20" i="21"/>
  <c r="D20" i="20" s="1"/>
  <c r="N20" i="21"/>
  <c r="N20" i="20" s="1"/>
  <c r="U20" i="21"/>
  <c r="U20" i="20" s="1"/>
  <c r="G20" i="21"/>
  <c r="G20" i="20" s="1"/>
  <c r="C20" i="21"/>
  <c r="C20" i="20" s="1"/>
  <c r="AB92" i="37"/>
  <c r="AQ19" i="37"/>
  <c r="AQ25" i="37" s="1"/>
  <c r="Z25" i="37"/>
  <c r="AJ128" i="1"/>
  <c r="E128" i="1" s="1"/>
  <c r="E130" i="19"/>
  <c r="Z130" i="37"/>
  <c r="Q42" i="23"/>
  <c r="Q112" i="23" s="1"/>
  <c r="Q114" i="23" s="1"/>
  <c r="Q39" i="4" s="1"/>
  <c r="AK210" i="1"/>
  <c r="F210" i="1" s="1"/>
  <c r="AK213" i="19"/>
  <c r="F212" i="19"/>
  <c r="V19" i="21"/>
  <c r="B19" i="20"/>
  <c r="W122" i="37"/>
  <c r="W102" i="37"/>
  <c r="AO97" i="37"/>
  <c r="AQ77" i="37"/>
  <c r="AJ176" i="1"/>
  <c r="E176" i="1" s="1"/>
  <c r="E178" i="19"/>
  <c r="L55" i="22"/>
  <c r="L58" i="22"/>
  <c r="L40" i="22"/>
  <c r="L41" i="22" s="1"/>
  <c r="W18" i="20"/>
  <c r="AA18" i="20"/>
  <c r="Y18" i="20"/>
  <c r="AC18" i="20"/>
  <c r="AB98" i="37"/>
  <c r="AQ36" i="37"/>
  <c r="Z96" i="37"/>
  <c r="Z125" i="37" s="1"/>
  <c r="R10" i="23" s="1"/>
  <c r="AQ32" i="37"/>
  <c r="K43" i="22"/>
  <c r="K42" i="22"/>
  <c r="A26" i="2"/>
  <c r="Z25" i="2"/>
  <c r="AA25" i="2"/>
  <c r="AJ152" i="1"/>
  <c r="E152" i="1" s="1"/>
  <c r="E154" i="19"/>
  <c r="AK199" i="1"/>
  <c r="F199" i="1" s="1"/>
  <c r="AK202" i="19"/>
  <c r="F201" i="19"/>
  <c r="Z94" i="37"/>
  <c r="Z123" i="37" s="1"/>
  <c r="AQ27" i="37"/>
  <c r="O38" i="23"/>
  <c r="O37" i="23"/>
  <c r="O40" i="23"/>
  <c r="O36" i="23"/>
  <c r="O41" i="23"/>
  <c r="O39" i="23"/>
  <c r="X93" i="37"/>
  <c r="Q29" i="23"/>
  <c r="Q30" i="23"/>
  <c r="Q28" i="23"/>
  <c r="AK244" i="1"/>
  <c r="F244" i="1" s="1"/>
  <c r="F246" i="19"/>
  <c r="AK247" i="19"/>
  <c r="AB21" i="1"/>
  <c r="D21" i="1" s="1"/>
  <c r="AB22" i="3" s="1"/>
  <c r="AB24" i="19"/>
  <c r="D23" i="19"/>
  <c r="AM96" i="37"/>
  <c r="AM125" i="37" s="1"/>
  <c r="AE10" i="23" s="1"/>
  <c r="AN75" i="37"/>
  <c r="AB100" i="37"/>
  <c r="AC40" i="37"/>
  <c r="X25" i="21"/>
  <c r="Y25" i="21"/>
  <c r="A26" i="21"/>
  <c r="Y116" i="37"/>
  <c r="X129" i="37"/>
  <c r="Q10" i="6"/>
  <c r="P43" i="6"/>
  <c r="AJ220" i="1"/>
  <c r="E220" i="1" s="1"/>
  <c r="AJ223" i="19"/>
  <c r="E222" i="19"/>
  <c r="N24" i="23"/>
  <c r="N34" i="23"/>
  <c r="N21" i="23"/>
  <c r="N43" i="23" s="1"/>
  <c r="N26" i="23"/>
  <c r="N23" i="23"/>
  <c r="N35" i="23"/>
  <c r="N22" i="23"/>
  <c r="N32" i="23"/>
  <c r="N25" i="23"/>
  <c r="V131" i="37"/>
  <c r="N33" i="23"/>
  <c r="AK188" i="1"/>
  <c r="F188" i="1" s="1"/>
  <c r="F190" i="19"/>
  <c r="V42" i="6"/>
  <c r="V14" i="4" s="1"/>
  <c r="U14" i="4"/>
  <c r="AD29" i="23"/>
  <c r="AD28" i="23"/>
  <c r="AD30" i="23"/>
  <c r="Y99" i="37"/>
  <c r="Y128" i="37" s="1"/>
  <c r="Q27" i="23" s="1"/>
  <c r="Z38" i="37"/>
  <c r="F223" i="19"/>
  <c r="AK221" i="1"/>
  <c r="F221" i="1" s="1"/>
  <c r="AK224" i="19"/>
  <c r="Y69" i="37"/>
  <c r="Y83" i="37" s="1"/>
  <c r="Y86" i="37" s="1"/>
  <c r="Z64" i="37"/>
  <c r="Z95" i="37"/>
  <c r="Z124" i="37" s="1"/>
  <c r="AQ30" i="37"/>
  <c r="AC106" i="37"/>
  <c r="AD3" i="37"/>
  <c r="Y114" i="37"/>
  <c r="X127" i="37"/>
  <c r="P16" i="23" s="1"/>
  <c r="AM94" i="37"/>
  <c r="AM123" i="37" s="1"/>
  <c r="AN71" i="37"/>
  <c r="AJ209" i="1"/>
  <c r="E209" i="1" s="1"/>
  <c r="E211" i="19"/>
  <c r="AJ212" i="19"/>
  <c r="X108" i="37"/>
  <c r="W118" i="37"/>
  <c r="W121" i="37"/>
  <c r="E233" i="19"/>
  <c r="AJ234" i="19"/>
  <c r="AJ231" i="1"/>
  <c r="E231" i="1" s="1"/>
  <c r="Q15" i="23"/>
  <c r="Q13" i="23"/>
  <c r="Q14" i="23"/>
  <c r="Q12" i="23"/>
  <c r="AF95" i="37"/>
  <c r="AF124" i="37" s="1"/>
  <c r="AG73" i="37"/>
  <c r="G22" i="19"/>
  <c r="M56" i="22"/>
  <c r="N52" i="22" s="1"/>
  <c r="M53" i="22"/>
  <c r="AJ187" i="1"/>
  <c r="E187" i="1" s="1"/>
  <c r="E189" i="19"/>
  <c r="AJ190" i="19"/>
  <c r="AC62" i="37"/>
  <c r="AD58" i="37"/>
  <c r="AK232" i="1"/>
  <c r="F232" i="1" s="1"/>
  <c r="AK235" i="19"/>
  <c r="F234" i="19"/>
  <c r="AC92" i="37" l="1"/>
  <c r="AJ221" i="1"/>
  <c r="E221" i="1" s="1"/>
  <c r="AJ224" i="19"/>
  <c r="E223" i="19"/>
  <c r="AN96" i="37"/>
  <c r="AN125" i="37" s="1"/>
  <c r="AF10" i="23" s="1"/>
  <c r="AO75" i="37"/>
  <c r="R28" i="23"/>
  <c r="R30" i="23"/>
  <c r="R29" i="23"/>
  <c r="AJ199" i="1"/>
  <c r="E199" i="1" s="1"/>
  <c r="AJ202" i="19"/>
  <c r="E201" i="19"/>
  <c r="N53" i="22"/>
  <c r="N56" i="22"/>
  <c r="O52" i="22" s="1"/>
  <c r="X26" i="21"/>
  <c r="A27" i="21"/>
  <c r="Y26" i="21"/>
  <c r="R42" i="23"/>
  <c r="R112" i="23" s="1"/>
  <c r="R114" i="23" s="1"/>
  <c r="R39" i="4" s="1"/>
  <c r="AA130" i="37"/>
  <c r="O25" i="23"/>
  <c r="O24" i="23"/>
  <c r="O35" i="23"/>
  <c r="O23" i="23"/>
  <c r="O26" i="23"/>
  <c r="O22" i="23"/>
  <c r="O32" i="23"/>
  <c r="O34" i="23"/>
  <c r="O21" i="23"/>
  <c r="O33" i="23"/>
  <c r="W131" i="37"/>
  <c r="AN94" i="37"/>
  <c r="AN123" i="37" s="1"/>
  <c r="AO71" i="37"/>
  <c r="R13" i="23"/>
  <c r="R15" i="23"/>
  <c r="R14" i="23"/>
  <c r="R12" i="23"/>
  <c r="G23" i="19"/>
  <c r="AK200" i="1"/>
  <c r="F200" i="1" s="1"/>
  <c r="F202" i="19"/>
  <c r="W19" i="20"/>
  <c r="AA19" i="20"/>
  <c r="AC19" i="20"/>
  <c r="Y19" i="20"/>
  <c r="AO126" i="37"/>
  <c r="AQ97" i="37"/>
  <c r="V20" i="21"/>
  <c r="B20" i="20"/>
  <c r="M40" i="22"/>
  <c r="M41" i="22" s="1"/>
  <c r="M55" i="22"/>
  <c r="M60" i="22" s="1"/>
  <c r="M63" i="22" s="1"/>
  <c r="M58" i="22"/>
  <c r="AE30" i="23"/>
  <c r="AE29" i="23"/>
  <c r="AE28" i="23"/>
  <c r="Z69" i="37"/>
  <c r="Z83" i="37" s="1"/>
  <c r="AA64" i="37"/>
  <c r="AJ188" i="1"/>
  <c r="E188" i="1" s="1"/>
  <c r="E190" i="19"/>
  <c r="X118" i="37"/>
  <c r="Y108" i="37"/>
  <c r="X121" i="37"/>
  <c r="AA38" i="37"/>
  <c r="Z99" i="37"/>
  <c r="Z128" i="37" s="1"/>
  <c r="R27" i="23" s="1"/>
  <c r="X122" i="37"/>
  <c r="X102" i="37"/>
  <c r="AJ210" i="1"/>
  <c r="E210" i="1" s="1"/>
  <c r="E212" i="19"/>
  <c r="AJ213" i="19"/>
  <c r="Z114" i="37"/>
  <c r="Y127" i="37"/>
  <c r="Q16" i="23" s="1"/>
  <c r="AK245" i="1"/>
  <c r="F245" i="1" s="1"/>
  <c r="F247" i="19"/>
  <c r="AK248" i="19"/>
  <c r="AK211" i="1"/>
  <c r="F211" i="1" s="1"/>
  <c r="AK214" i="19"/>
  <c r="F213" i="19"/>
  <c r="Y93" i="37"/>
  <c r="AJ244" i="1"/>
  <c r="E244" i="1" s="1"/>
  <c r="AJ247" i="19"/>
  <c r="E246" i="19"/>
  <c r="AE3" i="37"/>
  <c r="AD106" i="37"/>
  <c r="AC100" i="37"/>
  <c r="AD40" i="37"/>
  <c r="Z26" i="2"/>
  <c r="A27" i="2"/>
  <c r="AA26" i="2"/>
  <c r="AQ98" i="37"/>
  <c r="L60" i="22"/>
  <c r="L63" i="22" s="1"/>
  <c r="O17" i="23"/>
  <c r="O43" i="23" s="1"/>
  <c r="O18" i="23"/>
  <c r="O19" i="23"/>
  <c r="O31" i="23"/>
  <c r="O20" i="23"/>
  <c r="AJ232" i="1"/>
  <c r="E232" i="1" s="1"/>
  <c r="E234" i="19"/>
  <c r="AJ235" i="19"/>
  <c r="Z116" i="37"/>
  <c r="Y129" i="37"/>
  <c r="AK233" i="1"/>
  <c r="F233" i="1" s="1"/>
  <c r="AK236" i="19"/>
  <c r="F235" i="19"/>
  <c r="Q43" i="6"/>
  <c r="R10" i="6"/>
  <c r="AB22" i="1"/>
  <c r="D22" i="1" s="1"/>
  <c r="AB23" i="3" s="1"/>
  <c r="D24" i="19"/>
  <c r="AB25" i="19"/>
  <c r="P21" i="21"/>
  <c r="P21" i="20" s="1"/>
  <c r="F21" i="21"/>
  <c r="F21" i="20" s="1"/>
  <c r="N21" i="21"/>
  <c r="N21" i="20" s="1"/>
  <c r="S21" i="21"/>
  <c r="S21" i="20" s="1"/>
  <c r="Q21" i="21"/>
  <c r="Q21" i="20" s="1"/>
  <c r="O21" i="21"/>
  <c r="O21" i="20" s="1"/>
  <c r="E21" i="21"/>
  <c r="E21" i="20" s="1"/>
  <c r="D21" i="21"/>
  <c r="D21" i="20" s="1"/>
  <c r="J21" i="21"/>
  <c r="J21" i="20" s="1"/>
  <c r="L21" i="21"/>
  <c r="L21" i="20" s="1"/>
  <c r="I21" i="21"/>
  <c r="I21" i="20" s="1"/>
  <c r="M21" i="21"/>
  <c r="M21" i="20" s="1"/>
  <c r="B21" i="21"/>
  <c r="K21" i="21"/>
  <c r="K21" i="20" s="1"/>
  <c r="T21" i="21"/>
  <c r="T21" i="20" s="1"/>
  <c r="R21" i="21"/>
  <c r="R21" i="20" s="1"/>
  <c r="H21" i="21"/>
  <c r="H21" i="20" s="1"/>
  <c r="U21" i="21"/>
  <c r="U21" i="20" s="1"/>
  <c r="G21" i="21"/>
  <c r="G21" i="20" s="1"/>
  <c r="C21" i="21"/>
  <c r="C21" i="20" s="1"/>
  <c r="AF25" i="3"/>
  <c r="AD25" i="3"/>
  <c r="Z25" i="3"/>
  <c r="L42" i="22"/>
  <c r="L43" i="22" s="1"/>
  <c r="Z93" i="37"/>
  <c r="Z42" i="37"/>
  <c r="AD62" i="37"/>
  <c r="AE58" i="37"/>
  <c r="AG95" i="37"/>
  <c r="AG124" i="37" s="1"/>
  <c r="AH73" i="37"/>
  <c r="F224" i="19"/>
  <c r="AK222" i="1"/>
  <c r="F222" i="1" s="1"/>
  <c r="AK225" i="19"/>
  <c r="P36" i="23"/>
  <c r="P39" i="23"/>
  <c r="P38" i="23"/>
  <c r="P40" i="23"/>
  <c r="P37" i="23"/>
  <c r="P41" i="23"/>
  <c r="AE62" i="37" l="1"/>
  <c r="AF58" i="37"/>
  <c r="AJ233" i="1"/>
  <c r="E233" i="1" s="1"/>
  <c r="E235" i="19"/>
  <c r="AJ236" i="19"/>
  <c r="AA99" i="37"/>
  <c r="AA128" i="37" s="1"/>
  <c r="S27" i="23" s="1"/>
  <c r="AB38" i="37"/>
  <c r="AA42" i="37"/>
  <c r="AA69" i="37"/>
  <c r="AB64" i="37"/>
  <c r="M42" i="22"/>
  <c r="M43" i="22" s="1"/>
  <c r="AF30" i="23"/>
  <c r="AF28" i="23"/>
  <c r="AF29" i="23"/>
  <c r="O56" i="22"/>
  <c r="P52" i="22" s="1"/>
  <c r="O53" i="22"/>
  <c r="AK223" i="1"/>
  <c r="F223" i="1" s="1"/>
  <c r="AK226" i="19"/>
  <c r="F225" i="19"/>
  <c r="AD92" i="37"/>
  <c r="V21" i="21"/>
  <c r="B21" i="20"/>
  <c r="V21" i="20" s="1"/>
  <c r="S10" i="6"/>
  <c r="R43" i="6"/>
  <c r="AK246" i="1"/>
  <c r="F246" i="1" s="1"/>
  <c r="F248" i="19"/>
  <c r="AK249" i="19"/>
  <c r="P26" i="23"/>
  <c r="P21" i="23"/>
  <c r="P23" i="23"/>
  <c r="P25" i="23"/>
  <c r="P33" i="23"/>
  <c r="P22" i="23"/>
  <c r="P32" i="23"/>
  <c r="X131" i="37"/>
  <c r="P24" i="23"/>
  <c r="P35" i="23"/>
  <c r="P34" i="23"/>
  <c r="Z86" i="37"/>
  <c r="N58" i="22"/>
  <c r="N55" i="22"/>
  <c r="N40" i="22"/>
  <c r="N41" i="22" s="1"/>
  <c r="AJ245" i="1"/>
  <c r="E245" i="1" s="1"/>
  <c r="E247" i="19"/>
  <c r="AJ248" i="19"/>
  <c r="Y118" i="37"/>
  <c r="Z108" i="37"/>
  <c r="Y121" i="37"/>
  <c r="I22" i="21"/>
  <c r="I22" i="20" s="1"/>
  <c r="S22" i="21"/>
  <c r="S22" i="20" s="1"/>
  <c r="E22" i="21"/>
  <c r="E22" i="20" s="1"/>
  <c r="U22" i="21"/>
  <c r="U22" i="20" s="1"/>
  <c r="R22" i="21"/>
  <c r="R22" i="20" s="1"/>
  <c r="Q22" i="21"/>
  <c r="Q22" i="20" s="1"/>
  <c r="G22" i="21"/>
  <c r="G22" i="20" s="1"/>
  <c r="P22" i="21"/>
  <c r="P22" i="20" s="1"/>
  <c r="F22" i="21"/>
  <c r="F22" i="20" s="1"/>
  <c r="O22" i="21"/>
  <c r="O22" i="20" s="1"/>
  <c r="C22" i="21"/>
  <c r="C22" i="20" s="1"/>
  <c r="J22" i="21"/>
  <c r="J22" i="20" s="1"/>
  <c r="N22" i="21"/>
  <c r="N22" i="20" s="1"/>
  <c r="K22" i="21"/>
  <c r="K22" i="20" s="1"/>
  <c r="L22" i="21"/>
  <c r="L22" i="20" s="1"/>
  <c r="M22" i="21"/>
  <c r="M22" i="20" s="1"/>
  <c r="D22" i="21"/>
  <c r="D22" i="20" s="1"/>
  <c r="T22" i="21"/>
  <c r="T22" i="20" s="1"/>
  <c r="B22" i="21"/>
  <c r="H22" i="21"/>
  <c r="H22" i="20" s="1"/>
  <c r="AK234" i="1"/>
  <c r="F234" i="1" s="1"/>
  <c r="F236" i="19"/>
  <c r="AK237" i="19"/>
  <c r="Y122" i="37"/>
  <c r="Y102" i="37"/>
  <c r="AJ200" i="1"/>
  <c r="E200" i="1" s="1"/>
  <c r="E202" i="19"/>
  <c r="AO96" i="37"/>
  <c r="AQ75" i="37"/>
  <c r="P18" i="23"/>
  <c r="P20" i="23"/>
  <c r="P31" i="23"/>
  <c r="P17" i="23"/>
  <c r="P43" i="23" s="1"/>
  <c r="P19" i="23"/>
  <c r="Z122" i="37"/>
  <c r="Z102" i="37"/>
  <c r="AD100" i="37"/>
  <c r="AE40" i="37"/>
  <c r="W20" i="20"/>
  <c r="AA20" i="20"/>
  <c r="AC20" i="20"/>
  <c r="Y20" i="20"/>
  <c r="AH95" i="37"/>
  <c r="AH124" i="37" s="1"/>
  <c r="AI73" i="37"/>
  <c r="AB23" i="1"/>
  <c r="D23" i="1" s="1"/>
  <c r="AB24" i="3" s="1"/>
  <c r="AB26" i="19"/>
  <c r="D25" i="19"/>
  <c r="Q37" i="23"/>
  <c r="Q40" i="23"/>
  <c r="Q39" i="23"/>
  <c r="Q38" i="23"/>
  <c r="Q36" i="23"/>
  <c r="Q41" i="23"/>
  <c r="AF26" i="3"/>
  <c r="Z26" i="3"/>
  <c r="AD26" i="3"/>
  <c r="AF3" i="37"/>
  <c r="AE106" i="37"/>
  <c r="AA114" i="37"/>
  <c r="Z127" i="37"/>
  <c r="R16" i="23" s="1"/>
  <c r="AG11" i="23"/>
  <c r="AQ126" i="37"/>
  <c r="X27" i="21"/>
  <c r="Y27" i="21"/>
  <c r="A28" i="21"/>
  <c r="G24" i="19"/>
  <c r="AA116" i="37"/>
  <c r="Z129" i="37"/>
  <c r="Z27" i="2"/>
  <c r="A28" i="2"/>
  <c r="AA27" i="2"/>
  <c r="AK212" i="1"/>
  <c r="F212" i="1" s="1"/>
  <c r="F214" i="19"/>
  <c r="AJ211" i="1"/>
  <c r="E211" i="1" s="1"/>
  <c r="E213" i="19"/>
  <c r="AJ214" i="19"/>
  <c r="AO94" i="37"/>
  <c r="AQ71" i="37"/>
  <c r="S42" i="23"/>
  <c r="S112" i="23" s="1"/>
  <c r="S114" i="23" s="1"/>
  <c r="S39" i="4" s="1"/>
  <c r="AB130" i="37"/>
  <c r="AJ222" i="1"/>
  <c r="E222" i="1" s="1"/>
  <c r="E224" i="19"/>
  <c r="AJ225" i="19"/>
  <c r="AJ246" i="1" l="1"/>
  <c r="E246" i="1" s="1"/>
  <c r="E248" i="19"/>
  <c r="AJ249" i="19"/>
  <c r="AC38" i="37"/>
  <c r="AB99" i="37"/>
  <c r="AB128" i="37" s="1"/>
  <c r="T27" i="23" s="1"/>
  <c r="AB42" i="37"/>
  <c r="AJ223" i="1"/>
  <c r="E223" i="1" s="1"/>
  <c r="E225" i="19"/>
  <c r="AJ226" i="19"/>
  <c r="R38" i="23"/>
  <c r="R41" i="23"/>
  <c r="R40" i="23"/>
  <c r="R36" i="23"/>
  <c r="R39" i="23"/>
  <c r="R37" i="23"/>
  <c r="AI95" i="37"/>
  <c r="AI124" i="37" s="1"/>
  <c r="AJ73" i="37"/>
  <c r="Q26" i="23"/>
  <c r="Q25" i="23"/>
  <c r="Q32" i="23"/>
  <c r="Q33" i="23"/>
  <c r="Q21" i="23"/>
  <c r="Q34" i="23"/>
  <c r="Q22" i="23"/>
  <c r="Y131" i="37"/>
  <c r="Q23" i="23"/>
  <c r="Q24" i="23"/>
  <c r="Q35" i="23"/>
  <c r="AB69" i="37"/>
  <c r="AC64" i="37"/>
  <c r="Z27" i="3"/>
  <c r="AF27" i="3"/>
  <c r="AD27" i="3"/>
  <c r="AA108" i="37"/>
  <c r="Z118" i="37"/>
  <c r="Z121" i="37"/>
  <c r="N42" i="22"/>
  <c r="N43" i="22"/>
  <c r="AK247" i="1"/>
  <c r="F247" i="1" s="1"/>
  <c r="AK250" i="19"/>
  <c r="F249" i="19"/>
  <c r="W21" i="20"/>
  <c r="X21" i="20" s="1"/>
  <c r="W21" i="21"/>
  <c r="C83" i="4" s="1"/>
  <c r="AC21" i="20"/>
  <c r="AD21" i="20" s="1"/>
  <c r="AA21" i="20"/>
  <c r="AB21" i="20" s="1"/>
  <c r="Y21" i="20"/>
  <c r="Z21" i="20" s="1"/>
  <c r="P56" i="22"/>
  <c r="Q52" i="22" s="1"/>
  <c r="P53" i="22"/>
  <c r="AA93" i="37"/>
  <c r="AA83" i="37"/>
  <c r="AA86" i="37" s="1"/>
  <c r="T42" i="23"/>
  <c r="T112" i="23" s="1"/>
  <c r="T114" i="23" s="1"/>
  <c r="T39" i="4" s="1"/>
  <c r="AC130" i="37"/>
  <c r="AE100" i="37"/>
  <c r="AE129" i="37" s="1"/>
  <c r="AF40" i="37"/>
  <c r="X28" i="21"/>
  <c r="A29" i="21"/>
  <c r="Y28" i="21"/>
  <c r="AB114" i="37"/>
  <c r="AA127" i="37"/>
  <c r="S16" i="23" s="1"/>
  <c r="O40" i="22"/>
  <c r="O41" i="22" s="1"/>
  <c r="O55" i="22"/>
  <c r="O58" i="22"/>
  <c r="AO123" i="37"/>
  <c r="AQ94" i="37"/>
  <c r="A29" i="2"/>
  <c r="AA28" i="2"/>
  <c r="Z28" i="2"/>
  <c r="R20" i="23"/>
  <c r="R18" i="23"/>
  <c r="R17" i="23"/>
  <c r="R31" i="23"/>
  <c r="R19" i="23"/>
  <c r="N60" i="22"/>
  <c r="N63" i="22" s="1"/>
  <c r="AF62" i="37"/>
  <c r="AG58" i="37"/>
  <c r="AG3" i="37"/>
  <c r="AF106" i="37"/>
  <c r="Q19" i="23"/>
  <c r="Q20" i="23"/>
  <c r="Q31" i="23"/>
  <c r="Q17" i="23"/>
  <c r="Q18" i="23"/>
  <c r="AE92" i="37"/>
  <c r="AJ212" i="1"/>
  <c r="E212" i="1" s="1"/>
  <c r="E214" i="19"/>
  <c r="AB116" i="37"/>
  <c r="AA129" i="37"/>
  <c r="G25" i="19"/>
  <c r="AK235" i="1"/>
  <c r="F235" i="1" s="1"/>
  <c r="F237" i="19"/>
  <c r="AK238" i="19"/>
  <c r="V22" i="21"/>
  <c r="B22" i="20"/>
  <c r="AK224" i="1"/>
  <c r="F224" i="1" s="1"/>
  <c r="F226" i="19"/>
  <c r="E23" i="21"/>
  <c r="E23" i="20" s="1"/>
  <c r="N23" i="21"/>
  <c r="N23" i="20" s="1"/>
  <c r="I23" i="21"/>
  <c r="I23" i="20" s="1"/>
  <c r="P23" i="21"/>
  <c r="P23" i="20" s="1"/>
  <c r="C23" i="21"/>
  <c r="C23" i="20" s="1"/>
  <c r="R23" i="21"/>
  <c r="R23" i="20" s="1"/>
  <c r="H23" i="21"/>
  <c r="H23" i="20" s="1"/>
  <c r="L23" i="21"/>
  <c r="L23" i="20" s="1"/>
  <c r="O23" i="21"/>
  <c r="O23" i="20" s="1"/>
  <c r="T23" i="21"/>
  <c r="T23" i="20" s="1"/>
  <c r="D23" i="21"/>
  <c r="D23" i="20" s="1"/>
  <c r="F23" i="21"/>
  <c r="F23" i="20" s="1"/>
  <c r="S23" i="21"/>
  <c r="S23" i="20" s="1"/>
  <c r="M23" i="21"/>
  <c r="M23" i="20" s="1"/>
  <c r="J23" i="21"/>
  <c r="J23" i="20" s="1"/>
  <c r="K23" i="21"/>
  <c r="K23" i="20" s="1"/>
  <c r="U23" i="21"/>
  <c r="U23" i="20" s="1"/>
  <c r="B23" i="21"/>
  <c r="Q23" i="21"/>
  <c r="Q23" i="20" s="1"/>
  <c r="G23" i="21"/>
  <c r="G23" i="20" s="1"/>
  <c r="AB24" i="1"/>
  <c r="D24" i="1" s="1"/>
  <c r="AB25" i="3" s="1"/>
  <c r="D26" i="19"/>
  <c r="AB27" i="19"/>
  <c r="AO125" i="37"/>
  <c r="AQ96" i="37"/>
  <c r="T10" i="6"/>
  <c r="S43" i="6"/>
  <c r="AJ234" i="1"/>
  <c r="E234" i="1" s="1"/>
  <c r="E236" i="19"/>
  <c r="AJ237" i="19"/>
  <c r="AJ235" i="1" l="1"/>
  <c r="E235" i="1" s="1"/>
  <c r="AJ238" i="19"/>
  <c r="E237" i="19"/>
  <c r="Z28" i="3"/>
  <c r="AF28" i="3"/>
  <c r="AD28" i="3"/>
  <c r="Q53" i="22"/>
  <c r="Q56" i="22"/>
  <c r="R52" i="22" s="1"/>
  <c r="AB25" i="1"/>
  <c r="D25" i="1" s="1"/>
  <c r="AB26" i="3" s="1"/>
  <c r="D27" i="19"/>
  <c r="AB28" i="19"/>
  <c r="AJ247" i="1"/>
  <c r="E247" i="1" s="1"/>
  <c r="E249" i="19"/>
  <c r="AJ250" i="19"/>
  <c r="T43" i="6"/>
  <c r="U10" i="6"/>
  <c r="S39" i="23"/>
  <c r="S41" i="23"/>
  <c r="S36" i="23"/>
  <c r="S37" i="23"/>
  <c r="S40" i="23"/>
  <c r="S38" i="23"/>
  <c r="AG62" i="37"/>
  <c r="AH58" i="37"/>
  <c r="C94" i="4"/>
  <c r="C88" i="4"/>
  <c r="C87" i="4"/>
  <c r="C95" i="4"/>
  <c r="C89" i="4"/>
  <c r="C82" i="4"/>
  <c r="C86" i="4"/>
  <c r="C85" i="4"/>
  <c r="C93" i="4"/>
  <c r="C92" i="4"/>
  <c r="C91" i="4"/>
  <c r="AC116" i="37"/>
  <c r="AB129" i="37"/>
  <c r="AF92" i="37"/>
  <c r="AB108" i="37"/>
  <c r="AA118" i="37"/>
  <c r="AA121" i="37"/>
  <c r="V23" i="21"/>
  <c r="B23" i="20"/>
  <c r="AC22" i="20"/>
  <c r="AA22" i="20"/>
  <c r="W22" i="20"/>
  <c r="Y22" i="20"/>
  <c r="Q43" i="23"/>
  <c r="O60" i="22"/>
  <c r="O63" i="22" s="1"/>
  <c r="AA122" i="37"/>
  <c r="AA102" i="37"/>
  <c r="AG10" i="23"/>
  <c r="AQ125" i="37"/>
  <c r="AF100" i="37"/>
  <c r="AF129" i="37" s="1"/>
  <c r="AG40" i="37"/>
  <c r="A30" i="2"/>
  <c r="Z29" i="2"/>
  <c r="AA29" i="2"/>
  <c r="W38" i="23"/>
  <c r="W37" i="23"/>
  <c r="W41" i="23"/>
  <c r="W40" i="23"/>
  <c r="W36" i="23"/>
  <c r="W39" i="23"/>
  <c r="AC69" i="37"/>
  <c r="AD64" i="37"/>
  <c r="G26" i="19"/>
  <c r="L24" i="21"/>
  <c r="L24" i="20" s="1"/>
  <c r="C24" i="21"/>
  <c r="C24" i="20" s="1"/>
  <c r="E24" i="21"/>
  <c r="E24" i="20" s="1"/>
  <c r="O24" i="21"/>
  <c r="O24" i="20" s="1"/>
  <c r="F24" i="21"/>
  <c r="F24" i="20" s="1"/>
  <c r="M24" i="21"/>
  <c r="M24" i="20" s="1"/>
  <c r="D24" i="21"/>
  <c r="D24" i="20" s="1"/>
  <c r="B24" i="21"/>
  <c r="G24" i="21"/>
  <c r="G24" i="20" s="1"/>
  <c r="K24" i="21"/>
  <c r="K24" i="20" s="1"/>
  <c r="P24" i="21"/>
  <c r="P24" i="20" s="1"/>
  <c r="N24" i="21"/>
  <c r="N24" i="20" s="1"/>
  <c r="S24" i="21"/>
  <c r="S24" i="20" s="1"/>
  <c r="T24" i="21"/>
  <c r="T24" i="20" s="1"/>
  <c r="U24" i="21"/>
  <c r="U24" i="20" s="1"/>
  <c r="I24" i="21"/>
  <c r="I24" i="20" s="1"/>
  <c r="Q24" i="21"/>
  <c r="Q24" i="20" s="1"/>
  <c r="R24" i="21"/>
  <c r="R24" i="20" s="1"/>
  <c r="H24" i="21"/>
  <c r="H24" i="20" s="1"/>
  <c r="J24" i="21"/>
  <c r="J24" i="20" s="1"/>
  <c r="X29" i="21"/>
  <c r="Y29" i="21"/>
  <c r="A30" i="21"/>
  <c r="AK236" i="1"/>
  <c r="F236" i="1" s="1"/>
  <c r="F238" i="19"/>
  <c r="O43" i="22"/>
  <c r="O42" i="22"/>
  <c r="P40" i="22"/>
  <c r="P41" i="22" s="1"/>
  <c r="P58" i="22"/>
  <c r="P55" i="22"/>
  <c r="P60" i="22" s="1"/>
  <c r="P63" i="22" s="1"/>
  <c r="AK248" i="1"/>
  <c r="F248" i="1" s="1"/>
  <c r="F250" i="19"/>
  <c r="AJ95" i="37"/>
  <c r="AJ124" i="37" s="1"/>
  <c r="AK73" i="37"/>
  <c r="AC42" i="37"/>
  <c r="AC99" i="37"/>
  <c r="AC128" i="37" s="1"/>
  <c r="U27" i="23" s="1"/>
  <c r="AD38" i="37"/>
  <c r="AC114" i="37"/>
  <c r="AB127" i="37"/>
  <c r="T16" i="23" s="1"/>
  <c r="U42" i="23"/>
  <c r="U112" i="23" s="1"/>
  <c r="U114" i="23" s="1"/>
  <c r="U39" i="4" s="1"/>
  <c r="AD130" i="37"/>
  <c r="AB93" i="37"/>
  <c r="AB83" i="37"/>
  <c r="AB86" i="37" s="1"/>
  <c r="AJ224" i="1"/>
  <c r="E224" i="1" s="1"/>
  <c r="E226" i="19"/>
  <c r="AH3" i="37"/>
  <c r="AG106" i="37"/>
  <c r="AG29" i="23"/>
  <c r="AG28" i="23"/>
  <c r="AG30" i="23"/>
  <c r="AQ123" i="37"/>
  <c r="R23" i="23"/>
  <c r="R22" i="23"/>
  <c r="R33" i="23"/>
  <c r="R25" i="23"/>
  <c r="R32" i="23"/>
  <c r="R24" i="23"/>
  <c r="R35" i="23"/>
  <c r="R26" i="23"/>
  <c r="R21" i="23"/>
  <c r="R34" i="23"/>
  <c r="R43" i="23" s="1"/>
  <c r="Z131" i="37"/>
  <c r="AI3" i="37" l="1"/>
  <c r="AH106" i="37"/>
  <c r="AB26" i="1"/>
  <c r="D26" i="1" s="1"/>
  <c r="AB27" i="3" s="1"/>
  <c r="D28" i="19"/>
  <c r="AB29" i="19"/>
  <c r="P43" i="22"/>
  <c r="P42" i="22"/>
  <c r="AD114" i="37"/>
  <c r="AC127" i="37"/>
  <c r="U16" i="23" s="1"/>
  <c r="AK95" i="37"/>
  <c r="AK124" i="37" s="1"/>
  <c r="AL73" i="37"/>
  <c r="S31" i="23"/>
  <c r="S17" i="23"/>
  <c r="S43" i="23" s="1"/>
  <c r="S19" i="23"/>
  <c r="S20" i="23"/>
  <c r="S18" i="23"/>
  <c r="AD116" i="37"/>
  <c r="AC129" i="37"/>
  <c r="E250" i="19"/>
  <c r="AJ248" i="1"/>
  <c r="E248" i="1" s="1"/>
  <c r="AG100" i="37"/>
  <c r="AG129" i="37" s="1"/>
  <c r="AH40" i="37"/>
  <c r="AC23" i="20"/>
  <c r="W23" i="20"/>
  <c r="AA23" i="20"/>
  <c r="Y23" i="20"/>
  <c r="R53" i="22"/>
  <c r="R56" i="22"/>
  <c r="S52" i="22" s="1"/>
  <c r="X36" i="23"/>
  <c r="X39" i="23"/>
  <c r="X38" i="23"/>
  <c r="X41" i="23"/>
  <c r="X40" i="23"/>
  <c r="X37" i="23"/>
  <c r="S21" i="23"/>
  <c r="S34" i="23"/>
  <c r="S22" i="23"/>
  <c r="S33" i="23"/>
  <c r="S24" i="23"/>
  <c r="S25" i="23"/>
  <c r="S35" i="23"/>
  <c r="S26" i="23"/>
  <c r="S32" i="23"/>
  <c r="S23" i="23"/>
  <c r="AA131" i="37"/>
  <c r="Q55" i="22"/>
  <c r="Q58" i="22"/>
  <c r="Q40" i="22"/>
  <c r="Q41" i="22" s="1"/>
  <c r="AC108" i="37"/>
  <c r="AB118" i="37"/>
  <c r="AB121" i="37"/>
  <c r="V42" i="23"/>
  <c r="V112" i="23" s="1"/>
  <c r="V114" i="23" s="1"/>
  <c r="V39" i="4" s="1"/>
  <c r="AE130" i="37"/>
  <c r="Z29" i="3"/>
  <c r="AF29" i="3"/>
  <c r="AD29" i="3"/>
  <c r="X30" i="21"/>
  <c r="Y30" i="21"/>
  <c r="A31" i="21"/>
  <c r="V24" i="21"/>
  <c r="B24" i="20"/>
  <c r="O25" i="21"/>
  <c r="O25" i="20" s="1"/>
  <c r="J25" i="21"/>
  <c r="J25" i="20" s="1"/>
  <c r="U25" i="21"/>
  <c r="U25" i="20" s="1"/>
  <c r="R25" i="21"/>
  <c r="R25" i="20" s="1"/>
  <c r="I25" i="21"/>
  <c r="I25" i="20" s="1"/>
  <c r="T25" i="21"/>
  <c r="T25" i="20" s="1"/>
  <c r="B25" i="21"/>
  <c r="S25" i="21"/>
  <c r="S25" i="20" s="1"/>
  <c r="H25" i="21"/>
  <c r="H25" i="20" s="1"/>
  <c r="E25" i="21"/>
  <c r="E25" i="20" s="1"/>
  <c r="C25" i="21"/>
  <c r="C25" i="20" s="1"/>
  <c r="P25" i="21"/>
  <c r="P25" i="20" s="1"/>
  <c r="L25" i="21"/>
  <c r="L25" i="20" s="1"/>
  <c r="M25" i="21"/>
  <c r="M25" i="20" s="1"/>
  <c r="G25" i="21"/>
  <c r="G25" i="20" s="1"/>
  <c r="D25" i="21"/>
  <c r="D25" i="20" s="1"/>
  <c r="N25" i="21"/>
  <c r="N25" i="20" s="1"/>
  <c r="K25" i="21"/>
  <c r="K25" i="20" s="1"/>
  <c r="F25" i="21"/>
  <c r="F25" i="20" s="1"/>
  <c r="Q25" i="21"/>
  <c r="Q25" i="20" s="1"/>
  <c r="AB122" i="37"/>
  <c r="AB102" i="37"/>
  <c r="AD42" i="37"/>
  <c r="AE38" i="37"/>
  <c r="AD99" i="37"/>
  <c r="AD128" i="37" s="1"/>
  <c r="V27" i="23" s="1"/>
  <c r="AD69" i="37"/>
  <c r="AE64" i="37"/>
  <c r="AC93" i="37"/>
  <c r="AC83" i="37"/>
  <c r="AC86" i="37" s="1"/>
  <c r="AH62" i="37"/>
  <c r="AI58" i="37"/>
  <c r="U43" i="6"/>
  <c r="V10" i="6"/>
  <c r="V43" i="6" s="1"/>
  <c r="G27" i="19"/>
  <c r="Z30" i="2"/>
  <c r="A31" i="2"/>
  <c r="AA30" i="2"/>
  <c r="T40" i="23"/>
  <c r="T37" i="23"/>
  <c r="T36" i="23"/>
  <c r="T41" i="23"/>
  <c r="T39" i="23"/>
  <c r="T38" i="23"/>
  <c r="AG92" i="37"/>
  <c r="AJ236" i="1"/>
  <c r="E236" i="1" s="1"/>
  <c r="E238" i="19"/>
  <c r="AI62" i="37" l="1"/>
  <c r="AJ58" i="37"/>
  <c r="U41" i="23"/>
  <c r="U36" i="23"/>
  <c r="U39" i="23"/>
  <c r="U37" i="23"/>
  <c r="U38" i="23"/>
  <c r="U40" i="23"/>
  <c r="AQ116" i="37"/>
  <c r="AD129" i="37"/>
  <c r="AF38" i="37"/>
  <c r="AE99" i="37"/>
  <c r="AE128" i="37" s="1"/>
  <c r="W27" i="23" s="1"/>
  <c r="AE42" i="37"/>
  <c r="I26" i="21"/>
  <c r="I26" i="20" s="1"/>
  <c r="T26" i="21"/>
  <c r="T26" i="20" s="1"/>
  <c r="U26" i="21"/>
  <c r="U26" i="20" s="1"/>
  <c r="G26" i="21"/>
  <c r="G26" i="20" s="1"/>
  <c r="R26" i="21"/>
  <c r="R26" i="20" s="1"/>
  <c r="F26" i="21"/>
  <c r="F26" i="20" s="1"/>
  <c r="J26" i="21"/>
  <c r="J26" i="20" s="1"/>
  <c r="H26" i="21"/>
  <c r="H26" i="20" s="1"/>
  <c r="O26" i="21"/>
  <c r="O26" i="20" s="1"/>
  <c r="D26" i="21"/>
  <c r="D26" i="20" s="1"/>
  <c r="P26" i="21"/>
  <c r="P26" i="20" s="1"/>
  <c r="Q26" i="21"/>
  <c r="Q26" i="20" s="1"/>
  <c r="S26" i="21"/>
  <c r="S26" i="20" s="1"/>
  <c r="L26" i="21"/>
  <c r="L26" i="20" s="1"/>
  <c r="C26" i="21"/>
  <c r="C26" i="20" s="1"/>
  <c r="B26" i="21"/>
  <c r="K26" i="21"/>
  <c r="K26" i="20" s="1"/>
  <c r="N26" i="21"/>
  <c r="N26" i="20" s="1"/>
  <c r="M26" i="21"/>
  <c r="M26" i="20" s="1"/>
  <c r="E26" i="21"/>
  <c r="E26" i="20" s="1"/>
  <c r="AC122" i="37"/>
  <c r="AC102" i="37"/>
  <c r="V25" i="21"/>
  <c r="B25" i="20"/>
  <c r="W24" i="20"/>
  <c r="AC24" i="20"/>
  <c r="AA24" i="20"/>
  <c r="Y24" i="20"/>
  <c r="Q60" i="22"/>
  <c r="Q63" i="22" s="1"/>
  <c r="AB27" i="1"/>
  <c r="D27" i="1" s="1"/>
  <c r="AB28" i="3" s="1"/>
  <c r="D29" i="19"/>
  <c r="AB30" i="19"/>
  <c r="T20" i="23"/>
  <c r="T19" i="23"/>
  <c r="T17" i="23"/>
  <c r="T43" i="23" s="1"/>
  <c r="T18" i="23"/>
  <c r="T31" i="23"/>
  <c r="X31" i="21"/>
  <c r="Y31" i="21"/>
  <c r="A32" i="21"/>
  <c r="W42" i="23"/>
  <c r="AF130" i="37"/>
  <c r="G28" i="19"/>
  <c r="R58" i="22"/>
  <c r="R40" i="22"/>
  <c r="R41" i="22" s="1"/>
  <c r="R55" i="22"/>
  <c r="Z30" i="3"/>
  <c r="AF30" i="3"/>
  <c r="AD30" i="3"/>
  <c r="AE69" i="37"/>
  <c r="AF64" i="37"/>
  <c r="AL95" i="37"/>
  <c r="AL124" i="37" s="1"/>
  <c r="AM73" i="37"/>
  <c r="Z31" i="2"/>
  <c r="AA31" i="2"/>
  <c r="A32" i="2"/>
  <c r="AD93" i="37"/>
  <c r="AD83" i="37"/>
  <c r="AD86" i="37" s="1"/>
  <c r="T22" i="23"/>
  <c r="T25" i="23"/>
  <c r="T32" i="23"/>
  <c r="T24" i="23"/>
  <c r="T35" i="23"/>
  <c r="T34" i="23"/>
  <c r="T23" i="23"/>
  <c r="T33" i="23"/>
  <c r="AB131" i="37"/>
  <c r="T26" i="23"/>
  <c r="T21" i="23"/>
  <c r="AH92" i="37"/>
  <c r="AD108" i="37"/>
  <c r="AC118" i="37"/>
  <c r="AC121" i="37"/>
  <c r="AH100" i="37"/>
  <c r="AH129" i="37" s="1"/>
  <c r="AI40" i="37"/>
  <c r="AE114" i="37"/>
  <c r="AD127" i="37"/>
  <c r="V16" i="23" s="1"/>
  <c r="AI106" i="37"/>
  <c r="AJ3" i="37"/>
  <c r="Q42" i="22"/>
  <c r="Q43" i="22" s="1"/>
  <c r="S56" i="22"/>
  <c r="T52" i="22" s="1"/>
  <c r="S53" i="22"/>
  <c r="Y37" i="23"/>
  <c r="Y40" i="23"/>
  <c r="Y39" i="23"/>
  <c r="Y38" i="23"/>
  <c r="Y41" i="23"/>
  <c r="Y36" i="23"/>
  <c r="T53" i="22" l="1"/>
  <c r="T56" i="22"/>
  <c r="U52" i="22" s="1"/>
  <c r="R42" i="22"/>
  <c r="R43" i="22" s="1"/>
  <c r="AI92" i="37"/>
  <c r="U23" i="23"/>
  <c r="U33" i="23"/>
  <c r="U24" i="23"/>
  <c r="U35" i="23"/>
  <c r="U26" i="23"/>
  <c r="U25" i="23"/>
  <c r="AC131" i="37"/>
  <c r="U34" i="23"/>
  <c r="U21" i="23"/>
  <c r="U32" i="23"/>
  <c r="U22" i="23"/>
  <c r="A33" i="2"/>
  <c r="Z32" i="2"/>
  <c r="AA32" i="2"/>
  <c r="X42" i="23"/>
  <c r="AG130" i="37"/>
  <c r="AE127" i="37"/>
  <c r="W16" i="23" s="1"/>
  <c r="AF114" i="37"/>
  <c r="U17" i="23"/>
  <c r="U19" i="23"/>
  <c r="U18" i="23"/>
  <c r="U31" i="23"/>
  <c r="U20" i="23"/>
  <c r="AG38" i="37"/>
  <c r="AF99" i="37"/>
  <c r="AF128" i="37" s="1"/>
  <c r="X27" i="23" s="1"/>
  <c r="AF42" i="37"/>
  <c r="Z38" i="23"/>
  <c r="Z41" i="23"/>
  <c r="Z40" i="23"/>
  <c r="Z36" i="23"/>
  <c r="Z39" i="23"/>
  <c r="Z37" i="23"/>
  <c r="Z31" i="3"/>
  <c r="AF31" i="3"/>
  <c r="AD31" i="3"/>
  <c r="S55" i="22"/>
  <c r="S60" i="22" s="1"/>
  <c r="S63" i="22" s="1"/>
  <c r="S40" i="22"/>
  <c r="S41" i="22" s="1"/>
  <c r="S58" i="22"/>
  <c r="AI100" i="37"/>
  <c r="AI129" i="37" s="1"/>
  <c r="AJ40" i="37"/>
  <c r="AM95" i="37"/>
  <c r="AM124" i="37" s="1"/>
  <c r="AN73" i="37"/>
  <c r="R60" i="22"/>
  <c r="R63" i="22" s="1"/>
  <c r="X32" i="21"/>
  <c r="A33" i="21"/>
  <c r="Y32" i="21"/>
  <c r="V37" i="23"/>
  <c r="V36" i="23"/>
  <c r="V41" i="23"/>
  <c r="V39" i="23"/>
  <c r="V40" i="23"/>
  <c r="V38" i="23"/>
  <c r="AJ62" i="37"/>
  <c r="AK58" i="37"/>
  <c r="AF69" i="37"/>
  <c r="AG64" i="37"/>
  <c r="AB28" i="1"/>
  <c r="D28" i="1" s="1"/>
  <c r="AB29" i="3" s="1"/>
  <c r="D30" i="19"/>
  <c r="AB31" i="19"/>
  <c r="AJ106" i="37"/>
  <c r="AK3" i="37"/>
  <c r="AD118" i="37"/>
  <c r="AE108" i="37"/>
  <c r="AD121" i="37"/>
  <c r="AD122" i="37"/>
  <c r="AD102" i="37"/>
  <c r="AE93" i="37"/>
  <c r="AE83" i="37"/>
  <c r="AE86" i="37" s="1"/>
  <c r="E27" i="21"/>
  <c r="E27" i="20" s="1"/>
  <c r="K27" i="21"/>
  <c r="K27" i="20" s="1"/>
  <c r="T27" i="21"/>
  <c r="T27" i="20" s="1"/>
  <c r="B27" i="21"/>
  <c r="C27" i="21"/>
  <c r="C27" i="20" s="1"/>
  <c r="N27" i="21"/>
  <c r="N27" i="20" s="1"/>
  <c r="M27" i="21"/>
  <c r="M27" i="20" s="1"/>
  <c r="J27" i="21"/>
  <c r="J27" i="20" s="1"/>
  <c r="R27" i="21"/>
  <c r="R27" i="20" s="1"/>
  <c r="O27" i="21"/>
  <c r="O27" i="20" s="1"/>
  <c r="L27" i="21"/>
  <c r="L27" i="20" s="1"/>
  <c r="U27" i="21"/>
  <c r="U27" i="20" s="1"/>
  <c r="S27" i="21"/>
  <c r="S27" i="20" s="1"/>
  <c r="I27" i="21"/>
  <c r="I27" i="20" s="1"/>
  <c r="G27" i="21"/>
  <c r="G27" i="20" s="1"/>
  <c r="F27" i="21"/>
  <c r="F27" i="20" s="1"/>
  <c r="H27" i="21"/>
  <c r="H27" i="20" s="1"/>
  <c r="Q27" i="21"/>
  <c r="Q27" i="20" s="1"/>
  <c r="D27" i="21"/>
  <c r="D27" i="20" s="1"/>
  <c r="P27" i="21"/>
  <c r="P27" i="20" s="1"/>
  <c r="G29" i="19"/>
  <c r="W25" i="20"/>
  <c r="AC25" i="20"/>
  <c r="AA25" i="20"/>
  <c r="Y25" i="20"/>
  <c r="V26" i="21"/>
  <c r="B26" i="20"/>
  <c r="V24" i="23" l="1"/>
  <c r="V22" i="23"/>
  <c r="V34" i="23"/>
  <c r="V21" i="23"/>
  <c r="V26" i="23"/>
  <c r="V32" i="23"/>
  <c r="V23" i="23"/>
  <c r="V35" i="23"/>
  <c r="AD131" i="37"/>
  <c r="V33" i="23"/>
  <c r="V25" i="23"/>
  <c r="W26" i="20"/>
  <c r="AC26" i="20"/>
  <c r="AA26" i="20"/>
  <c r="Y26" i="20"/>
  <c r="AJ100" i="37"/>
  <c r="AJ129" i="37" s="1"/>
  <c r="AK40" i="37"/>
  <c r="U43" i="23"/>
  <c r="S42" i="22"/>
  <c r="S43" i="22" s="1"/>
  <c r="AE122" i="37"/>
  <c r="AE102" i="37"/>
  <c r="AB29" i="1"/>
  <c r="D29" i="1" s="1"/>
  <c r="AB30" i="3" s="1"/>
  <c r="D31" i="19"/>
  <c r="AB32" i="19"/>
  <c r="T28" i="21"/>
  <c r="T28" i="20" s="1"/>
  <c r="L28" i="21"/>
  <c r="L28" i="20" s="1"/>
  <c r="N28" i="21"/>
  <c r="N28" i="20" s="1"/>
  <c r="J28" i="21"/>
  <c r="J28" i="20" s="1"/>
  <c r="Q28" i="21"/>
  <c r="Q28" i="20" s="1"/>
  <c r="H28" i="21"/>
  <c r="H28" i="20" s="1"/>
  <c r="O28" i="21"/>
  <c r="O28" i="20" s="1"/>
  <c r="P28" i="21"/>
  <c r="P28" i="20" s="1"/>
  <c r="B28" i="21"/>
  <c r="M28" i="21"/>
  <c r="M28" i="20" s="1"/>
  <c r="U28" i="21"/>
  <c r="U28" i="20" s="1"/>
  <c r="I28" i="21"/>
  <c r="I28" i="20" s="1"/>
  <c r="K28" i="21"/>
  <c r="K28" i="20" s="1"/>
  <c r="R28" i="21"/>
  <c r="R28" i="20" s="1"/>
  <c r="S28" i="21"/>
  <c r="S28" i="20" s="1"/>
  <c r="D28" i="21"/>
  <c r="D28" i="20" s="1"/>
  <c r="E28" i="21"/>
  <c r="E28" i="20" s="1"/>
  <c r="G28" i="21"/>
  <c r="G28" i="20" s="1"/>
  <c r="F28" i="21"/>
  <c r="F28" i="20" s="1"/>
  <c r="C28" i="21"/>
  <c r="C28" i="20" s="1"/>
  <c r="G30" i="19"/>
  <c r="V27" i="21"/>
  <c r="B27" i="20"/>
  <c r="AF93" i="37"/>
  <c r="AF83" i="37"/>
  <c r="AF86" i="37" s="1"/>
  <c r="AH38" i="37"/>
  <c r="AG99" i="37"/>
  <c r="AG128" i="37" s="1"/>
  <c r="Y27" i="23" s="1"/>
  <c r="AG42" i="37"/>
  <c r="U53" i="22"/>
  <c r="U56" i="22"/>
  <c r="V52" i="22" s="1"/>
  <c r="X33" i="21"/>
  <c r="Y33" i="21"/>
  <c r="A34" i="21"/>
  <c r="V18" i="23"/>
  <c r="V19" i="23"/>
  <c r="V31" i="23"/>
  <c r="V17" i="23"/>
  <c r="V43" i="23" s="1"/>
  <c r="V20" i="23"/>
  <c r="AN95" i="37"/>
  <c r="AN124" i="37" s="1"/>
  <c r="AO73" i="37"/>
  <c r="Z32" i="3"/>
  <c r="AF32" i="3"/>
  <c r="AD32" i="3"/>
  <c r="AG69" i="37"/>
  <c r="AH64" i="37"/>
  <c r="AG114" i="37"/>
  <c r="AF127" i="37"/>
  <c r="X16" i="23" s="1"/>
  <c r="AF108" i="37"/>
  <c r="AE118" i="37"/>
  <c r="AE121" i="37"/>
  <c r="Z33" i="2"/>
  <c r="AA33" i="2"/>
  <c r="A34" i="2"/>
  <c r="AK62" i="37"/>
  <c r="AL58" i="37"/>
  <c r="AA39" i="23"/>
  <c r="AA41" i="23"/>
  <c r="AA36" i="23"/>
  <c r="AA37" i="23"/>
  <c r="AA38" i="23"/>
  <c r="AA40" i="23"/>
  <c r="Y42" i="23"/>
  <c r="AH130" i="37"/>
  <c r="T55" i="22"/>
  <c r="T58" i="22"/>
  <c r="T40" i="22"/>
  <c r="T41" i="22" s="1"/>
  <c r="AL3" i="37"/>
  <c r="AK106" i="37"/>
  <c r="AJ92" i="37"/>
  <c r="AK92" i="37" l="1"/>
  <c r="V56" i="22"/>
  <c r="W52" i="22" s="1"/>
  <c r="V53" i="22"/>
  <c r="AH69" i="37"/>
  <c r="AI64" i="37"/>
  <c r="U40" i="22"/>
  <c r="U41" i="22" s="1"/>
  <c r="U58" i="22"/>
  <c r="U55" i="22"/>
  <c r="U60" i="22" s="1"/>
  <c r="U63" i="22" s="1"/>
  <c r="AB30" i="1"/>
  <c r="D30" i="1" s="1"/>
  <c r="AB31" i="3" s="1"/>
  <c r="D32" i="19"/>
  <c r="AB33" i="19"/>
  <c r="W25" i="23"/>
  <c r="W35" i="23"/>
  <c r="W21" i="23"/>
  <c r="W26" i="23"/>
  <c r="W22" i="23"/>
  <c r="W32" i="23"/>
  <c r="W33" i="23"/>
  <c r="W23" i="23"/>
  <c r="W24" i="23"/>
  <c r="W34" i="23"/>
  <c r="AE131" i="37"/>
  <c r="AH99" i="37"/>
  <c r="AH128" i="37" s="1"/>
  <c r="Z27" i="23" s="1"/>
  <c r="AH42" i="37"/>
  <c r="AI38" i="37"/>
  <c r="Y34" i="21"/>
  <c r="X34" i="21"/>
  <c r="A35" i="21"/>
  <c r="W17" i="23"/>
  <c r="W19" i="23"/>
  <c r="W18" i="23"/>
  <c r="W20" i="23"/>
  <c r="W31" i="23"/>
  <c r="T60" i="22"/>
  <c r="T63" i="22" s="1"/>
  <c r="AG108" i="37"/>
  <c r="AF118" i="37"/>
  <c r="AF121" i="37"/>
  <c r="AO95" i="37"/>
  <c r="AQ73" i="37"/>
  <c r="AF122" i="37"/>
  <c r="AF102" i="37"/>
  <c r="V28" i="21"/>
  <c r="B28" i="20"/>
  <c r="W27" i="20"/>
  <c r="AC27" i="20"/>
  <c r="AA27" i="20"/>
  <c r="Y27" i="20"/>
  <c r="AA34" i="2"/>
  <c r="Z34" i="2"/>
  <c r="A35" i="2"/>
  <c r="O29" i="21"/>
  <c r="O29" i="20" s="1"/>
  <c r="S29" i="21"/>
  <c r="S29" i="20" s="1"/>
  <c r="Q29" i="21"/>
  <c r="Q29" i="20" s="1"/>
  <c r="B29" i="21"/>
  <c r="E29" i="21"/>
  <c r="E29" i="20" s="1"/>
  <c r="C29" i="21"/>
  <c r="C29" i="20" s="1"/>
  <c r="D29" i="21"/>
  <c r="D29" i="20" s="1"/>
  <c r="N29" i="21"/>
  <c r="N29" i="20" s="1"/>
  <c r="R29" i="21"/>
  <c r="R29" i="20" s="1"/>
  <c r="T29" i="21"/>
  <c r="T29" i="20" s="1"/>
  <c r="P29" i="21"/>
  <c r="P29" i="20" s="1"/>
  <c r="I29" i="21"/>
  <c r="I29" i="20" s="1"/>
  <c r="U29" i="21"/>
  <c r="U29" i="20" s="1"/>
  <c r="M29" i="21"/>
  <c r="M29" i="20" s="1"/>
  <c r="H29" i="21"/>
  <c r="H29" i="20" s="1"/>
  <c r="K29" i="21"/>
  <c r="K29" i="20" s="1"/>
  <c r="L29" i="21"/>
  <c r="L29" i="20" s="1"/>
  <c r="G29" i="21"/>
  <c r="G29" i="20" s="1"/>
  <c r="J29" i="21"/>
  <c r="J29" i="20" s="1"/>
  <c r="F29" i="21"/>
  <c r="F29" i="20" s="1"/>
  <c r="T42" i="22"/>
  <c r="T43" i="22" s="1"/>
  <c r="Z42" i="23"/>
  <c r="AI130" i="37"/>
  <c r="AL62" i="37"/>
  <c r="AM58" i="37"/>
  <c r="AH114" i="37"/>
  <c r="AG127" i="37"/>
  <c r="Y16" i="23" s="1"/>
  <c r="AK100" i="37"/>
  <c r="AK129" i="37" s="1"/>
  <c r="AL40" i="37"/>
  <c r="Z33" i="3"/>
  <c r="AA33" i="3" s="1"/>
  <c r="AF33" i="3"/>
  <c r="AG33" i="3" s="1"/>
  <c r="AD33" i="3"/>
  <c r="AE33" i="3" s="1"/>
  <c r="AG93" i="37"/>
  <c r="AG83" i="37"/>
  <c r="AG86" i="37" s="1"/>
  <c r="G31" i="19"/>
  <c r="AB40" i="23"/>
  <c r="AB38" i="23"/>
  <c r="AB39" i="23"/>
  <c r="AB41" i="23"/>
  <c r="AB37" i="23"/>
  <c r="AB36" i="23"/>
  <c r="AM3" i="37"/>
  <c r="AL106" i="37"/>
  <c r="AL92" i="37" l="1"/>
  <c r="A36" i="21"/>
  <c r="X35" i="21"/>
  <c r="Y35" i="21"/>
  <c r="AL100" i="37"/>
  <c r="AL129" i="37" s="1"/>
  <c r="AM40" i="37"/>
  <c r="AA42" i="23"/>
  <c r="AJ130" i="37"/>
  <c r="V40" i="22"/>
  <c r="V41" i="22" s="1"/>
  <c r="V58" i="22"/>
  <c r="V55" i="22"/>
  <c r="V60" i="22" s="1"/>
  <c r="V63" i="22" s="1"/>
  <c r="S30" i="21"/>
  <c r="S30" i="20" s="1"/>
  <c r="G30" i="21"/>
  <c r="G30" i="20" s="1"/>
  <c r="D30" i="21"/>
  <c r="D30" i="20" s="1"/>
  <c r="B30" i="21"/>
  <c r="O30" i="21"/>
  <c r="O30" i="20" s="1"/>
  <c r="M30" i="21"/>
  <c r="M30" i="20" s="1"/>
  <c r="K30" i="21"/>
  <c r="K30" i="20" s="1"/>
  <c r="F30" i="21"/>
  <c r="F30" i="20" s="1"/>
  <c r="P30" i="21"/>
  <c r="P30" i="20" s="1"/>
  <c r="I30" i="21"/>
  <c r="I30" i="20" s="1"/>
  <c r="L30" i="21"/>
  <c r="L30" i="20" s="1"/>
  <c r="U30" i="21"/>
  <c r="U30" i="20" s="1"/>
  <c r="R30" i="21"/>
  <c r="R30" i="20" s="1"/>
  <c r="E30" i="21"/>
  <c r="E30" i="20" s="1"/>
  <c r="J30" i="21"/>
  <c r="J30" i="20" s="1"/>
  <c r="T30" i="21"/>
  <c r="T30" i="20" s="1"/>
  <c r="H30" i="21"/>
  <c r="H30" i="20" s="1"/>
  <c r="C30" i="21"/>
  <c r="C30" i="20" s="1"/>
  <c r="Q30" i="21"/>
  <c r="Q30" i="20" s="1"/>
  <c r="N30" i="21"/>
  <c r="N30" i="20" s="1"/>
  <c r="AI114" i="37"/>
  <c r="AH127" i="37"/>
  <c r="Z16" i="23" s="1"/>
  <c r="AD34" i="3"/>
  <c r="AF34" i="3"/>
  <c r="Z34" i="3"/>
  <c r="X18" i="23"/>
  <c r="X31" i="23"/>
  <c r="X20" i="23"/>
  <c r="X17" i="23"/>
  <c r="X19" i="23"/>
  <c r="AG122" i="37"/>
  <c r="AG102" i="37"/>
  <c r="V29" i="21"/>
  <c r="B29" i="20"/>
  <c r="AO124" i="37"/>
  <c r="AQ124" i="37" s="1"/>
  <c r="AQ95" i="37"/>
  <c r="U43" i="22"/>
  <c r="U42" i="22"/>
  <c r="AH108" i="37"/>
  <c r="AG118" i="37"/>
  <c r="AG121" i="37"/>
  <c r="AB31" i="1"/>
  <c r="D31" i="1" s="1"/>
  <c r="AB32" i="3" s="1"/>
  <c r="D33" i="19"/>
  <c r="AB34" i="19"/>
  <c r="AM62" i="37"/>
  <c r="AN58" i="37"/>
  <c r="X26" i="23"/>
  <c r="X24" i="23"/>
  <c r="X23" i="23"/>
  <c r="X21" i="23"/>
  <c r="X34" i="23"/>
  <c r="X22" i="23"/>
  <c r="X25" i="23"/>
  <c r="X33" i="23"/>
  <c r="X32" i="23"/>
  <c r="AF131" i="37"/>
  <c r="X35" i="23"/>
  <c r="AI69" i="37"/>
  <c r="AJ64" i="37"/>
  <c r="AH93" i="37"/>
  <c r="AH83" i="37"/>
  <c r="AH86" i="37" s="1"/>
  <c r="AC41" i="23"/>
  <c r="AC36" i="23"/>
  <c r="AC40" i="23"/>
  <c r="AC38" i="23"/>
  <c r="AC39" i="23"/>
  <c r="AC37" i="23"/>
  <c r="AA35" i="2"/>
  <c r="A36" i="2"/>
  <c r="Z35" i="2"/>
  <c r="W28" i="20"/>
  <c r="AC28" i="20"/>
  <c r="AA28" i="20"/>
  <c r="Y28" i="20"/>
  <c r="G32" i="19"/>
  <c r="W53" i="22"/>
  <c r="W56" i="22"/>
  <c r="AN3" i="37"/>
  <c r="AM106" i="37"/>
  <c r="AI99" i="37"/>
  <c r="AI128" i="37" s="1"/>
  <c r="AA27" i="23" s="1"/>
  <c r="AI42" i="37"/>
  <c r="AJ38" i="37"/>
  <c r="AI93" i="37" l="1"/>
  <c r="AI83" i="37"/>
  <c r="AI86" i="37" s="1"/>
  <c r="AD37" i="23"/>
  <c r="AD36" i="23"/>
  <c r="AD40" i="23"/>
  <c r="AD41" i="23"/>
  <c r="AD38" i="23"/>
  <c r="AD39" i="23"/>
  <c r="Y21" i="23"/>
  <c r="Y32" i="23"/>
  <c r="Y23" i="23"/>
  <c r="Y34" i="23"/>
  <c r="Y35" i="23"/>
  <c r="Y25" i="23"/>
  <c r="Y26" i="23"/>
  <c r="Y22" i="23"/>
  <c r="Y33" i="23"/>
  <c r="Y24" i="23"/>
  <c r="AG131" i="37"/>
  <c r="W29" i="20"/>
  <c r="AC29" i="20"/>
  <c r="AA29" i="20"/>
  <c r="Y29" i="20"/>
  <c r="W58" i="22"/>
  <c r="W55" i="22"/>
  <c r="W60" i="22" s="1"/>
  <c r="W63" i="22" s="1"/>
  <c r="AA36" i="2"/>
  <c r="Z36" i="2"/>
  <c r="A37" i="2"/>
  <c r="AM92" i="37"/>
  <c r="AJ114" i="37"/>
  <c r="AI127" i="37"/>
  <c r="AA16" i="23" s="1"/>
  <c r="AB42" i="23"/>
  <c r="AK130" i="37"/>
  <c r="AF35" i="3"/>
  <c r="Z35" i="3"/>
  <c r="AD35" i="3"/>
  <c r="AH122" i="37"/>
  <c r="AH102" i="37"/>
  <c r="AB32" i="1"/>
  <c r="D32" i="1" s="1"/>
  <c r="AB33" i="3" s="1"/>
  <c r="AC33" i="3" s="1"/>
  <c r="D34" i="19"/>
  <c r="AB35" i="19"/>
  <c r="V30" i="21"/>
  <c r="B30" i="20"/>
  <c r="AJ99" i="37"/>
  <c r="AJ128" i="37" s="1"/>
  <c r="AB27" i="23" s="1"/>
  <c r="AJ42" i="37"/>
  <c r="AK38" i="37"/>
  <c r="T31" i="21"/>
  <c r="T31" i="20" s="1"/>
  <c r="I31" i="21"/>
  <c r="I31" i="20" s="1"/>
  <c r="K31" i="21"/>
  <c r="K31" i="20" s="1"/>
  <c r="S31" i="21"/>
  <c r="S31" i="20" s="1"/>
  <c r="L31" i="21"/>
  <c r="L31" i="20" s="1"/>
  <c r="B31" i="21"/>
  <c r="J31" i="21"/>
  <c r="J31" i="20" s="1"/>
  <c r="O31" i="21"/>
  <c r="O31" i="20" s="1"/>
  <c r="H31" i="21"/>
  <c r="H31" i="20" s="1"/>
  <c r="Q31" i="21"/>
  <c r="Q31" i="20" s="1"/>
  <c r="U31" i="21"/>
  <c r="U31" i="20" s="1"/>
  <c r="R31" i="21"/>
  <c r="R31" i="20" s="1"/>
  <c r="D31" i="21"/>
  <c r="D31" i="20" s="1"/>
  <c r="C31" i="21"/>
  <c r="C31" i="20" s="1"/>
  <c r="P31" i="21"/>
  <c r="P31" i="20" s="1"/>
  <c r="E31" i="21"/>
  <c r="E31" i="20" s="1"/>
  <c r="F31" i="21"/>
  <c r="F31" i="20" s="1"/>
  <c r="G31" i="21"/>
  <c r="G31" i="20" s="1"/>
  <c r="N31" i="21"/>
  <c r="N31" i="20" s="1"/>
  <c r="M31" i="21"/>
  <c r="M31" i="20" s="1"/>
  <c r="AJ69" i="37"/>
  <c r="AK64" i="37"/>
  <c r="G33" i="19"/>
  <c r="AM100" i="37"/>
  <c r="AM129" i="37" s="1"/>
  <c r="AN40" i="37"/>
  <c r="AN106" i="37"/>
  <c r="AO3" i="37"/>
  <c r="AO106" i="37" s="1"/>
  <c r="AI108" i="37"/>
  <c r="AH118" i="37"/>
  <c r="AH121" i="37"/>
  <c r="Y19" i="23"/>
  <c r="Y20" i="23"/>
  <c r="Y18" i="23"/>
  <c r="Y31" i="23"/>
  <c r="Y17" i="23"/>
  <c r="Y36" i="21"/>
  <c r="A37" i="21"/>
  <c r="X36" i="21"/>
  <c r="AN62" i="37"/>
  <c r="AO58" i="37"/>
  <c r="V43" i="22"/>
  <c r="V42" i="22"/>
  <c r="AB33" i="1" l="1"/>
  <c r="D33" i="1" s="1"/>
  <c r="AB34" i="3" s="1"/>
  <c r="D35" i="19"/>
  <c r="AB36" i="19"/>
  <c r="A38" i="2"/>
  <c r="AA37" i="2"/>
  <c r="Z37" i="2"/>
  <c r="AN100" i="37"/>
  <c r="AQ40" i="37"/>
  <c r="G34" i="19"/>
  <c r="AK69" i="37"/>
  <c r="AL64" i="37"/>
  <c r="V31" i="21"/>
  <c r="B31" i="20"/>
  <c r="AJ127" i="37"/>
  <c r="AB16" i="23" s="1"/>
  <c r="AK114" i="37"/>
  <c r="AI122" i="37"/>
  <c r="AI102" i="37"/>
  <c r="AI118" i="37"/>
  <c r="AJ108" i="37"/>
  <c r="AI121" i="37"/>
  <c r="AJ93" i="37"/>
  <c r="AJ83" i="37"/>
  <c r="AJ86" i="37" s="1"/>
  <c r="W30" i="20"/>
  <c r="AC30" i="20"/>
  <c r="AA30" i="20"/>
  <c r="Y30" i="20"/>
  <c r="AC42" i="23"/>
  <c r="AL130" i="37"/>
  <c r="AK42" i="37"/>
  <c r="AK99" i="37"/>
  <c r="AK128" i="37" s="1"/>
  <c r="AC27" i="23" s="1"/>
  <c r="AL38" i="37"/>
  <c r="AO62" i="37"/>
  <c r="AQ58" i="37"/>
  <c r="AQ62" i="37" s="1"/>
  <c r="AN92" i="37"/>
  <c r="AE38" i="23"/>
  <c r="AE37" i="23"/>
  <c r="AE40" i="23"/>
  <c r="AE41" i="23"/>
  <c r="AE39" i="23"/>
  <c r="AE36" i="23"/>
  <c r="AD36" i="3"/>
  <c r="Z36" i="3"/>
  <c r="AF36" i="3"/>
  <c r="X37" i="21"/>
  <c r="A38" i="21"/>
  <c r="Y37" i="21"/>
  <c r="Z26" i="23"/>
  <c r="Z25" i="23"/>
  <c r="Z33" i="23"/>
  <c r="Z32" i="23"/>
  <c r="Z21" i="23"/>
  <c r="Z24" i="23"/>
  <c r="Z35" i="23"/>
  <c r="Z34" i="23"/>
  <c r="AH131" i="37"/>
  <c r="Z22" i="23"/>
  <c r="Z23" i="23"/>
  <c r="F32" i="21"/>
  <c r="F32" i="20" s="1"/>
  <c r="H32" i="21"/>
  <c r="H32" i="20" s="1"/>
  <c r="P32" i="21"/>
  <c r="P32" i="20" s="1"/>
  <c r="L32" i="21"/>
  <c r="L32" i="20" s="1"/>
  <c r="M32" i="21"/>
  <c r="M32" i="20" s="1"/>
  <c r="O32" i="21"/>
  <c r="O32" i="20" s="1"/>
  <c r="K32" i="21"/>
  <c r="K32" i="20" s="1"/>
  <c r="I32" i="21"/>
  <c r="I32" i="20" s="1"/>
  <c r="S32" i="21"/>
  <c r="S32" i="20" s="1"/>
  <c r="U32" i="21"/>
  <c r="U32" i="20" s="1"/>
  <c r="R32" i="21"/>
  <c r="R32" i="20" s="1"/>
  <c r="D32" i="21"/>
  <c r="D32" i="20" s="1"/>
  <c r="G32" i="21"/>
  <c r="G32" i="20" s="1"/>
  <c r="B32" i="21"/>
  <c r="T32" i="21"/>
  <c r="T32" i="20" s="1"/>
  <c r="Q32" i="21"/>
  <c r="Q32" i="20" s="1"/>
  <c r="N32" i="21"/>
  <c r="N32" i="20" s="1"/>
  <c r="J32" i="21"/>
  <c r="J32" i="20" s="1"/>
  <c r="C32" i="21"/>
  <c r="C32" i="20" s="1"/>
  <c r="E32" i="21"/>
  <c r="E32" i="20" s="1"/>
  <c r="Z20" i="23"/>
  <c r="Z19" i="23"/>
  <c r="Z18" i="23"/>
  <c r="Z31" i="23"/>
  <c r="Z17" i="23"/>
  <c r="V32" i="21" l="1"/>
  <c r="B32" i="20"/>
  <c r="AB34" i="1"/>
  <c r="D34" i="1" s="1"/>
  <c r="AB35" i="3" s="1"/>
  <c r="D36" i="19"/>
  <c r="AB37" i="19"/>
  <c r="AL99" i="37"/>
  <c r="AL128" i="37" s="1"/>
  <c r="AD27" i="23" s="1"/>
  <c r="AL42" i="37"/>
  <c r="AM38" i="37"/>
  <c r="G35" i="19"/>
  <c r="AJ122" i="37"/>
  <c r="AJ102" i="37"/>
  <c r="AA21" i="23"/>
  <c r="AA23" i="23"/>
  <c r="AA22" i="23"/>
  <c r="AA34" i="23"/>
  <c r="AA25" i="23"/>
  <c r="AA33" i="23"/>
  <c r="AA24" i="23"/>
  <c r="AA32" i="23"/>
  <c r="AA35" i="23"/>
  <c r="AI131" i="37"/>
  <c r="AA26" i="23"/>
  <c r="W31" i="20"/>
  <c r="AC31" i="20"/>
  <c r="AA31" i="20"/>
  <c r="Y31" i="20"/>
  <c r="AD37" i="3"/>
  <c r="Z37" i="3"/>
  <c r="AF37" i="3"/>
  <c r="AO92" i="37"/>
  <c r="AK93" i="37"/>
  <c r="AK83" i="37"/>
  <c r="AK86" i="37" s="1"/>
  <c r="O33" i="21"/>
  <c r="O33" i="20" s="1"/>
  <c r="E33" i="21"/>
  <c r="E33" i="20" s="1"/>
  <c r="C33" i="21"/>
  <c r="C33" i="20" s="1"/>
  <c r="T33" i="21"/>
  <c r="T33" i="20" s="1"/>
  <c r="N33" i="21"/>
  <c r="N33" i="20" s="1"/>
  <c r="L33" i="21"/>
  <c r="L33" i="20" s="1"/>
  <c r="M33" i="21"/>
  <c r="M33" i="20" s="1"/>
  <c r="F33" i="21"/>
  <c r="F33" i="20" s="1"/>
  <c r="J33" i="21"/>
  <c r="J33" i="20" s="1"/>
  <c r="U33" i="21"/>
  <c r="U33" i="20" s="1"/>
  <c r="B33" i="21"/>
  <c r="R33" i="21"/>
  <c r="R33" i="20" s="1"/>
  <c r="P33" i="21"/>
  <c r="P33" i="20" s="1"/>
  <c r="I33" i="21"/>
  <c r="I33" i="20" s="1"/>
  <c r="G33" i="21"/>
  <c r="G33" i="20" s="1"/>
  <c r="S33" i="21"/>
  <c r="S33" i="20" s="1"/>
  <c r="K33" i="21"/>
  <c r="K33" i="20" s="1"/>
  <c r="Q33" i="21"/>
  <c r="Q33" i="20" s="1"/>
  <c r="D33" i="21"/>
  <c r="D33" i="20" s="1"/>
  <c r="H33" i="21"/>
  <c r="H33" i="20" s="1"/>
  <c r="X38" i="21"/>
  <c r="Y38" i="21"/>
  <c r="A39" i="21"/>
  <c r="AJ118" i="37"/>
  <c r="AK108" i="37"/>
  <c r="AJ121" i="37"/>
  <c r="AL69" i="37"/>
  <c r="AM64" i="37"/>
  <c r="Z38" i="2"/>
  <c r="AA38" i="2"/>
  <c r="A39" i="2"/>
  <c r="AA18" i="23"/>
  <c r="AA31" i="23"/>
  <c r="AA17" i="23"/>
  <c r="AA20" i="23"/>
  <c r="AA19" i="23"/>
  <c r="AL114" i="37"/>
  <c r="AK127" i="37"/>
  <c r="AC16" i="23" s="1"/>
  <c r="AD42" i="23"/>
  <c r="AM130" i="37"/>
  <c r="AN129" i="37"/>
  <c r="AQ100" i="37"/>
  <c r="AK122" i="37" l="1"/>
  <c r="AK102" i="37"/>
  <c r="AM69" i="37"/>
  <c r="AN64" i="37"/>
  <c r="AO121" i="37"/>
  <c r="AQ92" i="37"/>
  <c r="W32" i="20"/>
  <c r="AC32" i="20"/>
  <c r="AA32" i="20"/>
  <c r="Y32" i="20"/>
  <c r="Z39" i="2"/>
  <c r="AA39" i="2"/>
  <c r="A40" i="2"/>
  <c r="AB17" i="23"/>
  <c r="AB31" i="23"/>
  <c r="AB19" i="23"/>
  <c r="AB20" i="23"/>
  <c r="AB18" i="23"/>
  <c r="AB35" i="1"/>
  <c r="D35" i="1" s="1"/>
  <c r="AB36" i="3" s="1"/>
  <c r="D37" i="19"/>
  <c r="AB38" i="19"/>
  <c r="AM114" i="37"/>
  <c r="AL127" i="37"/>
  <c r="AD16" i="23" s="1"/>
  <c r="A40" i="21"/>
  <c r="X39" i="21"/>
  <c r="Y39" i="21"/>
  <c r="AF36" i="23"/>
  <c r="AF39" i="23"/>
  <c r="AF38" i="23"/>
  <c r="AF41" i="23"/>
  <c r="AF37" i="23"/>
  <c r="AF40" i="23"/>
  <c r="AQ129" i="37"/>
  <c r="AB22" i="23"/>
  <c r="AB32" i="23"/>
  <c r="AB35" i="23"/>
  <c r="AB34" i="23"/>
  <c r="AB23" i="23"/>
  <c r="AB21" i="23"/>
  <c r="AJ131" i="37"/>
  <c r="AB26" i="23"/>
  <c r="AB25" i="23"/>
  <c r="AB24" i="23"/>
  <c r="AB33" i="23"/>
  <c r="Z38" i="3"/>
  <c r="AD38" i="3"/>
  <c r="AF38" i="3"/>
  <c r="G36" i="19"/>
  <c r="AL93" i="37"/>
  <c r="AL83" i="37"/>
  <c r="AL86" i="37" s="1"/>
  <c r="M34" i="21"/>
  <c r="M34" i="20" s="1"/>
  <c r="P34" i="21"/>
  <c r="P34" i="20" s="1"/>
  <c r="F34" i="21"/>
  <c r="F34" i="20" s="1"/>
  <c r="D34" i="21"/>
  <c r="D34" i="20" s="1"/>
  <c r="N34" i="21"/>
  <c r="N34" i="20" s="1"/>
  <c r="H34" i="21"/>
  <c r="H34" i="20" s="1"/>
  <c r="B34" i="21"/>
  <c r="J34" i="21"/>
  <c r="J34" i="20" s="1"/>
  <c r="U34" i="21"/>
  <c r="U34" i="20" s="1"/>
  <c r="I34" i="21"/>
  <c r="I34" i="20" s="1"/>
  <c r="K34" i="21"/>
  <c r="K34" i="20" s="1"/>
  <c r="G34" i="21"/>
  <c r="G34" i="20" s="1"/>
  <c r="E34" i="21"/>
  <c r="E34" i="20" s="1"/>
  <c r="T34" i="21"/>
  <c r="T34" i="20" s="1"/>
  <c r="Q34" i="21"/>
  <c r="Q34" i="20" s="1"/>
  <c r="S34" i="21"/>
  <c r="S34" i="20" s="1"/>
  <c r="O34" i="21"/>
  <c r="O34" i="20" s="1"/>
  <c r="R34" i="21"/>
  <c r="R34" i="20" s="1"/>
  <c r="C34" i="21"/>
  <c r="C34" i="20" s="1"/>
  <c r="L34" i="21"/>
  <c r="L34" i="20" s="1"/>
  <c r="AM99" i="37"/>
  <c r="AM128" i="37" s="1"/>
  <c r="AE27" i="23" s="1"/>
  <c r="AM42" i="37"/>
  <c r="AN38" i="37"/>
  <c r="AE42" i="23"/>
  <c r="AN130" i="37"/>
  <c r="AL108" i="37"/>
  <c r="AK118" i="37"/>
  <c r="AK121" i="37"/>
  <c r="V33" i="21"/>
  <c r="B33" i="20"/>
  <c r="V33" i="20" s="1"/>
  <c r="D8" i="4" s="1"/>
  <c r="AM127" i="37" l="1"/>
  <c r="AE16" i="23" s="1"/>
  <c r="AN114" i="37"/>
  <c r="AA40" i="2"/>
  <c r="A41" i="2"/>
  <c r="Z40" i="2"/>
  <c r="AO130" i="37"/>
  <c r="AF42" i="23"/>
  <c r="G37" i="19"/>
  <c r="Z39" i="3"/>
  <c r="AD39" i="3"/>
  <c r="AF39" i="3"/>
  <c r="AG24" i="23"/>
  <c r="AG23" i="23"/>
  <c r="AG32" i="23"/>
  <c r="AG26" i="23"/>
  <c r="AG25" i="23"/>
  <c r="AG35" i="23"/>
  <c r="AG21" i="23"/>
  <c r="AG33" i="23"/>
  <c r="AG34" i="23"/>
  <c r="AG22" i="23"/>
  <c r="AM108" i="37"/>
  <c r="AL118" i="37"/>
  <c r="AL121" i="37"/>
  <c r="AB36" i="1"/>
  <c r="D36" i="1" s="1"/>
  <c r="AB37" i="3" s="1"/>
  <c r="D38" i="19"/>
  <c r="AB39" i="19"/>
  <c r="AN99" i="37"/>
  <c r="AN42" i="37"/>
  <c r="AQ38" i="37"/>
  <c r="AQ42" i="37" s="1"/>
  <c r="V34" i="21"/>
  <c r="B34" i="20"/>
  <c r="AL122" i="37"/>
  <c r="AL102" i="37"/>
  <c r="AN69" i="37"/>
  <c r="AO64" i="37"/>
  <c r="AM93" i="37"/>
  <c r="AM83" i="37"/>
  <c r="AM86" i="37" s="1"/>
  <c r="W33" i="20"/>
  <c r="X33" i="20" s="1"/>
  <c r="D9" i="4" s="1"/>
  <c r="AC33" i="20"/>
  <c r="AD33" i="20" s="1"/>
  <c r="AA33" i="20"/>
  <c r="AB33" i="20" s="1"/>
  <c r="W33" i="21"/>
  <c r="D83" i="4" s="1"/>
  <c r="Y33" i="20"/>
  <c r="Z33" i="20" s="1"/>
  <c r="D10" i="4" s="1"/>
  <c r="P35" i="21"/>
  <c r="P35" i="20" s="1"/>
  <c r="D35" i="21"/>
  <c r="D35" i="20" s="1"/>
  <c r="E35" i="21"/>
  <c r="E35" i="20" s="1"/>
  <c r="S35" i="21"/>
  <c r="S35" i="20" s="1"/>
  <c r="U35" i="21"/>
  <c r="U35" i="20" s="1"/>
  <c r="T35" i="21"/>
  <c r="T35" i="20" s="1"/>
  <c r="R35" i="21"/>
  <c r="R35" i="20" s="1"/>
  <c r="L35" i="21"/>
  <c r="L35" i="20" s="1"/>
  <c r="J35" i="21"/>
  <c r="J35" i="20" s="1"/>
  <c r="G35" i="21"/>
  <c r="G35" i="20" s="1"/>
  <c r="M35" i="21"/>
  <c r="M35" i="20" s="1"/>
  <c r="Q35" i="21"/>
  <c r="Q35" i="20" s="1"/>
  <c r="O35" i="21"/>
  <c r="O35" i="20" s="1"/>
  <c r="N35" i="21"/>
  <c r="N35" i="20" s="1"/>
  <c r="C35" i="21"/>
  <c r="C35" i="20" s="1"/>
  <c r="F35" i="21"/>
  <c r="F35" i="20" s="1"/>
  <c r="I35" i="21"/>
  <c r="I35" i="20" s="1"/>
  <c r="H35" i="21"/>
  <c r="H35" i="20" s="1"/>
  <c r="B35" i="21"/>
  <c r="K35" i="21"/>
  <c r="K35" i="20" s="1"/>
  <c r="Y40" i="21"/>
  <c r="X40" i="21"/>
  <c r="A41" i="21"/>
  <c r="AC23" i="23"/>
  <c r="AC25" i="23"/>
  <c r="AC33" i="23"/>
  <c r="AC24" i="23"/>
  <c r="AC22" i="23"/>
  <c r="AC35" i="23"/>
  <c r="AC26" i="23"/>
  <c r="AC32" i="23"/>
  <c r="AC34" i="23"/>
  <c r="AK131" i="37"/>
  <c r="AC21" i="23"/>
  <c r="AC20" i="23"/>
  <c r="AC19" i="23"/>
  <c r="AC18" i="23"/>
  <c r="AC31" i="23"/>
  <c r="AC17" i="23"/>
  <c r="D13" i="4" l="1"/>
  <c r="D17" i="4" s="1"/>
  <c r="AA41" i="2"/>
  <c r="Z41" i="2"/>
  <c r="A42" i="2"/>
  <c r="Z40" i="3"/>
  <c r="AD40" i="3"/>
  <c r="AF40" i="3"/>
  <c r="V35" i="21"/>
  <c r="B35" i="20"/>
  <c r="AO69" i="37"/>
  <c r="AQ64" i="37"/>
  <c r="AQ69" i="37" s="1"/>
  <c r="AQ83" i="37" s="1"/>
  <c r="AQ86" i="37" s="1"/>
  <c r="AN128" i="37"/>
  <c r="AQ99" i="37"/>
  <c r="AN93" i="37"/>
  <c r="AN83" i="37"/>
  <c r="AN86" i="37" s="1"/>
  <c r="AB37" i="1"/>
  <c r="D37" i="1" s="1"/>
  <c r="AB38" i="3" s="1"/>
  <c r="D39" i="19"/>
  <c r="AB40" i="19"/>
  <c r="AG42" i="23"/>
  <c r="AQ130" i="37"/>
  <c r="X41" i="21"/>
  <c r="Y41" i="21"/>
  <c r="A42" i="21"/>
  <c r="D82" i="4"/>
  <c r="D87" i="4" s="1"/>
  <c r="D85" i="4"/>
  <c r="D92" i="4"/>
  <c r="D94" i="4"/>
  <c r="D91" i="4"/>
  <c r="D93" i="4"/>
  <c r="D95" i="4"/>
  <c r="G38" i="19"/>
  <c r="AA34" i="20"/>
  <c r="W34" i="20"/>
  <c r="AC34" i="20"/>
  <c r="Y34" i="20"/>
  <c r="D11" i="4"/>
  <c r="D12" i="4"/>
  <c r="D89" i="4" s="1"/>
  <c r="AD17" i="23"/>
  <c r="AD19" i="23"/>
  <c r="AD18" i="23"/>
  <c r="AD20" i="23"/>
  <c r="AD31" i="23"/>
  <c r="AD24" i="23"/>
  <c r="AD34" i="23"/>
  <c r="AD33" i="23"/>
  <c r="AD26" i="23"/>
  <c r="AD21" i="23"/>
  <c r="AD22" i="23"/>
  <c r="AD23" i="23"/>
  <c r="AD32" i="23"/>
  <c r="AL131" i="37"/>
  <c r="AD35" i="23"/>
  <c r="AD25" i="23"/>
  <c r="AN108" i="37"/>
  <c r="AM118" i="37"/>
  <c r="AM121" i="37"/>
  <c r="O36" i="21"/>
  <c r="O36" i="20" s="1"/>
  <c r="L36" i="21"/>
  <c r="L36" i="20" s="1"/>
  <c r="Q36" i="21"/>
  <c r="Q36" i="20" s="1"/>
  <c r="R36" i="21"/>
  <c r="R36" i="20" s="1"/>
  <c r="J36" i="21"/>
  <c r="J36" i="20" s="1"/>
  <c r="U36" i="21"/>
  <c r="U36" i="20" s="1"/>
  <c r="G36" i="21"/>
  <c r="G36" i="20" s="1"/>
  <c r="P36" i="21"/>
  <c r="P36" i="20" s="1"/>
  <c r="S36" i="21"/>
  <c r="S36" i="20" s="1"/>
  <c r="N36" i="21"/>
  <c r="N36" i="20" s="1"/>
  <c r="C36" i="21"/>
  <c r="C36" i="20" s="1"/>
  <c r="H36" i="21"/>
  <c r="H36" i="20" s="1"/>
  <c r="I36" i="21"/>
  <c r="I36" i="20" s="1"/>
  <c r="B36" i="21"/>
  <c r="T36" i="21"/>
  <c r="T36" i="20" s="1"/>
  <c r="F36" i="21"/>
  <c r="F36" i="20" s="1"/>
  <c r="M36" i="21"/>
  <c r="M36" i="20" s="1"/>
  <c r="E36" i="21"/>
  <c r="E36" i="20" s="1"/>
  <c r="K36" i="21"/>
  <c r="K36" i="20" s="1"/>
  <c r="D36" i="21"/>
  <c r="D36" i="20" s="1"/>
  <c r="AN127" i="37"/>
  <c r="AQ114" i="37"/>
  <c r="AM122" i="37"/>
  <c r="AM102" i="37"/>
  <c r="AF16" i="23" l="1"/>
  <c r="AQ127" i="37"/>
  <c r="AF27" i="23"/>
  <c r="AQ128" i="37"/>
  <c r="G39" i="19"/>
  <c r="D19" i="4"/>
  <c r="D36" i="4" s="1"/>
  <c r="D88" i="4"/>
  <c r="Y42" i="21"/>
  <c r="X42" i="21"/>
  <c r="A43" i="21"/>
  <c r="AE17" i="23"/>
  <c r="AE18" i="23"/>
  <c r="AE19" i="23"/>
  <c r="AE20" i="23"/>
  <c r="AE31" i="23"/>
  <c r="D86" i="4"/>
  <c r="AN122" i="37"/>
  <c r="AN102" i="37"/>
  <c r="A43" i="2"/>
  <c r="AA42" i="2"/>
  <c r="Z42" i="2"/>
  <c r="W35" i="20"/>
  <c r="AA35" i="20"/>
  <c r="AC35" i="20"/>
  <c r="Y35" i="20"/>
  <c r="AE25" i="23"/>
  <c r="AE22" i="23"/>
  <c r="AE35" i="23"/>
  <c r="AE21" i="23"/>
  <c r="AE26" i="23"/>
  <c r="AE24" i="23"/>
  <c r="AE33" i="23"/>
  <c r="AE34" i="23"/>
  <c r="AE23" i="23"/>
  <c r="AM131" i="37"/>
  <c r="AE32" i="23"/>
  <c r="V36" i="21"/>
  <c r="B36" i="20"/>
  <c r="AN118" i="37"/>
  <c r="AQ108" i="37"/>
  <c r="AQ118" i="37" s="1"/>
  <c r="AN121" i="37"/>
  <c r="N37" i="21"/>
  <c r="N37" i="20" s="1"/>
  <c r="E37" i="21"/>
  <c r="E37" i="20" s="1"/>
  <c r="I37" i="21"/>
  <c r="I37" i="20" s="1"/>
  <c r="H37" i="21"/>
  <c r="H37" i="20" s="1"/>
  <c r="R37" i="21"/>
  <c r="R37" i="20" s="1"/>
  <c r="G37" i="21"/>
  <c r="G37" i="20" s="1"/>
  <c r="U37" i="21"/>
  <c r="U37" i="20" s="1"/>
  <c r="K37" i="21"/>
  <c r="K37" i="20" s="1"/>
  <c r="L37" i="21"/>
  <c r="L37" i="20" s="1"/>
  <c r="C37" i="21"/>
  <c r="C37" i="20" s="1"/>
  <c r="T37" i="21"/>
  <c r="T37" i="20" s="1"/>
  <c r="B37" i="21"/>
  <c r="J37" i="21"/>
  <c r="J37" i="20" s="1"/>
  <c r="D37" i="21"/>
  <c r="D37" i="20" s="1"/>
  <c r="Q37" i="21"/>
  <c r="Q37" i="20" s="1"/>
  <c r="M37" i="21"/>
  <c r="M37" i="20" s="1"/>
  <c r="O37" i="21"/>
  <c r="O37" i="20" s="1"/>
  <c r="P37" i="21"/>
  <c r="P37" i="20" s="1"/>
  <c r="F37" i="21"/>
  <c r="F37" i="20" s="1"/>
  <c r="S37" i="21"/>
  <c r="S37" i="20" s="1"/>
  <c r="D40" i="19"/>
  <c r="AB41" i="19"/>
  <c r="AB38" i="1"/>
  <c r="D38" i="1" s="1"/>
  <c r="AB39" i="3" s="1"/>
  <c r="AO93" i="37"/>
  <c r="AO83" i="37"/>
  <c r="AO86" i="37" s="1"/>
  <c r="Z41" i="3"/>
  <c r="AD41" i="3"/>
  <c r="AF41" i="3"/>
  <c r="Z42" i="3" l="1"/>
  <c r="AD42" i="3"/>
  <c r="AF42" i="3"/>
  <c r="AO122" i="37"/>
  <c r="AQ93" i="37"/>
  <c r="AQ102" i="37" s="1"/>
  <c r="AO102" i="37"/>
  <c r="AA43" i="2"/>
  <c r="A44" i="2"/>
  <c r="Z43" i="2"/>
  <c r="D20" i="4"/>
  <c r="AB39" i="1"/>
  <c r="D39" i="1" s="1"/>
  <c r="AB40" i="3" s="1"/>
  <c r="AB42" i="19"/>
  <c r="D41" i="19"/>
  <c r="AF18" i="23"/>
  <c r="AF19" i="23"/>
  <c r="AF31" i="23"/>
  <c r="AF17" i="23"/>
  <c r="AF20" i="23"/>
  <c r="A44" i="21"/>
  <c r="Y43" i="21"/>
  <c r="X43" i="21"/>
  <c r="I38" i="21"/>
  <c r="I38" i="20" s="1"/>
  <c r="D38" i="21"/>
  <c r="D38" i="20" s="1"/>
  <c r="F38" i="21"/>
  <c r="F38" i="20" s="1"/>
  <c r="K38" i="21"/>
  <c r="K38" i="20" s="1"/>
  <c r="N38" i="21"/>
  <c r="N38" i="20" s="1"/>
  <c r="Q38" i="21"/>
  <c r="Q38" i="20" s="1"/>
  <c r="T38" i="21"/>
  <c r="T38" i="20" s="1"/>
  <c r="G38" i="21"/>
  <c r="G38" i="20" s="1"/>
  <c r="R38" i="21"/>
  <c r="R38" i="20" s="1"/>
  <c r="C38" i="21"/>
  <c r="C38" i="20" s="1"/>
  <c r="L38" i="21"/>
  <c r="L38" i="20" s="1"/>
  <c r="O38" i="21"/>
  <c r="O38" i="20" s="1"/>
  <c r="E38" i="21"/>
  <c r="E38" i="20" s="1"/>
  <c r="U38" i="21"/>
  <c r="U38" i="20" s="1"/>
  <c r="H38" i="21"/>
  <c r="H38" i="20" s="1"/>
  <c r="M38" i="21"/>
  <c r="M38" i="20" s="1"/>
  <c r="B38" i="21"/>
  <c r="P38" i="21"/>
  <c r="P38" i="20" s="1"/>
  <c r="J38" i="21"/>
  <c r="J38" i="20" s="1"/>
  <c r="S38" i="21"/>
  <c r="S38" i="20" s="1"/>
  <c r="AF26" i="23"/>
  <c r="AF21" i="23"/>
  <c r="AF25" i="23"/>
  <c r="AF35" i="23"/>
  <c r="AF22" i="23"/>
  <c r="AF34" i="23"/>
  <c r="AN131" i="37"/>
  <c r="AF33" i="23"/>
  <c r="AF24" i="23"/>
  <c r="AF32" i="23"/>
  <c r="AF23" i="23"/>
  <c r="AQ121" i="37"/>
  <c r="G40" i="19"/>
  <c r="V37" i="21"/>
  <c r="B37" i="20"/>
  <c r="W36" i="20"/>
  <c r="AA36" i="20"/>
  <c r="AC36" i="20"/>
  <c r="Y36" i="20"/>
  <c r="Z43" i="3" l="1"/>
  <c r="AD43" i="3"/>
  <c r="AF43" i="3"/>
  <c r="V38" i="21"/>
  <c r="B38" i="20"/>
  <c r="G41" i="19"/>
  <c r="AB40" i="1"/>
  <c r="D40" i="1" s="1"/>
  <c r="AB41" i="3" s="1"/>
  <c r="D42" i="19"/>
  <c r="AB43" i="19"/>
  <c r="AG19" i="23"/>
  <c r="AG18" i="23"/>
  <c r="AG31" i="23"/>
  <c r="AG17" i="23"/>
  <c r="AG20" i="23"/>
  <c r="AQ122" i="37"/>
  <c r="AQ131" i="37" s="1"/>
  <c r="AO131" i="37"/>
  <c r="K39" i="21"/>
  <c r="K39" i="20" s="1"/>
  <c r="T39" i="21"/>
  <c r="T39" i="20" s="1"/>
  <c r="O39" i="21"/>
  <c r="O39" i="20" s="1"/>
  <c r="E39" i="21"/>
  <c r="E39" i="20" s="1"/>
  <c r="I39" i="21"/>
  <c r="I39" i="20" s="1"/>
  <c r="Q39" i="21"/>
  <c r="Q39" i="20" s="1"/>
  <c r="G39" i="21"/>
  <c r="G39" i="20" s="1"/>
  <c r="D39" i="21"/>
  <c r="D39" i="20" s="1"/>
  <c r="S39" i="21"/>
  <c r="S39" i="20" s="1"/>
  <c r="H39" i="21"/>
  <c r="H39" i="20" s="1"/>
  <c r="N39" i="21"/>
  <c r="N39" i="20" s="1"/>
  <c r="M39" i="21"/>
  <c r="M39" i="20" s="1"/>
  <c r="B39" i="21"/>
  <c r="J39" i="21"/>
  <c r="J39" i="20" s="1"/>
  <c r="L39" i="21"/>
  <c r="L39" i="20" s="1"/>
  <c r="P39" i="21"/>
  <c r="P39" i="20" s="1"/>
  <c r="C39" i="21"/>
  <c r="C39" i="20" s="1"/>
  <c r="U39" i="21"/>
  <c r="U39" i="20" s="1"/>
  <c r="F39" i="21"/>
  <c r="F39" i="20" s="1"/>
  <c r="R39" i="21"/>
  <c r="R39" i="20" s="1"/>
  <c r="Y44" i="21"/>
  <c r="X44" i="21"/>
  <c r="A45" i="21"/>
  <c r="D35" i="4"/>
  <c r="D38" i="4" s="1"/>
  <c r="D25" i="4"/>
  <c r="W37" i="20"/>
  <c r="AA37" i="20"/>
  <c r="AC37" i="20"/>
  <c r="Y37" i="20"/>
  <c r="A45" i="2"/>
  <c r="Z44" i="2"/>
  <c r="AA44" i="2"/>
  <c r="V39" i="21" l="1"/>
  <c r="B39" i="20"/>
  <c r="J40" i="21"/>
  <c r="J40" i="20" s="1"/>
  <c r="H40" i="21"/>
  <c r="H40" i="20" s="1"/>
  <c r="B40" i="21"/>
  <c r="C40" i="21"/>
  <c r="C40" i="20" s="1"/>
  <c r="S40" i="21"/>
  <c r="S40" i="20" s="1"/>
  <c r="Q40" i="21"/>
  <c r="Q40" i="20" s="1"/>
  <c r="P40" i="21"/>
  <c r="P40" i="20" s="1"/>
  <c r="R40" i="21"/>
  <c r="R40" i="20" s="1"/>
  <c r="E40" i="21"/>
  <c r="E40" i="20" s="1"/>
  <c r="D40" i="21"/>
  <c r="D40" i="20" s="1"/>
  <c r="K40" i="21"/>
  <c r="K40" i="20" s="1"/>
  <c r="M40" i="21"/>
  <c r="M40" i="20" s="1"/>
  <c r="N40" i="21"/>
  <c r="N40" i="20" s="1"/>
  <c r="I40" i="21"/>
  <c r="I40" i="20" s="1"/>
  <c r="G40" i="21"/>
  <c r="G40" i="20" s="1"/>
  <c r="U40" i="21"/>
  <c r="U40" i="20" s="1"/>
  <c r="F40" i="21"/>
  <c r="F40" i="20" s="1"/>
  <c r="L40" i="21"/>
  <c r="L40" i="20" s="1"/>
  <c r="O40" i="21"/>
  <c r="O40" i="20" s="1"/>
  <c r="T40" i="21"/>
  <c r="T40" i="20" s="1"/>
  <c r="Z44" i="3"/>
  <c r="AD44" i="3"/>
  <c r="AF44" i="3"/>
  <c r="AB41" i="1"/>
  <c r="D41" i="1" s="1"/>
  <c r="AB42" i="3" s="1"/>
  <c r="D43" i="19"/>
  <c r="AB44" i="19"/>
  <c r="W38" i="20"/>
  <c r="AA38" i="20"/>
  <c r="AC38" i="20"/>
  <c r="Y38" i="20"/>
  <c r="AA45" i="2"/>
  <c r="A46" i="2"/>
  <c r="Z45" i="2"/>
  <c r="Y45" i="21"/>
  <c r="A46" i="21"/>
  <c r="X45" i="21"/>
  <c r="G42" i="19"/>
  <c r="N41" i="21" l="1"/>
  <c r="N41" i="20" s="1"/>
  <c r="Q41" i="21"/>
  <c r="Q41" i="20" s="1"/>
  <c r="D41" i="21"/>
  <c r="D41" i="20" s="1"/>
  <c r="B41" i="21"/>
  <c r="G41" i="21"/>
  <c r="G41" i="20" s="1"/>
  <c r="H41" i="21"/>
  <c r="H41" i="20" s="1"/>
  <c r="L41" i="21"/>
  <c r="L41" i="20" s="1"/>
  <c r="J41" i="21"/>
  <c r="J41" i="20" s="1"/>
  <c r="K41" i="21"/>
  <c r="K41" i="20" s="1"/>
  <c r="P41" i="21"/>
  <c r="P41" i="20" s="1"/>
  <c r="S41" i="21"/>
  <c r="S41" i="20" s="1"/>
  <c r="M41" i="21"/>
  <c r="M41" i="20" s="1"/>
  <c r="F41" i="21"/>
  <c r="F41" i="20" s="1"/>
  <c r="T41" i="21"/>
  <c r="T41" i="20" s="1"/>
  <c r="I41" i="21"/>
  <c r="I41" i="20" s="1"/>
  <c r="U41" i="21"/>
  <c r="U41" i="20" s="1"/>
  <c r="O41" i="21"/>
  <c r="O41" i="20" s="1"/>
  <c r="E41" i="21"/>
  <c r="E41" i="20" s="1"/>
  <c r="C41" i="21"/>
  <c r="C41" i="20" s="1"/>
  <c r="R41" i="21"/>
  <c r="R41" i="20" s="1"/>
  <c r="AB42" i="1"/>
  <c r="D42" i="1" s="1"/>
  <c r="AB43" i="3" s="1"/>
  <c r="D44" i="19"/>
  <c r="AB45" i="19"/>
  <c r="G43" i="19"/>
  <c r="Z46" i="2"/>
  <c r="A47" i="2"/>
  <c r="AA46" i="2"/>
  <c r="Z45" i="3"/>
  <c r="AA45" i="3" s="1"/>
  <c r="AD45" i="3"/>
  <c r="AE45" i="3" s="1"/>
  <c r="AF45" i="3"/>
  <c r="AG45" i="3" s="1"/>
  <c r="V40" i="21"/>
  <c r="B40" i="20"/>
  <c r="A47" i="21"/>
  <c r="Y46" i="21"/>
  <c r="X46" i="21"/>
  <c r="W39" i="20"/>
  <c r="AA39" i="20"/>
  <c r="AC39" i="20"/>
  <c r="Y39" i="20"/>
  <c r="AB43" i="1" l="1"/>
  <c r="D43" i="1" s="1"/>
  <c r="AB44" i="3" s="1"/>
  <c r="D45" i="19"/>
  <c r="AB46" i="19"/>
  <c r="AF46" i="3"/>
  <c r="AD46" i="3"/>
  <c r="Z46" i="3"/>
  <c r="U42" i="21"/>
  <c r="U42" i="20" s="1"/>
  <c r="D42" i="21"/>
  <c r="D42" i="20" s="1"/>
  <c r="F42" i="21"/>
  <c r="F42" i="20" s="1"/>
  <c r="S42" i="21"/>
  <c r="S42" i="20" s="1"/>
  <c r="N42" i="21"/>
  <c r="N42" i="20" s="1"/>
  <c r="C42" i="21"/>
  <c r="C42" i="20" s="1"/>
  <c r="O42" i="21"/>
  <c r="O42" i="20" s="1"/>
  <c r="I42" i="21"/>
  <c r="I42" i="20" s="1"/>
  <c r="L42" i="21"/>
  <c r="L42" i="20" s="1"/>
  <c r="P42" i="21"/>
  <c r="P42" i="20" s="1"/>
  <c r="J42" i="21"/>
  <c r="J42" i="20" s="1"/>
  <c r="G42" i="21"/>
  <c r="G42" i="20" s="1"/>
  <c r="T42" i="21"/>
  <c r="T42" i="20" s="1"/>
  <c r="E42" i="21"/>
  <c r="E42" i="20" s="1"/>
  <c r="M42" i="21"/>
  <c r="M42" i="20" s="1"/>
  <c r="R42" i="21"/>
  <c r="R42" i="20" s="1"/>
  <c r="H42" i="21"/>
  <c r="H42" i="20" s="1"/>
  <c r="Q42" i="21"/>
  <c r="Q42" i="20" s="1"/>
  <c r="B42" i="21"/>
  <c r="K42" i="21"/>
  <c r="K42" i="20" s="1"/>
  <c r="G44" i="19"/>
  <c r="V41" i="21"/>
  <c r="B41" i="20"/>
  <c r="Y47" i="21"/>
  <c r="X47" i="21"/>
  <c r="A48" i="21"/>
  <c r="Z47" i="2"/>
  <c r="AA47" i="2"/>
  <c r="A48" i="2"/>
  <c r="W40" i="20"/>
  <c r="AA40" i="20"/>
  <c r="AC40" i="20"/>
  <c r="Y40" i="20"/>
  <c r="T43" i="21" l="1"/>
  <c r="T43" i="20" s="1"/>
  <c r="R43" i="21"/>
  <c r="R43" i="20" s="1"/>
  <c r="L43" i="21"/>
  <c r="L43" i="20" s="1"/>
  <c r="O43" i="21"/>
  <c r="O43" i="20" s="1"/>
  <c r="G43" i="21"/>
  <c r="G43" i="20" s="1"/>
  <c r="P43" i="21"/>
  <c r="P43" i="20" s="1"/>
  <c r="J43" i="21"/>
  <c r="J43" i="20" s="1"/>
  <c r="B43" i="21"/>
  <c r="Q43" i="21"/>
  <c r="Q43" i="20" s="1"/>
  <c r="E43" i="21"/>
  <c r="E43" i="20" s="1"/>
  <c r="C43" i="21"/>
  <c r="C43" i="20" s="1"/>
  <c r="N43" i="21"/>
  <c r="N43" i="20" s="1"/>
  <c r="U43" i="21"/>
  <c r="U43" i="20" s="1"/>
  <c r="F43" i="21"/>
  <c r="F43" i="20" s="1"/>
  <c r="I43" i="21"/>
  <c r="I43" i="20" s="1"/>
  <c r="D43" i="21"/>
  <c r="D43" i="20" s="1"/>
  <c r="S43" i="21"/>
  <c r="S43" i="20" s="1"/>
  <c r="K43" i="21"/>
  <c r="K43" i="20" s="1"/>
  <c r="M43" i="21"/>
  <c r="M43" i="20" s="1"/>
  <c r="H43" i="21"/>
  <c r="H43" i="20" s="1"/>
  <c r="AF47" i="3"/>
  <c r="Z47" i="3"/>
  <c r="AD47" i="3"/>
  <c r="W41" i="20"/>
  <c r="AA41" i="20"/>
  <c r="AC41" i="20"/>
  <c r="Y41" i="20"/>
  <c r="AB44" i="1"/>
  <c r="D44" i="1" s="1"/>
  <c r="AB45" i="3" s="1"/>
  <c r="AC45" i="3" s="1"/>
  <c r="D46" i="19"/>
  <c r="AB47" i="19"/>
  <c r="G45" i="19"/>
  <c r="AA48" i="2"/>
  <c r="A49" i="2"/>
  <c r="Z48" i="2"/>
  <c r="X48" i="21"/>
  <c r="A49" i="21"/>
  <c r="Y48" i="21"/>
  <c r="V42" i="21"/>
  <c r="B42" i="20"/>
  <c r="Z48" i="3" l="1"/>
  <c r="AD48" i="3"/>
  <c r="AF48" i="3"/>
  <c r="G46" i="19"/>
  <c r="X49" i="21"/>
  <c r="A50" i="21"/>
  <c r="Y49" i="21"/>
  <c r="AA49" i="2"/>
  <c r="A50" i="2"/>
  <c r="Z49" i="2"/>
  <c r="W42" i="20"/>
  <c r="AA42" i="20"/>
  <c r="AC42" i="20"/>
  <c r="Y42" i="20"/>
  <c r="K44" i="21"/>
  <c r="K44" i="20" s="1"/>
  <c r="R44" i="21"/>
  <c r="R44" i="20" s="1"/>
  <c r="E44" i="21"/>
  <c r="E44" i="20" s="1"/>
  <c r="C44" i="21"/>
  <c r="C44" i="20" s="1"/>
  <c r="Q44" i="21"/>
  <c r="Q44" i="20" s="1"/>
  <c r="D44" i="21"/>
  <c r="D44" i="20" s="1"/>
  <c r="O44" i="21"/>
  <c r="O44" i="20" s="1"/>
  <c r="L44" i="21"/>
  <c r="L44" i="20" s="1"/>
  <c r="N44" i="21"/>
  <c r="N44" i="20" s="1"/>
  <c r="I44" i="21"/>
  <c r="I44" i="20" s="1"/>
  <c r="M44" i="21"/>
  <c r="M44" i="20" s="1"/>
  <c r="J44" i="21"/>
  <c r="J44" i="20" s="1"/>
  <c r="H44" i="21"/>
  <c r="H44" i="20" s="1"/>
  <c r="U44" i="21"/>
  <c r="U44" i="20" s="1"/>
  <c r="S44" i="21"/>
  <c r="S44" i="20" s="1"/>
  <c r="G44" i="21"/>
  <c r="G44" i="20" s="1"/>
  <c r="B44" i="21"/>
  <c r="F44" i="21"/>
  <c r="F44" i="20" s="1"/>
  <c r="T44" i="21"/>
  <c r="T44" i="20" s="1"/>
  <c r="P44" i="21"/>
  <c r="P44" i="20" s="1"/>
  <c r="AB45" i="1"/>
  <c r="D45" i="1" s="1"/>
  <c r="AB46" i="3" s="1"/>
  <c r="AB48" i="19"/>
  <c r="D47" i="19"/>
  <c r="V43" i="21"/>
  <c r="B43" i="20"/>
  <c r="AB46" i="1" l="1"/>
  <c r="D46" i="1" s="1"/>
  <c r="AB47" i="3" s="1"/>
  <c r="AB49" i="19"/>
  <c r="D48" i="19"/>
  <c r="V44" i="21"/>
  <c r="B44" i="20"/>
  <c r="W43" i="20"/>
  <c r="AA43" i="20"/>
  <c r="AC43" i="20"/>
  <c r="Y43" i="20"/>
  <c r="A51" i="21"/>
  <c r="X50" i="21"/>
  <c r="Y50" i="21"/>
  <c r="G47" i="19"/>
  <c r="N45" i="21"/>
  <c r="N45" i="20" s="1"/>
  <c r="L45" i="21"/>
  <c r="L45" i="20" s="1"/>
  <c r="B45" i="21"/>
  <c r="Q45" i="21"/>
  <c r="Q45" i="20" s="1"/>
  <c r="U45" i="21"/>
  <c r="U45" i="20" s="1"/>
  <c r="J45" i="21"/>
  <c r="J45" i="20" s="1"/>
  <c r="M45" i="21"/>
  <c r="M45" i="20" s="1"/>
  <c r="H45" i="21"/>
  <c r="H45" i="20" s="1"/>
  <c r="I45" i="21"/>
  <c r="I45" i="20" s="1"/>
  <c r="E45" i="21"/>
  <c r="E45" i="20" s="1"/>
  <c r="S45" i="21"/>
  <c r="S45" i="20" s="1"/>
  <c r="C45" i="21"/>
  <c r="C45" i="20" s="1"/>
  <c r="R45" i="21"/>
  <c r="R45" i="20" s="1"/>
  <c r="T45" i="21"/>
  <c r="T45" i="20" s="1"/>
  <c r="D45" i="21"/>
  <c r="D45" i="20" s="1"/>
  <c r="K45" i="21"/>
  <c r="K45" i="20" s="1"/>
  <c r="F45" i="21"/>
  <c r="F45" i="20" s="1"/>
  <c r="G45" i="21"/>
  <c r="G45" i="20" s="1"/>
  <c r="O45" i="21"/>
  <c r="O45" i="20" s="1"/>
  <c r="P45" i="21"/>
  <c r="P45" i="20" s="1"/>
  <c r="Z50" i="2"/>
  <c r="A51" i="2"/>
  <c r="AA50" i="2"/>
  <c r="AD49" i="3"/>
  <c r="Z49" i="3"/>
  <c r="AF49" i="3"/>
  <c r="Z50" i="3" l="1"/>
  <c r="AD50" i="3"/>
  <c r="AF50" i="3"/>
  <c r="W44" i="20"/>
  <c r="AA44" i="20"/>
  <c r="AC44" i="20"/>
  <c r="Y44" i="20"/>
  <c r="G48" i="19"/>
  <c r="V45" i="21"/>
  <c r="B45" i="20"/>
  <c r="V45" i="20" s="1"/>
  <c r="E8" i="4" s="1"/>
  <c r="Y51" i="21"/>
  <c r="X51" i="21"/>
  <c r="A52" i="21"/>
  <c r="AB47" i="1"/>
  <c r="D47" i="1" s="1"/>
  <c r="AB48" i="3" s="1"/>
  <c r="D49" i="19"/>
  <c r="AB50" i="19"/>
  <c r="Z51" i="2"/>
  <c r="AA51" i="2"/>
  <c r="A52" i="2"/>
  <c r="P46" i="21"/>
  <c r="P46" i="20" s="1"/>
  <c r="D46" i="21"/>
  <c r="D46" i="20" s="1"/>
  <c r="E46" i="21"/>
  <c r="E46" i="20" s="1"/>
  <c r="C46" i="21"/>
  <c r="C46" i="20" s="1"/>
  <c r="S46" i="21"/>
  <c r="S46" i="20" s="1"/>
  <c r="M46" i="21"/>
  <c r="M46" i="20" s="1"/>
  <c r="Q46" i="21"/>
  <c r="Q46" i="20" s="1"/>
  <c r="H46" i="21"/>
  <c r="H46" i="20" s="1"/>
  <c r="K46" i="21"/>
  <c r="K46" i="20" s="1"/>
  <c r="I46" i="21"/>
  <c r="I46" i="20" s="1"/>
  <c r="J46" i="21"/>
  <c r="J46" i="20" s="1"/>
  <c r="O46" i="21"/>
  <c r="O46" i="20" s="1"/>
  <c r="R46" i="21"/>
  <c r="R46" i="20" s="1"/>
  <c r="G46" i="21"/>
  <c r="G46" i="20" s="1"/>
  <c r="B46" i="21"/>
  <c r="T46" i="21"/>
  <c r="T46" i="20" s="1"/>
  <c r="F46" i="21"/>
  <c r="F46" i="20" s="1"/>
  <c r="L46" i="21"/>
  <c r="L46" i="20" s="1"/>
  <c r="U46" i="21"/>
  <c r="U46" i="20" s="1"/>
  <c r="N46" i="21"/>
  <c r="N46" i="20" s="1"/>
  <c r="AB48" i="1" l="1"/>
  <c r="D48" i="1" s="1"/>
  <c r="AB49" i="3" s="1"/>
  <c r="D50" i="19"/>
  <c r="AB51" i="19"/>
  <c r="G49" i="19"/>
  <c r="F47" i="21"/>
  <c r="F47" i="20" s="1"/>
  <c r="C47" i="21"/>
  <c r="C47" i="20" s="1"/>
  <c r="Q47" i="21"/>
  <c r="Q47" i="20" s="1"/>
  <c r="O47" i="21"/>
  <c r="O47" i="20" s="1"/>
  <c r="J47" i="21"/>
  <c r="J47" i="20" s="1"/>
  <c r="L47" i="21"/>
  <c r="L47" i="20" s="1"/>
  <c r="D47" i="21"/>
  <c r="D47" i="20" s="1"/>
  <c r="S47" i="21"/>
  <c r="S47" i="20" s="1"/>
  <c r="I47" i="21"/>
  <c r="I47" i="20" s="1"/>
  <c r="U47" i="21"/>
  <c r="U47" i="20" s="1"/>
  <c r="E47" i="21"/>
  <c r="E47" i="20" s="1"/>
  <c r="M47" i="21"/>
  <c r="M47" i="20" s="1"/>
  <c r="K47" i="21"/>
  <c r="K47" i="20" s="1"/>
  <c r="H47" i="21"/>
  <c r="H47" i="20" s="1"/>
  <c r="P47" i="21"/>
  <c r="P47" i="20" s="1"/>
  <c r="B47" i="21"/>
  <c r="T47" i="21"/>
  <c r="T47" i="20" s="1"/>
  <c r="R47" i="21"/>
  <c r="R47" i="20" s="1"/>
  <c r="G47" i="21"/>
  <c r="G47" i="20" s="1"/>
  <c r="N47" i="21"/>
  <c r="N47" i="20" s="1"/>
  <c r="X52" i="21"/>
  <c r="Y52" i="21"/>
  <c r="A53" i="21"/>
  <c r="AA52" i="2"/>
  <c r="Z52" i="2"/>
  <c r="A53" i="2"/>
  <c r="V46" i="21"/>
  <c r="B46" i="20"/>
  <c r="Z51" i="3"/>
  <c r="AD51" i="3"/>
  <c r="AF51" i="3"/>
  <c r="W45" i="20"/>
  <c r="X45" i="20" s="1"/>
  <c r="E9" i="4" s="1"/>
  <c r="AA45" i="20"/>
  <c r="AB45" i="20" s="1"/>
  <c r="AC45" i="20"/>
  <c r="AD45" i="20" s="1"/>
  <c r="W45" i="21"/>
  <c r="E83" i="4" s="1"/>
  <c r="Y45" i="20"/>
  <c r="Z45" i="20" s="1"/>
  <c r="E10" i="4" s="1"/>
  <c r="Z52" i="3" l="1"/>
  <c r="AD52" i="3"/>
  <c r="AF52" i="3"/>
  <c r="Y53" i="21"/>
  <c r="A54" i="21"/>
  <c r="X53" i="21"/>
  <c r="A54" i="2"/>
  <c r="AA53" i="2"/>
  <c r="Z53" i="2"/>
  <c r="V47" i="21"/>
  <c r="B47" i="20"/>
  <c r="M48" i="21"/>
  <c r="M48" i="20" s="1"/>
  <c r="F48" i="21"/>
  <c r="F48" i="20" s="1"/>
  <c r="C48" i="21"/>
  <c r="C48" i="20" s="1"/>
  <c r="U48" i="21"/>
  <c r="U48" i="20" s="1"/>
  <c r="T48" i="21"/>
  <c r="T48" i="20" s="1"/>
  <c r="K48" i="21"/>
  <c r="K48" i="20" s="1"/>
  <c r="I48" i="21"/>
  <c r="I48" i="20" s="1"/>
  <c r="G48" i="21"/>
  <c r="G48" i="20" s="1"/>
  <c r="J48" i="21"/>
  <c r="J48" i="20" s="1"/>
  <c r="Q48" i="21"/>
  <c r="Q48" i="20" s="1"/>
  <c r="S48" i="21"/>
  <c r="S48" i="20" s="1"/>
  <c r="P48" i="21"/>
  <c r="P48" i="20" s="1"/>
  <c r="R48" i="21"/>
  <c r="R48" i="20" s="1"/>
  <c r="H48" i="21"/>
  <c r="H48" i="20" s="1"/>
  <c r="E48" i="21"/>
  <c r="E48" i="20" s="1"/>
  <c r="L48" i="21"/>
  <c r="L48" i="20" s="1"/>
  <c r="D48" i="21"/>
  <c r="D48" i="20" s="1"/>
  <c r="N48" i="21"/>
  <c r="N48" i="20" s="1"/>
  <c r="O48" i="21"/>
  <c r="O48" i="20" s="1"/>
  <c r="B48" i="21"/>
  <c r="AB49" i="1"/>
  <c r="D49" i="1" s="1"/>
  <c r="AB50" i="3" s="1"/>
  <c r="D51" i="19"/>
  <c r="AB52" i="19"/>
  <c r="E91" i="4"/>
  <c r="E93" i="4"/>
  <c r="E95" i="4"/>
  <c r="E92" i="4"/>
  <c r="E87" i="4"/>
  <c r="E94" i="4"/>
  <c r="E82" i="4"/>
  <c r="E85" i="4" s="1"/>
  <c r="AA46" i="20"/>
  <c r="AC46" i="20"/>
  <c r="W46" i="20"/>
  <c r="Y46" i="20"/>
  <c r="G50" i="19"/>
  <c r="E12" i="4"/>
  <c r="E89" i="4" s="1"/>
  <c r="E11" i="4"/>
  <c r="E13" i="4" s="1"/>
  <c r="E17" i="4" s="1"/>
  <c r="E19" i="4" l="1"/>
  <c r="E36" i="4" s="1"/>
  <c r="AB50" i="1"/>
  <c r="D50" i="1" s="1"/>
  <c r="AB51" i="3" s="1"/>
  <c r="AB53" i="19"/>
  <c r="D52" i="19"/>
  <c r="B49" i="21"/>
  <c r="I49" i="21"/>
  <c r="I49" i="20" s="1"/>
  <c r="E49" i="21"/>
  <c r="E49" i="20" s="1"/>
  <c r="K49" i="21"/>
  <c r="K49" i="20" s="1"/>
  <c r="Q49" i="21"/>
  <c r="Q49" i="20" s="1"/>
  <c r="R49" i="21"/>
  <c r="R49" i="20" s="1"/>
  <c r="P49" i="21"/>
  <c r="P49" i="20" s="1"/>
  <c r="F49" i="21"/>
  <c r="F49" i="20" s="1"/>
  <c r="O49" i="21"/>
  <c r="O49" i="20" s="1"/>
  <c r="T49" i="21"/>
  <c r="T49" i="20" s="1"/>
  <c r="U49" i="21"/>
  <c r="U49" i="20" s="1"/>
  <c r="N49" i="21"/>
  <c r="N49" i="20" s="1"/>
  <c r="J49" i="21"/>
  <c r="J49" i="20" s="1"/>
  <c r="M49" i="21"/>
  <c r="M49" i="20" s="1"/>
  <c r="S49" i="21"/>
  <c r="S49" i="20" s="1"/>
  <c r="D49" i="21"/>
  <c r="D49" i="20" s="1"/>
  <c r="C49" i="21"/>
  <c r="C49" i="20" s="1"/>
  <c r="L49" i="21"/>
  <c r="L49" i="20" s="1"/>
  <c r="G49" i="21"/>
  <c r="G49" i="20" s="1"/>
  <c r="H49" i="21"/>
  <c r="H49" i="20" s="1"/>
  <c r="E88" i="4"/>
  <c r="A55" i="21"/>
  <c r="X54" i="21"/>
  <c r="Y54" i="21"/>
  <c r="E86" i="4"/>
  <c r="G51" i="19"/>
  <c r="W47" i="20"/>
  <c r="AA47" i="20"/>
  <c r="AC47" i="20"/>
  <c r="Y47" i="20"/>
  <c r="Z53" i="3"/>
  <c r="AD53" i="3"/>
  <c r="AF53" i="3"/>
  <c r="V48" i="21"/>
  <c r="B48" i="20"/>
  <c r="Z54" i="2"/>
  <c r="AA54" i="2"/>
  <c r="A55" i="2"/>
  <c r="V49" i="21" l="1"/>
  <c r="B49" i="20"/>
  <c r="Z54" i="3"/>
  <c r="AD54" i="3"/>
  <c r="AF54" i="3"/>
  <c r="G52" i="19"/>
  <c r="A56" i="2"/>
  <c r="Z55" i="2"/>
  <c r="AA55" i="2"/>
  <c r="K50" i="21"/>
  <c r="K50" i="20" s="1"/>
  <c r="L50" i="21"/>
  <c r="L50" i="20" s="1"/>
  <c r="T50" i="21"/>
  <c r="T50" i="20" s="1"/>
  <c r="C50" i="21"/>
  <c r="C50" i="20" s="1"/>
  <c r="H50" i="21"/>
  <c r="H50" i="20" s="1"/>
  <c r="O50" i="21"/>
  <c r="O50" i="20" s="1"/>
  <c r="M50" i="21"/>
  <c r="M50" i="20" s="1"/>
  <c r="G50" i="21"/>
  <c r="G50" i="20" s="1"/>
  <c r="D50" i="21"/>
  <c r="D50" i="20" s="1"/>
  <c r="J50" i="21"/>
  <c r="J50" i="20" s="1"/>
  <c r="R50" i="21"/>
  <c r="R50" i="20" s="1"/>
  <c r="B50" i="21"/>
  <c r="S50" i="21"/>
  <c r="S50" i="20" s="1"/>
  <c r="N50" i="21"/>
  <c r="N50" i="20" s="1"/>
  <c r="Q50" i="21"/>
  <c r="Q50" i="20" s="1"/>
  <c r="E50" i="21"/>
  <c r="E50" i="20" s="1"/>
  <c r="U50" i="21"/>
  <c r="U50" i="20" s="1"/>
  <c r="P50" i="21"/>
  <c r="P50" i="20" s="1"/>
  <c r="F50" i="21"/>
  <c r="F50" i="20" s="1"/>
  <c r="I50" i="21"/>
  <c r="I50" i="20" s="1"/>
  <c r="D53" i="19"/>
  <c r="AB54" i="19"/>
  <c r="AB51" i="1"/>
  <c r="D51" i="1" s="1"/>
  <c r="AB52" i="3" s="1"/>
  <c r="Y55" i="21"/>
  <c r="X55" i="21"/>
  <c r="A56" i="21"/>
  <c r="W48" i="20"/>
  <c r="AA48" i="20"/>
  <c r="AC48" i="20"/>
  <c r="Y48" i="20"/>
  <c r="E20" i="4"/>
  <c r="E25" i="4" l="1"/>
  <c r="E35" i="4"/>
  <c r="E38" i="4" s="1"/>
  <c r="X56" i="21"/>
  <c r="A57" i="21"/>
  <c r="Y56" i="21"/>
  <c r="AB52" i="1"/>
  <c r="D52" i="1" s="1"/>
  <c r="AB53" i="3" s="1"/>
  <c r="AB55" i="19"/>
  <c r="D54" i="19"/>
  <c r="AA56" i="2"/>
  <c r="A57" i="2"/>
  <c r="Z56" i="2"/>
  <c r="W49" i="20"/>
  <c r="AA49" i="20"/>
  <c r="AC49" i="20"/>
  <c r="Y49" i="20"/>
  <c r="G53" i="19"/>
  <c r="E51" i="21"/>
  <c r="E51" i="20" s="1"/>
  <c r="J51" i="21"/>
  <c r="J51" i="20" s="1"/>
  <c r="H51" i="21"/>
  <c r="H51" i="20" s="1"/>
  <c r="N51" i="21"/>
  <c r="N51" i="20" s="1"/>
  <c r="P51" i="21"/>
  <c r="P51" i="20" s="1"/>
  <c r="M51" i="21"/>
  <c r="M51" i="20" s="1"/>
  <c r="S51" i="21"/>
  <c r="S51" i="20" s="1"/>
  <c r="Q51" i="21"/>
  <c r="Q51" i="20" s="1"/>
  <c r="C51" i="21"/>
  <c r="C51" i="20" s="1"/>
  <c r="U51" i="21"/>
  <c r="U51" i="20" s="1"/>
  <c r="F51" i="21"/>
  <c r="F51" i="20" s="1"/>
  <c r="R51" i="21"/>
  <c r="R51" i="20" s="1"/>
  <c r="I51" i="21"/>
  <c r="I51" i="20" s="1"/>
  <c r="L51" i="21"/>
  <c r="L51" i="20" s="1"/>
  <c r="K51" i="21"/>
  <c r="K51" i="20" s="1"/>
  <c r="O51" i="21"/>
  <c r="O51" i="20" s="1"/>
  <c r="T51" i="21"/>
  <c r="T51" i="20" s="1"/>
  <c r="B51" i="21"/>
  <c r="G51" i="21"/>
  <c r="G51" i="20" s="1"/>
  <c r="D51" i="21"/>
  <c r="D51" i="20" s="1"/>
  <c r="Z55" i="3"/>
  <c r="AD55" i="3"/>
  <c r="AF55" i="3"/>
  <c r="V50" i="21"/>
  <c r="B50" i="20"/>
  <c r="F52" i="21" l="1"/>
  <c r="F52" i="20" s="1"/>
  <c r="G52" i="21"/>
  <c r="G52" i="20" s="1"/>
  <c r="D52" i="21"/>
  <c r="D52" i="20" s="1"/>
  <c r="B52" i="21"/>
  <c r="S52" i="21"/>
  <c r="S52" i="20" s="1"/>
  <c r="J52" i="21"/>
  <c r="J52" i="20" s="1"/>
  <c r="M52" i="21"/>
  <c r="M52" i="20" s="1"/>
  <c r="N52" i="21"/>
  <c r="N52" i="20" s="1"/>
  <c r="C52" i="21"/>
  <c r="C52" i="20" s="1"/>
  <c r="P52" i="21"/>
  <c r="P52" i="20" s="1"/>
  <c r="U52" i="21"/>
  <c r="U52" i="20" s="1"/>
  <c r="O52" i="21"/>
  <c r="O52" i="20" s="1"/>
  <c r="I52" i="21"/>
  <c r="I52" i="20" s="1"/>
  <c r="R52" i="21"/>
  <c r="R52" i="20" s="1"/>
  <c r="K52" i="21"/>
  <c r="K52" i="20" s="1"/>
  <c r="L52" i="21"/>
  <c r="L52" i="20" s="1"/>
  <c r="T52" i="21"/>
  <c r="T52" i="20" s="1"/>
  <c r="E52" i="21"/>
  <c r="E52" i="20" s="1"/>
  <c r="H52" i="21"/>
  <c r="H52" i="20" s="1"/>
  <c r="Q52" i="21"/>
  <c r="Q52" i="20" s="1"/>
  <c r="V51" i="21"/>
  <c r="B51" i="20"/>
  <c r="A58" i="21"/>
  <c r="X57" i="21"/>
  <c r="Y57" i="21"/>
  <c r="W50" i="20"/>
  <c r="AA50" i="20"/>
  <c r="AC50" i="20"/>
  <c r="Y50" i="20"/>
  <c r="AA57" i="2"/>
  <c r="A58" i="2"/>
  <c r="Z57" i="2"/>
  <c r="AB53" i="1"/>
  <c r="D53" i="1" s="1"/>
  <c r="AB54" i="3" s="1"/>
  <c r="D55" i="19"/>
  <c r="AB56" i="19"/>
  <c r="Z56" i="3"/>
  <c r="AD56" i="3"/>
  <c r="AF56" i="3"/>
  <c r="G54" i="19"/>
  <c r="G55" i="19" l="1"/>
  <c r="U53" i="21"/>
  <c r="U53" i="20" s="1"/>
  <c r="T53" i="21"/>
  <c r="T53" i="20" s="1"/>
  <c r="K53" i="21"/>
  <c r="K53" i="20" s="1"/>
  <c r="I53" i="21"/>
  <c r="I53" i="20" s="1"/>
  <c r="P53" i="21"/>
  <c r="P53" i="20" s="1"/>
  <c r="E53" i="21"/>
  <c r="E53" i="20" s="1"/>
  <c r="C53" i="21"/>
  <c r="C53" i="20" s="1"/>
  <c r="O53" i="21"/>
  <c r="O53" i="20" s="1"/>
  <c r="B53" i="21"/>
  <c r="N53" i="21"/>
  <c r="N53" i="20" s="1"/>
  <c r="H53" i="21"/>
  <c r="H53" i="20" s="1"/>
  <c r="L53" i="21"/>
  <c r="L53" i="20" s="1"/>
  <c r="M53" i="21"/>
  <c r="M53" i="20" s="1"/>
  <c r="Q53" i="21"/>
  <c r="Q53" i="20" s="1"/>
  <c r="G53" i="21"/>
  <c r="G53" i="20" s="1"/>
  <c r="J53" i="21"/>
  <c r="J53" i="20" s="1"/>
  <c r="R53" i="21"/>
  <c r="R53" i="20" s="1"/>
  <c r="D53" i="21"/>
  <c r="D53" i="20" s="1"/>
  <c r="S53" i="21"/>
  <c r="S53" i="20" s="1"/>
  <c r="F53" i="21"/>
  <c r="F53" i="20" s="1"/>
  <c r="Y58" i="21"/>
  <c r="X58" i="21"/>
  <c r="A59" i="21"/>
  <c r="W51" i="20"/>
  <c r="AA51" i="20"/>
  <c r="AC51" i="20"/>
  <c r="Y51" i="20"/>
  <c r="V52" i="21"/>
  <c r="B52" i="20"/>
  <c r="Z58" i="2"/>
  <c r="A59" i="2"/>
  <c r="AA58" i="2"/>
  <c r="Z57" i="3"/>
  <c r="AA57" i="3" s="1"/>
  <c r="AD57" i="3"/>
  <c r="AE57" i="3" s="1"/>
  <c r="AF57" i="3"/>
  <c r="AG57" i="3" s="1"/>
  <c r="AB54" i="1"/>
  <c r="D54" i="1" s="1"/>
  <c r="AB55" i="3" s="1"/>
  <c r="AB57" i="19"/>
  <c r="D56" i="19"/>
  <c r="AB55" i="1" l="1"/>
  <c r="D55" i="1" s="1"/>
  <c r="AB56" i="3" s="1"/>
  <c r="AB58" i="19"/>
  <c r="D57" i="19"/>
  <c r="W52" i="20"/>
  <c r="AA52" i="20"/>
  <c r="AC52" i="20"/>
  <c r="Y52" i="20"/>
  <c r="V53" i="21"/>
  <c r="B53" i="20"/>
  <c r="Z58" i="3"/>
  <c r="AF58" i="3"/>
  <c r="AD58" i="3"/>
  <c r="A60" i="2"/>
  <c r="Z59" i="2"/>
  <c r="AA59" i="2"/>
  <c r="X59" i="21"/>
  <c r="A60" i="21"/>
  <c r="Y59" i="21"/>
  <c r="G56" i="19"/>
  <c r="T54" i="21"/>
  <c r="T54" i="20" s="1"/>
  <c r="G54" i="21"/>
  <c r="G54" i="20" s="1"/>
  <c r="R54" i="21"/>
  <c r="R54" i="20" s="1"/>
  <c r="H54" i="21"/>
  <c r="H54" i="20" s="1"/>
  <c r="J54" i="21"/>
  <c r="J54" i="20" s="1"/>
  <c r="N54" i="21"/>
  <c r="N54" i="20" s="1"/>
  <c r="E54" i="21"/>
  <c r="E54" i="20" s="1"/>
  <c r="P54" i="21"/>
  <c r="P54" i="20" s="1"/>
  <c r="M54" i="21"/>
  <c r="M54" i="20" s="1"/>
  <c r="B54" i="21"/>
  <c r="S54" i="21"/>
  <c r="S54" i="20" s="1"/>
  <c r="L54" i="21"/>
  <c r="L54" i="20" s="1"/>
  <c r="I54" i="21"/>
  <c r="I54" i="20" s="1"/>
  <c r="D54" i="21"/>
  <c r="D54" i="20" s="1"/>
  <c r="Q54" i="21"/>
  <c r="Q54" i="20" s="1"/>
  <c r="F54" i="21"/>
  <c r="F54" i="20" s="1"/>
  <c r="U54" i="21"/>
  <c r="U54" i="20" s="1"/>
  <c r="K54" i="21"/>
  <c r="K54" i="20" s="1"/>
  <c r="C54" i="21"/>
  <c r="C54" i="20" s="1"/>
  <c r="O54" i="21"/>
  <c r="O54" i="20" s="1"/>
  <c r="Z59" i="3" l="1"/>
  <c r="AF59" i="3"/>
  <c r="AD59" i="3"/>
  <c r="V54" i="21"/>
  <c r="B54" i="20"/>
  <c r="G57" i="19"/>
  <c r="F55" i="21"/>
  <c r="F55" i="20" s="1"/>
  <c r="C55" i="21"/>
  <c r="C55" i="20" s="1"/>
  <c r="N55" i="21"/>
  <c r="N55" i="20" s="1"/>
  <c r="P55" i="21"/>
  <c r="P55" i="20" s="1"/>
  <c r="B55" i="21"/>
  <c r="O55" i="21"/>
  <c r="O55" i="20" s="1"/>
  <c r="J55" i="21"/>
  <c r="J55" i="20" s="1"/>
  <c r="L55" i="21"/>
  <c r="L55" i="20" s="1"/>
  <c r="U55" i="21"/>
  <c r="U55" i="20" s="1"/>
  <c r="T55" i="21"/>
  <c r="T55" i="20" s="1"/>
  <c r="G55" i="21"/>
  <c r="G55" i="20" s="1"/>
  <c r="E55" i="21"/>
  <c r="E55" i="20" s="1"/>
  <c r="H55" i="21"/>
  <c r="H55" i="20" s="1"/>
  <c r="I55" i="21"/>
  <c r="I55" i="20" s="1"/>
  <c r="Q55" i="21"/>
  <c r="Q55" i="20" s="1"/>
  <c r="K55" i="21"/>
  <c r="K55" i="20" s="1"/>
  <c r="M55" i="21"/>
  <c r="M55" i="20" s="1"/>
  <c r="S55" i="21"/>
  <c r="S55" i="20" s="1"/>
  <c r="D55" i="21"/>
  <c r="D55" i="20" s="1"/>
  <c r="R55" i="21"/>
  <c r="R55" i="20" s="1"/>
  <c r="Y60" i="21"/>
  <c r="A61" i="21"/>
  <c r="X60" i="21"/>
  <c r="AB56" i="1"/>
  <c r="D56" i="1" s="1"/>
  <c r="AB57" i="3" s="1"/>
  <c r="AC57" i="3" s="1"/>
  <c r="D58" i="19"/>
  <c r="AB59" i="19"/>
  <c r="Z60" i="2"/>
  <c r="AA60" i="2"/>
  <c r="A61" i="2"/>
  <c r="W53" i="20"/>
  <c r="AA53" i="20"/>
  <c r="AC53" i="20"/>
  <c r="Y53" i="20"/>
  <c r="AD60" i="3" l="1"/>
  <c r="AF60" i="3"/>
  <c r="Z60" i="3"/>
  <c r="A62" i="21"/>
  <c r="X61" i="21"/>
  <c r="Y61" i="21"/>
  <c r="V55" i="21"/>
  <c r="B55" i="20"/>
  <c r="W54" i="20"/>
  <c r="AA54" i="20"/>
  <c r="AC54" i="20"/>
  <c r="Y54" i="20"/>
  <c r="AB57" i="1"/>
  <c r="D57" i="1" s="1"/>
  <c r="AB58" i="3" s="1"/>
  <c r="D59" i="19"/>
  <c r="AB60" i="19"/>
  <c r="G58" i="19"/>
  <c r="AA61" i="2"/>
  <c r="Z61" i="2"/>
  <c r="A62" i="2"/>
  <c r="M56" i="21"/>
  <c r="M56" i="20" s="1"/>
  <c r="O56" i="21"/>
  <c r="O56" i="20" s="1"/>
  <c r="U56" i="21"/>
  <c r="U56" i="20" s="1"/>
  <c r="C56" i="21"/>
  <c r="C56" i="20" s="1"/>
  <c r="T56" i="21"/>
  <c r="T56" i="20" s="1"/>
  <c r="H56" i="21"/>
  <c r="H56" i="20" s="1"/>
  <c r="L56" i="21"/>
  <c r="L56" i="20" s="1"/>
  <c r="Q56" i="21"/>
  <c r="Q56" i="20" s="1"/>
  <c r="G56" i="21"/>
  <c r="G56" i="20" s="1"/>
  <c r="K56" i="21"/>
  <c r="K56" i="20" s="1"/>
  <c r="B56" i="21"/>
  <c r="I56" i="21"/>
  <c r="I56" i="20" s="1"/>
  <c r="R56" i="21"/>
  <c r="R56" i="20" s="1"/>
  <c r="P56" i="21"/>
  <c r="P56" i="20" s="1"/>
  <c r="E56" i="21"/>
  <c r="E56" i="20" s="1"/>
  <c r="D56" i="21"/>
  <c r="D56" i="20" s="1"/>
  <c r="N56" i="21"/>
  <c r="N56" i="20" s="1"/>
  <c r="S56" i="21"/>
  <c r="S56" i="20" s="1"/>
  <c r="F56" i="21"/>
  <c r="F56" i="20" s="1"/>
  <c r="J56" i="21"/>
  <c r="J56" i="20" s="1"/>
  <c r="AA62" i="2" l="1"/>
  <c r="A63" i="2"/>
  <c r="Z62" i="2"/>
  <c r="B57" i="21"/>
  <c r="R57" i="21"/>
  <c r="R57" i="20" s="1"/>
  <c r="G57" i="21"/>
  <c r="G57" i="20" s="1"/>
  <c r="P57" i="21"/>
  <c r="P57" i="20" s="1"/>
  <c r="F57" i="21"/>
  <c r="F57" i="20" s="1"/>
  <c r="E57" i="21"/>
  <c r="E57" i="20" s="1"/>
  <c r="T57" i="21"/>
  <c r="T57" i="20" s="1"/>
  <c r="L57" i="21"/>
  <c r="L57" i="20" s="1"/>
  <c r="H57" i="21"/>
  <c r="H57" i="20" s="1"/>
  <c r="S57" i="21"/>
  <c r="S57" i="20" s="1"/>
  <c r="K57" i="21"/>
  <c r="K57" i="20" s="1"/>
  <c r="O57" i="21"/>
  <c r="O57" i="20" s="1"/>
  <c r="U57" i="21"/>
  <c r="U57" i="20" s="1"/>
  <c r="Q57" i="21"/>
  <c r="Q57" i="20" s="1"/>
  <c r="I57" i="21"/>
  <c r="I57" i="20" s="1"/>
  <c r="N57" i="21"/>
  <c r="N57" i="20" s="1"/>
  <c r="J57" i="21"/>
  <c r="J57" i="20" s="1"/>
  <c r="C57" i="21"/>
  <c r="C57" i="20" s="1"/>
  <c r="D57" i="21"/>
  <c r="D57" i="20" s="1"/>
  <c r="M57" i="21"/>
  <c r="M57" i="20" s="1"/>
  <c r="V56" i="21"/>
  <c r="B56" i="20"/>
  <c r="AB58" i="1"/>
  <c r="D58" i="1" s="1"/>
  <c r="AB59" i="3" s="1"/>
  <c r="D60" i="19"/>
  <c r="AB61" i="19"/>
  <c r="W55" i="20"/>
  <c r="AA55" i="20"/>
  <c r="AC55" i="20"/>
  <c r="Y55" i="20"/>
  <c r="G59" i="19"/>
  <c r="AD61" i="3"/>
  <c r="Z61" i="3"/>
  <c r="AF61" i="3"/>
  <c r="Y62" i="21"/>
  <c r="A63" i="21"/>
  <c r="X62" i="21"/>
  <c r="W56" i="20" l="1"/>
  <c r="AA56" i="20"/>
  <c r="AC56" i="20"/>
  <c r="Y56" i="20"/>
  <c r="V57" i="21"/>
  <c r="B57" i="20"/>
  <c r="V57" i="20" s="1"/>
  <c r="F8" i="4" s="1"/>
  <c r="G60" i="19"/>
  <c r="X63" i="21"/>
  <c r="A64" i="21"/>
  <c r="Y63" i="21"/>
  <c r="O58" i="21"/>
  <c r="O58" i="20" s="1"/>
  <c r="J58" i="21"/>
  <c r="J58" i="20" s="1"/>
  <c r="M58" i="21"/>
  <c r="M58" i="20" s="1"/>
  <c r="B58" i="21"/>
  <c r="K58" i="21"/>
  <c r="K58" i="20" s="1"/>
  <c r="S58" i="21"/>
  <c r="S58" i="20" s="1"/>
  <c r="H58" i="21"/>
  <c r="H58" i="20" s="1"/>
  <c r="G58" i="21"/>
  <c r="G58" i="20" s="1"/>
  <c r="L58" i="21"/>
  <c r="L58" i="20" s="1"/>
  <c r="E58" i="21"/>
  <c r="E58" i="20" s="1"/>
  <c r="P58" i="21"/>
  <c r="P58" i="20" s="1"/>
  <c r="R58" i="21"/>
  <c r="R58" i="20" s="1"/>
  <c r="D58" i="21"/>
  <c r="D58" i="20" s="1"/>
  <c r="N58" i="21"/>
  <c r="N58" i="20" s="1"/>
  <c r="T58" i="21"/>
  <c r="T58" i="20" s="1"/>
  <c r="U58" i="21"/>
  <c r="U58" i="20" s="1"/>
  <c r="Q58" i="21"/>
  <c r="Q58" i="20" s="1"/>
  <c r="I58" i="21"/>
  <c r="I58" i="20" s="1"/>
  <c r="C58" i="21"/>
  <c r="C58" i="20" s="1"/>
  <c r="F58" i="21"/>
  <c r="F58" i="20" s="1"/>
  <c r="A64" i="2"/>
  <c r="Z63" i="2"/>
  <c r="AA63" i="2"/>
  <c r="AB59" i="1"/>
  <c r="D59" i="1" s="1"/>
  <c r="AB60" i="3" s="1"/>
  <c r="AB62" i="19"/>
  <c r="D61" i="19"/>
  <c r="Z62" i="3"/>
  <c r="AD62" i="3"/>
  <c r="AF62" i="3"/>
  <c r="G61" i="19" l="1"/>
  <c r="W57" i="20"/>
  <c r="X57" i="20" s="1"/>
  <c r="F9" i="4" s="1"/>
  <c r="AA57" i="20"/>
  <c r="AB57" i="20" s="1"/>
  <c r="AC57" i="20"/>
  <c r="AD57" i="20" s="1"/>
  <c r="W57" i="21"/>
  <c r="F83" i="4" s="1"/>
  <c r="Y57" i="20"/>
  <c r="Z57" i="20" s="1"/>
  <c r="F10" i="4" s="1"/>
  <c r="D62" i="19"/>
  <c r="AB63" i="19"/>
  <c r="AB60" i="1"/>
  <c r="D60" i="1" s="1"/>
  <c r="AB61" i="3" s="1"/>
  <c r="Z63" i="3"/>
  <c r="AD63" i="3"/>
  <c r="AF63" i="3"/>
  <c r="Y64" i="21"/>
  <c r="X64" i="21"/>
  <c r="A65" i="21"/>
  <c r="Z64" i="2"/>
  <c r="A65" i="2"/>
  <c r="AA64" i="2"/>
  <c r="V58" i="21"/>
  <c r="B58" i="20"/>
  <c r="D59" i="21"/>
  <c r="D59" i="20" s="1"/>
  <c r="U59" i="21"/>
  <c r="U59" i="20" s="1"/>
  <c r="L59" i="21"/>
  <c r="L59" i="20" s="1"/>
  <c r="I59" i="21"/>
  <c r="I59" i="20" s="1"/>
  <c r="G59" i="21"/>
  <c r="G59" i="20" s="1"/>
  <c r="H59" i="21"/>
  <c r="H59" i="20" s="1"/>
  <c r="J59" i="21"/>
  <c r="J59" i="20" s="1"/>
  <c r="T59" i="21"/>
  <c r="T59" i="20" s="1"/>
  <c r="R59" i="21"/>
  <c r="R59" i="20" s="1"/>
  <c r="E59" i="21"/>
  <c r="E59" i="20" s="1"/>
  <c r="P59" i="21"/>
  <c r="P59" i="20" s="1"/>
  <c r="M59" i="21"/>
  <c r="M59" i="20" s="1"/>
  <c r="C59" i="21"/>
  <c r="C59" i="20" s="1"/>
  <c r="Q59" i="21"/>
  <c r="Q59" i="20" s="1"/>
  <c r="N59" i="21"/>
  <c r="N59" i="20" s="1"/>
  <c r="S59" i="21"/>
  <c r="S59" i="20" s="1"/>
  <c r="K59" i="21"/>
  <c r="K59" i="20" s="1"/>
  <c r="O59" i="21"/>
  <c r="O59" i="20" s="1"/>
  <c r="B59" i="21"/>
  <c r="F59" i="21"/>
  <c r="F59" i="20" s="1"/>
  <c r="AA58" i="20" l="1"/>
  <c r="W58" i="20"/>
  <c r="AC58" i="20"/>
  <c r="Y58" i="20"/>
  <c r="F86" i="4"/>
  <c r="F94" i="4"/>
  <c r="F82" i="4"/>
  <c r="F93" i="4"/>
  <c r="F85" i="4"/>
  <c r="F95" i="4"/>
  <c r="F92" i="4"/>
  <c r="F91" i="4"/>
  <c r="F87" i="4"/>
  <c r="G62" i="19"/>
  <c r="Z64" i="3"/>
  <c r="AD64" i="3"/>
  <c r="AF64" i="3"/>
  <c r="AA65" i="2"/>
  <c r="Z65" i="2"/>
  <c r="A66" i="2"/>
  <c r="V59" i="21"/>
  <c r="B59" i="20"/>
  <c r="I60" i="21"/>
  <c r="I60" i="20" s="1"/>
  <c r="G60" i="21"/>
  <c r="G60" i="20" s="1"/>
  <c r="N60" i="21"/>
  <c r="N60" i="20" s="1"/>
  <c r="P60" i="21"/>
  <c r="P60" i="20" s="1"/>
  <c r="U60" i="21"/>
  <c r="U60" i="20" s="1"/>
  <c r="C60" i="21"/>
  <c r="C60" i="20" s="1"/>
  <c r="R60" i="21"/>
  <c r="R60" i="20" s="1"/>
  <c r="K60" i="21"/>
  <c r="K60" i="20" s="1"/>
  <c r="M60" i="21"/>
  <c r="M60" i="20" s="1"/>
  <c r="O60" i="21"/>
  <c r="O60" i="20" s="1"/>
  <c r="L60" i="21"/>
  <c r="L60" i="20" s="1"/>
  <c r="T60" i="21"/>
  <c r="T60" i="20" s="1"/>
  <c r="H60" i="21"/>
  <c r="H60" i="20" s="1"/>
  <c r="D60" i="21"/>
  <c r="D60" i="20" s="1"/>
  <c r="Q60" i="21"/>
  <c r="Q60" i="20" s="1"/>
  <c r="B60" i="21"/>
  <c r="J60" i="21"/>
  <c r="J60" i="20" s="1"/>
  <c r="F60" i="21"/>
  <c r="F60" i="20" s="1"/>
  <c r="S60" i="21"/>
  <c r="S60" i="20" s="1"/>
  <c r="E60" i="21"/>
  <c r="E60" i="20" s="1"/>
  <c r="F11" i="4"/>
  <c r="F12" i="4"/>
  <c r="F89" i="4" s="1"/>
  <c r="A66" i="21"/>
  <c r="X65" i="21"/>
  <c r="Y65" i="21"/>
  <c r="AB61" i="1"/>
  <c r="D61" i="1" s="1"/>
  <c r="AB62" i="3" s="1"/>
  <c r="AB64" i="19"/>
  <c r="D63" i="19"/>
  <c r="Z65" i="3" l="1"/>
  <c r="AD65" i="3"/>
  <c r="AF65" i="3"/>
  <c r="Z66" i="2"/>
  <c r="AA66" i="2"/>
  <c r="A67" i="2"/>
  <c r="F13" i="4"/>
  <c r="F17" i="4" s="1"/>
  <c r="G63" i="19"/>
  <c r="AB62" i="1"/>
  <c r="D62" i="1" s="1"/>
  <c r="AB63" i="3" s="1"/>
  <c r="AB65" i="19"/>
  <c r="D64" i="19"/>
  <c r="F88" i="4"/>
  <c r="V60" i="21"/>
  <c r="B60" i="20"/>
  <c r="Y66" i="21"/>
  <c r="X66" i="21"/>
  <c r="A67" i="21"/>
  <c r="W59" i="20"/>
  <c r="AA59" i="20"/>
  <c r="AC59" i="20"/>
  <c r="Y59" i="20"/>
  <c r="T61" i="21"/>
  <c r="T61" i="20" s="1"/>
  <c r="U61" i="21"/>
  <c r="U61" i="20" s="1"/>
  <c r="F61" i="21"/>
  <c r="F61" i="20" s="1"/>
  <c r="O61" i="21"/>
  <c r="O61" i="20" s="1"/>
  <c r="M61" i="21"/>
  <c r="M61" i="20" s="1"/>
  <c r="S61" i="21"/>
  <c r="S61" i="20" s="1"/>
  <c r="D61" i="21"/>
  <c r="D61" i="20" s="1"/>
  <c r="P61" i="21"/>
  <c r="P61" i="20" s="1"/>
  <c r="B61" i="21"/>
  <c r="N61" i="21"/>
  <c r="N61" i="20" s="1"/>
  <c r="I61" i="21"/>
  <c r="I61" i="20" s="1"/>
  <c r="Q61" i="21"/>
  <c r="Q61" i="20" s="1"/>
  <c r="K61" i="21"/>
  <c r="K61" i="20" s="1"/>
  <c r="G61" i="21"/>
  <c r="G61" i="20" s="1"/>
  <c r="C61" i="21"/>
  <c r="C61" i="20" s="1"/>
  <c r="R61" i="21"/>
  <c r="R61" i="20" s="1"/>
  <c r="H61" i="21"/>
  <c r="H61" i="20" s="1"/>
  <c r="L61" i="21"/>
  <c r="L61" i="20" s="1"/>
  <c r="J61" i="21"/>
  <c r="J61" i="20" s="1"/>
  <c r="E61" i="21"/>
  <c r="E61" i="20" s="1"/>
  <c r="S62" i="21" l="1"/>
  <c r="S62" i="20" s="1"/>
  <c r="Q62" i="21"/>
  <c r="Q62" i="20" s="1"/>
  <c r="M62" i="21"/>
  <c r="M62" i="20" s="1"/>
  <c r="B62" i="21"/>
  <c r="D62" i="21"/>
  <c r="D62" i="20" s="1"/>
  <c r="F62" i="21"/>
  <c r="F62" i="20" s="1"/>
  <c r="P62" i="21"/>
  <c r="P62" i="20" s="1"/>
  <c r="G62" i="21"/>
  <c r="G62" i="20" s="1"/>
  <c r="K62" i="21"/>
  <c r="K62" i="20" s="1"/>
  <c r="L62" i="21"/>
  <c r="L62" i="20" s="1"/>
  <c r="O62" i="21"/>
  <c r="O62" i="20" s="1"/>
  <c r="E62" i="21"/>
  <c r="E62" i="20" s="1"/>
  <c r="R62" i="21"/>
  <c r="R62" i="20" s="1"/>
  <c r="N62" i="21"/>
  <c r="N62" i="20" s="1"/>
  <c r="I62" i="21"/>
  <c r="I62" i="20" s="1"/>
  <c r="H62" i="21"/>
  <c r="H62" i="20" s="1"/>
  <c r="J62" i="21"/>
  <c r="J62" i="20" s="1"/>
  <c r="U62" i="21"/>
  <c r="U62" i="20" s="1"/>
  <c r="C62" i="21"/>
  <c r="C62" i="20" s="1"/>
  <c r="T62" i="21"/>
  <c r="T62" i="20" s="1"/>
  <c r="X67" i="21"/>
  <c r="A68" i="21"/>
  <c r="Y67" i="21"/>
  <c r="W60" i="20"/>
  <c r="AA60" i="20"/>
  <c r="AC60" i="20"/>
  <c r="Y60" i="20"/>
  <c r="F19" i="4"/>
  <c r="F36" i="4" s="1"/>
  <c r="A68" i="2"/>
  <c r="AA67" i="2"/>
  <c r="Z67" i="2"/>
  <c r="Z66" i="3"/>
  <c r="AD66" i="3"/>
  <c r="AF66" i="3"/>
  <c r="V61" i="21"/>
  <c r="B61" i="20"/>
  <c r="G64" i="19"/>
  <c r="AB63" i="1"/>
  <c r="D63" i="1" s="1"/>
  <c r="AB64" i="3" s="1"/>
  <c r="AB66" i="19"/>
  <c r="D65" i="19"/>
  <c r="AB64" i="1" l="1"/>
  <c r="D64" i="1" s="1"/>
  <c r="AB65" i="3" s="1"/>
  <c r="AB67" i="19"/>
  <c r="D66" i="19"/>
  <c r="Z67" i="3"/>
  <c r="AD67" i="3"/>
  <c r="AF67" i="3"/>
  <c r="W61" i="20"/>
  <c r="AA61" i="20"/>
  <c r="AC61" i="20"/>
  <c r="Y61" i="20"/>
  <c r="F20" i="4"/>
  <c r="V62" i="21"/>
  <c r="B62" i="20"/>
  <c r="G65" i="19"/>
  <c r="S63" i="21"/>
  <c r="S63" i="20" s="1"/>
  <c r="E63" i="21"/>
  <c r="E63" i="20" s="1"/>
  <c r="B63" i="21"/>
  <c r="C63" i="21"/>
  <c r="C63" i="20" s="1"/>
  <c r="N63" i="21"/>
  <c r="N63" i="20" s="1"/>
  <c r="K63" i="21"/>
  <c r="K63" i="20" s="1"/>
  <c r="Q63" i="21"/>
  <c r="Q63" i="20" s="1"/>
  <c r="G63" i="21"/>
  <c r="G63" i="20" s="1"/>
  <c r="M63" i="21"/>
  <c r="M63" i="20" s="1"/>
  <c r="P63" i="21"/>
  <c r="P63" i="20" s="1"/>
  <c r="T63" i="21"/>
  <c r="T63" i="20" s="1"/>
  <c r="D63" i="21"/>
  <c r="D63" i="20" s="1"/>
  <c r="L63" i="21"/>
  <c r="L63" i="20" s="1"/>
  <c r="U63" i="21"/>
  <c r="U63" i="20" s="1"/>
  <c r="J63" i="21"/>
  <c r="J63" i="20" s="1"/>
  <c r="I63" i="21"/>
  <c r="I63" i="20" s="1"/>
  <c r="F63" i="21"/>
  <c r="F63" i="20" s="1"/>
  <c r="O63" i="21"/>
  <c r="O63" i="20" s="1"/>
  <c r="H63" i="21"/>
  <c r="H63" i="20" s="1"/>
  <c r="R63" i="21"/>
  <c r="R63" i="20" s="1"/>
  <c r="Z68" i="2"/>
  <c r="A69" i="2"/>
  <c r="AA68" i="2"/>
  <c r="X68" i="21"/>
  <c r="Y68" i="21"/>
  <c r="A69" i="21"/>
  <c r="V63" i="21" l="1"/>
  <c r="B63" i="20"/>
  <c r="F25" i="4"/>
  <c r="F35" i="4"/>
  <c r="F38" i="4" s="1"/>
  <c r="Y69" i="21"/>
  <c r="X69" i="21"/>
  <c r="A70" i="21"/>
  <c r="G66" i="19"/>
  <c r="AB65" i="1"/>
  <c r="D65" i="1" s="1"/>
  <c r="AB66" i="3" s="1"/>
  <c r="AB68" i="19"/>
  <c r="D67" i="19"/>
  <c r="L64" i="21"/>
  <c r="L64" i="20" s="1"/>
  <c r="S64" i="21"/>
  <c r="S64" i="20" s="1"/>
  <c r="N64" i="21"/>
  <c r="N64" i="20" s="1"/>
  <c r="T64" i="21"/>
  <c r="T64" i="20" s="1"/>
  <c r="J64" i="21"/>
  <c r="J64" i="20" s="1"/>
  <c r="M64" i="21"/>
  <c r="M64" i="20" s="1"/>
  <c r="B64" i="21"/>
  <c r="G64" i="21"/>
  <c r="G64" i="20" s="1"/>
  <c r="R64" i="21"/>
  <c r="R64" i="20" s="1"/>
  <c r="U64" i="21"/>
  <c r="U64" i="20" s="1"/>
  <c r="H64" i="21"/>
  <c r="H64" i="20" s="1"/>
  <c r="E64" i="21"/>
  <c r="E64" i="20" s="1"/>
  <c r="D64" i="21"/>
  <c r="D64" i="20" s="1"/>
  <c r="F64" i="21"/>
  <c r="F64" i="20" s="1"/>
  <c r="O64" i="21"/>
  <c r="O64" i="20" s="1"/>
  <c r="Q64" i="21"/>
  <c r="Q64" i="20" s="1"/>
  <c r="P64" i="21"/>
  <c r="P64" i="20" s="1"/>
  <c r="I64" i="21"/>
  <c r="I64" i="20" s="1"/>
  <c r="C64" i="21"/>
  <c r="C64" i="20" s="1"/>
  <c r="K64" i="21"/>
  <c r="K64" i="20" s="1"/>
  <c r="Z69" i="2"/>
  <c r="AA69" i="2"/>
  <c r="A70" i="2"/>
  <c r="Z68" i="3"/>
  <c r="AD68" i="3"/>
  <c r="AF68" i="3"/>
  <c r="W62" i="20"/>
  <c r="AA62" i="20"/>
  <c r="AC62" i="20"/>
  <c r="Y62" i="20"/>
  <c r="AB66" i="1" l="1"/>
  <c r="D66" i="1" s="1"/>
  <c r="AB67" i="3" s="1"/>
  <c r="AB69" i="19"/>
  <c r="D68" i="19"/>
  <c r="G67" i="19"/>
  <c r="V64" i="21"/>
  <c r="B64" i="20"/>
  <c r="W63" i="20"/>
  <c r="AA63" i="20"/>
  <c r="AC63" i="20"/>
  <c r="Y63" i="20"/>
  <c r="P65" i="21"/>
  <c r="P65" i="20" s="1"/>
  <c r="D65" i="21"/>
  <c r="D65" i="20" s="1"/>
  <c r="O65" i="21"/>
  <c r="O65" i="20" s="1"/>
  <c r="K65" i="21"/>
  <c r="K65" i="20" s="1"/>
  <c r="I65" i="21"/>
  <c r="I65" i="20" s="1"/>
  <c r="F65" i="21"/>
  <c r="F65" i="20" s="1"/>
  <c r="M65" i="21"/>
  <c r="M65" i="20" s="1"/>
  <c r="G65" i="21"/>
  <c r="G65" i="20" s="1"/>
  <c r="C65" i="21"/>
  <c r="C65" i="20" s="1"/>
  <c r="Q65" i="21"/>
  <c r="Q65" i="20" s="1"/>
  <c r="T65" i="21"/>
  <c r="T65" i="20" s="1"/>
  <c r="H65" i="21"/>
  <c r="H65" i="20" s="1"/>
  <c r="S65" i="21"/>
  <c r="S65" i="20" s="1"/>
  <c r="L65" i="21"/>
  <c r="L65" i="20" s="1"/>
  <c r="R65" i="21"/>
  <c r="R65" i="20" s="1"/>
  <c r="B65" i="21"/>
  <c r="J65" i="21"/>
  <c r="J65" i="20" s="1"/>
  <c r="U65" i="21"/>
  <c r="U65" i="20" s="1"/>
  <c r="N65" i="21"/>
  <c r="N65" i="20" s="1"/>
  <c r="E65" i="21"/>
  <c r="E65" i="20" s="1"/>
  <c r="Z70" i="2"/>
  <c r="AA70" i="2"/>
  <c r="A71" i="2"/>
  <c r="Z69" i="3"/>
  <c r="AA69" i="3" s="1"/>
  <c r="AD69" i="3"/>
  <c r="AE69" i="3" s="1"/>
  <c r="AF69" i="3"/>
  <c r="AG69" i="3" s="1"/>
  <c r="X70" i="21"/>
  <c r="A71" i="21"/>
  <c r="Y70" i="21"/>
  <c r="AB67" i="1" l="1"/>
  <c r="D67" i="1" s="1"/>
  <c r="AB68" i="3" s="1"/>
  <c r="AB70" i="19"/>
  <c r="D69" i="19"/>
  <c r="G68" i="19"/>
  <c r="Z70" i="3"/>
  <c r="AF70" i="3"/>
  <c r="AD70" i="3"/>
  <c r="W64" i="20"/>
  <c r="AA64" i="20"/>
  <c r="AC64" i="20"/>
  <c r="Y64" i="20"/>
  <c r="F66" i="21"/>
  <c r="F66" i="20" s="1"/>
  <c r="C66" i="21"/>
  <c r="C66" i="20" s="1"/>
  <c r="N66" i="21"/>
  <c r="N66" i="20" s="1"/>
  <c r="O66" i="21"/>
  <c r="O66" i="20" s="1"/>
  <c r="J66" i="21"/>
  <c r="J66" i="20" s="1"/>
  <c r="M66" i="21"/>
  <c r="M66" i="20" s="1"/>
  <c r="S66" i="21"/>
  <c r="S66" i="20" s="1"/>
  <c r="L66" i="21"/>
  <c r="L66" i="20" s="1"/>
  <c r="R66" i="21"/>
  <c r="R66" i="20" s="1"/>
  <c r="H66" i="21"/>
  <c r="H66" i="20" s="1"/>
  <c r="P66" i="21"/>
  <c r="P66" i="20" s="1"/>
  <c r="E66" i="21"/>
  <c r="E66" i="20" s="1"/>
  <c r="Q66" i="21"/>
  <c r="Q66" i="20" s="1"/>
  <c r="B66" i="21"/>
  <c r="G66" i="21"/>
  <c r="G66" i="20" s="1"/>
  <c r="U66" i="21"/>
  <c r="U66" i="20" s="1"/>
  <c r="D66" i="21"/>
  <c r="D66" i="20" s="1"/>
  <c r="T66" i="21"/>
  <c r="T66" i="20" s="1"/>
  <c r="K66" i="21"/>
  <c r="K66" i="20" s="1"/>
  <c r="I66" i="21"/>
  <c r="I66" i="20" s="1"/>
  <c r="V65" i="21"/>
  <c r="B65" i="20"/>
  <c r="AA71" i="2"/>
  <c r="Z71" i="2"/>
  <c r="A72" i="2"/>
  <c r="X71" i="21"/>
  <c r="Y71" i="21"/>
  <c r="A72" i="21"/>
  <c r="A73" i="21" l="1"/>
  <c r="X72" i="21"/>
  <c r="Y72" i="21"/>
  <c r="Z72" i="2"/>
  <c r="AA72" i="2"/>
  <c r="A73" i="2"/>
  <c r="AF71" i="3"/>
  <c r="Z71" i="3"/>
  <c r="AD71" i="3"/>
  <c r="G69" i="19"/>
  <c r="V66" i="21"/>
  <c r="B66" i="20"/>
  <c r="AB68" i="1"/>
  <c r="D68" i="1" s="1"/>
  <c r="AB69" i="3" s="1"/>
  <c r="AC69" i="3" s="1"/>
  <c r="AB71" i="19"/>
  <c r="D70" i="19"/>
  <c r="D67" i="21"/>
  <c r="D67" i="20" s="1"/>
  <c r="B67" i="21"/>
  <c r="L67" i="21"/>
  <c r="L67" i="20" s="1"/>
  <c r="Q67" i="21"/>
  <c r="Q67" i="20" s="1"/>
  <c r="S67" i="21"/>
  <c r="S67" i="20" s="1"/>
  <c r="F67" i="21"/>
  <c r="F67" i="20" s="1"/>
  <c r="T67" i="21"/>
  <c r="T67" i="20" s="1"/>
  <c r="I67" i="21"/>
  <c r="I67" i="20" s="1"/>
  <c r="G67" i="21"/>
  <c r="G67" i="20" s="1"/>
  <c r="R67" i="21"/>
  <c r="R67" i="20" s="1"/>
  <c r="E67" i="21"/>
  <c r="E67" i="20" s="1"/>
  <c r="J67" i="21"/>
  <c r="J67" i="20" s="1"/>
  <c r="N67" i="21"/>
  <c r="N67" i="20" s="1"/>
  <c r="M67" i="21"/>
  <c r="M67" i="20" s="1"/>
  <c r="C67" i="21"/>
  <c r="C67" i="20" s="1"/>
  <c r="H67" i="21"/>
  <c r="H67" i="20" s="1"/>
  <c r="U67" i="21"/>
  <c r="U67" i="20" s="1"/>
  <c r="O67" i="21"/>
  <c r="O67" i="20" s="1"/>
  <c r="P67" i="21"/>
  <c r="P67" i="20" s="1"/>
  <c r="K67" i="21"/>
  <c r="K67" i="20" s="1"/>
  <c r="W65" i="20"/>
  <c r="AA65" i="20"/>
  <c r="AC65" i="20"/>
  <c r="Y65" i="20"/>
  <c r="G70" i="19" l="1"/>
  <c r="AF72" i="3"/>
  <c r="Z72" i="3"/>
  <c r="AD72" i="3"/>
  <c r="W66" i="20"/>
  <c r="AA66" i="20"/>
  <c r="AC66" i="20"/>
  <c r="Y66" i="20"/>
  <c r="O68" i="21"/>
  <c r="O68" i="20" s="1"/>
  <c r="E68" i="21"/>
  <c r="E68" i="20" s="1"/>
  <c r="R68" i="21"/>
  <c r="R68" i="20" s="1"/>
  <c r="F68" i="21"/>
  <c r="F68" i="20" s="1"/>
  <c r="G68" i="21"/>
  <c r="G68" i="20" s="1"/>
  <c r="K68" i="21"/>
  <c r="K68" i="20" s="1"/>
  <c r="Q68" i="21"/>
  <c r="Q68" i="20" s="1"/>
  <c r="B68" i="21"/>
  <c r="N68" i="21"/>
  <c r="N68" i="20" s="1"/>
  <c r="U68" i="21"/>
  <c r="U68" i="20" s="1"/>
  <c r="L68" i="21"/>
  <c r="L68" i="20" s="1"/>
  <c r="T68" i="21"/>
  <c r="T68" i="20" s="1"/>
  <c r="C68" i="21"/>
  <c r="C68" i="20" s="1"/>
  <c r="M68" i="21"/>
  <c r="M68" i="20" s="1"/>
  <c r="H68" i="21"/>
  <c r="H68" i="20" s="1"/>
  <c r="I68" i="21"/>
  <c r="I68" i="20" s="1"/>
  <c r="J68" i="21"/>
  <c r="J68" i="20" s="1"/>
  <c r="P68" i="21"/>
  <c r="P68" i="20" s="1"/>
  <c r="D68" i="21"/>
  <c r="D68" i="20" s="1"/>
  <c r="S68" i="21"/>
  <c r="S68" i="20" s="1"/>
  <c r="V67" i="21"/>
  <c r="B67" i="20"/>
  <c r="AB69" i="1"/>
  <c r="D69" i="1" s="1"/>
  <c r="AB70" i="3" s="1"/>
  <c r="D71" i="19"/>
  <c r="AB72" i="19"/>
  <c r="Z73" i="2"/>
  <c r="AA73" i="2"/>
  <c r="A74" i="2"/>
  <c r="Y73" i="21"/>
  <c r="A74" i="21"/>
  <c r="X73" i="21"/>
  <c r="V68" i="21" l="1"/>
  <c r="B68" i="20"/>
  <c r="W67" i="20"/>
  <c r="AA67" i="20"/>
  <c r="AC67" i="20"/>
  <c r="Y67" i="20"/>
  <c r="Z74" i="2"/>
  <c r="A75" i="2"/>
  <c r="AA74" i="2"/>
  <c r="Z73" i="3"/>
  <c r="AD73" i="3"/>
  <c r="AF73" i="3"/>
  <c r="G71" i="19"/>
  <c r="AB70" i="1"/>
  <c r="D70" i="1" s="1"/>
  <c r="AB71" i="3" s="1"/>
  <c r="D72" i="19"/>
  <c r="AB73" i="19"/>
  <c r="T69" i="21"/>
  <c r="T69" i="20" s="1"/>
  <c r="K69" i="21"/>
  <c r="K69" i="20" s="1"/>
  <c r="H69" i="21"/>
  <c r="H69" i="20" s="1"/>
  <c r="U69" i="21"/>
  <c r="U69" i="20" s="1"/>
  <c r="F69" i="21"/>
  <c r="F69" i="20" s="1"/>
  <c r="S69" i="21"/>
  <c r="S69" i="20" s="1"/>
  <c r="I69" i="21"/>
  <c r="I69" i="20" s="1"/>
  <c r="D69" i="21"/>
  <c r="D69" i="20" s="1"/>
  <c r="G69" i="21"/>
  <c r="G69" i="20" s="1"/>
  <c r="E69" i="21"/>
  <c r="E69" i="20" s="1"/>
  <c r="O69" i="21"/>
  <c r="O69" i="20" s="1"/>
  <c r="N69" i="21"/>
  <c r="N69" i="20" s="1"/>
  <c r="J69" i="21"/>
  <c r="J69" i="20" s="1"/>
  <c r="B69" i="21"/>
  <c r="L69" i="21"/>
  <c r="L69" i="20" s="1"/>
  <c r="P69" i="21"/>
  <c r="P69" i="20" s="1"/>
  <c r="C69" i="21"/>
  <c r="C69" i="20" s="1"/>
  <c r="R69" i="21"/>
  <c r="R69" i="20" s="1"/>
  <c r="Q69" i="21"/>
  <c r="Q69" i="20" s="1"/>
  <c r="M69" i="21"/>
  <c r="M69" i="20" s="1"/>
  <c r="X74" i="21"/>
  <c r="Y74" i="21"/>
  <c r="A75" i="21"/>
  <c r="I70" i="21" l="1"/>
  <c r="I70" i="20" s="1"/>
  <c r="G70" i="21"/>
  <c r="G70" i="20" s="1"/>
  <c r="F70" i="21"/>
  <c r="F70" i="20" s="1"/>
  <c r="C70" i="21"/>
  <c r="C70" i="20" s="1"/>
  <c r="R70" i="21"/>
  <c r="R70" i="20" s="1"/>
  <c r="P70" i="21"/>
  <c r="P70" i="20" s="1"/>
  <c r="L70" i="21"/>
  <c r="L70" i="20" s="1"/>
  <c r="K70" i="21"/>
  <c r="K70" i="20" s="1"/>
  <c r="E70" i="21"/>
  <c r="E70" i="20" s="1"/>
  <c r="D70" i="21"/>
  <c r="D70" i="20" s="1"/>
  <c r="H70" i="21"/>
  <c r="H70" i="20" s="1"/>
  <c r="B70" i="21"/>
  <c r="Q70" i="21"/>
  <c r="Q70" i="20" s="1"/>
  <c r="J70" i="21"/>
  <c r="J70" i="20" s="1"/>
  <c r="S70" i="21"/>
  <c r="S70" i="20" s="1"/>
  <c r="M70" i="21"/>
  <c r="M70" i="20" s="1"/>
  <c r="T70" i="21"/>
  <c r="T70" i="20" s="1"/>
  <c r="N70" i="21"/>
  <c r="N70" i="20" s="1"/>
  <c r="U70" i="21"/>
  <c r="U70" i="20" s="1"/>
  <c r="O70" i="21"/>
  <c r="O70" i="20" s="1"/>
  <c r="V69" i="20"/>
  <c r="G8" i="4" s="1"/>
  <c r="AB71" i="1"/>
  <c r="D71" i="1" s="1"/>
  <c r="AB72" i="3" s="1"/>
  <c r="AB74" i="19"/>
  <c r="D73" i="19"/>
  <c r="W68" i="20"/>
  <c r="AA68" i="20"/>
  <c r="AC68" i="20"/>
  <c r="Y68" i="20"/>
  <c r="X75" i="21"/>
  <c r="A76" i="21"/>
  <c r="Y75" i="21"/>
  <c r="G72" i="19"/>
  <c r="Z75" i="2"/>
  <c r="AA75" i="2"/>
  <c r="A76" i="2"/>
  <c r="Z74" i="3"/>
  <c r="AD74" i="3"/>
  <c r="AF74" i="3"/>
  <c r="V69" i="21"/>
  <c r="B69" i="20"/>
  <c r="W69" i="20" l="1"/>
  <c r="X69" i="20" s="1"/>
  <c r="G9" i="4" s="1"/>
  <c r="AA69" i="20"/>
  <c r="AB69" i="20" s="1"/>
  <c r="AC69" i="20"/>
  <c r="AD69" i="20" s="1"/>
  <c r="W69" i="21"/>
  <c r="G83" i="4" s="1"/>
  <c r="Y69" i="20"/>
  <c r="Z69" i="20" s="1"/>
  <c r="G10" i="4" s="1"/>
  <c r="U71" i="21"/>
  <c r="U71" i="20" s="1"/>
  <c r="L71" i="21"/>
  <c r="L71" i="20" s="1"/>
  <c r="D71" i="21"/>
  <c r="D71" i="20" s="1"/>
  <c r="J71" i="21"/>
  <c r="J71" i="20" s="1"/>
  <c r="B71" i="21"/>
  <c r="S71" i="21"/>
  <c r="S71" i="20" s="1"/>
  <c r="G71" i="21"/>
  <c r="G71" i="20" s="1"/>
  <c r="F71" i="21"/>
  <c r="F71" i="20" s="1"/>
  <c r="T71" i="21"/>
  <c r="T71" i="20" s="1"/>
  <c r="C71" i="21"/>
  <c r="C71" i="20" s="1"/>
  <c r="M71" i="21"/>
  <c r="M71" i="20" s="1"/>
  <c r="R71" i="21"/>
  <c r="R71" i="20" s="1"/>
  <c r="N71" i="21"/>
  <c r="N71" i="20" s="1"/>
  <c r="O71" i="21"/>
  <c r="O71" i="20" s="1"/>
  <c r="I71" i="21"/>
  <c r="I71" i="20" s="1"/>
  <c r="E71" i="21"/>
  <c r="E71" i="20" s="1"/>
  <c r="K71" i="21"/>
  <c r="K71" i="20" s="1"/>
  <c r="H71" i="21"/>
  <c r="H71" i="20" s="1"/>
  <c r="Q71" i="21"/>
  <c r="Q71" i="20" s="1"/>
  <c r="P71" i="21"/>
  <c r="P71" i="20" s="1"/>
  <c r="G73" i="19"/>
  <c r="AB72" i="1"/>
  <c r="D72" i="1" s="1"/>
  <c r="AB73" i="3" s="1"/>
  <c r="AB75" i="19"/>
  <c r="D74" i="19"/>
  <c r="X76" i="21"/>
  <c r="Y76" i="21"/>
  <c r="A77" i="21"/>
  <c r="Z75" i="3"/>
  <c r="AD75" i="3"/>
  <c r="AF75" i="3"/>
  <c r="V70" i="21"/>
  <c r="B70" i="20"/>
  <c r="A77" i="2"/>
  <c r="Z76" i="2"/>
  <c r="AA76" i="2"/>
  <c r="AC70" i="20" l="1"/>
  <c r="AA70" i="20"/>
  <c r="W70" i="20"/>
  <c r="Y70" i="20"/>
  <c r="AA77" i="2"/>
  <c r="A78" i="2"/>
  <c r="Z77" i="2"/>
  <c r="X77" i="21"/>
  <c r="Y77" i="21"/>
  <c r="A78" i="21"/>
  <c r="G74" i="19"/>
  <c r="AB73" i="1"/>
  <c r="D73" i="1" s="1"/>
  <c r="AB74" i="3" s="1"/>
  <c r="D75" i="19"/>
  <c r="AB76" i="19"/>
  <c r="G87" i="4"/>
  <c r="G92" i="4"/>
  <c r="G91" i="4"/>
  <c r="G82" i="4"/>
  <c r="G93" i="4"/>
  <c r="G94" i="4"/>
  <c r="G95" i="4"/>
  <c r="G85" i="4"/>
  <c r="G86" i="4"/>
  <c r="G88" i="4"/>
  <c r="Z76" i="3"/>
  <c r="AF76" i="3"/>
  <c r="AD76" i="3"/>
  <c r="K72" i="21"/>
  <c r="K72" i="20" s="1"/>
  <c r="U72" i="21"/>
  <c r="U72" i="20" s="1"/>
  <c r="D72" i="21"/>
  <c r="D72" i="20" s="1"/>
  <c r="J72" i="21"/>
  <c r="J72" i="20" s="1"/>
  <c r="S72" i="21"/>
  <c r="S72" i="20" s="1"/>
  <c r="Q72" i="21"/>
  <c r="Q72" i="20" s="1"/>
  <c r="B72" i="21"/>
  <c r="T72" i="21"/>
  <c r="T72" i="20" s="1"/>
  <c r="I72" i="21"/>
  <c r="I72" i="20" s="1"/>
  <c r="L72" i="21"/>
  <c r="L72" i="20" s="1"/>
  <c r="H72" i="21"/>
  <c r="H72" i="20" s="1"/>
  <c r="R72" i="21"/>
  <c r="R72" i="20" s="1"/>
  <c r="E72" i="21"/>
  <c r="E72" i="20" s="1"/>
  <c r="M72" i="21"/>
  <c r="M72" i="20" s="1"/>
  <c r="N72" i="21"/>
  <c r="N72" i="20" s="1"/>
  <c r="F72" i="21"/>
  <c r="F72" i="20" s="1"/>
  <c r="O72" i="21"/>
  <c r="O72" i="20" s="1"/>
  <c r="G72" i="21"/>
  <c r="G72" i="20" s="1"/>
  <c r="C72" i="21"/>
  <c r="C72" i="20" s="1"/>
  <c r="P72" i="21"/>
  <c r="P72" i="20" s="1"/>
  <c r="V71" i="21"/>
  <c r="B71" i="20"/>
  <c r="G11" i="4"/>
  <c r="G12" i="4"/>
  <c r="G13" i="4" s="1"/>
  <c r="G17" i="4" s="1"/>
  <c r="G19" i="4" l="1"/>
  <c r="G36" i="4" s="1"/>
  <c r="G89" i="4"/>
  <c r="Z77" i="3"/>
  <c r="AF77" i="3"/>
  <c r="AD77" i="3"/>
  <c r="V72" i="21"/>
  <c r="B72" i="20"/>
  <c r="D73" i="21"/>
  <c r="D73" i="20" s="1"/>
  <c r="E73" i="21"/>
  <c r="E73" i="20" s="1"/>
  <c r="F73" i="21"/>
  <c r="F73" i="20" s="1"/>
  <c r="R73" i="21"/>
  <c r="R73" i="20" s="1"/>
  <c r="I73" i="21"/>
  <c r="I73" i="20" s="1"/>
  <c r="P73" i="21"/>
  <c r="P73" i="20" s="1"/>
  <c r="C73" i="21"/>
  <c r="C73" i="20" s="1"/>
  <c r="O73" i="21"/>
  <c r="O73" i="20" s="1"/>
  <c r="J73" i="21"/>
  <c r="J73" i="20" s="1"/>
  <c r="H73" i="21"/>
  <c r="H73" i="20" s="1"/>
  <c r="S73" i="21"/>
  <c r="S73" i="20" s="1"/>
  <c r="M73" i="21"/>
  <c r="M73" i="20" s="1"/>
  <c r="Q73" i="21"/>
  <c r="Q73" i="20" s="1"/>
  <c r="U73" i="21"/>
  <c r="U73" i="20" s="1"/>
  <c r="N73" i="21"/>
  <c r="N73" i="20" s="1"/>
  <c r="B73" i="21"/>
  <c r="K73" i="21"/>
  <c r="K73" i="20" s="1"/>
  <c r="T73" i="21"/>
  <c r="T73" i="20" s="1"/>
  <c r="G73" i="21"/>
  <c r="G73" i="20" s="1"/>
  <c r="L73" i="21"/>
  <c r="L73" i="20" s="1"/>
  <c r="X78" i="21"/>
  <c r="Y78" i="21"/>
  <c r="A79" i="21"/>
  <c r="D76" i="19"/>
  <c r="AB74" i="1"/>
  <c r="D74" i="1" s="1"/>
  <c r="AB75" i="3" s="1"/>
  <c r="AB77" i="19"/>
  <c r="W71" i="20"/>
  <c r="AC71" i="20"/>
  <c r="AA71" i="20"/>
  <c r="Y71" i="20"/>
  <c r="G75" i="19"/>
  <c r="Z78" i="2"/>
  <c r="A79" i="2"/>
  <c r="AA78" i="2"/>
  <c r="Z78" i="3" l="1"/>
  <c r="AF78" i="3"/>
  <c r="AD78" i="3"/>
  <c r="W72" i="20"/>
  <c r="AC72" i="20"/>
  <c r="AA72" i="20"/>
  <c r="Y72" i="20"/>
  <c r="Z79" i="2"/>
  <c r="AA79" i="2"/>
  <c r="A80" i="2"/>
  <c r="E74" i="21"/>
  <c r="E74" i="20" s="1"/>
  <c r="B74" i="21"/>
  <c r="P74" i="21"/>
  <c r="P74" i="20" s="1"/>
  <c r="F74" i="21"/>
  <c r="F74" i="20" s="1"/>
  <c r="N74" i="21"/>
  <c r="N74" i="20" s="1"/>
  <c r="L74" i="21"/>
  <c r="L74" i="20" s="1"/>
  <c r="T74" i="21"/>
  <c r="T74" i="20" s="1"/>
  <c r="J74" i="21"/>
  <c r="J74" i="20" s="1"/>
  <c r="G74" i="21"/>
  <c r="G74" i="20" s="1"/>
  <c r="U74" i="21"/>
  <c r="U74" i="20" s="1"/>
  <c r="H74" i="21"/>
  <c r="H74" i="20" s="1"/>
  <c r="O74" i="21"/>
  <c r="O74" i="20" s="1"/>
  <c r="K74" i="21"/>
  <c r="K74" i="20" s="1"/>
  <c r="D74" i="21"/>
  <c r="D74" i="20" s="1"/>
  <c r="M74" i="21"/>
  <c r="M74" i="20" s="1"/>
  <c r="C74" i="21"/>
  <c r="C74" i="20" s="1"/>
  <c r="I74" i="21"/>
  <c r="I74" i="20" s="1"/>
  <c r="S74" i="21"/>
  <c r="S74" i="20" s="1"/>
  <c r="R74" i="21"/>
  <c r="R74" i="20" s="1"/>
  <c r="Q74" i="21"/>
  <c r="Q74" i="20" s="1"/>
  <c r="G76" i="19"/>
  <c r="X79" i="21"/>
  <c r="A80" i="21"/>
  <c r="Y79" i="21"/>
  <c r="V73" i="21"/>
  <c r="B73" i="20"/>
  <c r="G20" i="4"/>
  <c r="AB75" i="1"/>
  <c r="D75" i="1" s="1"/>
  <c r="AB76" i="3" s="1"/>
  <c r="D77" i="19"/>
  <c r="AB78" i="19"/>
  <c r="V74" i="21" l="1"/>
  <c r="B74" i="20"/>
  <c r="G35" i="4"/>
  <c r="G38" i="4" s="1"/>
  <c r="G25" i="4"/>
  <c r="W73" i="20"/>
  <c r="AC73" i="20"/>
  <c r="AA73" i="20"/>
  <c r="Y73" i="20"/>
  <c r="X80" i="21"/>
  <c r="Y80" i="21"/>
  <c r="A81" i="21"/>
  <c r="A81" i="2"/>
  <c r="Z80" i="2"/>
  <c r="AA80" i="2"/>
  <c r="H75" i="21"/>
  <c r="H75" i="20" s="1"/>
  <c r="D75" i="21"/>
  <c r="D75" i="20" s="1"/>
  <c r="F75" i="21"/>
  <c r="F75" i="20" s="1"/>
  <c r="T75" i="21"/>
  <c r="T75" i="20" s="1"/>
  <c r="G75" i="21"/>
  <c r="G75" i="20" s="1"/>
  <c r="R75" i="21"/>
  <c r="R75" i="20" s="1"/>
  <c r="I75" i="21"/>
  <c r="I75" i="20" s="1"/>
  <c r="N75" i="21"/>
  <c r="N75" i="20" s="1"/>
  <c r="K75" i="21"/>
  <c r="K75" i="20" s="1"/>
  <c r="O75" i="21"/>
  <c r="O75" i="20" s="1"/>
  <c r="B75" i="21"/>
  <c r="P75" i="21"/>
  <c r="P75" i="20" s="1"/>
  <c r="J75" i="21"/>
  <c r="J75" i="20" s="1"/>
  <c r="S75" i="21"/>
  <c r="S75" i="20" s="1"/>
  <c r="C75" i="21"/>
  <c r="C75" i="20" s="1"/>
  <c r="L75" i="21"/>
  <c r="L75" i="20" s="1"/>
  <c r="E75" i="21"/>
  <c r="E75" i="20" s="1"/>
  <c r="Q75" i="21"/>
  <c r="Q75" i="20" s="1"/>
  <c r="M75" i="21"/>
  <c r="M75" i="20" s="1"/>
  <c r="U75" i="21"/>
  <c r="U75" i="20" s="1"/>
  <c r="AB76" i="1"/>
  <c r="D76" i="1" s="1"/>
  <c r="AB77" i="3" s="1"/>
  <c r="D78" i="19"/>
  <c r="AB79" i="19"/>
  <c r="Z79" i="3"/>
  <c r="AF79" i="3"/>
  <c r="AD79" i="3"/>
  <c r="G77" i="19"/>
  <c r="G78" i="19" l="1"/>
  <c r="X81" i="21"/>
  <c r="Y81" i="21"/>
  <c r="A82" i="21"/>
  <c r="Z81" i="2"/>
  <c r="AA81" i="2"/>
  <c r="A82" i="2"/>
  <c r="C76" i="21"/>
  <c r="C76" i="20" s="1"/>
  <c r="U76" i="21"/>
  <c r="U76" i="20" s="1"/>
  <c r="F76" i="21"/>
  <c r="F76" i="20" s="1"/>
  <c r="Q76" i="21"/>
  <c r="Q76" i="20" s="1"/>
  <c r="K76" i="21"/>
  <c r="K76" i="20" s="1"/>
  <c r="S76" i="21"/>
  <c r="S76" i="20" s="1"/>
  <c r="I76" i="21"/>
  <c r="I76" i="20" s="1"/>
  <c r="E76" i="21"/>
  <c r="E76" i="20" s="1"/>
  <c r="B76" i="21"/>
  <c r="L76" i="21"/>
  <c r="L76" i="20" s="1"/>
  <c r="M76" i="21"/>
  <c r="M76" i="20" s="1"/>
  <c r="G76" i="21"/>
  <c r="G76" i="20" s="1"/>
  <c r="D76" i="21"/>
  <c r="D76" i="20" s="1"/>
  <c r="O76" i="21"/>
  <c r="O76" i="20" s="1"/>
  <c r="N76" i="21"/>
  <c r="N76" i="20" s="1"/>
  <c r="H76" i="21"/>
  <c r="H76" i="20" s="1"/>
  <c r="R76" i="21"/>
  <c r="R76" i="20" s="1"/>
  <c r="T76" i="21"/>
  <c r="T76" i="20" s="1"/>
  <c r="J76" i="21"/>
  <c r="J76" i="20" s="1"/>
  <c r="P76" i="21"/>
  <c r="P76" i="20" s="1"/>
  <c r="V75" i="21"/>
  <c r="B75" i="20"/>
  <c r="W74" i="20"/>
  <c r="AC74" i="20"/>
  <c r="AA74" i="20"/>
  <c r="Y74" i="20"/>
  <c r="AB77" i="1"/>
  <c r="D77" i="1" s="1"/>
  <c r="AB78" i="3" s="1"/>
  <c r="D79" i="19"/>
  <c r="AB80" i="19"/>
  <c r="Z80" i="3"/>
  <c r="AF80" i="3"/>
  <c r="AD80" i="3"/>
  <c r="X82" i="21" l="1"/>
  <c r="Y82" i="21"/>
  <c r="A83" i="21"/>
  <c r="V76" i="21"/>
  <c r="B76" i="20"/>
  <c r="Z82" i="2"/>
  <c r="AA82" i="2"/>
  <c r="A83" i="2"/>
  <c r="AB78" i="1"/>
  <c r="D78" i="1" s="1"/>
  <c r="AB79" i="3" s="1"/>
  <c r="D80" i="19"/>
  <c r="AB81" i="19"/>
  <c r="Z81" i="3"/>
  <c r="AA81" i="3" s="1"/>
  <c r="AF81" i="3"/>
  <c r="AG81" i="3" s="1"/>
  <c r="AD81" i="3"/>
  <c r="AE81" i="3" s="1"/>
  <c r="G79" i="19"/>
  <c r="W75" i="20"/>
  <c r="AC75" i="20"/>
  <c r="AA75" i="20"/>
  <c r="Y75" i="20"/>
  <c r="E77" i="21"/>
  <c r="E77" i="20" s="1"/>
  <c r="H77" i="21"/>
  <c r="H77" i="20" s="1"/>
  <c r="R77" i="21"/>
  <c r="R77" i="20" s="1"/>
  <c r="M77" i="21"/>
  <c r="M77" i="20" s="1"/>
  <c r="N77" i="21"/>
  <c r="N77" i="20" s="1"/>
  <c r="G77" i="21"/>
  <c r="G77" i="20" s="1"/>
  <c r="P77" i="21"/>
  <c r="P77" i="20" s="1"/>
  <c r="I77" i="21"/>
  <c r="I77" i="20" s="1"/>
  <c r="L77" i="21"/>
  <c r="L77" i="20" s="1"/>
  <c r="U77" i="21"/>
  <c r="U77" i="20" s="1"/>
  <c r="F77" i="21"/>
  <c r="F77" i="20" s="1"/>
  <c r="O77" i="21"/>
  <c r="O77" i="20" s="1"/>
  <c r="J77" i="21"/>
  <c r="J77" i="20" s="1"/>
  <c r="C77" i="21"/>
  <c r="C77" i="20" s="1"/>
  <c r="K77" i="21"/>
  <c r="K77" i="20" s="1"/>
  <c r="D77" i="21"/>
  <c r="D77" i="20" s="1"/>
  <c r="Q77" i="21"/>
  <c r="Q77" i="20" s="1"/>
  <c r="S77" i="21"/>
  <c r="S77" i="20" s="1"/>
  <c r="T77" i="21"/>
  <c r="T77" i="20" s="1"/>
  <c r="B77" i="21"/>
  <c r="V77" i="21" l="1"/>
  <c r="B77" i="20"/>
  <c r="AF82" i="3"/>
  <c r="Z82" i="3"/>
  <c r="AD82" i="3"/>
  <c r="Z83" i="2"/>
  <c r="AA83" i="2"/>
  <c r="A84" i="2"/>
  <c r="G78" i="21"/>
  <c r="G78" i="20" s="1"/>
  <c r="S78" i="21"/>
  <c r="S78" i="20" s="1"/>
  <c r="Q78" i="21"/>
  <c r="Q78" i="20" s="1"/>
  <c r="F78" i="21"/>
  <c r="F78" i="20" s="1"/>
  <c r="P78" i="21"/>
  <c r="P78" i="20" s="1"/>
  <c r="O78" i="21"/>
  <c r="O78" i="20" s="1"/>
  <c r="I78" i="21"/>
  <c r="I78" i="20" s="1"/>
  <c r="T78" i="21"/>
  <c r="T78" i="20" s="1"/>
  <c r="B78" i="21"/>
  <c r="C78" i="21"/>
  <c r="C78" i="20" s="1"/>
  <c r="U78" i="21"/>
  <c r="U78" i="20" s="1"/>
  <c r="J78" i="21"/>
  <c r="J78" i="20" s="1"/>
  <c r="H78" i="21"/>
  <c r="H78" i="20" s="1"/>
  <c r="K78" i="21"/>
  <c r="K78" i="20" s="1"/>
  <c r="N78" i="21"/>
  <c r="N78" i="20" s="1"/>
  <c r="E78" i="21"/>
  <c r="E78" i="20" s="1"/>
  <c r="M78" i="21"/>
  <c r="M78" i="20" s="1"/>
  <c r="L78" i="21"/>
  <c r="L78" i="20" s="1"/>
  <c r="D78" i="21"/>
  <c r="D78" i="20" s="1"/>
  <c r="R78" i="21"/>
  <c r="R78" i="20" s="1"/>
  <c r="AB79" i="1"/>
  <c r="D79" i="1" s="1"/>
  <c r="AB80" i="3" s="1"/>
  <c r="AB82" i="19"/>
  <c r="D81" i="19"/>
  <c r="Y83" i="21"/>
  <c r="A84" i="21"/>
  <c r="X83" i="21"/>
  <c r="G80" i="19"/>
  <c r="W76" i="20"/>
  <c r="AC76" i="20"/>
  <c r="AA76" i="20"/>
  <c r="Y76" i="20"/>
  <c r="Z84" i="2" l="1"/>
  <c r="AA84" i="2"/>
  <c r="A85" i="2"/>
  <c r="G81" i="19"/>
  <c r="Z83" i="3"/>
  <c r="AF83" i="3"/>
  <c r="AD83" i="3"/>
  <c r="AB80" i="1"/>
  <c r="D80" i="1" s="1"/>
  <c r="AB81" i="3" s="1"/>
  <c r="AC81" i="3" s="1"/>
  <c r="AB83" i="19"/>
  <c r="D82" i="19"/>
  <c r="M79" i="21"/>
  <c r="M79" i="20" s="1"/>
  <c r="C79" i="21"/>
  <c r="C79" i="20" s="1"/>
  <c r="U79" i="21"/>
  <c r="U79" i="20" s="1"/>
  <c r="F79" i="21"/>
  <c r="F79" i="20" s="1"/>
  <c r="H79" i="21"/>
  <c r="H79" i="20" s="1"/>
  <c r="G79" i="21"/>
  <c r="G79" i="20" s="1"/>
  <c r="K79" i="21"/>
  <c r="K79" i="20" s="1"/>
  <c r="R79" i="21"/>
  <c r="R79" i="20" s="1"/>
  <c r="J79" i="21"/>
  <c r="J79" i="20" s="1"/>
  <c r="B79" i="21"/>
  <c r="T79" i="21"/>
  <c r="T79" i="20" s="1"/>
  <c r="Q79" i="21"/>
  <c r="Q79" i="20" s="1"/>
  <c r="S79" i="21"/>
  <c r="S79" i="20" s="1"/>
  <c r="L79" i="21"/>
  <c r="L79" i="20" s="1"/>
  <c r="D79" i="21"/>
  <c r="D79" i="20" s="1"/>
  <c r="O79" i="21"/>
  <c r="O79" i="20" s="1"/>
  <c r="P79" i="21"/>
  <c r="P79" i="20" s="1"/>
  <c r="I79" i="21"/>
  <c r="I79" i="20" s="1"/>
  <c r="E79" i="21"/>
  <c r="E79" i="20" s="1"/>
  <c r="N79" i="21"/>
  <c r="N79" i="20" s="1"/>
  <c r="X84" i="21"/>
  <c r="A85" i="21"/>
  <c r="Y84" i="21"/>
  <c r="V78" i="21"/>
  <c r="B78" i="20"/>
  <c r="W77" i="20"/>
  <c r="AC77" i="20"/>
  <c r="AA77" i="20"/>
  <c r="Y77" i="20"/>
  <c r="W78" i="20" l="1"/>
  <c r="AC78" i="20"/>
  <c r="AA78" i="20"/>
  <c r="Y78" i="20"/>
  <c r="N80" i="21"/>
  <c r="N80" i="20" s="1"/>
  <c r="D80" i="21"/>
  <c r="D80" i="20" s="1"/>
  <c r="J80" i="21"/>
  <c r="J80" i="20" s="1"/>
  <c r="Q80" i="21"/>
  <c r="Q80" i="20" s="1"/>
  <c r="R80" i="21"/>
  <c r="R80" i="20" s="1"/>
  <c r="E80" i="21"/>
  <c r="E80" i="20" s="1"/>
  <c r="I80" i="21"/>
  <c r="I80" i="20" s="1"/>
  <c r="L80" i="21"/>
  <c r="L80" i="20" s="1"/>
  <c r="S80" i="21"/>
  <c r="S80" i="20" s="1"/>
  <c r="B80" i="21"/>
  <c r="T80" i="21"/>
  <c r="T80" i="20" s="1"/>
  <c r="G80" i="21"/>
  <c r="G80" i="20" s="1"/>
  <c r="M80" i="21"/>
  <c r="M80" i="20" s="1"/>
  <c r="C80" i="21"/>
  <c r="C80" i="20" s="1"/>
  <c r="F80" i="21"/>
  <c r="F80" i="20" s="1"/>
  <c r="K80" i="21"/>
  <c r="K80" i="20" s="1"/>
  <c r="O80" i="21"/>
  <c r="O80" i="20" s="1"/>
  <c r="U80" i="21"/>
  <c r="U80" i="20" s="1"/>
  <c r="P80" i="21"/>
  <c r="P80" i="20" s="1"/>
  <c r="H80" i="21"/>
  <c r="H80" i="20" s="1"/>
  <c r="X85" i="21"/>
  <c r="Y85" i="21"/>
  <c r="A86" i="21"/>
  <c r="G82" i="19"/>
  <c r="Z85" i="2"/>
  <c r="AA85" i="2"/>
  <c r="A86" i="2"/>
  <c r="V79" i="21"/>
  <c r="B79" i="20"/>
  <c r="AB81" i="1"/>
  <c r="D81" i="1" s="1"/>
  <c r="AB82" i="3" s="1"/>
  <c r="AB84" i="19"/>
  <c r="D83" i="19"/>
  <c r="Z84" i="3"/>
  <c r="AF84" i="3"/>
  <c r="AD84" i="3"/>
  <c r="G83" i="19" l="1"/>
  <c r="Z85" i="3"/>
  <c r="AF85" i="3"/>
  <c r="AD85" i="3"/>
  <c r="V80" i="21"/>
  <c r="B80" i="20"/>
  <c r="AB82" i="1"/>
  <c r="D82" i="1" s="1"/>
  <c r="AB83" i="3" s="1"/>
  <c r="D84" i="19"/>
  <c r="AB85" i="19"/>
  <c r="K81" i="21"/>
  <c r="K81" i="20" s="1"/>
  <c r="D81" i="21"/>
  <c r="D81" i="20" s="1"/>
  <c r="S81" i="21"/>
  <c r="S81" i="20" s="1"/>
  <c r="B81" i="21"/>
  <c r="Q81" i="21"/>
  <c r="Q81" i="20" s="1"/>
  <c r="L81" i="21"/>
  <c r="L81" i="20" s="1"/>
  <c r="P81" i="21"/>
  <c r="P81" i="20" s="1"/>
  <c r="F81" i="21"/>
  <c r="F81" i="20" s="1"/>
  <c r="G81" i="21"/>
  <c r="G81" i="20" s="1"/>
  <c r="M81" i="21"/>
  <c r="M81" i="20" s="1"/>
  <c r="U81" i="21"/>
  <c r="U81" i="20" s="1"/>
  <c r="I81" i="21"/>
  <c r="I81" i="20" s="1"/>
  <c r="C81" i="21"/>
  <c r="C81" i="20" s="1"/>
  <c r="R81" i="21"/>
  <c r="R81" i="20" s="1"/>
  <c r="H81" i="21"/>
  <c r="H81" i="20" s="1"/>
  <c r="O81" i="21"/>
  <c r="O81" i="20" s="1"/>
  <c r="E81" i="21"/>
  <c r="E81" i="20" s="1"/>
  <c r="J81" i="21"/>
  <c r="J81" i="20" s="1"/>
  <c r="T81" i="21"/>
  <c r="T81" i="20" s="1"/>
  <c r="N81" i="21"/>
  <c r="N81" i="20" s="1"/>
  <c r="W79" i="20"/>
  <c r="AC79" i="20"/>
  <c r="AA79" i="20"/>
  <c r="Y79" i="20"/>
  <c r="X86" i="21"/>
  <c r="Y86" i="21"/>
  <c r="A87" i="21"/>
  <c r="Z86" i="2"/>
  <c r="AA86" i="2"/>
  <c r="A87" i="2"/>
  <c r="AB83" i="1" l="1"/>
  <c r="D83" i="1" s="1"/>
  <c r="AB84" i="3" s="1"/>
  <c r="D85" i="19"/>
  <c r="AB86" i="19"/>
  <c r="G84" i="19"/>
  <c r="F82" i="21"/>
  <c r="F82" i="20" s="1"/>
  <c r="D82" i="21"/>
  <c r="D82" i="20" s="1"/>
  <c r="N82" i="21"/>
  <c r="N82" i="20" s="1"/>
  <c r="L82" i="21"/>
  <c r="L82" i="20" s="1"/>
  <c r="B82" i="21"/>
  <c r="T82" i="21"/>
  <c r="T82" i="20" s="1"/>
  <c r="E82" i="21"/>
  <c r="E82" i="20" s="1"/>
  <c r="M82" i="21"/>
  <c r="M82" i="20" s="1"/>
  <c r="U82" i="21"/>
  <c r="U82" i="20" s="1"/>
  <c r="I82" i="21"/>
  <c r="I82" i="20" s="1"/>
  <c r="H82" i="21"/>
  <c r="H82" i="20" s="1"/>
  <c r="K82" i="21"/>
  <c r="K82" i="20" s="1"/>
  <c r="G82" i="21"/>
  <c r="G82" i="20" s="1"/>
  <c r="C82" i="21"/>
  <c r="C82" i="20" s="1"/>
  <c r="P82" i="21"/>
  <c r="P82" i="20" s="1"/>
  <c r="O82" i="21"/>
  <c r="O82" i="20" s="1"/>
  <c r="J82" i="21"/>
  <c r="J82" i="20" s="1"/>
  <c r="R82" i="21"/>
  <c r="R82" i="20" s="1"/>
  <c r="Q82" i="21"/>
  <c r="Q82" i="20" s="1"/>
  <c r="S82" i="21"/>
  <c r="S82" i="20" s="1"/>
  <c r="V81" i="21"/>
  <c r="B81" i="20"/>
  <c r="V81" i="20" s="1"/>
  <c r="H8" i="4" s="1"/>
  <c r="W80" i="20"/>
  <c r="AC80" i="20"/>
  <c r="AA80" i="20"/>
  <c r="Y80" i="20"/>
  <c r="Z87" i="2"/>
  <c r="AA87" i="2"/>
  <c r="A88" i="2"/>
  <c r="Z86" i="3"/>
  <c r="AF86" i="3"/>
  <c r="AD86" i="3"/>
  <c r="Y87" i="21"/>
  <c r="A88" i="21"/>
  <c r="X87" i="21"/>
  <c r="AB84" i="1" l="1"/>
  <c r="D84" i="1" s="1"/>
  <c r="AB85" i="3" s="1"/>
  <c r="AB87" i="19"/>
  <c r="D86" i="19"/>
  <c r="W81" i="20"/>
  <c r="X81" i="20" s="1"/>
  <c r="H9" i="4" s="1"/>
  <c r="AC81" i="20"/>
  <c r="AD81" i="20" s="1"/>
  <c r="AA81" i="20"/>
  <c r="AB81" i="20" s="1"/>
  <c r="W81" i="21"/>
  <c r="H83" i="4" s="1"/>
  <c r="Y81" i="20"/>
  <c r="Z81" i="20" s="1"/>
  <c r="H10" i="4" s="1"/>
  <c r="V82" i="21"/>
  <c r="B82" i="20"/>
  <c r="G85" i="19"/>
  <c r="A89" i="21"/>
  <c r="Y88" i="21"/>
  <c r="X88" i="21"/>
  <c r="F83" i="21"/>
  <c r="F83" i="20" s="1"/>
  <c r="J83" i="21"/>
  <c r="J83" i="20" s="1"/>
  <c r="Q83" i="21"/>
  <c r="Q83" i="20" s="1"/>
  <c r="H83" i="21"/>
  <c r="H83" i="20" s="1"/>
  <c r="C83" i="21"/>
  <c r="C83" i="20" s="1"/>
  <c r="N83" i="21"/>
  <c r="N83" i="20" s="1"/>
  <c r="R83" i="21"/>
  <c r="R83" i="20" s="1"/>
  <c r="G83" i="21"/>
  <c r="G83" i="20" s="1"/>
  <c r="D83" i="21"/>
  <c r="D83" i="20" s="1"/>
  <c r="S83" i="21"/>
  <c r="S83" i="20" s="1"/>
  <c r="M83" i="21"/>
  <c r="M83" i="20" s="1"/>
  <c r="E83" i="21"/>
  <c r="E83" i="20" s="1"/>
  <c r="O83" i="21"/>
  <c r="O83" i="20" s="1"/>
  <c r="L83" i="21"/>
  <c r="L83" i="20" s="1"/>
  <c r="K83" i="21"/>
  <c r="K83" i="20" s="1"/>
  <c r="T83" i="21"/>
  <c r="T83" i="20" s="1"/>
  <c r="U83" i="21"/>
  <c r="U83" i="20" s="1"/>
  <c r="P83" i="21"/>
  <c r="P83" i="20" s="1"/>
  <c r="B83" i="21"/>
  <c r="I83" i="21"/>
  <c r="I83" i="20" s="1"/>
  <c r="Z88" i="2"/>
  <c r="AA88" i="2"/>
  <c r="A89" i="2"/>
  <c r="Z87" i="3"/>
  <c r="AF87" i="3"/>
  <c r="AD87" i="3"/>
  <c r="V83" i="21" l="1"/>
  <c r="B83" i="20"/>
  <c r="AB85" i="1"/>
  <c r="D85" i="1" s="1"/>
  <c r="AB86" i="3" s="1"/>
  <c r="AB88" i="19"/>
  <c r="D87" i="19"/>
  <c r="Z89" i="2"/>
  <c r="AA89" i="2"/>
  <c r="A90" i="2"/>
  <c r="H11" i="4"/>
  <c r="H13" i="4" s="1"/>
  <c r="H17" i="4" s="1"/>
  <c r="H12" i="4"/>
  <c r="Z88" i="3"/>
  <c r="AF88" i="3"/>
  <c r="AD88" i="3"/>
  <c r="X89" i="21"/>
  <c r="Y89" i="21"/>
  <c r="A90" i="21"/>
  <c r="B84" i="21"/>
  <c r="T84" i="21"/>
  <c r="T84" i="20" s="1"/>
  <c r="S84" i="21"/>
  <c r="S84" i="20" s="1"/>
  <c r="I84" i="21"/>
  <c r="I84" i="20" s="1"/>
  <c r="M84" i="21"/>
  <c r="M84" i="20" s="1"/>
  <c r="K84" i="21"/>
  <c r="K84" i="20" s="1"/>
  <c r="J84" i="21"/>
  <c r="J84" i="20" s="1"/>
  <c r="R84" i="21"/>
  <c r="R84" i="20" s="1"/>
  <c r="D84" i="21"/>
  <c r="D84" i="20" s="1"/>
  <c r="H84" i="21"/>
  <c r="H84" i="20" s="1"/>
  <c r="O84" i="21"/>
  <c r="O84" i="20" s="1"/>
  <c r="E84" i="21"/>
  <c r="E84" i="20" s="1"/>
  <c r="F84" i="21"/>
  <c r="F84" i="20" s="1"/>
  <c r="C84" i="21"/>
  <c r="C84" i="20" s="1"/>
  <c r="N84" i="21"/>
  <c r="N84" i="20" s="1"/>
  <c r="U84" i="21"/>
  <c r="U84" i="20" s="1"/>
  <c r="L84" i="21"/>
  <c r="L84" i="20" s="1"/>
  <c r="Q84" i="21"/>
  <c r="Q84" i="20" s="1"/>
  <c r="G84" i="21"/>
  <c r="G84" i="20" s="1"/>
  <c r="P84" i="21"/>
  <c r="P84" i="20" s="1"/>
  <c r="G86" i="19"/>
  <c r="W82" i="20"/>
  <c r="AA82" i="20"/>
  <c r="AC82" i="20"/>
  <c r="Y82" i="20"/>
  <c r="H86" i="4"/>
  <c r="H88" i="4"/>
  <c r="H91" i="4"/>
  <c r="H93" i="4"/>
  <c r="H95" i="4"/>
  <c r="H82" i="4"/>
  <c r="H85" i="4"/>
  <c r="H87" i="4"/>
  <c r="H89" i="4"/>
  <c r="H92" i="4"/>
  <c r="H94" i="4"/>
  <c r="H19" i="4" l="1"/>
  <c r="H36" i="4" s="1"/>
  <c r="Z89" i="3"/>
  <c r="AD89" i="3"/>
  <c r="AF89" i="3"/>
  <c r="I85" i="21"/>
  <c r="I85" i="20" s="1"/>
  <c r="G85" i="21"/>
  <c r="G85" i="20" s="1"/>
  <c r="D85" i="21"/>
  <c r="D85" i="20" s="1"/>
  <c r="H85" i="21"/>
  <c r="H85" i="20" s="1"/>
  <c r="K85" i="21"/>
  <c r="K85" i="20" s="1"/>
  <c r="O85" i="21"/>
  <c r="O85" i="20" s="1"/>
  <c r="M85" i="21"/>
  <c r="M85" i="20" s="1"/>
  <c r="L85" i="21"/>
  <c r="L85" i="20" s="1"/>
  <c r="U85" i="21"/>
  <c r="U85" i="20" s="1"/>
  <c r="F85" i="21"/>
  <c r="F85" i="20" s="1"/>
  <c r="C85" i="21"/>
  <c r="C85" i="20" s="1"/>
  <c r="B85" i="21"/>
  <c r="J85" i="21"/>
  <c r="J85" i="20" s="1"/>
  <c r="P85" i="21"/>
  <c r="P85" i="20" s="1"/>
  <c r="E85" i="21"/>
  <c r="E85" i="20" s="1"/>
  <c r="N85" i="21"/>
  <c r="N85" i="20" s="1"/>
  <c r="R85" i="21"/>
  <c r="R85" i="20" s="1"/>
  <c r="T85" i="21"/>
  <c r="T85" i="20" s="1"/>
  <c r="Q85" i="21"/>
  <c r="Q85" i="20" s="1"/>
  <c r="S85" i="21"/>
  <c r="S85" i="20" s="1"/>
  <c r="G87" i="19"/>
  <c r="AB86" i="1"/>
  <c r="D86" i="1" s="1"/>
  <c r="AB87" i="3" s="1"/>
  <c r="D88" i="19"/>
  <c r="AB89" i="19"/>
  <c r="V84" i="21"/>
  <c r="B84" i="20"/>
  <c r="W83" i="20"/>
  <c r="AC83" i="20"/>
  <c r="AA83" i="20"/>
  <c r="Y83" i="20"/>
  <c r="X90" i="21"/>
  <c r="Y90" i="21"/>
  <c r="A91" i="21"/>
  <c r="Z90" i="2"/>
  <c r="AA90" i="2"/>
  <c r="A91" i="2"/>
  <c r="G88" i="19" l="1"/>
  <c r="Z91" i="2"/>
  <c r="AA91" i="2"/>
  <c r="A92" i="2"/>
  <c r="Z90" i="3"/>
  <c r="AF90" i="3"/>
  <c r="AD90" i="3"/>
  <c r="AB87" i="1"/>
  <c r="D87" i="1" s="1"/>
  <c r="AB88" i="3" s="1"/>
  <c r="AB90" i="19"/>
  <c r="D89" i="19"/>
  <c r="Y91" i="21"/>
  <c r="A92" i="21"/>
  <c r="X91" i="21"/>
  <c r="F86" i="21"/>
  <c r="F86" i="20" s="1"/>
  <c r="R86" i="21"/>
  <c r="R86" i="20" s="1"/>
  <c r="Q86" i="21"/>
  <c r="Q86" i="20" s="1"/>
  <c r="E86" i="21"/>
  <c r="E86" i="20" s="1"/>
  <c r="N86" i="21"/>
  <c r="N86" i="20" s="1"/>
  <c r="K86" i="21"/>
  <c r="K86" i="20" s="1"/>
  <c r="H86" i="21"/>
  <c r="H86" i="20" s="1"/>
  <c r="M86" i="21"/>
  <c r="M86" i="20" s="1"/>
  <c r="C86" i="21"/>
  <c r="C86" i="20" s="1"/>
  <c r="O86" i="21"/>
  <c r="O86" i="20" s="1"/>
  <c r="B86" i="21"/>
  <c r="T86" i="21"/>
  <c r="T86" i="20" s="1"/>
  <c r="S86" i="21"/>
  <c r="S86" i="20" s="1"/>
  <c r="J86" i="21"/>
  <c r="J86" i="20" s="1"/>
  <c r="P86" i="21"/>
  <c r="P86" i="20" s="1"/>
  <c r="G86" i="21"/>
  <c r="G86" i="20" s="1"/>
  <c r="U86" i="21"/>
  <c r="U86" i="20" s="1"/>
  <c r="D86" i="21"/>
  <c r="D86" i="20" s="1"/>
  <c r="I86" i="21"/>
  <c r="I86" i="20" s="1"/>
  <c r="L86" i="21"/>
  <c r="L86" i="20" s="1"/>
  <c r="H20" i="4"/>
  <c r="W84" i="20"/>
  <c r="AA84" i="20"/>
  <c r="AC84" i="20"/>
  <c r="Y84" i="20"/>
  <c r="V85" i="21"/>
  <c r="B85" i="20"/>
  <c r="AB88" i="1" l="1"/>
  <c r="D88" i="1" s="1"/>
  <c r="AB89" i="3" s="1"/>
  <c r="AB91" i="19"/>
  <c r="D90" i="19"/>
  <c r="X92" i="21"/>
  <c r="A93" i="21"/>
  <c r="Y92" i="21"/>
  <c r="H35" i="4"/>
  <c r="H38" i="4" s="1"/>
  <c r="H25" i="4"/>
  <c r="Z91" i="3"/>
  <c r="AF91" i="3"/>
  <c r="AD91" i="3"/>
  <c r="V86" i="21"/>
  <c r="B86" i="20"/>
  <c r="W85" i="20"/>
  <c r="AC85" i="20"/>
  <c r="AA85" i="20"/>
  <c r="Y85" i="20"/>
  <c r="Z92" i="2"/>
  <c r="AA92" i="2"/>
  <c r="A93" i="2"/>
  <c r="G89" i="19"/>
  <c r="L87" i="21"/>
  <c r="L87" i="20" s="1"/>
  <c r="B87" i="21"/>
  <c r="T87" i="21"/>
  <c r="T87" i="20" s="1"/>
  <c r="S87" i="21"/>
  <c r="S87" i="20" s="1"/>
  <c r="G87" i="21"/>
  <c r="G87" i="20" s="1"/>
  <c r="C87" i="21"/>
  <c r="C87" i="20" s="1"/>
  <c r="F87" i="21"/>
  <c r="F87" i="20" s="1"/>
  <c r="J87" i="21"/>
  <c r="J87" i="20" s="1"/>
  <c r="M87" i="21"/>
  <c r="M87" i="20" s="1"/>
  <c r="I87" i="21"/>
  <c r="I87" i="20" s="1"/>
  <c r="H87" i="21"/>
  <c r="H87" i="20" s="1"/>
  <c r="D87" i="21"/>
  <c r="D87" i="20" s="1"/>
  <c r="N87" i="21"/>
  <c r="N87" i="20" s="1"/>
  <c r="R87" i="21"/>
  <c r="R87" i="20" s="1"/>
  <c r="P87" i="21"/>
  <c r="P87" i="20" s="1"/>
  <c r="E87" i="21"/>
  <c r="E87" i="20" s="1"/>
  <c r="Q87" i="21"/>
  <c r="Q87" i="20" s="1"/>
  <c r="K87" i="21"/>
  <c r="K87" i="20" s="1"/>
  <c r="O87" i="21"/>
  <c r="O87" i="20" s="1"/>
  <c r="U87" i="21"/>
  <c r="U87" i="20" s="1"/>
  <c r="D88" i="21" l="1"/>
  <c r="D88" i="20" s="1"/>
  <c r="U88" i="21"/>
  <c r="U88" i="20" s="1"/>
  <c r="H88" i="21"/>
  <c r="H88" i="20" s="1"/>
  <c r="R88" i="21"/>
  <c r="R88" i="20" s="1"/>
  <c r="G88" i="21"/>
  <c r="G88" i="20" s="1"/>
  <c r="E88" i="21"/>
  <c r="E88" i="20" s="1"/>
  <c r="M88" i="21"/>
  <c r="M88" i="20" s="1"/>
  <c r="C88" i="21"/>
  <c r="C88" i="20" s="1"/>
  <c r="L88" i="21"/>
  <c r="L88" i="20" s="1"/>
  <c r="P88" i="21"/>
  <c r="P88" i="20" s="1"/>
  <c r="K88" i="21"/>
  <c r="K88" i="20" s="1"/>
  <c r="T88" i="21"/>
  <c r="T88" i="20" s="1"/>
  <c r="O88" i="21"/>
  <c r="O88" i="20" s="1"/>
  <c r="I88" i="21"/>
  <c r="I88" i="20" s="1"/>
  <c r="F88" i="21"/>
  <c r="F88" i="20" s="1"/>
  <c r="N88" i="21"/>
  <c r="N88" i="20" s="1"/>
  <c r="B88" i="21"/>
  <c r="S88" i="21"/>
  <c r="S88" i="20" s="1"/>
  <c r="Q88" i="21"/>
  <c r="Q88" i="20" s="1"/>
  <c r="J88" i="21"/>
  <c r="J88" i="20" s="1"/>
  <c r="Z93" i="2"/>
  <c r="AA93" i="2"/>
  <c r="A94" i="2"/>
  <c r="A94" i="21"/>
  <c r="X93" i="21"/>
  <c r="Y93" i="21"/>
  <c r="Z92" i="3"/>
  <c r="AD92" i="3"/>
  <c r="AF92" i="3"/>
  <c r="W86" i="20"/>
  <c r="AA86" i="20"/>
  <c r="AC86" i="20"/>
  <c r="Y86" i="20"/>
  <c r="G90" i="19"/>
  <c r="D91" i="19"/>
  <c r="AB89" i="1"/>
  <c r="D89" i="1" s="1"/>
  <c r="AB90" i="3" s="1"/>
  <c r="AB92" i="19"/>
  <c r="V87" i="21"/>
  <c r="B87" i="20"/>
  <c r="C27" i="4"/>
  <c r="D2" i="7" s="1"/>
  <c r="W87" i="20" l="1"/>
  <c r="AA87" i="20"/>
  <c r="AC87" i="20"/>
  <c r="Y87" i="20"/>
  <c r="Z94" i="2"/>
  <c r="AA94" i="2"/>
  <c r="A95" i="2"/>
  <c r="AB90" i="1"/>
  <c r="D90" i="1" s="1"/>
  <c r="AB91" i="3" s="1"/>
  <c r="AB93" i="19"/>
  <c r="D92" i="19"/>
  <c r="Z93" i="3"/>
  <c r="AA93" i="3" s="1"/>
  <c r="AF93" i="3"/>
  <c r="AG93" i="3" s="1"/>
  <c r="AD93" i="3"/>
  <c r="AE93" i="3" s="1"/>
  <c r="G91" i="19"/>
  <c r="V88" i="21"/>
  <c r="B88" i="20"/>
  <c r="J89" i="21"/>
  <c r="J89" i="20" s="1"/>
  <c r="H89" i="21"/>
  <c r="H89" i="20" s="1"/>
  <c r="K89" i="21"/>
  <c r="K89" i="20" s="1"/>
  <c r="R89" i="21"/>
  <c r="R89" i="20" s="1"/>
  <c r="U89" i="21"/>
  <c r="U89" i="20" s="1"/>
  <c r="G89" i="21"/>
  <c r="G89" i="20" s="1"/>
  <c r="F89" i="21"/>
  <c r="F89" i="20" s="1"/>
  <c r="L89" i="21"/>
  <c r="L89" i="20" s="1"/>
  <c r="O89" i="21"/>
  <c r="O89" i="20" s="1"/>
  <c r="E89" i="21"/>
  <c r="E89" i="20" s="1"/>
  <c r="B89" i="21"/>
  <c r="I89" i="21"/>
  <c r="I89" i="20" s="1"/>
  <c r="T89" i="21"/>
  <c r="T89" i="20" s="1"/>
  <c r="C89" i="21"/>
  <c r="C89" i="20" s="1"/>
  <c r="Q89" i="21"/>
  <c r="Q89" i="20" s="1"/>
  <c r="M89" i="21"/>
  <c r="M89" i="20" s="1"/>
  <c r="D89" i="21"/>
  <c r="D89" i="20" s="1"/>
  <c r="N89" i="21"/>
  <c r="N89" i="20" s="1"/>
  <c r="S89" i="21"/>
  <c r="S89" i="20" s="1"/>
  <c r="P89" i="21"/>
  <c r="P89" i="20" s="1"/>
  <c r="A95" i="21"/>
  <c r="X94" i="21"/>
  <c r="Y94" i="21"/>
  <c r="F90" i="21" l="1"/>
  <c r="F90" i="20" s="1"/>
  <c r="D90" i="21"/>
  <c r="D90" i="20" s="1"/>
  <c r="P90" i="21"/>
  <c r="P90" i="20" s="1"/>
  <c r="G90" i="21"/>
  <c r="G90" i="20" s="1"/>
  <c r="N90" i="21"/>
  <c r="N90" i="20" s="1"/>
  <c r="L90" i="21"/>
  <c r="L90" i="20" s="1"/>
  <c r="S90" i="21"/>
  <c r="S90" i="20" s="1"/>
  <c r="M90" i="21"/>
  <c r="M90" i="20" s="1"/>
  <c r="B90" i="21"/>
  <c r="T90" i="21"/>
  <c r="T90" i="20" s="1"/>
  <c r="I90" i="21"/>
  <c r="I90" i="20" s="1"/>
  <c r="E90" i="21"/>
  <c r="E90" i="20" s="1"/>
  <c r="U90" i="21"/>
  <c r="U90" i="20" s="1"/>
  <c r="H90" i="21"/>
  <c r="H90" i="20" s="1"/>
  <c r="J90" i="21"/>
  <c r="J90" i="20" s="1"/>
  <c r="C90" i="21"/>
  <c r="C90" i="20" s="1"/>
  <c r="R90" i="21"/>
  <c r="R90" i="20" s="1"/>
  <c r="K90" i="21"/>
  <c r="K90" i="20" s="1"/>
  <c r="O90" i="21"/>
  <c r="O90" i="20" s="1"/>
  <c r="Q90" i="21"/>
  <c r="Q90" i="20" s="1"/>
  <c r="Z95" i="2"/>
  <c r="AA95" i="2"/>
  <c r="A96" i="2"/>
  <c r="Z94" i="3"/>
  <c r="AF94" i="3"/>
  <c r="AD94" i="3"/>
  <c r="A96" i="21"/>
  <c r="X95" i="21"/>
  <c r="Y95" i="21"/>
  <c r="V89" i="21"/>
  <c r="B89" i="20"/>
  <c r="G92" i="19"/>
  <c r="W88" i="20"/>
  <c r="AA88" i="20"/>
  <c r="AC88" i="20"/>
  <c r="Y88" i="20"/>
  <c r="AB91" i="1"/>
  <c r="D91" i="1" s="1"/>
  <c r="AB92" i="3" s="1"/>
  <c r="D93" i="19"/>
  <c r="AB94" i="19"/>
  <c r="AB92" i="1" l="1"/>
  <c r="D92" i="1" s="1"/>
  <c r="AB93" i="3" s="1"/>
  <c r="AC93" i="3" s="1"/>
  <c r="AB95" i="19"/>
  <c r="D94" i="19"/>
  <c r="G93" i="19"/>
  <c r="Z96" i="2"/>
  <c r="AA96" i="2"/>
  <c r="A97" i="2"/>
  <c r="Z95" i="3"/>
  <c r="AF95" i="3"/>
  <c r="AD95" i="3"/>
  <c r="A97" i="21"/>
  <c r="Y96" i="21"/>
  <c r="X96" i="21"/>
  <c r="G91" i="21"/>
  <c r="G91" i="20" s="1"/>
  <c r="E91" i="21"/>
  <c r="E91" i="20" s="1"/>
  <c r="S91" i="21"/>
  <c r="S91" i="20" s="1"/>
  <c r="F91" i="21"/>
  <c r="F91" i="20" s="1"/>
  <c r="Q91" i="21"/>
  <c r="Q91" i="20" s="1"/>
  <c r="H91" i="21"/>
  <c r="H91" i="20" s="1"/>
  <c r="O91" i="21"/>
  <c r="O91" i="20" s="1"/>
  <c r="J91" i="21"/>
  <c r="J91" i="20" s="1"/>
  <c r="C91" i="21"/>
  <c r="C91" i="20" s="1"/>
  <c r="P91" i="21"/>
  <c r="P91" i="20" s="1"/>
  <c r="N91" i="21"/>
  <c r="N91" i="20" s="1"/>
  <c r="I91" i="21"/>
  <c r="I91" i="20" s="1"/>
  <c r="R91" i="21"/>
  <c r="R91" i="20" s="1"/>
  <c r="B91" i="21"/>
  <c r="U91" i="21"/>
  <c r="U91" i="20" s="1"/>
  <c r="M91" i="21"/>
  <c r="M91" i="20" s="1"/>
  <c r="D91" i="21"/>
  <c r="D91" i="20" s="1"/>
  <c r="L91" i="21"/>
  <c r="L91" i="20" s="1"/>
  <c r="T91" i="21"/>
  <c r="T91" i="20" s="1"/>
  <c r="K91" i="21"/>
  <c r="K91" i="20" s="1"/>
  <c r="W89" i="20"/>
  <c r="AA89" i="20"/>
  <c r="AC89" i="20"/>
  <c r="Y89" i="20"/>
  <c r="V90" i="21"/>
  <c r="B90" i="20"/>
  <c r="Z96" i="3" l="1"/>
  <c r="AF96" i="3"/>
  <c r="AD96" i="3"/>
  <c r="Z97" i="2"/>
  <c r="AA97" i="2"/>
  <c r="A98" i="2"/>
  <c r="V91" i="21"/>
  <c r="B91" i="20"/>
  <c r="A98" i="21"/>
  <c r="X97" i="21"/>
  <c r="Y97" i="21"/>
  <c r="B92" i="21"/>
  <c r="T92" i="21"/>
  <c r="T92" i="20" s="1"/>
  <c r="C92" i="21"/>
  <c r="C92" i="20" s="1"/>
  <c r="J92" i="21"/>
  <c r="J92" i="20" s="1"/>
  <c r="R92" i="21"/>
  <c r="R92" i="20" s="1"/>
  <c r="H92" i="21"/>
  <c r="H92" i="20" s="1"/>
  <c r="D92" i="21"/>
  <c r="D92" i="20" s="1"/>
  <c r="E92" i="21"/>
  <c r="E92" i="20" s="1"/>
  <c r="O92" i="21"/>
  <c r="O92" i="20" s="1"/>
  <c r="K92" i="21"/>
  <c r="K92" i="20" s="1"/>
  <c r="L92" i="21"/>
  <c r="L92" i="20" s="1"/>
  <c r="M92" i="21"/>
  <c r="M92" i="20" s="1"/>
  <c r="F92" i="21"/>
  <c r="F92" i="20" s="1"/>
  <c r="Q92" i="21"/>
  <c r="Q92" i="20" s="1"/>
  <c r="N92" i="21"/>
  <c r="N92" i="20" s="1"/>
  <c r="G92" i="21"/>
  <c r="G92" i="20" s="1"/>
  <c r="S92" i="21"/>
  <c r="S92" i="20" s="1"/>
  <c r="I92" i="21"/>
  <c r="I92" i="20" s="1"/>
  <c r="P92" i="21"/>
  <c r="P92" i="20" s="1"/>
  <c r="U92" i="21"/>
  <c r="U92" i="20" s="1"/>
  <c r="G94" i="19"/>
  <c r="W90" i="20"/>
  <c r="AC90" i="20"/>
  <c r="AA90" i="20"/>
  <c r="Y90" i="20"/>
  <c r="AB93" i="1"/>
  <c r="D93" i="1" s="1"/>
  <c r="AB94" i="3" s="1"/>
  <c r="D95" i="19"/>
  <c r="AB96" i="19"/>
  <c r="Z98" i="2" l="1"/>
  <c r="AA98" i="2"/>
  <c r="A99" i="2"/>
  <c r="Z97" i="3"/>
  <c r="AF97" i="3"/>
  <c r="AD97" i="3"/>
  <c r="G95" i="19"/>
  <c r="V92" i="21"/>
  <c r="B92" i="20"/>
  <c r="S93" i="21"/>
  <c r="S93" i="20" s="1"/>
  <c r="D93" i="21"/>
  <c r="D93" i="20" s="1"/>
  <c r="E93" i="21"/>
  <c r="E93" i="20" s="1"/>
  <c r="L93" i="21"/>
  <c r="L93" i="20" s="1"/>
  <c r="F93" i="21"/>
  <c r="F93" i="20" s="1"/>
  <c r="U93" i="21"/>
  <c r="U93" i="20" s="1"/>
  <c r="I93" i="21"/>
  <c r="I93" i="20" s="1"/>
  <c r="T93" i="21"/>
  <c r="T93" i="20" s="1"/>
  <c r="O93" i="21"/>
  <c r="O93" i="20" s="1"/>
  <c r="P93" i="21"/>
  <c r="P93" i="20" s="1"/>
  <c r="N93" i="21"/>
  <c r="N93" i="20" s="1"/>
  <c r="C93" i="21"/>
  <c r="C93" i="20" s="1"/>
  <c r="H93" i="21"/>
  <c r="H93" i="20" s="1"/>
  <c r="B93" i="21"/>
  <c r="K93" i="21"/>
  <c r="K93" i="20" s="1"/>
  <c r="M93" i="21"/>
  <c r="M93" i="20" s="1"/>
  <c r="J93" i="21"/>
  <c r="J93" i="20" s="1"/>
  <c r="G93" i="21"/>
  <c r="G93" i="20" s="1"/>
  <c r="Q93" i="21"/>
  <c r="Q93" i="20" s="1"/>
  <c r="R93" i="21"/>
  <c r="R93" i="20" s="1"/>
  <c r="A99" i="21"/>
  <c r="X98" i="21"/>
  <c r="Y98" i="21"/>
  <c r="W91" i="20"/>
  <c r="AC91" i="20"/>
  <c r="AA91" i="20"/>
  <c r="Y91" i="20"/>
  <c r="AB94" i="1"/>
  <c r="D94" i="1" s="1"/>
  <c r="AB95" i="3" s="1"/>
  <c r="D96" i="19"/>
  <c r="AB97" i="19"/>
  <c r="V93" i="21" l="1"/>
  <c r="B93" i="20"/>
  <c r="E94" i="21"/>
  <c r="E94" i="20" s="1"/>
  <c r="P94" i="21"/>
  <c r="P94" i="20" s="1"/>
  <c r="M94" i="21"/>
  <c r="M94" i="20" s="1"/>
  <c r="T94" i="21"/>
  <c r="T94" i="20" s="1"/>
  <c r="U94" i="21"/>
  <c r="U94" i="20" s="1"/>
  <c r="F94" i="21"/>
  <c r="F94" i="20" s="1"/>
  <c r="I94" i="21"/>
  <c r="I94" i="20" s="1"/>
  <c r="S94" i="21"/>
  <c r="S94" i="20" s="1"/>
  <c r="L94" i="21"/>
  <c r="L94" i="20" s="1"/>
  <c r="B94" i="21"/>
  <c r="Q94" i="21"/>
  <c r="Q94" i="20" s="1"/>
  <c r="G94" i="21"/>
  <c r="G94" i="20" s="1"/>
  <c r="J94" i="21"/>
  <c r="J94" i="20" s="1"/>
  <c r="N94" i="21"/>
  <c r="N94" i="20" s="1"/>
  <c r="C94" i="21"/>
  <c r="C94" i="20" s="1"/>
  <c r="O94" i="21"/>
  <c r="O94" i="20" s="1"/>
  <c r="K94" i="21"/>
  <c r="K94" i="20" s="1"/>
  <c r="D94" i="21"/>
  <c r="D94" i="20" s="1"/>
  <c r="R94" i="21"/>
  <c r="R94" i="20" s="1"/>
  <c r="H94" i="21"/>
  <c r="H94" i="20" s="1"/>
  <c r="V93" i="20"/>
  <c r="I8" i="4" s="1"/>
  <c r="W92" i="20"/>
  <c r="AC92" i="20"/>
  <c r="AA92" i="20"/>
  <c r="Y92" i="20"/>
  <c r="Z99" i="2"/>
  <c r="AA99" i="2"/>
  <c r="A100" i="2"/>
  <c r="G96" i="19"/>
  <c r="A100" i="21"/>
  <c r="X99" i="21"/>
  <c r="Y99" i="21"/>
  <c r="AF98" i="3"/>
  <c r="Z98" i="3"/>
  <c r="AD98" i="3"/>
  <c r="AB95" i="1"/>
  <c r="D95" i="1" s="1"/>
  <c r="AB96" i="3" s="1"/>
  <c r="D97" i="19"/>
  <c r="AB98" i="19"/>
  <c r="Z100" i="2" l="1"/>
  <c r="AA100" i="2"/>
  <c r="A101" i="2"/>
  <c r="Z99" i="3"/>
  <c r="AF99" i="3"/>
  <c r="AD99" i="3"/>
  <c r="V94" i="21"/>
  <c r="B94" i="20"/>
  <c r="I95" i="21"/>
  <c r="I95" i="20" s="1"/>
  <c r="K95" i="21"/>
  <c r="K95" i="20" s="1"/>
  <c r="J95" i="21"/>
  <c r="J95" i="20" s="1"/>
  <c r="D95" i="21"/>
  <c r="D95" i="20" s="1"/>
  <c r="H95" i="21"/>
  <c r="H95" i="20" s="1"/>
  <c r="Q95" i="21"/>
  <c r="Q95" i="20" s="1"/>
  <c r="S95" i="21"/>
  <c r="S95" i="20" s="1"/>
  <c r="P95" i="21"/>
  <c r="P95" i="20" s="1"/>
  <c r="R95" i="21"/>
  <c r="R95" i="20" s="1"/>
  <c r="O95" i="21"/>
  <c r="O95" i="20" s="1"/>
  <c r="L95" i="21"/>
  <c r="L95" i="20" s="1"/>
  <c r="T95" i="21"/>
  <c r="T95" i="20" s="1"/>
  <c r="G95" i="21"/>
  <c r="G95" i="20" s="1"/>
  <c r="B95" i="21"/>
  <c r="E95" i="21"/>
  <c r="E95" i="20" s="1"/>
  <c r="C95" i="21"/>
  <c r="C95" i="20" s="1"/>
  <c r="M95" i="21"/>
  <c r="M95" i="20" s="1"/>
  <c r="U95" i="21"/>
  <c r="U95" i="20" s="1"/>
  <c r="N95" i="21"/>
  <c r="N95" i="20" s="1"/>
  <c r="F95" i="21"/>
  <c r="F95" i="20" s="1"/>
  <c r="AB96" i="1"/>
  <c r="D96" i="1" s="1"/>
  <c r="AB97" i="3" s="1"/>
  <c r="AB99" i="19"/>
  <c r="D98" i="19"/>
  <c r="G97" i="19"/>
  <c r="A101" i="21"/>
  <c r="Y100" i="21"/>
  <c r="X100" i="21"/>
  <c r="W93" i="20"/>
  <c r="X93" i="20" s="1"/>
  <c r="I9" i="4" s="1"/>
  <c r="AC93" i="20"/>
  <c r="AD93" i="20" s="1"/>
  <c r="AA93" i="20"/>
  <c r="AB93" i="20" s="1"/>
  <c r="W93" i="21"/>
  <c r="I83" i="4" s="1"/>
  <c r="Y93" i="20"/>
  <c r="Z93" i="20" s="1"/>
  <c r="I10" i="4" s="1"/>
  <c r="A102" i="21" l="1"/>
  <c r="X101" i="21"/>
  <c r="Y101" i="21"/>
  <c r="I82" i="4"/>
  <c r="I85" i="4" s="1"/>
  <c r="I87" i="4"/>
  <c r="I89" i="4"/>
  <c r="I92" i="4"/>
  <c r="I94" i="4"/>
  <c r="I95" i="4"/>
  <c r="I91" i="4"/>
  <c r="I93" i="4"/>
  <c r="U96" i="21"/>
  <c r="U96" i="20" s="1"/>
  <c r="B96" i="21"/>
  <c r="J96" i="21"/>
  <c r="J96" i="20" s="1"/>
  <c r="D96" i="21"/>
  <c r="D96" i="20" s="1"/>
  <c r="L96" i="21"/>
  <c r="L96" i="20" s="1"/>
  <c r="O96" i="21"/>
  <c r="O96" i="20" s="1"/>
  <c r="I96" i="21"/>
  <c r="I96" i="20" s="1"/>
  <c r="C96" i="21"/>
  <c r="C96" i="20" s="1"/>
  <c r="F96" i="21"/>
  <c r="F96" i="20" s="1"/>
  <c r="T96" i="21"/>
  <c r="T96" i="20" s="1"/>
  <c r="E96" i="21"/>
  <c r="E96" i="20" s="1"/>
  <c r="G96" i="21"/>
  <c r="G96" i="20" s="1"/>
  <c r="Q96" i="21"/>
  <c r="Q96" i="20" s="1"/>
  <c r="H96" i="21"/>
  <c r="H96" i="20" s="1"/>
  <c r="P96" i="21"/>
  <c r="P96" i="20" s="1"/>
  <c r="K96" i="21"/>
  <c r="K96" i="20" s="1"/>
  <c r="N96" i="21"/>
  <c r="N96" i="20" s="1"/>
  <c r="R96" i="21"/>
  <c r="R96" i="20" s="1"/>
  <c r="S96" i="21"/>
  <c r="S96" i="20" s="1"/>
  <c r="M96" i="21"/>
  <c r="M96" i="20" s="1"/>
  <c r="Z100" i="3"/>
  <c r="AF100" i="3"/>
  <c r="AD100" i="3"/>
  <c r="AB97" i="1"/>
  <c r="D97" i="1" s="1"/>
  <c r="AB98" i="3" s="1"/>
  <c r="D99" i="19"/>
  <c r="AB100" i="19"/>
  <c r="AC94" i="20"/>
  <c r="AA94" i="20"/>
  <c r="W94" i="20"/>
  <c r="Y94" i="20"/>
  <c r="Z101" i="2"/>
  <c r="AA101" i="2"/>
  <c r="A102" i="2"/>
  <c r="I12" i="4"/>
  <c r="I11" i="4"/>
  <c r="I13" i="4" s="1"/>
  <c r="I17" i="4" s="1"/>
  <c r="G98" i="19"/>
  <c r="V95" i="21"/>
  <c r="B95" i="20"/>
  <c r="I19" i="4" l="1"/>
  <c r="I36" i="4" s="1"/>
  <c r="AC95" i="20"/>
  <c r="W95" i="20"/>
  <c r="AA95" i="20"/>
  <c r="Y95" i="20"/>
  <c r="I86" i="4"/>
  <c r="B97" i="21"/>
  <c r="E97" i="21"/>
  <c r="E97" i="20" s="1"/>
  <c r="O97" i="21"/>
  <c r="O97" i="20" s="1"/>
  <c r="L97" i="21"/>
  <c r="L97" i="20" s="1"/>
  <c r="F97" i="21"/>
  <c r="F97" i="20" s="1"/>
  <c r="M97" i="21"/>
  <c r="M97" i="20" s="1"/>
  <c r="N97" i="21"/>
  <c r="N97" i="20" s="1"/>
  <c r="D97" i="21"/>
  <c r="D97" i="20" s="1"/>
  <c r="K97" i="21"/>
  <c r="K97" i="20" s="1"/>
  <c r="U97" i="21"/>
  <c r="U97" i="20" s="1"/>
  <c r="S97" i="21"/>
  <c r="S97" i="20" s="1"/>
  <c r="T97" i="21"/>
  <c r="T97" i="20" s="1"/>
  <c r="I97" i="21"/>
  <c r="I97" i="20" s="1"/>
  <c r="J97" i="21"/>
  <c r="J97" i="20" s="1"/>
  <c r="Q97" i="21"/>
  <c r="Q97" i="20" s="1"/>
  <c r="G97" i="21"/>
  <c r="G97" i="20" s="1"/>
  <c r="H97" i="21"/>
  <c r="H97" i="20" s="1"/>
  <c r="R97" i="21"/>
  <c r="R97" i="20" s="1"/>
  <c r="C97" i="21"/>
  <c r="C97" i="20" s="1"/>
  <c r="P97" i="21"/>
  <c r="P97" i="20" s="1"/>
  <c r="AB98" i="1"/>
  <c r="D98" i="1" s="1"/>
  <c r="AB99" i="3" s="1"/>
  <c r="D100" i="19"/>
  <c r="AB101" i="19"/>
  <c r="A103" i="21"/>
  <c r="X102" i="21"/>
  <c r="Y102" i="21"/>
  <c r="I88" i="4"/>
  <c r="Z102" i="2"/>
  <c r="AA102" i="2"/>
  <c r="A103" i="2"/>
  <c r="Z101" i="3"/>
  <c r="AF101" i="3"/>
  <c r="AD101" i="3"/>
  <c r="G99" i="19"/>
  <c r="V96" i="21"/>
  <c r="B96" i="20"/>
  <c r="C98" i="21" l="1"/>
  <c r="C98" i="20" s="1"/>
  <c r="J98" i="21"/>
  <c r="J98" i="20" s="1"/>
  <c r="K98" i="21"/>
  <c r="K98" i="20" s="1"/>
  <c r="N98" i="21"/>
  <c r="N98" i="20" s="1"/>
  <c r="S98" i="21"/>
  <c r="S98" i="20" s="1"/>
  <c r="D98" i="21"/>
  <c r="D98" i="20" s="1"/>
  <c r="G98" i="21"/>
  <c r="G98" i="20" s="1"/>
  <c r="U98" i="21"/>
  <c r="U98" i="20" s="1"/>
  <c r="I98" i="21"/>
  <c r="I98" i="20" s="1"/>
  <c r="H98" i="21"/>
  <c r="H98" i="20" s="1"/>
  <c r="L98" i="21"/>
  <c r="L98" i="20" s="1"/>
  <c r="F98" i="21"/>
  <c r="F98" i="20" s="1"/>
  <c r="T98" i="21"/>
  <c r="T98" i="20" s="1"/>
  <c r="E98" i="21"/>
  <c r="E98" i="20" s="1"/>
  <c r="R98" i="21"/>
  <c r="R98" i="20" s="1"/>
  <c r="M98" i="21"/>
  <c r="M98" i="20" s="1"/>
  <c r="P98" i="21"/>
  <c r="P98" i="20" s="1"/>
  <c r="Q98" i="21"/>
  <c r="Q98" i="20" s="1"/>
  <c r="B98" i="21"/>
  <c r="O98" i="21"/>
  <c r="O98" i="20" s="1"/>
  <c r="V97" i="21"/>
  <c r="B97" i="20"/>
  <c r="Z103" i="2"/>
  <c r="AA103" i="2"/>
  <c r="A104" i="2"/>
  <c r="A104" i="21"/>
  <c r="X103" i="21"/>
  <c r="Y103" i="21"/>
  <c r="Z102" i="3"/>
  <c r="AF102" i="3"/>
  <c r="AD102" i="3"/>
  <c r="AB99" i="1"/>
  <c r="D99" i="1" s="1"/>
  <c r="AB100" i="3" s="1"/>
  <c r="D101" i="19"/>
  <c r="AB102" i="19"/>
  <c r="I20" i="4"/>
  <c r="W96" i="20"/>
  <c r="AC96" i="20"/>
  <c r="AA96" i="20"/>
  <c r="Y96" i="20"/>
  <c r="G100" i="19"/>
  <c r="W97" i="20" l="1"/>
  <c r="AC97" i="20"/>
  <c r="AA97" i="20"/>
  <c r="Y97" i="20"/>
  <c r="I25" i="4"/>
  <c r="I35" i="4"/>
  <c r="I38" i="4" s="1"/>
  <c r="V98" i="21"/>
  <c r="B98" i="20"/>
  <c r="G101" i="19"/>
  <c r="Z104" i="2"/>
  <c r="AA104" i="2"/>
  <c r="A105" i="2"/>
  <c r="M99" i="21"/>
  <c r="M99" i="20" s="1"/>
  <c r="I99" i="21"/>
  <c r="I99" i="20" s="1"/>
  <c r="U99" i="21"/>
  <c r="U99" i="20" s="1"/>
  <c r="Q99" i="21"/>
  <c r="Q99" i="20" s="1"/>
  <c r="L99" i="21"/>
  <c r="L99" i="20" s="1"/>
  <c r="O99" i="21"/>
  <c r="O99" i="20" s="1"/>
  <c r="B99" i="21"/>
  <c r="P99" i="21"/>
  <c r="P99" i="20" s="1"/>
  <c r="G99" i="21"/>
  <c r="G99" i="20" s="1"/>
  <c r="D99" i="21"/>
  <c r="D99" i="20" s="1"/>
  <c r="C99" i="21"/>
  <c r="C99" i="20" s="1"/>
  <c r="H99" i="21"/>
  <c r="H99" i="20" s="1"/>
  <c r="K99" i="21"/>
  <c r="K99" i="20" s="1"/>
  <c r="T99" i="21"/>
  <c r="T99" i="20" s="1"/>
  <c r="E99" i="21"/>
  <c r="E99" i="20" s="1"/>
  <c r="S99" i="21"/>
  <c r="S99" i="20" s="1"/>
  <c r="N99" i="21"/>
  <c r="N99" i="20" s="1"/>
  <c r="F99" i="21"/>
  <c r="F99" i="20" s="1"/>
  <c r="R99" i="21"/>
  <c r="R99" i="20" s="1"/>
  <c r="J99" i="21"/>
  <c r="J99" i="20" s="1"/>
  <c r="Z103" i="3"/>
  <c r="AF103" i="3"/>
  <c r="AD103" i="3"/>
  <c r="AB100" i="1"/>
  <c r="D100" i="1" s="1"/>
  <c r="AB101" i="3" s="1"/>
  <c r="D102" i="19"/>
  <c r="AB103" i="19"/>
  <c r="A105" i="21"/>
  <c r="Y104" i="21"/>
  <c r="X104" i="21"/>
  <c r="AA105" i="2" l="1"/>
  <c r="A106" i="2"/>
  <c r="Z105" i="2"/>
  <c r="V99" i="21"/>
  <c r="B99" i="20"/>
  <c r="Z104" i="3"/>
  <c r="AF104" i="3"/>
  <c r="AD104" i="3"/>
  <c r="Y105" i="21"/>
  <c r="A106" i="21"/>
  <c r="X105" i="21"/>
  <c r="S100" i="21"/>
  <c r="S100" i="20" s="1"/>
  <c r="R100" i="21"/>
  <c r="R100" i="20" s="1"/>
  <c r="H100" i="21"/>
  <c r="H100" i="20" s="1"/>
  <c r="L100" i="21"/>
  <c r="L100" i="20" s="1"/>
  <c r="O100" i="21"/>
  <c r="O100" i="20" s="1"/>
  <c r="E100" i="21"/>
  <c r="E100" i="20" s="1"/>
  <c r="I100" i="21"/>
  <c r="I100" i="20" s="1"/>
  <c r="N100" i="21"/>
  <c r="N100" i="20" s="1"/>
  <c r="P100" i="21"/>
  <c r="P100" i="20" s="1"/>
  <c r="C100" i="21"/>
  <c r="C100" i="20" s="1"/>
  <c r="G100" i="21"/>
  <c r="G100" i="20" s="1"/>
  <c r="B100" i="21"/>
  <c r="F100" i="21"/>
  <c r="F100" i="20" s="1"/>
  <c r="M100" i="21"/>
  <c r="M100" i="20" s="1"/>
  <c r="U100" i="21"/>
  <c r="U100" i="20" s="1"/>
  <c r="J100" i="21"/>
  <c r="J100" i="20" s="1"/>
  <c r="K100" i="21"/>
  <c r="K100" i="20" s="1"/>
  <c r="Q100" i="21"/>
  <c r="Q100" i="20" s="1"/>
  <c r="T100" i="21"/>
  <c r="T100" i="20" s="1"/>
  <c r="D100" i="21"/>
  <c r="D100" i="20" s="1"/>
  <c r="AB101" i="1"/>
  <c r="D101" i="1" s="1"/>
  <c r="AB102" i="3" s="1"/>
  <c r="D103" i="19"/>
  <c r="AB104" i="19"/>
  <c r="G102" i="19"/>
  <c r="W98" i="20"/>
  <c r="AC98" i="20"/>
  <c r="AA98" i="20"/>
  <c r="Y98" i="20"/>
  <c r="H101" i="21" l="1"/>
  <c r="H101" i="20" s="1"/>
  <c r="D101" i="21"/>
  <c r="D101" i="20" s="1"/>
  <c r="C101" i="21"/>
  <c r="C101" i="20" s="1"/>
  <c r="G101" i="21"/>
  <c r="G101" i="20" s="1"/>
  <c r="J101" i="21"/>
  <c r="J101" i="20" s="1"/>
  <c r="N101" i="21"/>
  <c r="N101" i="20" s="1"/>
  <c r="P101" i="21"/>
  <c r="P101" i="20" s="1"/>
  <c r="K101" i="21"/>
  <c r="K101" i="20" s="1"/>
  <c r="T101" i="21"/>
  <c r="T101" i="20" s="1"/>
  <c r="M101" i="21"/>
  <c r="M101" i="20" s="1"/>
  <c r="L101" i="21"/>
  <c r="L101" i="20" s="1"/>
  <c r="S101" i="21"/>
  <c r="S101" i="20" s="1"/>
  <c r="B101" i="21"/>
  <c r="E101" i="21"/>
  <c r="E101" i="20" s="1"/>
  <c r="I101" i="21"/>
  <c r="I101" i="20" s="1"/>
  <c r="F101" i="21"/>
  <c r="F101" i="20" s="1"/>
  <c r="U101" i="21"/>
  <c r="U101" i="20" s="1"/>
  <c r="Q101" i="21"/>
  <c r="Q101" i="20" s="1"/>
  <c r="O101" i="21"/>
  <c r="O101" i="20" s="1"/>
  <c r="R101" i="21"/>
  <c r="R101" i="20" s="1"/>
  <c r="V100" i="21"/>
  <c r="B100" i="20"/>
  <c r="AB102" i="1"/>
  <c r="D102" i="1" s="1"/>
  <c r="AB103" i="3" s="1"/>
  <c r="D104" i="19"/>
  <c r="AB105" i="19"/>
  <c r="Y106" i="21"/>
  <c r="X106" i="21"/>
  <c r="A107" i="21"/>
  <c r="W99" i="20"/>
  <c r="AC99" i="20"/>
  <c r="AA99" i="20"/>
  <c r="Y99" i="20"/>
  <c r="G103" i="19"/>
  <c r="AA106" i="2"/>
  <c r="A107" i="2"/>
  <c r="Z106" i="2"/>
  <c r="Z105" i="3"/>
  <c r="AA105" i="3" s="1"/>
  <c r="AF105" i="3"/>
  <c r="AG105" i="3" s="1"/>
  <c r="AD105" i="3"/>
  <c r="AE105" i="3" s="1"/>
  <c r="W100" i="20" l="1"/>
  <c r="AC100" i="20"/>
  <c r="AA100" i="20"/>
  <c r="Y100" i="20"/>
  <c r="AA107" i="2"/>
  <c r="A108" i="2"/>
  <c r="Z107" i="2"/>
  <c r="Y107" i="21"/>
  <c r="X107" i="21"/>
  <c r="A108" i="21"/>
  <c r="V101" i="21"/>
  <c r="B101" i="20"/>
  <c r="E102" i="21"/>
  <c r="E102" i="20" s="1"/>
  <c r="M102" i="21"/>
  <c r="M102" i="20" s="1"/>
  <c r="J102" i="21"/>
  <c r="J102" i="20" s="1"/>
  <c r="F102" i="21"/>
  <c r="F102" i="20" s="1"/>
  <c r="U102" i="21"/>
  <c r="U102" i="20" s="1"/>
  <c r="L102" i="21"/>
  <c r="L102" i="20" s="1"/>
  <c r="B102" i="21"/>
  <c r="R102" i="21"/>
  <c r="R102" i="20" s="1"/>
  <c r="I102" i="21"/>
  <c r="I102" i="20" s="1"/>
  <c r="S102" i="21"/>
  <c r="S102" i="20" s="1"/>
  <c r="N102" i="21"/>
  <c r="N102" i="20" s="1"/>
  <c r="Q102" i="21"/>
  <c r="Q102" i="20" s="1"/>
  <c r="P102" i="21"/>
  <c r="P102" i="20" s="1"/>
  <c r="T102" i="21"/>
  <c r="T102" i="20" s="1"/>
  <c r="H102" i="21"/>
  <c r="H102" i="20" s="1"/>
  <c r="C102" i="21"/>
  <c r="C102" i="20" s="1"/>
  <c r="D102" i="21"/>
  <c r="D102" i="20" s="1"/>
  <c r="K102" i="21"/>
  <c r="K102" i="20" s="1"/>
  <c r="O102" i="21"/>
  <c r="O102" i="20" s="1"/>
  <c r="G102" i="21"/>
  <c r="G102" i="20" s="1"/>
  <c r="AB103" i="1"/>
  <c r="D103" i="1" s="1"/>
  <c r="AB104" i="3" s="1"/>
  <c r="AB106" i="19"/>
  <c r="D105" i="19"/>
  <c r="Z106" i="3"/>
  <c r="AF106" i="3"/>
  <c r="AD106" i="3"/>
  <c r="G104" i="19"/>
  <c r="AA108" i="2" l="1"/>
  <c r="A109" i="2"/>
  <c r="Z108" i="2"/>
  <c r="AD107" i="3"/>
  <c r="AF107" i="3"/>
  <c r="Z107" i="3"/>
  <c r="AB104" i="1"/>
  <c r="D104" i="1" s="1"/>
  <c r="AB105" i="3" s="1"/>
  <c r="AC105" i="3" s="1"/>
  <c r="AB107" i="19"/>
  <c r="D106" i="19"/>
  <c r="I103" i="21"/>
  <c r="I103" i="20" s="1"/>
  <c r="K103" i="21"/>
  <c r="K103" i="20" s="1"/>
  <c r="Q103" i="21"/>
  <c r="Q103" i="20" s="1"/>
  <c r="S103" i="21"/>
  <c r="S103" i="20" s="1"/>
  <c r="L103" i="21"/>
  <c r="L103" i="20" s="1"/>
  <c r="G103" i="21"/>
  <c r="G103" i="20" s="1"/>
  <c r="H103" i="21"/>
  <c r="H103" i="20" s="1"/>
  <c r="E103" i="21"/>
  <c r="E103" i="20" s="1"/>
  <c r="C103" i="21"/>
  <c r="C103" i="20" s="1"/>
  <c r="D103" i="21"/>
  <c r="D103" i="20" s="1"/>
  <c r="M103" i="21"/>
  <c r="M103" i="20" s="1"/>
  <c r="P103" i="21"/>
  <c r="P103" i="20" s="1"/>
  <c r="R103" i="21"/>
  <c r="R103" i="20" s="1"/>
  <c r="U103" i="21"/>
  <c r="U103" i="20" s="1"/>
  <c r="B103" i="21"/>
  <c r="O103" i="21"/>
  <c r="O103" i="20" s="1"/>
  <c r="J103" i="21"/>
  <c r="J103" i="20" s="1"/>
  <c r="N103" i="21"/>
  <c r="N103" i="20" s="1"/>
  <c r="T103" i="21"/>
  <c r="T103" i="20" s="1"/>
  <c r="F103" i="21"/>
  <c r="F103" i="20" s="1"/>
  <c r="G105" i="19"/>
  <c r="V102" i="21"/>
  <c r="B102" i="20"/>
  <c r="W101" i="20"/>
  <c r="AC101" i="20"/>
  <c r="AA101" i="20"/>
  <c r="Y101" i="20"/>
  <c r="Y108" i="21"/>
  <c r="X108" i="21"/>
  <c r="A109" i="21"/>
  <c r="Y109" i="21" l="1"/>
  <c r="A110" i="21"/>
  <c r="X109" i="21"/>
  <c r="W102" i="20"/>
  <c r="AC102" i="20"/>
  <c r="AA102" i="20"/>
  <c r="Y102" i="20"/>
  <c r="AA109" i="2"/>
  <c r="A110" i="2"/>
  <c r="Z109" i="2"/>
  <c r="G106" i="19"/>
  <c r="AD108" i="3"/>
  <c r="AF108" i="3"/>
  <c r="Z108" i="3"/>
  <c r="U104" i="21"/>
  <c r="U104" i="20" s="1"/>
  <c r="D104" i="21"/>
  <c r="D104" i="20" s="1"/>
  <c r="I104" i="21"/>
  <c r="I104" i="20" s="1"/>
  <c r="C104" i="21"/>
  <c r="C104" i="20" s="1"/>
  <c r="E104" i="21"/>
  <c r="E104" i="20" s="1"/>
  <c r="F104" i="21"/>
  <c r="F104" i="20" s="1"/>
  <c r="T104" i="21"/>
  <c r="T104" i="20" s="1"/>
  <c r="G104" i="21"/>
  <c r="G104" i="20" s="1"/>
  <c r="J104" i="21"/>
  <c r="J104" i="20" s="1"/>
  <c r="Q104" i="21"/>
  <c r="Q104" i="20" s="1"/>
  <c r="K104" i="21"/>
  <c r="K104" i="20" s="1"/>
  <c r="H104" i="21"/>
  <c r="H104" i="20" s="1"/>
  <c r="S104" i="21"/>
  <c r="S104" i="20" s="1"/>
  <c r="R104" i="21"/>
  <c r="R104" i="20" s="1"/>
  <c r="M104" i="21"/>
  <c r="M104" i="20" s="1"/>
  <c r="L104" i="21"/>
  <c r="L104" i="20" s="1"/>
  <c r="B104" i="21"/>
  <c r="O104" i="21"/>
  <c r="O104" i="20" s="1"/>
  <c r="N104" i="21"/>
  <c r="N104" i="20" s="1"/>
  <c r="P104" i="21"/>
  <c r="P104" i="20" s="1"/>
  <c r="V103" i="21"/>
  <c r="B103" i="20"/>
  <c r="AB105" i="1"/>
  <c r="D105" i="1" s="1"/>
  <c r="AB106" i="3" s="1"/>
  <c r="AB108" i="19"/>
  <c r="D107" i="19"/>
  <c r="AB106" i="1" l="1"/>
  <c r="D106" i="1" s="1"/>
  <c r="AB107" i="3" s="1"/>
  <c r="D108" i="19"/>
  <c r="AB109" i="19"/>
  <c r="W103" i="20"/>
  <c r="AC103" i="20"/>
  <c r="AA103" i="20"/>
  <c r="Y103" i="20"/>
  <c r="G105" i="21"/>
  <c r="G105" i="20" s="1"/>
  <c r="L105" i="21"/>
  <c r="L105" i="20" s="1"/>
  <c r="F105" i="21"/>
  <c r="F105" i="20" s="1"/>
  <c r="E105" i="21"/>
  <c r="E105" i="20" s="1"/>
  <c r="T105" i="21"/>
  <c r="T105" i="20" s="1"/>
  <c r="M105" i="21"/>
  <c r="M105" i="20" s="1"/>
  <c r="K105" i="21"/>
  <c r="K105" i="20" s="1"/>
  <c r="N105" i="21"/>
  <c r="N105" i="20" s="1"/>
  <c r="D105" i="21"/>
  <c r="D105" i="20" s="1"/>
  <c r="B105" i="21"/>
  <c r="H105" i="21"/>
  <c r="H105" i="20" s="1"/>
  <c r="O105" i="21"/>
  <c r="O105" i="20" s="1"/>
  <c r="U105" i="21"/>
  <c r="U105" i="20" s="1"/>
  <c r="I105" i="21"/>
  <c r="I105" i="20" s="1"/>
  <c r="J105" i="21"/>
  <c r="J105" i="20" s="1"/>
  <c r="R105" i="21"/>
  <c r="R105" i="20" s="1"/>
  <c r="Q105" i="21"/>
  <c r="Q105" i="20" s="1"/>
  <c r="C105" i="21"/>
  <c r="C105" i="20" s="1"/>
  <c r="S105" i="21"/>
  <c r="S105" i="20" s="1"/>
  <c r="P105" i="21"/>
  <c r="P105" i="20" s="1"/>
  <c r="Y110" i="21"/>
  <c r="X110" i="21"/>
  <c r="A111" i="21"/>
  <c r="AA110" i="2"/>
  <c r="A111" i="2"/>
  <c r="Z110" i="2"/>
  <c r="G107" i="19"/>
  <c r="V104" i="21"/>
  <c r="B104" i="20"/>
  <c r="Z109" i="3"/>
  <c r="AF109" i="3"/>
  <c r="AD109" i="3"/>
  <c r="V105" i="20" l="1"/>
  <c r="J8" i="4" s="1"/>
  <c r="B106" i="21"/>
  <c r="E106" i="21"/>
  <c r="E106" i="20" s="1"/>
  <c r="I106" i="21"/>
  <c r="I106" i="20" s="1"/>
  <c r="J106" i="21"/>
  <c r="J106" i="20" s="1"/>
  <c r="Q106" i="21"/>
  <c r="Q106" i="20" s="1"/>
  <c r="M106" i="21"/>
  <c r="M106" i="20" s="1"/>
  <c r="R106" i="21"/>
  <c r="R106" i="20" s="1"/>
  <c r="G106" i="21"/>
  <c r="G106" i="20" s="1"/>
  <c r="T106" i="21"/>
  <c r="T106" i="20" s="1"/>
  <c r="H106" i="21"/>
  <c r="H106" i="20" s="1"/>
  <c r="C106" i="21"/>
  <c r="C106" i="20" s="1"/>
  <c r="S106" i="21"/>
  <c r="S106" i="20" s="1"/>
  <c r="P106" i="21"/>
  <c r="P106" i="20" s="1"/>
  <c r="O106" i="21"/>
  <c r="O106" i="20" s="1"/>
  <c r="U106" i="21"/>
  <c r="U106" i="20" s="1"/>
  <c r="K106" i="21"/>
  <c r="K106" i="20" s="1"/>
  <c r="F106" i="21"/>
  <c r="F106" i="20" s="1"/>
  <c r="D106" i="21"/>
  <c r="D106" i="20" s="1"/>
  <c r="N106" i="21"/>
  <c r="N106" i="20" s="1"/>
  <c r="L106" i="21"/>
  <c r="L106" i="20" s="1"/>
  <c r="AA111" i="2"/>
  <c r="A112" i="2"/>
  <c r="Z111" i="2"/>
  <c r="W104" i="20"/>
  <c r="AC104" i="20"/>
  <c r="AA104" i="20"/>
  <c r="Y104" i="20"/>
  <c r="V105" i="21"/>
  <c r="B105" i="20"/>
  <c r="AB107" i="1"/>
  <c r="D107" i="1" s="1"/>
  <c r="AB108" i="3" s="1"/>
  <c r="AB110" i="19"/>
  <c r="D109" i="19"/>
  <c r="Z110" i="3"/>
  <c r="AF110" i="3"/>
  <c r="AD110" i="3"/>
  <c r="Y111" i="21"/>
  <c r="X111" i="21"/>
  <c r="A112" i="21"/>
  <c r="G108" i="19"/>
  <c r="W105" i="20" l="1"/>
  <c r="X105" i="20" s="1"/>
  <c r="J9" i="4" s="1"/>
  <c r="AC105" i="20"/>
  <c r="AD105" i="20" s="1"/>
  <c r="AA105" i="20"/>
  <c r="AB105" i="20" s="1"/>
  <c r="W105" i="21"/>
  <c r="J83" i="4" s="1"/>
  <c r="Y105" i="20"/>
  <c r="Z105" i="20" s="1"/>
  <c r="J10" i="4" s="1"/>
  <c r="V106" i="21"/>
  <c r="B106" i="20"/>
  <c r="G109" i="19"/>
  <c r="L107" i="21"/>
  <c r="L107" i="20" s="1"/>
  <c r="H107" i="21"/>
  <c r="H107" i="20" s="1"/>
  <c r="C107" i="21"/>
  <c r="C107" i="20" s="1"/>
  <c r="E107" i="21"/>
  <c r="E107" i="20" s="1"/>
  <c r="T107" i="21"/>
  <c r="T107" i="20" s="1"/>
  <c r="P107" i="21"/>
  <c r="P107" i="20" s="1"/>
  <c r="O107" i="21"/>
  <c r="O107" i="20" s="1"/>
  <c r="Q107" i="21"/>
  <c r="Q107" i="20" s="1"/>
  <c r="K107" i="21"/>
  <c r="K107" i="20" s="1"/>
  <c r="F107" i="21"/>
  <c r="F107" i="20" s="1"/>
  <c r="N107" i="21"/>
  <c r="N107" i="20" s="1"/>
  <c r="M107" i="21"/>
  <c r="M107" i="20" s="1"/>
  <c r="G107" i="21"/>
  <c r="G107" i="20" s="1"/>
  <c r="U107" i="21"/>
  <c r="U107" i="20" s="1"/>
  <c r="I107" i="21"/>
  <c r="I107" i="20" s="1"/>
  <c r="J107" i="21"/>
  <c r="J107" i="20" s="1"/>
  <c r="D107" i="21"/>
  <c r="D107" i="20" s="1"/>
  <c r="R107" i="21"/>
  <c r="R107" i="20" s="1"/>
  <c r="S107" i="21"/>
  <c r="S107" i="20" s="1"/>
  <c r="B107" i="21"/>
  <c r="AB108" i="1"/>
  <c r="D108" i="1" s="1"/>
  <c r="AB109" i="3" s="1"/>
  <c r="D110" i="19"/>
  <c r="AB111" i="19"/>
  <c r="Y112" i="21"/>
  <c r="X112" i="21"/>
  <c r="A113" i="21"/>
  <c r="AA112" i="2"/>
  <c r="A113" i="2"/>
  <c r="Z112" i="2"/>
  <c r="Z111" i="3"/>
  <c r="AD111" i="3"/>
  <c r="AF111" i="3"/>
  <c r="W106" i="20" l="1"/>
  <c r="AC106" i="20"/>
  <c r="AA106" i="20"/>
  <c r="Y106" i="20"/>
  <c r="AA113" i="2"/>
  <c r="A114" i="2"/>
  <c r="Z113" i="2"/>
  <c r="V107" i="21"/>
  <c r="B107" i="20"/>
  <c r="Z112" i="3"/>
  <c r="AF112" i="3"/>
  <c r="AD112" i="3"/>
  <c r="Y113" i="21"/>
  <c r="A114" i="21"/>
  <c r="X113" i="21"/>
  <c r="J85" i="4"/>
  <c r="J93" i="4"/>
  <c r="J86" i="4"/>
  <c r="J95" i="4"/>
  <c r="J87" i="4"/>
  <c r="J91" i="4"/>
  <c r="J92" i="4"/>
  <c r="J82" i="4"/>
  <c r="J94" i="4"/>
  <c r="AB109" i="1"/>
  <c r="D109" i="1" s="1"/>
  <c r="AB110" i="3" s="1"/>
  <c r="AB112" i="19"/>
  <c r="D111" i="19"/>
  <c r="J11" i="4"/>
  <c r="J13" i="4" s="1"/>
  <c r="J17" i="4" s="1"/>
  <c r="J12" i="4"/>
  <c r="J89" i="4" s="1"/>
  <c r="G110" i="19"/>
  <c r="R108" i="21"/>
  <c r="R108" i="20" s="1"/>
  <c r="I108" i="21"/>
  <c r="I108" i="20" s="1"/>
  <c r="D108" i="21"/>
  <c r="D108" i="20" s="1"/>
  <c r="H108" i="21"/>
  <c r="H108" i="20" s="1"/>
  <c r="E108" i="21"/>
  <c r="E108" i="20" s="1"/>
  <c r="F108" i="21"/>
  <c r="F108" i="20" s="1"/>
  <c r="M108" i="21"/>
  <c r="M108" i="20" s="1"/>
  <c r="B108" i="21"/>
  <c r="L108" i="21"/>
  <c r="L108" i="20" s="1"/>
  <c r="J108" i="21"/>
  <c r="J108" i="20" s="1"/>
  <c r="G108" i="21"/>
  <c r="G108" i="20" s="1"/>
  <c r="C108" i="21"/>
  <c r="C108" i="20" s="1"/>
  <c r="T108" i="21"/>
  <c r="T108" i="20" s="1"/>
  <c r="U108" i="21"/>
  <c r="U108" i="20" s="1"/>
  <c r="O108" i="21"/>
  <c r="O108" i="20" s="1"/>
  <c r="N108" i="21"/>
  <c r="N108" i="20" s="1"/>
  <c r="P108" i="21"/>
  <c r="P108" i="20" s="1"/>
  <c r="S108" i="21"/>
  <c r="S108" i="20" s="1"/>
  <c r="K108" i="21"/>
  <c r="K108" i="20" s="1"/>
  <c r="Q108" i="21"/>
  <c r="Q108" i="20" s="1"/>
  <c r="Y114" i="21" l="1"/>
  <c r="X114" i="21"/>
  <c r="A115" i="21"/>
  <c r="G111" i="19"/>
  <c r="Z113" i="3"/>
  <c r="AD113" i="3"/>
  <c r="AF113" i="3"/>
  <c r="AB110" i="1"/>
  <c r="D110" i="1" s="1"/>
  <c r="AB111" i="3" s="1"/>
  <c r="AB113" i="19"/>
  <c r="D112" i="19"/>
  <c r="J88" i="4"/>
  <c r="J19" i="4"/>
  <c r="J36" i="4" s="1"/>
  <c r="AA114" i="2"/>
  <c r="A115" i="2"/>
  <c r="Z114" i="2"/>
  <c r="V108" i="21"/>
  <c r="B108" i="20"/>
  <c r="O109" i="21"/>
  <c r="O109" i="20" s="1"/>
  <c r="B109" i="21"/>
  <c r="K109" i="21"/>
  <c r="K109" i="20" s="1"/>
  <c r="J109" i="21"/>
  <c r="J109" i="20" s="1"/>
  <c r="L109" i="21"/>
  <c r="L109" i="20" s="1"/>
  <c r="I109" i="21"/>
  <c r="I109" i="20" s="1"/>
  <c r="M109" i="21"/>
  <c r="M109" i="20" s="1"/>
  <c r="S109" i="21"/>
  <c r="S109" i="20" s="1"/>
  <c r="R109" i="21"/>
  <c r="R109" i="20" s="1"/>
  <c r="N109" i="21"/>
  <c r="N109" i="20" s="1"/>
  <c r="U109" i="21"/>
  <c r="U109" i="20" s="1"/>
  <c r="D109" i="21"/>
  <c r="D109" i="20" s="1"/>
  <c r="E109" i="21"/>
  <c r="E109" i="20" s="1"/>
  <c r="Q109" i="21"/>
  <c r="Q109" i="20" s="1"/>
  <c r="T109" i="21"/>
  <c r="T109" i="20" s="1"/>
  <c r="G109" i="21"/>
  <c r="G109" i="20" s="1"/>
  <c r="H109" i="21"/>
  <c r="H109" i="20" s="1"/>
  <c r="P109" i="21"/>
  <c r="P109" i="20" s="1"/>
  <c r="F109" i="21"/>
  <c r="F109" i="20" s="1"/>
  <c r="C109" i="21"/>
  <c r="C109" i="20" s="1"/>
  <c r="W107" i="20"/>
  <c r="AC107" i="20"/>
  <c r="AA107" i="20"/>
  <c r="Y107" i="20"/>
  <c r="V109" i="21" l="1"/>
  <c r="B109" i="20"/>
  <c r="J20" i="4"/>
  <c r="W108" i="20"/>
  <c r="AC108" i="20"/>
  <c r="AA108" i="20"/>
  <c r="Y108" i="20"/>
  <c r="G112" i="19"/>
  <c r="Y115" i="21"/>
  <c r="X115" i="21"/>
  <c r="A116" i="21"/>
  <c r="AB111" i="1"/>
  <c r="D111" i="1" s="1"/>
  <c r="AB112" i="3" s="1"/>
  <c r="AB114" i="19"/>
  <c r="D113" i="19"/>
  <c r="D110" i="21"/>
  <c r="D110" i="20" s="1"/>
  <c r="M110" i="21"/>
  <c r="M110" i="20" s="1"/>
  <c r="L110" i="21"/>
  <c r="L110" i="20" s="1"/>
  <c r="Q110" i="21"/>
  <c r="Q110" i="20" s="1"/>
  <c r="T110" i="21"/>
  <c r="T110" i="20" s="1"/>
  <c r="H110" i="21"/>
  <c r="H110" i="20" s="1"/>
  <c r="R110" i="21"/>
  <c r="R110" i="20" s="1"/>
  <c r="G110" i="21"/>
  <c r="G110" i="20" s="1"/>
  <c r="I110" i="21"/>
  <c r="I110" i="20" s="1"/>
  <c r="P110" i="21"/>
  <c r="P110" i="20" s="1"/>
  <c r="U110" i="21"/>
  <c r="U110" i="20" s="1"/>
  <c r="F110" i="21"/>
  <c r="F110" i="20" s="1"/>
  <c r="B110" i="21"/>
  <c r="K110" i="21"/>
  <c r="K110" i="20" s="1"/>
  <c r="C110" i="21"/>
  <c r="C110" i="20" s="1"/>
  <c r="O110" i="21"/>
  <c r="O110" i="20" s="1"/>
  <c r="J110" i="21"/>
  <c r="J110" i="20" s="1"/>
  <c r="S110" i="21"/>
  <c r="S110" i="20" s="1"/>
  <c r="N110" i="21"/>
  <c r="N110" i="20" s="1"/>
  <c r="E110" i="21"/>
  <c r="E110" i="20" s="1"/>
  <c r="AA115" i="2"/>
  <c r="A116" i="2"/>
  <c r="Z115" i="2"/>
  <c r="Z114" i="3"/>
  <c r="AD114" i="3"/>
  <c r="AF114" i="3"/>
  <c r="V110" i="21" l="1"/>
  <c r="B110" i="20"/>
  <c r="Y116" i="21"/>
  <c r="X116" i="21"/>
  <c r="A117" i="21"/>
  <c r="J35" i="4"/>
  <c r="J38" i="4" s="1"/>
  <c r="J25" i="4"/>
  <c r="H111" i="21"/>
  <c r="H111" i="20" s="1"/>
  <c r="J111" i="21"/>
  <c r="J111" i="20" s="1"/>
  <c r="I111" i="21"/>
  <c r="I111" i="20" s="1"/>
  <c r="M111" i="21"/>
  <c r="M111" i="20" s="1"/>
  <c r="C111" i="21"/>
  <c r="C111" i="20" s="1"/>
  <c r="E111" i="21"/>
  <c r="E111" i="20" s="1"/>
  <c r="P111" i="21"/>
  <c r="P111" i="20" s="1"/>
  <c r="R111" i="21"/>
  <c r="R111" i="20" s="1"/>
  <c r="O111" i="21"/>
  <c r="O111" i="20" s="1"/>
  <c r="S111" i="21"/>
  <c r="S111" i="20" s="1"/>
  <c r="F111" i="21"/>
  <c r="F111" i="20" s="1"/>
  <c r="U111" i="21"/>
  <c r="U111" i="20" s="1"/>
  <c r="N111" i="21"/>
  <c r="N111" i="20" s="1"/>
  <c r="D111" i="21"/>
  <c r="D111" i="20" s="1"/>
  <c r="B111" i="21"/>
  <c r="G111" i="21"/>
  <c r="G111" i="20" s="1"/>
  <c r="Q111" i="21"/>
  <c r="Q111" i="20" s="1"/>
  <c r="L111" i="21"/>
  <c r="L111" i="20" s="1"/>
  <c r="T111" i="21"/>
  <c r="T111" i="20" s="1"/>
  <c r="K111" i="21"/>
  <c r="K111" i="20" s="1"/>
  <c r="W109" i="20"/>
  <c r="AA109" i="20"/>
  <c r="AC109" i="20"/>
  <c r="Y109" i="20"/>
  <c r="AA116" i="2"/>
  <c r="A117" i="2"/>
  <c r="Z116" i="2"/>
  <c r="G113" i="19"/>
  <c r="Z115" i="3"/>
  <c r="AD115" i="3"/>
  <c r="AF115" i="3"/>
  <c r="AB112" i="1"/>
  <c r="D112" i="1" s="1"/>
  <c r="AB113" i="3" s="1"/>
  <c r="AB115" i="19"/>
  <c r="D114" i="19"/>
  <c r="X117" i="21" l="1"/>
  <c r="A118" i="21"/>
  <c r="Y117" i="21"/>
  <c r="AB113" i="1"/>
  <c r="D113" i="1" s="1"/>
  <c r="AB114" i="3" s="1"/>
  <c r="AB116" i="19"/>
  <c r="D115" i="19"/>
  <c r="Z116" i="3"/>
  <c r="AD116" i="3"/>
  <c r="AF116" i="3"/>
  <c r="G114" i="19"/>
  <c r="Z117" i="2"/>
  <c r="AA117" i="2"/>
  <c r="A118" i="2"/>
  <c r="V111" i="21"/>
  <c r="B111" i="20"/>
  <c r="W110" i="20"/>
  <c r="AC110" i="20"/>
  <c r="AA110" i="20"/>
  <c r="Y110" i="20"/>
  <c r="T112" i="21"/>
  <c r="T112" i="20" s="1"/>
  <c r="M112" i="21"/>
  <c r="M112" i="20" s="1"/>
  <c r="K112" i="21"/>
  <c r="K112" i="20" s="1"/>
  <c r="N112" i="21"/>
  <c r="N112" i="20" s="1"/>
  <c r="F112" i="21"/>
  <c r="F112" i="20" s="1"/>
  <c r="H112" i="21"/>
  <c r="H112" i="20" s="1"/>
  <c r="B112" i="21"/>
  <c r="E112" i="21"/>
  <c r="E112" i="20" s="1"/>
  <c r="O112" i="21"/>
  <c r="O112" i="20" s="1"/>
  <c r="D112" i="21"/>
  <c r="D112" i="20" s="1"/>
  <c r="I112" i="21"/>
  <c r="I112" i="20" s="1"/>
  <c r="S112" i="21"/>
  <c r="S112" i="20" s="1"/>
  <c r="P112" i="21"/>
  <c r="P112" i="20" s="1"/>
  <c r="C112" i="21"/>
  <c r="C112" i="20" s="1"/>
  <c r="J112" i="21"/>
  <c r="J112" i="20" s="1"/>
  <c r="R112" i="21"/>
  <c r="R112" i="20" s="1"/>
  <c r="L112" i="21"/>
  <c r="L112" i="20" s="1"/>
  <c r="Q112" i="21"/>
  <c r="Q112" i="20" s="1"/>
  <c r="G112" i="21"/>
  <c r="G112" i="20" s="1"/>
  <c r="U112" i="21"/>
  <c r="U112" i="20" s="1"/>
  <c r="V112" i="21" l="1"/>
  <c r="B112" i="20"/>
  <c r="Z118" i="2"/>
  <c r="AA118" i="2"/>
  <c r="A119" i="2"/>
  <c r="G115" i="19"/>
  <c r="Z117" i="3"/>
  <c r="AA117" i="3" s="1"/>
  <c r="AD117" i="3"/>
  <c r="AE117" i="3" s="1"/>
  <c r="AF117" i="3"/>
  <c r="AG117" i="3" s="1"/>
  <c r="AB114" i="1"/>
  <c r="D114" i="1" s="1"/>
  <c r="AB115" i="3" s="1"/>
  <c r="AB117" i="19"/>
  <c r="D116" i="19"/>
  <c r="I113" i="21"/>
  <c r="I113" i="20" s="1"/>
  <c r="D113" i="21"/>
  <c r="D113" i="20" s="1"/>
  <c r="N113" i="21"/>
  <c r="N113" i="20" s="1"/>
  <c r="L113" i="21"/>
  <c r="L113" i="20" s="1"/>
  <c r="M113" i="21"/>
  <c r="M113" i="20" s="1"/>
  <c r="C113" i="21"/>
  <c r="C113" i="20" s="1"/>
  <c r="G113" i="21"/>
  <c r="G113" i="20" s="1"/>
  <c r="Q113" i="21"/>
  <c r="Q113" i="20" s="1"/>
  <c r="J113" i="21"/>
  <c r="J113" i="20" s="1"/>
  <c r="K113" i="21"/>
  <c r="K113" i="20" s="1"/>
  <c r="T113" i="21"/>
  <c r="T113" i="20" s="1"/>
  <c r="R113" i="21"/>
  <c r="R113" i="20" s="1"/>
  <c r="F113" i="21"/>
  <c r="F113" i="20" s="1"/>
  <c r="E113" i="21"/>
  <c r="E113" i="20" s="1"/>
  <c r="S113" i="21"/>
  <c r="S113" i="20" s="1"/>
  <c r="H113" i="21"/>
  <c r="H113" i="20" s="1"/>
  <c r="P113" i="21"/>
  <c r="P113" i="20" s="1"/>
  <c r="O113" i="21"/>
  <c r="O113" i="20" s="1"/>
  <c r="U113" i="21"/>
  <c r="U113" i="20" s="1"/>
  <c r="B113" i="21"/>
  <c r="X118" i="21"/>
  <c r="A119" i="21"/>
  <c r="Y118" i="21"/>
  <c r="W111" i="20"/>
  <c r="AC111" i="20"/>
  <c r="AA111" i="20"/>
  <c r="Y111" i="20"/>
  <c r="B114" i="21" l="1"/>
  <c r="J114" i="21"/>
  <c r="J114" i="20" s="1"/>
  <c r="K114" i="21"/>
  <c r="K114" i="20" s="1"/>
  <c r="S114" i="21"/>
  <c r="S114" i="20" s="1"/>
  <c r="R114" i="21"/>
  <c r="R114" i="20" s="1"/>
  <c r="C114" i="21"/>
  <c r="C114" i="20" s="1"/>
  <c r="T114" i="21"/>
  <c r="T114" i="20" s="1"/>
  <c r="H114" i="21"/>
  <c r="H114" i="20" s="1"/>
  <c r="G114" i="21"/>
  <c r="G114" i="20" s="1"/>
  <c r="F114" i="21"/>
  <c r="F114" i="20" s="1"/>
  <c r="D114" i="21"/>
  <c r="D114" i="20" s="1"/>
  <c r="P114" i="21"/>
  <c r="P114" i="20" s="1"/>
  <c r="E114" i="21"/>
  <c r="E114" i="20" s="1"/>
  <c r="L114" i="21"/>
  <c r="L114" i="20" s="1"/>
  <c r="N114" i="21"/>
  <c r="N114" i="20" s="1"/>
  <c r="U114" i="21"/>
  <c r="U114" i="20" s="1"/>
  <c r="M114" i="21"/>
  <c r="M114" i="20" s="1"/>
  <c r="I114" i="21"/>
  <c r="I114" i="20" s="1"/>
  <c r="O114" i="21"/>
  <c r="O114" i="20" s="1"/>
  <c r="Q114" i="21"/>
  <c r="Q114" i="20" s="1"/>
  <c r="Z119" i="2"/>
  <c r="AA119" i="2"/>
  <c r="A120" i="2"/>
  <c r="AF118" i="3"/>
  <c r="Z118" i="3"/>
  <c r="AD118" i="3"/>
  <c r="X119" i="21"/>
  <c r="A120" i="21"/>
  <c r="Y119" i="21"/>
  <c r="G116" i="19"/>
  <c r="AB115" i="1"/>
  <c r="D115" i="1" s="1"/>
  <c r="AB116" i="3" s="1"/>
  <c r="D117" i="19"/>
  <c r="AB118" i="19"/>
  <c r="V113" i="21"/>
  <c r="B113" i="20"/>
  <c r="W112" i="20"/>
  <c r="AA112" i="20"/>
  <c r="AC112" i="20"/>
  <c r="Y112" i="20"/>
  <c r="X120" i="21" l="1"/>
  <c r="A121" i="21"/>
  <c r="Y120" i="21"/>
  <c r="L115" i="21"/>
  <c r="L115" i="20" s="1"/>
  <c r="H115" i="21"/>
  <c r="H115" i="20" s="1"/>
  <c r="I115" i="21"/>
  <c r="I115" i="20" s="1"/>
  <c r="G115" i="21"/>
  <c r="G115" i="20" s="1"/>
  <c r="T115" i="21"/>
  <c r="T115" i="20" s="1"/>
  <c r="P115" i="21"/>
  <c r="P115" i="20" s="1"/>
  <c r="M115" i="21"/>
  <c r="M115" i="20" s="1"/>
  <c r="F115" i="21"/>
  <c r="F115" i="20" s="1"/>
  <c r="E115" i="21"/>
  <c r="E115" i="20" s="1"/>
  <c r="B115" i="21"/>
  <c r="Q115" i="21"/>
  <c r="Q115" i="20" s="1"/>
  <c r="K115" i="21"/>
  <c r="K115" i="20" s="1"/>
  <c r="J115" i="21"/>
  <c r="J115" i="20" s="1"/>
  <c r="D115" i="21"/>
  <c r="D115" i="20" s="1"/>
  <c r="R115" i="21"/>
  <c r="R115" i="20" s="1"/>
  <c r="C115" i="21"/>
  <c r="C115" i="20" s="1"/>
  <c r="O115" i="21"/>
  <c r="O115" i="20" s="1"/>
  <c r="N115" i="21"/>
  <c r="N115" i="20" s="1"/>
  <c r="U115" i="21"/>
  <c r="U115" i="20" s="1"/>
  <c r="S115" i="21"/>
  <c r="S115" i="20" s="1"/>
  <c r="Z120" i="2"/>
  <c r="AA120" i="2"/>
  <c r="A121" i="2"/>
  <c r="G117" i="19"/>
  <c r="AF119" i="3"/>
  <c r="Z119" i="3"/>
  <c r="AD119" i="3"/>
  <c r="AB116" i="1"/>
  <c r="D116" i="1" s="1"/>
  <c r="AB117" i="3" s="1"/>
  <c r="AC117" i="3" s="1"/>
  <c r="AB119" i="19"/>
  <c r="D118" i="19"/>
  <c r="W113" i="20"/>
  <c r="AC113" i="20"/>
  <c r="AA113" i="20"/>
  <c r="Y113" i="20"/>
  <c r="V114" i="21"/>
  <c r="B114" i="20"/>
  <c r="V115" i="21" l="1"/>
  <c r="B115" i="20"/>
  <c r="R116" i="21"/>
  <c r="R116" i="20" s="1"/>
  <c r="G116" i="21"/>
  <c r="G116" i="20" s="1"/>
  <c r="O116" i="21"/>
  <c r="O116" i="20" s="1"/>
  <c r="U116" i="21"/>
  <c r="U116" i="20" s="1"/>
  <c r="K116" i="21"/>
  <c r="K116" i="20" s="1"/>
  <c r="D116" i="21"/>
  <c r="D116" i="20" s="1"/>
  <c r="H116" i="21"/>
  <c r="H116" i="20" s="1"/>
  <c r="B116" i="21"/>
  <c r="E116" i="21"/>
  <c r="E116" i="20" s="1"/>
  <c r="F116" i="21"/>
  <c r="F116" i="20" s="1"/>
  <c r="I116" i="21"/>
  <c r="I116" i="20" s="1"/>
  <c r="N116" i="21"/>
  <c r="N116" i="20" s="1"/>
  <c r="L116" i="21"/>
  <c r="L116" i="20" s="1"/>
  <c r="Q116" i="21"/>
  <c r="Q116" i="20" s="1"/>
  <c r="S116" i="21"/>
  <c r="S116" i="20" s="1"/>
  <c r="J116" i="21"/>
  <c r="J116" i="20" s="1"/>
  <c r="T116" i="21"/>
  <c r="T116" i="20" s="1"/>
  <c r="P116" i="21"/>
  <c r="P116" i="20" s="1"/>
  <c r="M116" i="21"/>
  <c r="M116" i="20" s="1"/>
  <c r="C116" i="21"/>
  <c r="C116" i="20" s="1"/>
  <c r="Z120" i="3"/>
  <c r="AF120" i="3"/>
  <c r="AD120" i="3"/>
  <c r="X121" i="21"/>
  <c r="A122" i="21"/>
  <c r="Y121" i="21"/>
  <c r="G118" i="19"/>
  <c r="Z121" i="2"/>
  <c r="AA121" i="2"/>
  <c r="A122" i="2"/>
  <c r="W114" i="20"/>
  <c r="AC114" i="20"/>
  <c r="AA114" i="20"/>
  <c r="Y114" i="20"/>
  <c r="AB117" i="1"/>
  <c r="D117" i="1" s="1"/>
  <c r="AB118" i="3" s="1"/>
  <c r="AB120" i="19"/>
  <c r="D119" i="19"/>
  <c r="X122" i="21" l="1"/>
  <c r="A123" i="21"/>
  <c r="Y122" i="21"/>
  <c r="Z122" i="2"/>
  <c r="AA122" i="2"/>
  <c r="A123" i="2"/>
  <c r="G119" i="19"/>
  <c r="AB118" i="1"/>
  <c r="D118" i="1" s="1"/>
  <c r="AB119" i="3" s="1"/>
  <c r="AB121" i="19"/>
  <c r="D120" i="19"/>
  <c r="AF121" i="3"/>
  <c r="Z121" i="3"/>
  <c r="AD121" i="3"/>
  <c r="F117" i="21"/>
  <c r="F117" i="20" s="1"/>
  <c r="G117" i="21"/>
  <c r="G117" i="20" s="1"/>
  <c r="Q117" i="21"/>
  <c r="Q117" i="20" s="1"/>
  <c r="E117" i="21"/>
  <c r="E117" i="20" s="1"/>
  <c r="B117" i="21"/>
  <c r="S117" i="21"/>
  <c r="S117" i="20" s="1"/>
  <c r="U117" i="21"/>
  <c r="U117" i="20" s="1"/>
  <c r="J117" i="21"/>
  <c r="J117" i="20" s="1"/>
  <c r="I117" i="21"/>
  <c r="I117" i="20" s="1"/>
  <c r="M117" i="21"/>
  <c r="M117" i="20" s="1"/>
  <c r="L117" i="21"/>
  <c r="L117" i="20" s="1"/>
  <c r="N117" i="21"/>
  <c r="N117" i="20" s="1"/>
  <c r="K117" i="21"/>
  <c r="K117" i="20" s="1"/>
  <c r="O117" i="21"/>
  <c r="O117" i="20" s="1"/>
  <c r="R117" i="21"/>
  <c r="R117" i="20" s="1"/>
  <c r="D117" i="21"/>
  <c r="D117" i="20" s="1"/>
  <c r="H117" i="21"/>
  <c r="H117" i="20" s="1"/>
  <c r="C117" i="21"/>
  <c r="C117" i="20" s="1"/>
  <c r="T117" i="21"/>
  <c r="T117" i="20" s="1"/>
  <c r="P117" i="21"/>
  <c r="P117" i="20" s="1"/>
  <c r="V116" i="21"/>
  <c r="B116" i="20"/>
  <c r="W115" i="20"/>
  <c r="AC115" i="20"/>
  <c r="AA115" i="20"/>
  <c r="Y115" i="20"/>
  <c r="C118" i="21" l="1"/>
  <c r="C118" i="20" s="1"/>
  <c r="B118" i="21"/>
  <c r="K118" i="21"/>
  <c r="K118" i="20" s="1"/>
  <c r="R118" i="21"/>
  <c r="R118" i="20" s="1"/>
  <c r="E118" i="21"/>
  <c r="E118" i="20" s="1"/>
  <c r="S118" i="21"/>
  <c r="S118" i="20" s="1"/>
  <c r="F118" i="21"/>
  <c r="F118" i="20" s="1"/>
  <c r="H118" i="21"/>
  <c r="H118" i="20" s="1"/>
  <c r="G118" i="21"/>
  <c r="G118" i="20" s="1"/>
  <c r="L118" i="21"/>
  <c r="L118" i="20" s="1"/>
  <c r="O118" i="21"/>
  <c r="O118" i="20" s="1"/>
  <c r="P118" i="21"/>
  <c r="P118" i="20" s="1"/>
  <c r="U118" i="21"/>
  <c r="U118" i="20" s="1"/>
  <c r="M118" i="21"/>
  <c r="M118" i="20" s="1"/>
  <c r="I118" i="21"/>
  <c r="I118" i="20" s="1"/>
  <c r="T118" i="21"/>
  <c r="T118" i="20" s="1"/>
  <c r="N118" i="21"/>
  <c r="N118" i="20" s="1"/>
  <c r="Q118" i="21"/>
  <c r="Q118" i="20" s="1"/>
  <c r="J118" i="21"/>
  <c r="J118" i="20" s="1"/>
  <c r="D118" i="21"/>
  <c r="D118" i="20" s="1"/>
  <c r="W116" i="20"/>
  <c r="AC116" i="20"/>
  <c r="AA116" i="20"/>
  <c r="Y116" i="20"/>
  <c r="V117" i="21"/>
  <c r="B117" i="20"/>
  <c r="Z123" i="2"/>
  <c r="AA123" i="2"/>
  <c r="A124" i="2"/>
  <c r="Z122" i="3"/>
  <c r="AF122" i="3"/>
  <c r="AD122" i="3"/>
  <c r="G120" i="19"/>
  <c r="AB119" i="1"/>
  <c r="D119" i="1" s="1"/>
  <c r="AB120" i="3" s="1"/>
  <c r="D121" i="19"/>
  <c r="AB122" i="19"/>
  <c r="X123" i="21"/>
  <c r="A124" i="21"/>
  <c r="Y123" i="21"/>
  <c r="V117" i="20"/>
  <c r="K8" i="4" s="1"/>
  <c r="AB120" i="1" l="1"/>
  <c r="D120" i="1" s="1"/>
  <c r="AB121" i="3" s="1"/>
  <c r="D122" i="19"/>
  <c r="AB123" i="19"/>
  <c r="G121" i="19"/>
  <c r="X124" i="21"/>
  <c r="A125" i="21"/>
  <c r="Y124" i="21"/>
  <c r="Z124" i="2"/>
  <c r="AA124" i="2"/>
  <c r="A125" i="2"/>
  <c r="Z123" i="3"/>
  <c r="AF123" i="3"/>
  <c r="AD123" i="3"/>
  <c r="G119" i="21"/>
  <c r="G119" i="20" s="1"/>
  <c r="P119" i="21"/>
  <c r="P119" i="20" s="1"/>
  <c r="M119" i="21"/>
  <c r="M119" i="20" s="1"/>
  <c r="O119" i="21"/>
  <c r="O119" i="20" s="1"/>
  <c r="T119" i="21"/>
  <c r="T119" i="20" s="1"/>
  <c r="D119" i="21"/>
  <c r="D119" i="20" s="1"/>
  <c r="F119" i="21"/>
  <c r="F119" i="20" s="1"/>
  <c r="I119" i="21"/>
  <c r="I119" i="20" s="1"/>
  <c r="R119" i="21"/>
  <c r="R119" i="20" s="1"/>
  <c r="E119" i="21"/>
  <c r="E119" i="20" s="1"/>
  <c r="C119" i="21"/>
  <c r="C119" i="20" s="1"/>
  <c r="Q119" i="21"/>
  <c r="Q119" i="20" s="1"/>
  <c r="U119" i="21"/>
  <c r="U119" i="20" s="1"/>
  <c r="L119" i="21"/>
  <c r="L119" i="20" s="1"/>
  <c r="K119" i="21"/>
  <c r="K119" i="20" s="1"/>
  <c r="J119" i="21"/>
  <c r="J119" i="20" s="1"/>
  <c r="S119" i="21"/>
  <c r="S119" i="20" s="1"/>
  <c r="B119" i="21"/>
  <c r="H119" i="21"/>
  <c r="H119" i="20" s="1"/>
  <c r="N119" i="21"/>
  <c r="N119" i="20" s="1"/>
  <c r="V118" i="21"/>
  <c r="B118" i="20"/>
  <c r="W117" i="20"/>
  <c r="X117" i="20" s="1"/>
  <c r="K9" i="4" s="1"/>
  <c r="AC117" i="20"/>
  <c r="AD117" i="20" s="1"/>
  <c r="AA117" i="20"/>
  <c r="AB117" i="20" s="1"/>
  <c r="W117" i="21"/>
  <c r="K83" i="4" s="1"/>
  <c r="Y117" i="20"/>
  <c r="Z117" i="20" s="1"/>
  <c r="K10" i="4" s="1"/>
  <c r="Z125" i="2" l="1"/>
  <c r="AA125" i="2"/>
  <c r="A126" i="2"/>
  <c r="K82" i="4"/>
  <c r="K86" i="4" s="1"/>
  <c r="K91" i="4"/>
  <c r="K87" i="4"/>
  <c r="K95" i="4"/>
  <c r="K94" i="4"/>
  <c r="K93" i="4"/>
  <c r="K92" i="4"/>
  <c r="Z124" i="3"/>
  <c r="AF124" i="3"/>
  <c r="AD124" i="3"/>
  <c r="S120" i="21"/>
  <c r="S120" i="20" s="1"/>
  <c r="I120" i="21"/>
  <c r="I120" i="20" s="1"/>
  <c r="B120" i="21"/>
  <c r="Q120" i="21"/>
  <c r="Q120" i="20" s="1"/>
  <c r="R120" i="21"/>
  <c r="R120" i="20" s="1"/>
  <c r="G120" i="21"/>
  <c r="G120" i="20" s="1"/>
  <c r="U120" i="21"/>
  <c r="U120" i="20" s="1"/>
  <c r="E120" i="21"/>
  <c r="E120" i="20" s="1"/>
  <c r="C120" i="21"/>
  <c r="C120" i="20" s="1"/>
  <c r="J120" i="21"/>
  <c r="J120" i="20" s="1"/>
  <c r="D120" i="21"/>
  <c r="D120" i="20" s="1"/>
  <c r="F120" i="21"/>
  <c r="F120" i="20" s="1"/>
  <c r="O120" i="21"/>
  <c r="O120" i="20" s="1"/>
  <c r="M120" i="21"/>
  <c r="M120" i="20" s="1"/>
  <c r="K120" i="21"/>
  <c r="K120" i="20" s="1"/>
  <c r="T120" i="21"/>
  <c r="T120" i="20" s="1"/>
  <c r="L120" i="21"/>
  <c r="L120" i="20" s="1"/>
  <c r="H120" i="21"/>
  <c r="H120" i="20" s="1"/>
  <c r="P120" i="21"/>
  <c r="P120" i="20" s="1"/>
  <c r="N120" i="21"/>
  <c r="N120" i="20" s="1"/>
  <c r="K12" i="4"/>
  <c r="K89" i="4" s="1"/>
  <c r="K11" i="4"/>
  <c r="K13" i="4" s="1"/>
  <c r="K17" i="4" s="1"/>
  <c r="AB121" i="1"/>
  <c r="D121" i="1" s="1"/>
  <c r="AB122" i="3" s="1"/>
  <c r="D123" i="19"/>
  <c r="AB124" i="19"/>
  <c r="AC118" i="20"/>
  <c r="W118" i="20"/>
  <c r="AA118" i="20"/>
  <c r="Y118" i="20"/>
  <c r="G122" i="19"/>
  <c r="V119" i="21"/>
  <c r="B119" i="20"/>
  <c r="X125" i="21"/>
  <c r="A126" i="21"/>
  <c r="Y125" i="21"/>
  <c r="K20" i="4" l="1"/>
  <c r="K19" i="4"/>
  <c r="K36" i="4" s="1"/>
  <c r="X126" i="21"/>
  <c r="A127" i="21"/>
  <c r="Y126" i="21"/>
  <c r="K88" i="4"/>
  <c r="Z126" i="2"/>
  <c r="AA126" i="2"/>
  <c r="A127" i="2"/>
  <c r="W119" i="20"/>
  <c r="AC119" i="20"/>
  <c r="AA119" i="20"/>
  <c r="Y119" i="20"/>
  <c r="AB122" i="1"/>
  <c r="D122" i="1" s="1"/>
  <c r="AB123" i="3" s="1"/>
  <c r="D124" i="19"/>
  <c r="AB125" i="19"/>
  <c r="K85" i="4"/>
  <c r="Z125" i="3"/>
  <c r="AF125" i="3"/>
  <c r="AD125" i="3"/>
  <c r="V120" i="21"/>
  <c r="B120" i="20"/>
  <c r="G123" i="19"/>
  <c r="E121" i="21"/>
  <c r="E121" i="20" s="1"/>
  <c r="U121" i="21"/>
  <c r="U121" i="20" s="1"/>
  <c r="H121" i="21"/>
  <c r="H121" i="20" s="1"/>
  <c r="C121" i="21"/>
  <c r="C121" i="20" s="1"/>
  <c r="R121" i="21"/>
  <c r="R121" i="20" s="1"/>
  <c r="K121" i="21"/>
  <c r="K121" i="20" s="1"/>
  <c r="I121" i="21"/>
  <c r="I121" i="20" s="1"/>
  <c r="T121" i="21"/>
  <c r="T121" i="20" s="1"/>
  <c r="M121" i="21"/>
  <c r="M121" i="20" s="1"/>
  <c r="B121" i="21"/>
  <c r="Q121" i="21"/>
  <c r="Q121" i="20" s="1"/>
  <c r="L121" i="21"/>
  <c r="L121" i="20" s="1"/>
  <c r="P121" i="21"/>
  <c r="P121" i="20" s="1"/>
  <c r="S121" i="21"/>
  <c r="S121" i="20" s="1"/>
  <c r="G121" i="21"/>
  <c r="G121" i="20" s="1"/>
  <c r="N121" i="21"/>
  <c r="N121" i="20" s="1"/>
  <c r="D121" i="21"/>
  <c r="D121" i="20" s="1"/>
  <c r="O121" i="21"/>
  <c r="O121" i="20" s="1"/>
  <c r="F121" i="21"/>
  <c r="F121" i="20" s="1"/>
  <c r="J121" i="21"/>
  <c r="J121" i="20" s="1"/>
  <c r="V121" i="21" l="1"/>
  <c r="B121" i="20"/>
  <c r="W120" i="20"/>
  <c r="AC120" i="20"/>
  <c r="AA120" i="20"/>
  <c r="Y120" i="20"/>
  <c r="G124" i="19"/>
  <c r="X127" i="21"/>
  <c r="A128" i="21"/>
  <c r="Y127" i="21"/>
  <c r="M122" i="21"/>
  <c r="M122" i="20" s="1"/>
  <c r="N122" i="21"/>
  <c r="N122" i="20" s="1"/>
  <c r="D122" i="21"/>
  <c r="D122" i="20" s="1"/>
  <c r="P122" i="21"/>
  <c r="P122" i="20" s="1"/>
  <c r="J122" i="21"/>
  <c r="J122" i="20" s="1"/>
  <c r="F122" i="21"/>
  <c r="F122" i="20" s="1"/>
  <c r="S122" i="21"/>
  <c r="S122" i="20" s="1"/>
  <c r="G122" i="21"/>
  <c r="G122" i="20" s="1"/>
  <c r="E122" i="21"/>
  <c r="E122" i="20" s="1"/>
  <c r="O122" i="21"/>
  <c r="O122" i="20" s="1"/>
  <c r="C122" i="21"/>
  <c r="C122" i="20" s="1"/>
  <c r="I122" i="21"/>
  <c r="I122" i="20" s="1"/>
  <c r="Q122" i="21"/>
  <c r="Q122" i="20" s="1"/>
  <c r="R122" i="21"/>
  <c r="R122" i="20" s="1"/>
  <c r="K122" i="21"/>
  <c r="K122" i="20" s="1"/>
  <c r="B122" i="21"/>
  <c r="H122" i="21"/>
  <c r="H122" i="20" s="1"/>
  <c r="T122" i="21"/>
  <c r="T122" i="20" s="1"/>
  <c r="U122" i="21"/>
  <c r="U122" i="20" s="1"/>
  <c r="L122" i="21"/>
  <c r="L122" i="20" s="1"/>
  <c r="Z127" i="2"/>
  <c r="AA127" i="2"/>
  <c r="A128" i="2"/>
  <c r="AB123" i="1"/>
  <c r="D123" i="1" s="1"/>
  <c r="AB124" i="3" s="1"/>
  <c r="D125" i="19"/>
  <c r="AB126" i="19"/>
  <c r="Z126" i="3"/>
  <c r="AF126" i="3"/>
  <c r="AD126" i="3"/>
  <c r="K35" i="4"/>
  <c r="K38" i="4" s="1"/>
  <c r="K25" i="4"/>
  <c r="AB124" i="1" l="1"/>
  <c r="D124" i="1" s="1"/>
  <c r="AB125" i="3" s="1"/>
  <c r="D126" i="19"/>
  <c r="AB127" i="19"/>
  <c r="V122" i="21"/>
  <c r="B122" i="20"/>
  <c r="Z127" i="3"/>
  <c r="AF127" i="3"/>
  <c r="AD127" i="3"/>
  <c r="G125" i="19"/>
  <c r="X128" i="21"/>
  <c r="A129" i="21"/>
  <c r="Y128" i="21"/>
  <c r="W121" i="20"/>
  <c r="AC121" i="20"/>
  <c r="AA121" i="20"/>
  <c r="Y121" i="20"/>
  <c r="Z128" i="2"/>
  <c r="AA128" i="2"/>
  <c r="A129" i="2"/>
  <c r="K123" i="21"/>
  <c r="K123" i="20" s="1"/>
  <c r="G123" i="21"/>
  <c r="G123" i="20" s="1"/>
  <c r="S123" i="21"/>
  <c r="S123" i="20" s="1"/>
  <c r="O123" i="21"/>
  <c r="O123" i="20" s="1"/>
  <c r="B123" i="21"/>
  <c r="D123" i="21"/>
  <c r="D123" i="20" s="1"/>
  <c r="T123" i="21"/>
  <c r="T123" i="20" s="1"/>
  <c r="N123" i="21"/>
  <c r="N123" i="20" s="1"/>
  <c r="P123" i="21"/>
  <c r="P123" i="20" s="1"/>
  <c r="E123" i="21"/>
  <c r="E123" i="20" s="1"/>
  <c r="L123" i="21"/>
  <c r="L123" i="20" s="1"/>
  <c r="F123" i="21"/>
  <c r="F123" i="20" s="1"/>
  <c r="I123" i="21"/>
  <c r="I123" i="20" s="1"/>
  <c r="M123" i="21"/>
  <c r="M123" i="20" s="1"/>
  <c r="H123" i="21"/>
  <c r="H123" i="20" s="1"/>
  <c r="U123" i="21"/>
  <c r="U123" i="20" s="1"/>
  <c r="R123" i="21"/>
  <c r="R123" i="20" s="1"/>
  <c r="Q123" i="21"/>
  <c r="Q123" i="20" s="1"/>
  <c r="C123" i="21"/>
  <c r="C123" i="20" s="1"/>
  <c r="J123" i="21"/>
  <c r="J123" i="20" s="1"/>
  <c r="V123" i="21" l="1"/>
  <c r="B123" i="20"/>
  <c r="Y129" i="21"/>
  <c r="X129" i="21"/>
  <c r="A130" i="21"/>
  <c r="W122" i="20"/>
  <c r="AC122" i="20"/>
  <c r="AA122" i="20"/>
  <c r="Y122" i="20"/>
  <c r="I124" i="21"/>
  <c r="I124" i="20" s="1"/>
  <c r="U124" i="21"/>
  <c r="U124" i="20" s="1"/>
  <c r="Q124" i="21"/>
  <c r="Q124" i="20" s="1"/>
  <c r="H124" i="21"/>
  <c r="H124" i="20" s="1"/>
  <c r="C124" i="21"/>
  <c r="C124" i="20" s="1"/>
  <c r="G124" i="21"/>
  <c r="G124" i="20" s="1"/>
  <c r="B124" i="21"/>
  <c r="J124" i="21"/>
  <c r="J124" i="20" s="1"/>
  <c r="L124" i="21"/>
  <c r="L124" i="20" s="1"/>
  <c r="K124" i="21"/>
  <c r="K124" i="20" s="1"/>
  <c r="R124" i="21"/>
  <c r="R124" i="20" s="1"/>
  <c r="N124" i="21"/>
  <c r="N124" i="20" s="1"/>
  <c r="S124" i="21"/>
  <c r="S124" i="20" s="1"/>
  <c r="M124" i="21"/>
  <c r="M124" i="20" s="1"/>
  <c r="D124" i="21"/>
  <c r="D124" i="20" s="1"/>
  <c r="P124" i="21"/>
  <c r="P124" i="20" s="1"/>
  <c r="F124" i="21"/>
  <c r="F124" i="20" s="1"/>
  <c r="O124" i="21"/>
  <c r="O124" i="20" s="1"/>
  <c r="T124" i="21"/>
  <c r="T124" i="20" s="1"/>
  <c r="E124" i="21"/>
  <c r="E124" i="20" s="1"/>
  <c r="AB125" i="1"/>
  <c r="D125" i="1" s="1"/>
  <c r="AB126" i="3" s="1"/>
  <c r="D127" i="19"/>
  <c r="AB128" i="19"/>
  <c r="Z129" i="2"/>
  <c r="AA129" i="2"/>
  <c r="A130" i="2"/>
  <c r="G126" i="19"/>
  <c r="Z128" i="3"/>
  <c r="AF128" i="3"/>
  <c r="AD128" i="3"/>
  <c r="Y130" i="21" l="1"/>
  <c r="A131" i="21"/>
  <c r="X130" i="21"/>
  <c r="Z129" i="3"/>
  <c r="AA129" i="3" s="1"/>
  <c r="AF129" i="3"/>
  <c r="AG129" i="3" s="1"/>
  <c r="AD129" i="3"/>
  <c r="AE129" i="3" s="1"/>
  <c r="Z130" i="2"/>
  <c r="AA130" i="2"/>
  <c r="A131" i="2"/>
  <c r="AB126" i="1"/>
  <c r="D126" i="1" s="1"/>
  <c r="AB127" i="3" s="1"/>
  <c r="D128" i="19"/>
  <c r="AB129" i="19"/>
  <c r="G127" i="19"/>
  <c r="V124" i="21"/>
  <c r="B124" i="20"/>
  <c r="W123" i="20"/>
  <c r="AC123" i="20"/>
  <c r="AA123" i="20"/>
  <c r="Y123" i="20"/>
  <c r="P125" i="21"/>
  <c r="P125" i="20" s="1"/>
  <c r="B125" i="21"/>
  <c r="I125" i="21"/>
  <c r="I125" i="20" s="1"/>
  <c r="K125" i="21"/>
  <c r="K125" i="20" s="1"/>
  <c r="R125" i="21"/>
  <c r="R125" i="20" s="1"/>
  <c r="T125" i="21"/>
  <c r="T125" i="20" s="1"/>
  <c r="H125" i="21"/>
  <c r="H125" i="20" s="1"/>
  <c r="M125" i="21"/>
  <c r="M125" i="20" s="1"/>
  <c r="F125" i="21"/>
  <c r="F125" i="20" s="1"/>
  <c r="J125" i="21"/>
  <c r="J125" i="20" s="1"/>
  <c r="E125" i="21"/>
  <c r="E125" i="20" s="1"/>
  <c r="Q125" i="21"/>
  <c r="Q125" i="20" s="1"/>
  <c r="C125" i="21"/>
  <c r="C125" i="20" s="1"/>
  <c r="L125" i="21"/>
  <c r="L125" i="20" s="1"/>
  <c r="N125" i="21"/>
  <c r="N125" i="20" s="1"/>
  <c r="S125" i="21"/>
  <c r="S125" i="20" s="1"/>
  <c r="D125" i="21"/>
  <c r="D125" i="20" s="1"/>
  <c r="G125" i="21"/>
  <c r="G125" i="20" s="1"/>
  <c r="U125" i="21"/>
  <c r="U125" i="20" s="1"/>
  <c r="O125" i="21"/>
  <c r="O125" i="20" s="1"/>
  <c r="AB127" i="1" l="1"/>
  <c r="D127" i="1" s="1"/>
  <c r="AB128" i="3" s="1"/>
  <c r="AB130" i="19"/>
  <c r="D129" i="19"/>
  <c r="AF130" i="3"/>
  <c r="AD130" i="3"/>
  <c r="Z130" i="3"/>
  <c r="W124" i="20"/>
  <c r="AC124" i="20"/>
  <c r="AA124" i="20"/>
  <c r="Y124" i="20"/>
  <c r="V125" i="21"/>
  <c r="B125" i="20"/>
  <c r="C126" i="21"/>
  <c r="C126" i="20" s="1"/>
  <c r="T126" i="21"/>
  <c r="T126" i="20" s="1"/>
  <c r="U126" i="21"/>
  <c r="U126" i="20" s="1"/>
  <c r="J126" i="21"/>
  <c r="J126" i="20" s="1"/>
  <c r="M126" i="21"/>
  <c r="M126" i="20" s="1"/>
  <c r="N126" i="21"/>
  <c r="N126" i="20" s="1"/>
  <c r="K126" i="21"/>
  <c r="K126" i="20" s="1"/>
  <c r="R126" i="21"/>
  <c r="R126" i="20" s="1"/>
  <c r="S126" i="21"/>
  <c r="S126" i="20" s="1"/>
  <c r="D126" i="21"/>
  <c r="D126" i="20" s="1"/>
  <c r="G126" i="21"/>
  <c r="G126" i="20" s="1"/>
  <c r="O126" i="21"/>
  <c r="O126" i="20" s="1"/>
  <c r="B126" i="21"/>
  <c r="H126" i="21"/>
  <c r="H126" i="20" s="1"/>
  <c r="L126" i="21"/>
  <c r="L126" i="20" s="1"/>
  <c r="P126" i="21"/>
  <c r="P126" i="20" s="1"/>
  <c r="E126" i="21"/>
  <c r="E126" i="20" s="1"/>
  <c r="I126" i="21"/>
  <c r="I126" i="20" s="1"/>
  <c r="Q126" i="21"/>
  <c r="Q126" i="20" s="1"/>
  <c r="F126" i="21"/>
  <c r="F126" i="20" s="1"/>
  <c r="G128" i="19"/>
  <c r="Z131" i="2"/>
  <c r="AA131" i="2"/>
  <c r="A132" i="2"/>
  <c r="Y131" i="21"/>
  <c r="X131" i="21"/>
  <c r="A132" i="21"/>
  <c r="Z132" i="2" l="1"/>
  <c r="AA132" i="2"/>
  <c r="A133" i="2"/>
  <c r="Y132" i="21"/>
  <c r="X132" i="21"/>
  <c r="A133" i="21"/>
  <c r="AF131" i="3"/>
  <c r="Z131" i="3"/>
  <c r="AD131" i="3"/>
  <c r="W125" i="20"/>
  <c r="AC125" i="20"/>
  <c r="AA125" i="20"/>
  <c r="Y125" i="20"/>
  <c r="G127" i="21"/>
  <c r="G127" i="20" s="1"/>
  <c r="O127" i="21"/>
  <c r="O127" i="20" s="1"/>
  <c r="H127" i="21"/>
  <c r="H127" i="20" s="1"/>
  <c r="J127" i="21"/>
  <c r="J127" i="20" s="1"/>
  <c r="L127" i="21"/>
  <c r="L127" i="20" s="1"/>
  <c r="B127" i="21"/>
  <c r="P127" i="21"/>
  <c r="P127" i="20" s="1"/>
  <c r="U127" i="21"/>
  <c r="U127" i="20" s="1"/>
  <c r="N127" i="21"/>
  <c r="N127" i="20" s="1"/>
  <c r="T127" i="21"/>
  <c r="T127" i="20" s="1"/>
  <c r="I127" i="21"/>
  <c r="I127" i="20" s="1"/>
  <c r="R127" i="21"/>
  <c r="R127" i="20" s="1"/>
  <c r="Q127" i="21"/>
  <c r="Q127" i="20" s="1"/>
  <c r="D127" i="21"/>
  <c r="D127" i="20" s="1"/>
  <c r="C127" i="21"/>
  <c r="C127" i="20" s="1"/>
  <c r="F127" i="21"/>
  <c r="F127" i="20" s="1"/>
  <c r="E127" i="21"/>
  <c r="E127" i="20" s="1"/>
  <c r="K127" i="21"/>
  <c r="K127" i="20" s="1"/>
  <c r="S127" i="21"/>
  <c r="S127" i="20" s="1"/>
  <c r="M127" i="21"/>
  <c r="M127" i="20" s="1"/>
  <c r="G129" i="19"/>
  <c r="V126" i="21"/>
  <c r="B126" i="20"/>
  <c r="AB128" i="1"/>
  <c r="D128" i="1" s="1"/>
  <c r="AB129" i="3" s="1"/>
  <c r="AC129" i="3" s="1"/>
  <c r="D130" i="19"/>
  <c r="AB131" i="19"/>
  <c r="W126" i="20" l="1"/>
  <c r="AC126" i="20"/>
  <c r="AA126" i="20"/>
  <c r="Y126" i="20"/>
  <c r="Y133" i="21"/>
  <c r="X133" i="21"/>
  <c r="A134" i="21"/>
  <c r="S128" i="21"/>
  <c r="S128" i="20" s="1"/>
  <c r="I128" i="21"/>
  <c r="I128" i="20" s="1"/>
  <c r="Q128" i="21"/>
  <c r="Q128" i="20" s="1"/>
  <c r="B128" i="21"/>
  <c r="G128" i="21"/>
  <c r="G128" i="20" s="1"/>
  <c r="L128" i="21"/>
  <c r="L128" i="20" s="1"/>
  <c r="M128" i="21"/>
  <c r="M128" i="20" s="1"/>
  <c r="R128" i="21"/>
  <c r="R128" i="20" s="1"/>
  <c r="N128" i="21"/>
  <c r="N128" i="20" s="1"/>
  <c r="C128" i="21"/>
  <c r="C128" i="20" s="1"/>
  <c r="E128" i="21"/>
  <c r="E128" i="20" s="1"/>
  <c r="O128" i="21"/>
  <c r="O128" i="20" s="1"/>
  <c r="U128" i="21"/>
  <c r="U128" i="20" s="1"/>
  <c r="D128" i="21"/>
  <c r="D128" i="20" s="1"/>
  <c r="P128" i="21"/>
  <c r="P128" i="20" s="1"/>
  <c r="T128" i="21"/>
  <c r="T128" i="20" s="1"/>
  <c r="F128" i="21"/>
  <c r="F128" i="20" s="1"/>
  <c r="J128" i="21"/>
  <c r="J128" i="20" s="1"/>
  <c r="H128" i="21"/>
  <c r="H128" i="20" s="1"/>
  <c r="K128" i="21"/>
  <c r="K128" i="20" s="1"/>
  <c r="V127" i="21"/>
  <c r="B127" i="20"/>
  <c r="Z133" i="2"/>
  <c r="AA133" i="2"/>
  <c r="A134" i="2"/>
  <c r="Z132" i="3"/>
  <c r="AF132" i="3"/>
  <c r="AD132" i="3"/>
  <c r="AB129" i="1"/>
  <c r="D129" i="1" s="1"/>
  <c r="AB130" i="3" s="1"/>
  <c r="AB132" i="19"/>
  <c r="D131" i="19"/>
  <c r="G130" i="19"/>
  <c r="U129" i="21" l="1"/>
  <c r="U129" i="20" s="1"/>
  <c r="C129" i="21"/>
  <c r="C129" i="20" s="1"/>
  <c r="D129" i="21"/>
  <c r="D129" i="20" s="1"/>
  <c r="K129" i="21"/>
  <c r="K129" i="20" s="1"/>
  <c r="I129" i="21"/>
  <c r="I129" i="20" s="1"/>
  <c r="R129" i="21"/>
  <c r="R129" i="20" s="1"/>
  <c r="S129" i="21"/>
  <c r="S129" i="20" s="1"/>
  <c r="N129" i="21"/>
  <c r="N129" i="20" s="1"/>
  <c r="Q129" i="21"/>
  <c r="Q129" i="20" s="1"/>
  <c r="T129" i="21"/>
  <c r="T129" i="20" s="1"/>
  <c r="G129" i="21"/>
  <c r="G129" i="20" s="1"/>
  <c r="F129" i="21"/>
  <c r="F129" i="20" s="1"/>
  <c r="O129" i="21"/>
  <c r="O129" i="20" s="1"/>
  <c r="M129" i="21"/>
  <c r="M129" i="20" s="1"/>
  <c r="E129" i="21"/>
  <c r="E129" i="20" s="1"/>
  <c r="H129" i="21"/>
  <c r="H129" i="20" s="1"/>
  <c r="L129" i="21"/>
  <c r="L129" i="20" s="1"/>
  <c r="B129" i="21"/>
  <c r="P129" i="21"/>
  <c r="P129" i="20" s="1"/>
  <c r="J129" i="21"/>
  <c r="J129" i="20" s="1"/>
  <c r="Z133" i="3"/>
  <c r="AF133" i="3"/>
  <c r="AD133" i="3"/>
  <c r="Y134" i="21"/>
  <c r="A135" i="21"/>
  <c r="X134" i="21"/>
  <c r="Z134" i="2"/>
  <c r="AA134" i="2"/>
  <c r="A135" i="2"/>
  <c r="G131" i="19"/>
  <c r="AB130" i="1"/>
  <c r="D130" i="1" s="1"/>
  <c r="AB131" i="3" s="1"/>
  <c r="D132" i="19"/>
  <c r="AB133" i="19"/>
  <c r="W127" i="20"/>
  <c r="AC127" i="20"/>
  <c r="AA127" i="20"/>
  <c r="Y127" i="20"/>
  <c r="V128" i="21"/>
  <c r="B128" i="20"/>
  <c r="Y135" i="21" l="1"/>
  <c r="X135" i="21"/>
  <c r="A136" i="21"/>
  <c r="S130" i="21"/>
  <c r="S130" i="20" s="1"/>
  <c r="G130" i="21"/>
  <c r="G130" i="20" s="1"/>
  <c r="D130" i="21"/>
  <c r="D130" i="20" s="1"/>
  <c r="U130" i="21"/>
  <c r="U130" i="20" s="1"/>
  <c r="R130" i="21"/>
  <c r="R130" i="20" s="1"/>
  <c r="F130" i="21"/>
  <c r="F130" i="20" s="1"/>
  <c r="O130" i="21"/>
  <c r="O130" i="20" s="1"/>
  <c r="I130" i="21"/>
  <c r="I130" i="20" s="1"/>
  <c r="L130" i="21"/>
  <c r="L130" i="20" s="1"/>
  <c r="B130" i="21"/>
  <c r="C130" i="21"/>
  <c r="C130" i="20" s="1"/>
  <c r="N130" i="21"/>
  <c r="N130" i="20" s="1"/>
  <c r="J130" i="21"/>
  <c r="J130" i="20" s="1"/>
  <c r="H130" i="21"/>
  <c r="H130" i="20" s="1"/>
  <c r="T130" i="21"/>
  <c r="T130" i="20" s="1"/>
  <c r="P130" i="21"/>
  <c r="P130" i="20" s="1"/>
  <c r="Q130" i="21"/>
  <c r="Q130" i="20" s="1"/>
  <c r="M130" i="21"/>
  <c r="M130" i="20" s="1"/>
  <c r="E130" i="21"/>
  <c r="E130" i="20" s="1"/>
  <c r="K130" i="21"/>
  <c r="K130" i="20" s="1"/>
  <c r="Z134" i="3"/>
  <c r="AF134" i="3"/>
  <c r="AD134" i="3"/>
  <c r="Z135" i="2"/>
  <c r="AA135" i="2"/>
  <c r="A136" i="2"/>
  <c r="W128" i="20"/>
  <c r="AC128" i="20"/>
  <c r="AA128" i="20"/>
  <c r="Y128" i="20"/>
  <c r="G132" i="19"/>
  <c r="V129" i="21"/>
  <c r="B129" i="20"/>
  <c r="AB131" i="1"/>
  <c r="D131" i="1" s="1"/>
  <c r="AB132" i="3" s="1"/>
  <c r="AB134" i="19"/>
  <c r="D133" i="19"/>
  <c r="V129" i="20"/>
  <c r="L8" i="4" s="1"/>
  <c r="W129" i="20" l="1"/>
  <c r="X129" i="20" s="1"/>
  <c r="L9" i="4" s="1"/>
  <c r="AC129" i="20"/>
  <c r="AD129" i="20" s="1"/>
  <c r="AA129" i="20"/>
  <c r="AB129" i="20" s="1"/>
  <c r="W129" i="21"/>
  <c r="L83" i="4" s="1"/>
  <c r="Y129" i="20"/>
  <c r="Z129" i="20" s="1"/>
  <c r="L10" i="4" s="1"/>
  <c r="Y136" i="21"/>
  <c r="X136" i="21"/>
  <c r="A137" i="21"/>
  <c r="G133" i="19"/>
  <c r="AB132" i="1"/>
  <c r="D132" i="1" s="1"/>
  <c r="AB133" i="3" s="1"/>
  <c r="D134" i="19"/>
  <c r="AB135" i="19"/>
  <c r="J131" i="21"/>
  <c r="J131" i="20" s="1"/>
  <c r="F131" i="21"/>
  <c r="F131" i="20" s="1"/>
  <c r="Q131" i="21"/>
  <c r="Q131" i="20" s="1"/>
  <c r="E131" i="21"/>
  <c r="E131" i="20" s="1"/>
  <c r="R131" i="21"/>
  <c r="R131" i="20" s="1"/>
  <c r="N131" i="21"/>
  <c r="N131" i="20" s="1"/>
  <c r="G131" i="21"/>
  <c r="G131" i="20" s="1"/>
  <c r="I131" i="21"/>
  <c r="I131" i="20" s="1"/>
  <c r="T131" i="21"/>
  <c r="T131" i="20" s="1"/>
  <c r="H131" i="21"/>
  <c r="H131" i="20" s="1"/>
  <c r="M131" i="21"/>
  <c r="M131" i="20" s="1"/>
  <c r="O131" i="21"/>
  <c r="O131" i="20" s="1"/>
  <c r="L131" i="21"/>
  <c r="L131" i="20" s="1"/>
  <c r="P131" i="21"/>
  <c r="P131" i="20" s="1"/>
  <c r="D131" i="21"/>
  <c r="D131" i="20" s="1"/>
  <c r="B131" i="21"/>
  <c r="U131" i="21"/>
  <c r="U131" i="20" s="1"/>
  <c r="C131" i="21"/>
  <c r="C131" i="20" s="1"/>
  <c r="S131" i="21"/>
  <c r="S131" i="20" s="1"/>
  <c r="K131" i="21"/>
  <c r="K131" i="20" s="1"/>
  <c r="Z136" i="2"/>
  <c r="AA136" i="2"/>
  <c r="A137" i="2"/>
  <c r="V130" i="21"/>
  <c r="B130" i="20"/>
  <c r="Z135" i="3"/>
  <c r="AF135" i="3"/>
  <c r="AD135" i="3"/>
  <c r="Z136" i="3" l="1"/>
  <c r="AF136" i="3"/>
  <c r="AD136" i="3"/>
  <c r="G134" i="19"/>
  <c r="L82" i="4"/>
  <c r="L85" i="4" s="1"/>
  <c r="L87" i="4"/>
  <c r="L92" i="4"/>
  <c r="L94" i="4"/>
  <c r="L91" i="4"/>
  <c r="L93" i="4"/>
  <c r="L95" i="4"/>
  <c r="Y137" i="21"/>
  <c r="X137" i="21"/>
  <c r="A138" i="21"/>
  <c r="AC130" i="20"/>
  <c r="W130" i="20"/>
  <c r="AA130" i="20"/>
  <c r="Y130" i="20"/>
  <c r="V131" i="21"/>
  <c r="B131" i="20"/>
  <c r="Z137" i="2"/>
  <c r="AA137" i="2"/>
  <c r="A138" i="2"/>
  <c r="AB133" i="1"/>
  <c r="D133" i="1" s="1"/>
  <c r="AB134" i="3" s="1"/>
  <c r="AB136" i="19"/>
  <c r="D135" i="19"/>
  <c r="L11" i="4"/>
  <c r="L13" i="4" s="1"/>
  <c r="L17" i="4" s="1"/>
  <c r="L12" i="4"/>
  <c r="L89" i="4" s="1"/>
  <c r="H132" i="21"/>
  <c r="H132" i="20" s="1"/>
  <c r="O132" i="21"/>
  <c r="O132" i="20" s="1"/>
  <c r="Q132" i="21"/>
  <c r="Q132" i="20" s="1"/>
  <c r="L132" i="21"/>
  <c r="L132" i="20" s="1"/>
  <c r="P132" i="21"/>
  <c r="P132" i="20" s="1"/>
  <c r="E132" i="21"/>
  <c r="E132" i="20" s="1"/>
  <c r="G132" i="21"/>
  <c r="G132" i="20" s="1"/>
  <c r="B132" i="21"/>
  <c r="F132" i="21"/>
  <c r="F132" i="20" s="1"/>
  <c r="S132" i="21"/>
  <c r="S132" i="20" s="1"/>
  <c r="K132" i="21"/>
  <c r="K132" i="20" s="1"/>
  <c r="M132" i="21"/>
  <c r="M132" i="20" s="1"/>
  <c r="U132" i="21"/>
  <c r="U132" i="20" s="1"/>
  <c r="C132" i="21"/>
  <c r="C132" i="20" s="1"/>
  <c r="J132" i="21"/>
  <c r="J132" i="20" s="1"/>
  <c r="R132" i="21"/>
  <c r="R132" i="20" s="1"/>
  <c r="N132" i="21"/>
  <c r="N132" i="20" s="1"/>
  <c r="T132" i="21"/>
  <c r="T132" i="20" s="1"/>
  <c r="D132" i="21"/>
  <c r="D132" i="20" s="1"/>
  <c r="I132" i="21"/>
  <c r="I132" i="20" s="1"/>
  <c r="L19" i="4" l="1"/>
  <c r="L36" i="4" s="1"/>
  <c r="AB134" i="1"/>
  <c r="D134" i="1" s="1"/>
  <c r="AB135" i="3" s="1"/>
  <c r="AB137" i="19"/>
  <c r="D136" i="19"/>
  <c r="Z138" i="2"/>
  <c r="AA138" i="2"/>
  <c r="A139" i="2"/>
  <c r="Z137" i="3"/>
  <c r="AF137" i="3"/>
  <c r="AD137" i="3"/>
  <c r="L88" i="4"/>
  <c r="D133" i="21"/>
  <c r="D133" i="20" s="1"/>
  <c r="E133" i="21"/>
  <c r="E133" i="20" s="1"/>
  <c r="M133" i="21"/>
  <c r="M133" i="20" s="1"/>
  <c r="H133" i="21"/>
  <c r="H133" i="20" s="1"/>
  <c r="Q133" i="21"/>
  <c r="Q133" i="20" s="1"/>
  <c r="S133" i="21"/>
  <c r="S133" i="20" s="1"/>
  <c r="I133" i="21"/>
  <c r="I133" i="20" s="1"/>
  <c r="J133" i="21"/>
  <c r="J133" i="20" s="1"/>
  <c r="U133" i="21"/>
  <c r="U133" i="20" s="1"/>
  <c r="K133" i="21"/>
  <c r="K133" i="20" s="1"/>
  <c r="C133" i="21"/>
  <c r="C133" i="20" s="1"/>
  <c r="G133" i="21"/>
  <c r="G133" i="20" s="1"/>
  <c r="L133" i="21"/>
  <c r="L133" i="20" s="1"/>
  <c r="T133" i="21"/>
  <c r="T133" i="20" s="1"/>
  <c r="B133" i="21"/>
  <c r="F133" i="21"/>
  <c r="F133" i="20" s="1"/>
  <c r="O133" i="21"/>
  <c r="O133" i="20" s="1"/>
  <c r="R133" i="21"/>
  <c r="R133" i="20" s="1"/>
  <c r="N133" i="21"/>
  <c r="N133" i="20" s="1"/>
  <c r="P133" i="21"/>
  <c r="P133" i="20" s="1"/>
  <c r="V132" i="21"/>
  <c r="B132" i="20"/>
  <c r="L86" i="4"/>
  <c r="G135" i="19"/>
  <c r="W131" i="20"/>
  <c r="AC131" i="20"/>
  <c r="AA131" i="20"/>
  <c r="Y131" i="20"/>
  <c r="Y138" i="21"/>
  <c r="A139" i="21"/>
  <c r="X138" i="21"/>
  <c r="V133" i="21" l="1"/>
  <c r="B133" i="20"/>
  <c r="W132" i="20"/>
  <c r="AC132" i="20"/>
  <c r="AA132" i="20"/>
  <c r="Y132" i="20"/>
  <c r="Z138" i="3"/>
  <c r="AF138" i="3"/>
  <c r="AD138" i="3"/>
  <c r="B134" i="21"/>
  <c r="J134" i="21"/>
  <c r="J134" i="20" s="1"/>
  <c r="K134" i="21"/>
  <c r="K134" i="20" s="1"/>
  <c r="R134" i="21"/>
  <c r="R134" i="20" s="1"/>
  <c r="O134" i="21"/>
  <c r="O134" i="20" s="1"/>
  <c r="C134" i="21"/>
  <c r="C134" i="20" s="1"/>
  <c r="F134" i="21"/>
  <c r="F134" i="20" s="1"/>
  <c r="U134" i="21"/>
  <c r="U134" i="20" s="1"/>
  <c r="L134" i="21"/>
  <c r="L134" i="20" s="1"/>
  <c r="N134" i="21"/>
  <c r="N134" i="20" s="1"/>
  <c r="T134" i="21"/>
  <c r="T134" i="20" s="1"/>
  <c r="Q134" i="21"/>
  <c r="Q134" i="20" s="1"/>
  <c r="E134" i="21"/>
  <c r="E134" i="20" s="1"/>
  <c r="S134" i="21"/>
  <c r="S134" i="20" s="1"/>
  <c r="D134" i="21"/>
  <c r="D134" i="20" s="1"/>
  <c r="M134" i="21"/>
  <c r="M134" i="20" s="1"/>
  <c r="H134" i="21"/>
  <c r="H134" i="20" s="1"/>
  <c r="P134" i="21"/>
  <c r="P134" i="20" s="1"/>
  <c r="G134" i="21"/>
  <c r="G134" i="20" s="1"/>
  <c r="I134" i="21"/>
  <c r="I134" i="20" s="1"/>
  <c r="Y139" i="21"/>
  <c r="A140" i="21"/>
  <c r="X139" i="21"/>
  <c r="G136" i="19"/>
  <c r="L20" i="4"/>
  <c r="AB135" i="1"/>
  <c r="D135" i="1" s="1"/>
  <c r="AB136" i="3" s="1"/>
  <c r="AB138" i="19"/>
  <c r="D137" i="19"/>
  <c r="Z139" i="2"/>
  <c r="AA139" i="2"/>
  <c r="A140" i="2"/>
  <c r="G137" i="19" l="1"/>
  <c r="L35" i="4"/>
  <c r="L38" i="4" s="1"/>
  <c r="L25" i="4"/>
  <c r="Z140" i="2"/>
  <c r="AA140" i="2"/>
  <c r="A141" i="2"/>
  <c r="Z139" i="3"/>
  <c r="AF139" i="3"/>
  <c r="AD139" i="3"/>
  <c r="F135" i="21"/>
  <c r="F135" i="20" s="1"/>
  <c r="S135" i="21"/>
  <c r="S135" i="20" s="1"/>
  <c r="N135" i="21"/>
  <c r="N135" i="20" s="1"/>
  <c r="L135" i="21"/>
  <c r="L135" i="20" s="1"/>
  <c r="H135" i="21"/>
  <c r="H135" i="20" s="1"/>
  <c r="T135" i="21"/>
  <c r="T135" i="20" s="1"/>
  <c r="U135" i="21"/>
  <c r="U135" i="20" s="1"/>
  <c r="C135" i="21"/>
  <c r="C135" i="20" s="1"/>
  <c r="E135" i="21"/>
  <c r="E135" i="20" s="1"/>
  <c r="B135" i="21"/>
  <c r="P135" i="21"/>
  <c r="P135" i="20" s="1"/>
  <c r="Q135" i="21"/>
  <c r="Q135" i="20" s="1"/>
  <c r="J135" i="21"/>
  <c r="J135" i="20" s="1"/>
  <c r="I135" i="21"/>
  <c r="I135" i="20" s="1"/>
  <c r="O135" i="21"/>
  <c r="O135" i="20" s="1"/>
  <c r="D135" i="21"/>
  <c r="D135" i="20" s="1"/>
  <c r="R135" i="21"/>
  <c r="R135" i="20" s="1"/>
  <c r="M135" i="21"/>
  <c r="M135" i="20" s="1"/>
  <c r="G135" i="21"/>
  <c r="G135" i="20" s="1"/>
  <c r="K135" i="21"/>
  <c r="K135" i="20" s="1"/>
  <c r="V134" i="21"/>
  <c r="B134" i="20"/>
  <c r="W133" i="20"/>
  <c r="AC133" i="20"/>
  <c r="AA133" i="20"/>
  <c r="Y133" i="20"/>
  <c r="AB136" i="1"/>
  <c r="D136" i="1" s="1"/>
  <c r="AB137" i="3" s="1"/>
  <c r="D138" i="19"/>
  <c r="AB139" i="19"/>
  <c r="Y140" i="21"/>
  <c r="X140" i="21"/>
  <c r="A141" i="21"/>
  <c r="AB137" i="1" l="1"/>
  <c r="D137" i="1" s="1"/>
  <c r="AB138" i="3" s="1"/>
  <c r="AB140" i="19"/>
  <c r="D139" i="19"/>
  <c r="V135" i="21"/>
  <c r="B135" i="20"/>
  <c r="W134" i="20"/>
  <c r="AC134" i="20"/>
  <c r="AA134" i="20"/>
  <c r="Y134" i="20"/>
  <c r="A142" i="21"/>
  <c r="X141" i="21"/>
  <c r="Y141" i="21"/>
  <c r="R136" i="21"/>
  <c r="R136" i="20" s="1"/>
  <c r="H136" i="21"/>
  <c r="H136" i="20" s="1"/>
  <c r="U136" i="21"/>
  <c r="U136" i="20" s="1"/>
  <c r="L136" i="21"/>
  <c r="L136" i="20" s="1"/>
  <c r="C136" i="21"/>
  <c r="C136" i="20" s="1"/>
  <c r="T136" i="21"/>
  <c r="T136" i="20" s="1"/>
  <c r="P136" i="21"/>
  <c r="P136" i="20" s="1"/>
  <c r="O136" i="21"/>
  <c r="O136" i="20" s="1"/>
  <c r="F136" i="21"/>
  <c r="F136" i="20" s="1"/>
  <c r="M136" i="21"/>
  <c r="M136" i="20" s="1"/>
  <c r="B136" i="21"/>
  <c r="Q136" i="21"/>
  <c r="Q136" i="20" s="1"/>
  <c r="N136" i="21"/>
  <c r="N136" i="20" s="1"/>
  <c r="S136" i="21"/>
  <c r="S136" i="20" s="1"/>
  <c r="K136" i="21"/>
  <c r="K136" i="20" s="1"/>
  <c r="J136" i="21"/>
  <c r="J136" i="20" s="1"/>
  <c r="D136" i="21"/>
  <c r="D136" i="20" s="1"/>
  <c r="G136" i="21"/>
  <c r="G136" i="20" s="1"/>
  <c r="I136" i="21"/>
  <c r="I136" i="20" s="1"/>
  <c r="E136" i="21"/>
  <c r="E136" i="20" s="1"/>
  <c r="Z141" i="2"/>
  <c r="A142" i="2"/>
  <c r="AA141" i="2"/>
  <c r="G138" i="19"/>
  <c r="Z140" i="3"/>
  <c r="AF140" i="3"/>
  <c r="AD140" i="3"/>
  <c r="Z141" i="3" l="1"/>
  <c r="AA141" i="3" s="1"/>
  <c r="AF141" i="3"/>
  <c r="AG141" i="3" s="1"/>
  <c r="AD141" i="3"/>
  <c r="AE141" i="3" s="1"/>
  <c r="W135" i="20"/>
  <c r="AC135" i="20"/>
  <c r="AA135" i="20"/>
  <c r="Y135" i="20"/>
  <c r="V136" i="21"/>
  <c r="B136" i="20"/>
  <c r="G139" i="19"/>
  <c r="Z142" i="2"/>
  <c r="AA142" i="2"/>
  <c r="A143" i="2"/>
  <c r="L137" i="21"/>
  <c r="L137" i="20" s="1"/>
  <c r="E137" i="21"/>
  <c r="E137" i="20" s="1"/>
  <c r="I137" i="21"/>
  <c r="I137" i="20" s="1"/>
  <c r="B137" i="21"/>
  <c r="K137" i="21"/>
  <c r="K137" i="20" s="1"/>
  <c r="M137" i="21"/>
  <c r="M137" i="20" s="1"/>
  <c r="U137" i="21"/>
  <c r="U137" i="20" s="1"/>
  <c r="J137" i="21"/>
  <c r="J137" i="20" s="1"/>
  <c r="H137" i="21"/>
  <c r="H137" i="20" s="1"/>
  <c r="D137" i="21"/>
  <c r="D137" i="20" s="1"/>
  <c r="P137" i="21"/>
  <c r="P137" i="20" s="1"/>
  <c r="R137" i="21"/>
  <c r="R137" i="20" s="1"/>
  <c r="F137" i="21"/>
  <c r="F137" i="20" s="1"/>
  <c r="T137" i="21"/>
  <c r="T137" i="20" s="1"/>
  <c r="N137" i="21"/>
  <c r="N137" i="20" s="1"/>
  <c r="Q137" i="21"/>
  <c r="Q137" i="20" s="1"/>
  <c r="S137" i="21"/>
  <c r="S137" i="20" s="1"/>
  <c r="C137" i="21"/>
  <c r="C137" i="20" s="1"/>
  <c r="O137" i="21"/>
  <c r="O137" i="20" s="1"/>
  <c r="G137" i="21"/>
  <c r="G137" i="20" s="1"/>
  <c r="AB138" i="1"/>
  <c r="D138" i="1" s="1"/>
  <c r="AB139" i="3" s="1"/>
  <c r="AB141" i="19"/>
  <c r="D140" i="19"/>
  <c r="A143" i="21"/>
  <c r="X142" i="21"/>
  <c r="Y142" i="21"/>
  <c r="AD142" i="3" l="1"/>
  <c r="AF142" i="3"/>
  <c r="Z142" i="3"/>
  <c r="W136" i="20"/>
  <c r="AC136" i="20"/>
  <c r="AA136" i="20"/>
  <c r="Y136" i="20"/>
  <c r="A144" i="21"/>
  <c r="X143" i="21"/>
  <c r="Y143" i="21"/>
  <c r="Z143" i="2"/>
  <c r="AA143" i="2"/>
  <c r="A144" i="2"/>
  <c r="G140" i="19"/>
  <c r="AB139" i="1"/>
  <c r="D139" i="1" s="1"/>
  <c r="AB140" i="3" s="1"/>
  <c r="D141" i="19"/>
  <c r="AB142" i="19"/>
  <c r="V137" i="21"/>
  <c r="B137" i="20"/>
  <c r="T138" i="21"/>
  <c r="T138" i="20" s="1"/>
  <c r="M138" i="21"/>
  <c r="M138" i="20" s="1"/>
  <c r="G138" i="21"/>
  <c r="G138" i="20" s="1"/>
  <c r="K138" i="21"/>
  <c r="K138" i="20" s="1"/>
  <c r="L138" i="21"/>
  <c r="L138" i="20" s="1"/>
  <c r="C138" i="21"/>
  <c r="C138" i="20" s="1"/>
  <c r="Q138" i="21"/>
  <c r="Q138" i="20" s="1"/>
  <c r="R138" i="21"/>
  <c r="R138" i="20" s="1"/>
  <c r="F138" i="21"/>
  <c r="F138" i="20" s="1"/>
  <c r="U138" i="21"/>
  <c r="U138" i="20" s="1"/>
  <c r="I138" i="21"/>
  <c r="I138" i="20" s="1"/>
  <c r="N138" i="21"/>
  <c r="N138" i="20" s="1"/>
  <c r="E138" i="21"/>
  <c r="E138" i="20" s="1"/>
  <c r="B138" i="21"/>
  <c r="H138" i="21"/>
  <c r="H138" i="20" s="1"/>
  <c r="P138" i="21"/>
  <c r="P138" i="20" s="1"/>
  <c r="S138" i="21"/>
  <c r="S138" i="20" s="1"/>
  <c r="J138" i="21"/>
  <c r="J138" i="20" s="1"/>
  <c r="O138" i="21"/>
  <c r="O138" i="20" s="1"/>
  <c r="D138" i="21"/>
  <c r="D138" i="20" s="1"/>
  <c r="Z144" i="2" l="1"/>
  <c r="AA144" i="2"/>
  <c r="A145" i="2"/>
  <c r="A145" i="21"/>
  <c r="X144" i="21"/>
  <c r="Y144" i="21"/>
  <c r="W137" i="20"/>
  <c r="AC137" i="20"/>
  <c r="AA137" i="20"/>
  <c r="Y137" i="20"/>
  <c r="J139" i="21"/>
  <c r="J139" i="20" s="1"/>
  <c r="F139" i="21"/>
  <c r="F139" i="20" s="1"/>
  <c r="R139" i="21"/>
  <c r="R139" i="20" s="1"/>
  <c r="N139" i="21"/>
  <c r="N139" i="20" s="1"/>
  <c r="U139" i="21"/>
  <c r="U139" i="20" s="1"/>
  <c r="C139" i="21"/>
  <c r="C139" i="20" s="1"/>
  <c r="I139" i="21"/>
  <c r="I139" i="20" s="1"/>
  <c r="L139" i="21"/>
  <c r="L139" i="20" s="1"/>
  <c r="S139" i="21"/>
  <c r="S139" i="20" s="1"/>
  <c r="H139" i="21"/>
  <c r="H139" i="20" s="1"/>
  <c r="G139" i="21"/>
  <c r="G139" i="20" s="1"/>
  <c r="E139" i="21"/>
  <c r="E139" i="20" s="1"/>
  <c r="D139" i="21"/>
  <c r="D139" i="20" s="1"/>
  <c r="K139" i="21"/>
  <c r="K139" i="20" s="1"/>
  <c r="Q139" i="21"/>
  <c r="Q139" i="20" s="1"/>
  <c r="O139" i="21"/>
  <c r="O139" i="20" s="1"/>
  <c r="P139" i="21"/>
  <c r="P139" i="20" s="1"/>
  <c r="M139" i="21"/>
  <c r="M139" i="20" s="1"/>
  <c r="T139" i="21"/>
  <c r="T139" i="20" s="1"/>
  <c r="B139" i="21"/>
  <c r="Z143" i="3"/>
  <c r="AF143" i="3"/>
  <c r="AD143" i="3"/>
  <c r="V138" i="21"/>
  <c r="B138" i="20"/>
  <c r="AB140" i="1"/>
  <c r="D140" i="1" s="1"/>
  <c r="AB141" i="3" s="1"/>
  <c r="AC141" i="3" s="1"/>
  <c r="AB143" i="19"/>
  <c r="D142" i="19"/>
  <c r="G141" i="19"/>
  <c r="H140" i="21" l="1"/>
  <c r="H140" i="20" s="1"/>
  <c r="I140" i="21"/>
  <c r="I140" i="20" s="1"/>
  <c r="L140" i="21"/>
  <c r="L140" i="20" s="1"/>
  <c r="P140" i="21"/>
  <c r="P140" i="20" s="1"/>
  <c r="U140" i="21"/>
  <c r="U140" i="20" s="1"/>
  <c r="B140" i="21"/>
  <c r="F140" i="21"/>
  <c r="F140" i="20" s="1"/>
  <c r="T140" i="21"/>
  <c r="T140" i="20" s="1"/>
  <c r="E140" i="21"/>
  <c r="E140" i="20" s="1"/>
  <c r="J140" i="21"/>
  <c r="J140" i="20" s="1"/>
  <c r="O140" i="21"/>
  <c r="O140" i="20" s="1"/>
  <c r="R140" i="21"/>
  <c r="R140" i="20" s="1"/>
  <c r="N140" i="21"/>
  <c r="N140" i="20" s="1"/>
  <c r="K140" i="21"/>
  <c r="K140" i="20" s="1"/>
  <c r="M140" i="21"/>
  <c r="M140" i="20" s="1"/>
  <c r="S140" i="21"/>
  <c r="S140" i="20" s="1"/>
  <c r="D140" i="21"/>
  <c r="D140" i="20" s="1"/>
  <c r="C140" i="21"/>
  <c r="C140" i="20" s="1"/>
  <c r="G140" i="21"/>
  <c r="G140" i="20" s="1"/>
  <c r="Q140" i="21"/>
  <c r="Q140" i="20" s="1"/>
  <c r="G142" i="19"/>
  <c r="Z144" i="3"/>
  <c r="AF144" i="3"/>
  <c r="AD144" i="3"/>
  <c r="AB141" i="1"/>
  <c r="D141" i="1" s="1"/>
  <c r="AB142" i="3" s="1"/>
  <c r="D143" i="19"/>
  <c r="AB144" i="19"/>
  <c r="V139" i="21"/>
  <c r="B139" i="20"/>
  <c r="A146" i="21"/>
  <c r="X145" i="21"/>
  <c r="Y145" i="21"/>
  <c r="W138" i="20"/>
  <c r="AC138" i="20"/>
  <c r="AA138" i="20"/>
  <c r="Y138" i="20"/>
  <c r="Z145" i="2"/>
  <c r="A146" i="2"/>
  <c r="AA145" i="2"/>
  <c r="AB142" i="1" l="1"/>
  <c r="D142" i="1" s="1"/>
  <c r="AB143" i="3" s="1"/>
  <c r="AB145" i="19"/>
  <c r="D144" i="19"/>
  <c r="Z145" i="3"/>
  <c r="AF145" i="3"/>
  <c r="AD145" i="3"/>
  <c r="Z146" i="2"/>
  <c r="AA146" i="2"/>
  <c r="A147" i="2"/>
  <c r="A147" i="21"/>
  <c r="X146" i="21"/>
  <c r="Y146" i="21"/>
  <c r="G141" i="21"/>
  <c r="G141" i="20" s="1"/>
  <c r="T141" i="21"/>
  <c r="T141" i="20" s="1"/>
  <c r="C141" i="21"/>
  <c r="C141" i="20" s="1"/>
  <c r="M141" i="21"/>
  <c r="M141" i="20" s="1"/>
  <c r="H141" i="21"/>
  <c r="H141" i="20" s="1"/>
  <c r="K141" i="21"/>
  <c r="K141" i="20" s="1"/>
  <c r="J141" i="21"/>
  <c r="J141" i="20" s="1"/>
  <c r="D141" i="21"/>
  <c r="D141" i="20" s="1"/>
  <c r="E141" i="21"/>
  <c r="E141" i="20" s="1"/>
  <c r="Q141" i="21"/>
  <c r="Q141" i="20" s="1"/>
  <c r="B141" i="21"/>
  <c r="R141" i="21"/>
  <c r="R141" i="20" s="1"/>
  <c r="P141" i="21"/>
  <c r="P141" i="20" s="1"/>
  <c r="F141" i="21"/>
  <c r="F141" i="20" s="1"/>
  <c r="S141" i="21"/>
  <c r="S141" i="20" s="1"/>
  <c r="L141" i="21"/>
  <c r="L141" i="20" s="1"/>
  <c r="O141" i="21"/>
  <c r="O141" i="20" s="1"/>
  <c r="N141" i="21"/>
  <c r="N141" i="20" s="1"/>
  <c r="I141" i="21"/>
  <c r="I141" i="20" s="1"/>
  <c r="U141" i="21"/>
  <c r="U141" i="20" s="1"/>
  <c r="V140" i="21"/>
  <c r="B140" i="20"/>
  <c r="W139" i="20"/>
  <c r="AC139" i="20"/>
  <c r="AA139" i="20"/>
  <c r="Y139" i="20"/>
  <c r="G143" i="19"/>
  <c r="V141" i="20" l="1"/>
  <c r="M8" i="4" s="1"/>
  <c r="A148" i="21"/>
  <c r="X147" i="21"/>
  <c r="Y147" i="21"/>
  <c r="V141" i="21"/>
  <c r="B141" i="20"/>
  <c r="AB143" i="1"/>
  <c r="D143" i="1" s="1"/>
  <c r="AB144" i="3" s="1"/>
  <c r="D145" i="19"/>
  <c r="AB146" i="19"/>
  <c r="W140" i="20"/>
  <c r="AC140" i="20"/>
  <c r="AA140" i="20"/>
  <c r="Y140" i="20"/>
  <c r="Z147" i="2"/>
  <c r="A148" i="2"/>
  <c r="AA147" i="2"/>
  <c r="G144" i="19"/>
  <c r="I142" i="21"/>
  <c r="I142" i="20" s="1"/>
  <c r="U142" i="21"/>
  <c r="U142" i="20" s="1"/>
  <c r="D142" i="21"/>
  <c r="D142" i="20" s="1"/>
  <c r="F142" i="21"/>
  <c r="F142" i="20" s="1"/>
  <c r="J142" i="21"/>
  <c r="J142" i="20" s="1"/>
  <c r="Q142" i="21"/>
  <c r="Q142" i="20" s="1"/>
  <c r="R142" i="21"/>
  <c r="R142" i="20" s="1"/>
  <c r="S142" i="21"/>
  <c r="S142" i="20" s="1"/>
  <c r="H142" i="21"/>
  <c r="H142" i="20" s="1"/>
  <c r="C142" i="21"/>
  <c r="C142" i="20" s="1"/>
  <c r="N142" i="21"/>
  <c r="N142" i="20" s="1"/>
  <c r="E142" i="21"/>
  <c r="E142" i="20" s="1"/>
  <c r="M142" i="21"/>
  <c r="M142" i="20" s="1"/>
  <c r="T142" i="21"/>
  <c r="T142" i="20" s="1"/>
  <c r="B142" i="21"/>
  <c r="G142" i="21"/>
  <c r="G142" i="20" s="1"/>
  <c r="O142" i="21"/>
  <c r="O142" i="20" s="1"/>
  <c r="K142" i="21"/>
  <c r="K142" i="20" s="1"/>
  <c r="L142" i="21"/>
  <c r="L142" i="20" s="1"/>
  <c r="P142" i="21"/>
  <c r="P142" i="20" s="1"/>
  <c r="Z146" i="3"/>
  <c r="AF146" i="3"/>
  <c r="AD146" i="3"/>
  <c r="AB144" i="1" l="1"/>
  <c r="D144" i="1" s="1"/>
  <c r="AB145" i="3" s="1"/>
  <c r="AB147" i="19"/>
  <c r="D146" i="19"/>
  <c r="V142" i="21"/>
  <c r="B142" i="20"/>
  <c r="Z148" i="2"/>
  <c r="AA148" i="2"/>
  <c r="A149" i="2"/>
  <c r="W141" i="20"/>
  <c r="X141" i="20" s="1"/>
  <c r="M9" i="4" s="1"/>
  <c r="AC141" i="20"/>
  <c r="AD141" i="20" s="1"/>
  <c r="AA141" i="20"/>
  <c r="AB141" i="20" s="1"/>
  <c r="W141" i="21"/>
  <c r="M83" i="4" s="1"/>
  <c r="Y141" i="20"/>
  <c r="Z141" i="20" s="1"/>
  <c r="M10" i="4" s="1"/>
  <c r="C143" i="21"/>
  <c r="C143" i="20" s="1"/>
  <c r="E143" i="21"/>
  <c r="E143" i="20" s="1"/>
  <c r="I143" i="21"/>
  <c r="I143" i="20" s="1"/>
  <c r="M143" i="21"/>
  <c r="M143" i="20" s="1"/>
  <c r="F143" i="21"/>
  <c r="F143" i="20" s="1"/>
  <c r="H143" i="21"/>
  <c r="H143" i="20" s="1"/>
  <c r="B143" i="21"/>
  <c r="D143" i="21"/>
  <c r="D143" i="20" s="1"/>
  <c r="G143" i="21"/>
  <c r="G143" i="20" s="1"/>
  <c r="N143" i="21"/>
  <c r="N143" i="20" s="1"/>
  <c r="R143" i="21"/>
  <c r="R143" i="20" s="1"/>
  <c r="O143" i="21"/>
  <c r="O143" i="20" s="1"/>
  <c r="L143" i="21"/>
  <c r="L143" i="20" s="1"/>
  <c r="U143" i="21"/>
  <c r="U143" i="20" s="1"/>
  <c r="P143" i="21"/>
  <c r="P143" i="20" s="1"/>
  <c r="Q143" i="21"/>
  <c r="Q143" i="20" s="1"/>
  <c r="J143" i="21"/>
  <c r="J143" i="20" s="1"/>
  <c r="S143" i="21"/>
  <c r="S143" i="20" s="1"/>
  <c r="T143" i="21"/>
  <c r="T143" i="20" s="1"/>
  <c r="K143" i="21"/>
  <c r="K143" i="20" s="1"/>
  <c r="A149" i="21"/>
  <c r="X148" i="21"/>
  <c r="Y148" i="21"/>
  <c r="Z147" i="3"/>
  <c r="AF147" i="3"/>
  <c r="AD147" i="3"/>
  <c r="G145" i="19"/>
  <c r="AC142" i="20" l="1"/>
  <c r="W142" i="20"/>
  <c r="AA142" i="20"/>
  <c r="Y142" i="20"/>
  <c r="Z148" i="3"/>
  <c r="AF148" i="3"/>
  <c r="AD148" i="3"/>
  <c r="Z149" i="2"/>
  <c r="A150" i="2"/>
  <c r="AA149" i="2"/>
  <c r="M91" i="4"/>
  <c r="M93" i="4"/>
  <c r="M95" i="4"/>
  <c r="M85" i="4"/>
  <c r="M92" i="4"/>
  <c r="M94" i="4"/>
  <c r="M82" i="4"/>
  <c r="M86" i="4" s="1"/>
  <c r="M89" i="4"/>
  <c r="M87" i="4"/>
  <c r="M12" i="4"/>
  <c r="M11" i="4"/>
  <c r="M13" i="4" s="1"/>
  <c r="M17" i="4" s="1"/>
  <c r="A150" i="21"/>
  <c r="X149" i="21"/>
  <c r="Y149" i="21"/>
  <c r="G146" i="19"/>
  <c r="V143" i="21"/>
  <c r="B143" i="20"/>
  <c r="G144" i="21"/>
  <c r="G144" i="20" s="1"/>
  <c r="O144" i="21"/>
  <c r="O144" i="20" s="1"/>
  <c r="D144" i="21"/>
  <c r="D144" i="20" s="1"/>
  <c r="U144" i="21"/>
  <c r="U144" i="20" s="1"/>
  <c r="N144" i="21"/>
  <c r="N144" i="20" s="1"/>
  <c r="L144" i="21"/>
  <c r="L144" i="20" s="1"/>
  <c r="J144" i="21"/>
  <c r="J144" i="20" s="1"/>
  <c r="P144" i="21"/>
  <c r="P144" i="20" s="1"/>
  <c r="S144" i="21"/>
  <c r="S144" i="20" s="1"/>
  <c r="B144" i="21"/>
  <c r="K144" i="21"/>
  <c r="K144" i="20" s="1"/>
  <c r="E144" i="21"/>
  <c r="E144" i="20" s="1"/>
  <c r="R144" i="21"/>
  <c r="R144" i="20" s="1"/>
  <c r="M144" i="21"/>
  <c r="M144" i="20" s="1"/>
  <c r="H144" i="21"/>
  <c r="H144" i="20" s="1"/>
  <c r="T144" i="21"/>
  <c r="T144" i="20" s="1"/>
  <c r="I144" i="21"/>
  <c r="I144" i="20" s="1"/>
  <c r="Q144" i="21"/>
  <c r="Q144" i="20" s="1"/>
  <c r="C144" i="21"/>
  <c r="C144" i="20" s="1"/>
  <c r="F144" i="21"/>
  <c r="F144" i="20" s="1"/>
  <c r="AB145" i="1"/>
  <c r="D145" i="1" s="1"/>
  <c r="AB146" i="3" s="1"/>
  <c r="AB148" i="19"/>
  <c r="D147" i="19"/>
  <c r="G147" i="19" l="1"/>
  <c r="W143" i="20"/>
  <c r="AC143" i="20"/>
  <c r="AA143" i="20"/>
  <c r="Y143" i="20"/>
  <c r="AB149" i="19"/>
  <c r="AB146" i="1"/>
  <c r="D146" i="1" s="1"/>
  <c r="AB147" i="3" s="1"/>
  <c r="D148" i="19"/>
  <c r="M145" i="21"/>
  <c r="M145" i="20" s="1"/>
  <c r="P145" i="21"/>
  <c r="P145" i="20" s="1"/>
  <c r="R145" i="21"/>
  <c r="R145" i="20" s="1"/>
  <c r="T145" i="21"/>
  <c r="T145" i="20" s="1"/>
  <c r="U145" i="21"/>
  <c r="U145" i="20" s="1"/>
  <c r="G145" i="21"/>
  <c r="G145" i="20" s="1"/>
  <c r="F145" i="21"/>
  <c r="F145" i="20" s="1"/>
  <c r="B145" i="21"/>
  <c r="I145" i="21"/>
  <c r="I145" i="20" s="1"/>
  <c r="J145" i="21"/>
  <c r="J145" i="20" s="1"/>
  <c r="L145" i="21"/>
  <c r="L145" i="20" s="1"/>
  <c r="N145" i="21"/>
  <c r="N145" i="20" s="1"/>
  <c r="D145" i="21"/>
  <c r="D145" i="20" s="1"/>
  <c r="O145" i="21"/>
  <c r="O145" i="20" s="1"/>
  <c r="K145" i="21"/>
  <c r="K145" i="20" s="1"/>
  <c r="H145" i="21"/>
  <c r="H145" i="20" s="1"/>
  <c r="E145" i="21"/>
  <c r="E145" i="20" s="1"/>
  <c r="C145" i="21"/>
  <c r="C145" i="20" s="1"/>
  <c r="S145" i="21"/>
  <c r="S145" i="20" s="1"/>
  <c r="Q145" i="21"/>
  <c r="Q145" i="20" s="1"/>
  <c r="M88" i="4"/>
  <c r="M19" i="4"/>
  <c r="M36" i="4" s="1"/>
  <c r="M20" i="4"/>
  <c r="Z149" i="3"/>
  <c r="AF149" i="3"/>
  <c r="AD149" i="3"/>
  <c r="V144" i="21"/>
  <c r="B144" i="20"/>
  <c r="A151" i="21"/>
  <c r="X150" i="21"/>
  <c r="Y150" i="21"/>
  <c r="Z150" i="2"/>
  <c r="AA150" i="2"/>
  <c r="A151" i="2"/>
  <c r="I146" i="21" l="1"/>
  <c r="I146" i="20" s="1"/>
  <c r="N146" i="21"/>
  <c r="N146" i="20" s="1"/>
  <c r="Q146" i="21"/>
  <c r="Q146" i="20" s="1"/>
  <c r="D146" i="21"/>
  <c r="D146" i="20" s="1"/>
  <c r="S146" i="21"/>
  <c r="S146" i="20" s="1"/>
  <c r="P146" i="21"/>
  <c r="P146" i="20" s="1"/>
  <c r="E146" i="21"/>
  <c r="E146" i="20" s="1"/>
  <c r="R146" i="21"/>
  <c r="R146" i="20" s="1"/>
  <c r="L146" i="21"/>
  <c r="L146" i="20" s="1"/>
  <c r="T146" i="21"/>
  <c r="T146" i="20" s="1"/>
  <c r="J146" i="21"/>
  <c r="J146" i="20" s="1"/>
  <c r="C146" i="21"/>
  <c r="C146" i="20" s="1"/>
  <c r="F146" i="21"/>
  <c r="F146" i="20" s="1"/>
  <c r="H146" i="21"/>
  <c r="H146" i="20" s="1"/>
  <c r="G146" i="21"/>
  <c r="G146" i="20" s="1"/>
  <c r="O146" i="21"/>
  <c r="O146" i="20" s="1"/>
  <c r="M146" i="21"/>
  <c r="M146" i="20" s="1"/>
  <c r="U146" i="21"/>
  <c r="U146" i="20" s="1"/>
  <c r="B146" i="21"/>
  <c r="K146" i="21"/>
  <c r="K146" i="20" s="1"/>
  <c r="Z150" i="3"/>
  <c r="AF150" i="3"/>
  <c r="AD150" i="3"/>
  <c r="M25" i="4"/>
  <c r="M35" i="4"/>
  <c r="M38" i="4" s="1"/>
  <c r="V145" i="21"/>
  <c r="B145" i="20"/>
  <c r="G148" i="19"/>
  <c r="W144" i="20"/>
  <c r="AC144" i="20"/>
  <c r="AA144" i="20"/>
  <c r="Y144" i="20"/>
  <c r="A152" i="21"/>
  <c r="X151" i="21"/>
  <c r="Y151" i="21"/>
  <c r="Z151" i="2"/>
  <c r="AA151" i="2"/>
  <c r="A152" i="2"/>
  <c r="AB147" i="1"/>
  <c r="D147" i="1" s="1"/>
  <c r="AB148" i="3" s="1"/>
  <c r="AB150" i="19"/>
  <c r="D149" i="19"/>
  <c r="A153" i="21" l="1"/>
  <c r="X152" i="21"/>
  <c r="Y152" i="21"/>
  <c r="AB148" i="1"/>
  <c r="D148" i="1" s="1"/>
  <c r="AB149" i="3" s="1"/>
  <c r="AB151" i="19"/>
  <c r="D150" i="19"/>
  <c r="L147" i="21"/>
  <c r="L147" i="20" s="1"/>
  <c r="N147" i="21"/>
  <c r="N147" i="20" s="1"/>
  <c r="R147" i="21"/>
  <c r="R147" i="20" s="1"/>
  <c r="C147" i="21"/>
  <c r="C147" i="20" s="1"/>
  <c r="I147" i="21"/>
  <c r="I147" i="20" s="1"/>
  <c r="P147" i="21"/>
  <c r="P147" i="20" s="1"/>
  <c r="T147" i="21"/>
  <c r="T147" i="20" s="1"/>
  <c r="M147" i="21"/>
  <c r="M147" i="20" s="1"/>
  <c r="G147" i="21"/>
  <c r="G147" i="20" s="1"/>
  <c r="H147" i="21"/>
  <c r="H147" i="20" s="1"/>
  <c r="Q147" i="21"/>
  <c r="Q147" i="20" s="1"/>
  <c r="U147" i="21"/>
  <c r="U147" i="20" s="1"/>
  <c r="J147" i="21"/>
  <c r="J147" i="20" s="1"/>
  <c r="B147" i="21"/>
  <c r="K147" i="21"/>
  <c r="K147" i="20" s="1"/>
  <c r="D147" i="21"/>
  <c r="D147" i="20" s="1"/>
  <c r="F147" i="21"/>
  <c r="F147" i="20" s="1"/>
  <c r="O147" i="21"/>
  <c r="O147" i="20" s="1"/>
  <c r="S147" i="21"/>
  <c r="S147" i="20" s="1"/>
  <c r="E147" i="21"/>
  <c r="E147" i="20" s="1"/>
  <c r="W145" i="20"/>
  <c r="AC145" i="20"/>
  <c r="AA145" i="20"/>
  <c r="Y145" i="20"/>
  <c r="V146" i="21"/>
  <c r="B146" i="20"/>
  <c r="G149" i="19"/>
  <c r="Z152" i="2"/>
  <c r="AA152" i="2"/>
  <c r="A153" i="2"/>
  <c r="Z151" i="3"/>
  <c r="AF151" i="3"/>
  <c r="AD151" i="3"/>
  <c r="E148" i="21" l="1"/>
  <c r="E148" i="20" s="1"/>
  <c r="G148" i="21"/>
  <c r="G148" i="20" s="1"/>
  <c r="M148" i="21"/>
  <c r="M148" i="20" s="1"/>
  <c r="O148" i="21"/>
  <c r="O148" i="20" s="1"/>
  <c r="B148" i="21"/>
  <c r="C148" i="21"/>
  <c r="C148" i="20" s="1"/>
  <c r="U148" i="21"/>
  <c r="U148" i="20" s="1"/>
  <c r="N148" i="21"/>
  <c r="N148" i="20" s="1"/>
  <c r="P148" i="21"/>
  <c r="P148" i="20" s="1"/>
  <c r="T148" i="21"/>
  <c r="T148" i="20" s="1"/>
  <c r="R148" i="21"/>
  <c r="R148" i="20" s="1"/>
  <c r="S148" i="21"/>
  <c r="S148" i="20" s="1"/>
  <c r="F148" i="21"/>
  <c r="F148" i="20" s="1"/>
  <c r="I148" i="21"/>
  <c r="I148" i="20" s="1"/>
  <c r="L148" i="21"/>
  <c r="L148" i="20" s="1"/>
  <c r="Q148" i="21"/>
  <c r="Q148" i="20" s="1"/>
  <c r="J148" i="21"/>
  <c r="J148" i="20" s="1"/>
  <c r="K148" i="21"/>
  <c r="K148" i="20" s="1"/>
  <c r="D148" i="21"/>
  <c r="D148" i="20" s="1"/>
  <c r="H148" i="21"/>
  <c r="H148" i="20" s="1"/>
  <c r="Z152" i="3"/>
  <c r="AF152" i="3"/>
  <c r="AD152" i="3"/>
  <c r="AA153" i="2"/>
  <c r="A154" i="2"/>
  <c r="Z153" i="2"/>
  <c r="W146" i="20"/>
  <c r="AC146" i="20"/>
  <c r="AA146" i="20"/>
  <c r="Y146" i="20"/>
  <c r="V147" i="21"/>
  <c r="B147" i="20"/>
  <c r="G150" i="19"/>
  <c r="AB149" i="1"/>
  <c r="D149" i="1" s="1"/>
  <c r="AB150" i="3" s="1"/>
  <c r="AB152" i="19"/>
  <c r="D151" i="19"/>
  <c r="Y153" i="21"/>
  <c r="X153" i="21"/>
  <c r="A154" i="21"/>
  <c r="Y154" i="21" l="1"/>
  <c r="X154" i="21"/>
  <c r="A155" i="21"/>
  <c r="AA154" i="2"/>
  <c r="A155" i="2"/>
  <c r="Z154" i="2"/>
  <c r="G151" i="19"/>
  <c r="AB150" i="1"/>
  <c r="D150" i="1" s="1"/>
  <c r="AB151" i="3" s="1"/>
  <c r="D152" i="19"/>
  <c r="AB153" i="19"/>
  <c r="V148" i="21"/>
  <c r="B148" i="20"/>
  <c r="K149" i="21"/>
  <c r="K149" i="20" s="1"/>
  <c r="B149" i="21"/>
  <c r="G149" i="21"/>
  <c r="G149" i="20" s="1"/>
  <c r="I149" i="21"/>
  <c r="I149" i="20" s="1"/>
  <c r="S149" i="21"/>
  <c r="S149" i="20" s="1"/>
  <c r="L149" i="21"/>
  <c r="L149" i="20" s="1"/>
  <c r="T149" i="21"/>
  <c r="T149" i="20" s="1"/>
  <c r="E149" i="21"/>
  <c r="E149" i="20" s="1"/>
  <c r="F149" i="21"/>
  <c r="F149" i="20" s="1"/>
  <c r="H149" i="21"/>
  <c r="H149" i="20" s="1"/>
  <c r="M149" i="21"/>
  <c r="M149" i="20" s="1"/>
  <c r="Q149" i="21"/>
  <c r="Q149" i="20" s="1"/>
  <c r="U149" i="21"/>
  <c r="U149" i="20" s="1"/>
  <c r="D149" i="21"/>
  <c r="D149" i="20" s="1"/>
  <c r="N149" i="21"/>
  <c r="N149" i="20" s="1"/>
  <c r="R149" i="21"/>
  <c r="R149" i="20" s="1"/>
  <c r="C149" i="21"/>
  <c r="C149" i="20" s="1"/>
  <c r="J149" i="21"/>
  <c r="J149" i="20" s="1"/>
  <c r="P149" i="21"/>
  <c r="P149" i="20" s="1"/>
  <c r="O149" i="21"/>
  <c r="O149" i="20" s="1"/>
  <c r="Z153" i="3"/>
  <c r="AA153" i="3" s="1"/>
  <c r="AF153" i="3"/>
  <c r="AG153" i="3" s="1"/>
  <c r="AD153" i="3"/>
  <c r="AE153" i="3" s="1"/>
  <c r="W147" i="20"/>
  <c r="AC147" i="20"/>
  <c r="AA147" i="20"/>
  <c r="Y147" i="20"/>
  <c r="AD154" i="3" l="1"/>
  <c r="AF154" i="3"/>
  <c r="Z154" i="3"/>
  <c r="V149" i="21"/>
  <c r="B149" i="20"/>
  <c r="I150" i="21"/>
  <c r="I150" i="20" s="1"/>
  <c r="U150" i="21"/>
  <c r="U150" i="20" s="1"/>
  <c r="T150" i="21"/>
  <c r="T150" i="20" s="1"/>
  <c r="K150" i="21"/>
  <c r="K150" i="20" s="1"/>
  <c r="Q150" i="21"/>
  <c r="Q150" i="20" s="1"/>
  <c r="L150" i="21"/>
  <c r="L150" i="20" s="1"/>
  <c r="C150" i="21"/>
  <c r="C150" i="20" s="1"/>
  <c r="E150" i="21"/>
  <c r="E150" i="20" s="1"/>
  <c r="R150" i="21"/>
  <c r="R150" i="20" s="1"/>
  <c r="S150" i="21"/>
  <c r="S150" i="20" s="1"/>
  <c r="P150" i="21"/>
  <c r="P150" i="20" s="1"/>
  <c r="J150" i="21"/>
  <c r="J150" i="20" s="1"/>
  <c r="D150" i="21"/>
  <c r="D150" i="20" s="1"/>
  <c r="M150" i="21"/>
  <c r="M150" i="20" s="1"/>
  <c r="H150" i="21"/>
  <c r="H150" i="20" s="1"/>
  <c r="B150" i="21"/>
  <c r="F150" i="21"/>
  <c r="F150" i="20" s="1"/>
  <c r="G150" i="21"/>
  <c r="G150" i="20" s="1"/>
  <c r="O150" i="21"/>
  <c r="O150" i="20" s="1"/>
  <c r="N150" i="21"/>
  <c r="N150" i="20" s="1"/>
  <c r="W148" i="20"/>
  <c r="AC148" i="20"/>
  <c r="AA148" i="20"/>
  <c r="Y148" i="20"/>
  <c r="Z155" i="2"/>
  <c r="AA155" i="2"/>
  <c r="A156" i="2"/>
  <c r="AB151" i="1"/>
  <c r="D151" i="1" s="1"/>
  <c r="AB152" i="3" s="1"/>
  <c r="D153" i="19"/>
  <c r="AB154" i="19"/>
  <c r="Y155" i="21"/>
  <c r="A156" i="21"/>
  <c r="X155" i="21"/>
  <c r="G152" i="19"/>
  <c r="D154" i="19" l="1"/>
  <c r="AB152" i="1"/>
  <c r="D152" i="1" s="1"/>
  <c r="AB153" i="3" s="1"/>
  <c r="AC153" i="3" s="1"/>
  <c r="AB155" i="19"/>
  <c r="S151" i="21"/>
  <c r="S151" i="20" s="1"/>
  <c r="T151" i="21"/>
  <c r="T151" i="20" s="1"/>
  <c r="P151" i="21"/>
  <c r="P151" i="20" s="1"/>
  <c r="C151" i="21"/>
  <c r="C151" i="20" s="1"/>
  <c r="E151" i="21"/>
  <c r="E151" i="20" s="1"/>
  <c r="J151" i="21"/>
  <c r="J151" i="20" s="1"/>
  <c r="L151" i="21"/>
  <c r="L151" i="20" s="1"/>
  <c r="I151" i="21"/>
  <c r="I151" i="20" s="1"/>
  <c r="M151" i="21"/>
  <c r="M151" i="20" s="1"/>
  <c r="N151" i="21"/>
  <c r="N151" i="20" s="1"/>
  <c r="G151" i="21"/>
  <c r="G151" i="20" s="1"/>
  <c r="R151" i="21"/>
  <c r="R151" i="20" s="1"/>
  <c r="O151" i="21"/>
  <c r="O151" i="20" s="1"/>
  <c r="F151" i="21"/>
  <c r="F151" i="20" s="1"/>
  <c r="B151" i="21"/>
  <c r="D151" i="21"/>
  <c r="D151" i="20" s="1"/>
  <c r="K151" i="21"/>
  <c r="K151" i="20" s="1"/>
  <c r="Q151" i="21"/>
  <c r="Q151" i="20" s="1"/>
  <c r="U151" i="21"/>
  <c r="U151" i="20" s="1"/>
  <c r="H151" i="21"/>
  <c r="H151" i="20" s="1"/>
  <c r="AF155" i="3"/>
  <c r="AD155" i="3"/>
  <c r="Z155" i="3"/>
  <c r="G153" i="19"/>
  <c r="AA156" i="2"/>
  <c r="A157" i="2"/>
  <c r="Z156" i="2"/>
  <c r="Y156" i="21"/>
  <c r="A157" i="21"/>
  <c r="X156" i="21"/>
  <c r="V150" i="21"/>
  <c r="B150" i="20"/>
  <c r="W149" i="20"/>
  <c r="AC149" i="20"/>
  <c r="AA149" i="20"/>
  <c r="Y149" i="20"/>
  <c r="W150" i="20" l="1"/>
  <c r="AC150" i="20"/>
  <c r="AA150" i="20"/>
  <c r="Y150" i="20"/>
  <c r="AA157" i="2"/>
  <c r="Z157" i="2"/>
  <c r="A158" i="2"/>
  <c r="AB156" i="19"/>
  <c r="D155" i="19"/>
  <c r="AB153" i="1"/>
  <c r="D153" i="1" s="1"/>
  <c r="AB154" i="3" s="1"/>
  <c r="Z156" i="3"/>
  <c r="AF156" i="3"/>
  <c r="AD156" i="3"/>
  <c r="G152" i="21"/>
  <c r="G152" i="20" s="1"/>
  <c r="O152" i="21"/>
  <c r="O152" i="20" s="1"/>
  <c r="H152" i="21"/>
  <c r="H152" i="20" s="1"/>
  <c r="J152" i="21"/>
  <c r="J152" i="20" s="1"/>
  <c r="R152" i="21"/>
  <c r="R152" i="20" s="1"/>
  <c r="D152" i="21"/>
  <c r="D152" i="20" s="1"/>
  <c r="T152" i="21"/>
  <c r="T152" i="20" s="1"/>
  <c r="K152" i="21"/>
  <c r="K152" i="20" s="1"/>
  <c r="B152" i="21"/>
  <c r="U152" i="21"/>
  <c r="U152" i="20" s="1"/>
  <c r="S152" i="21"/>
  <c r="S152" i="20" s="1"/>
  <c r="C152" i="21"/>
  <c r="C152" i="20" s="1"/>
  <c r="F152" i="21"/>
  <c r="F152" i="20" s="1"/>
  <c r="P152" i="21"/>
  <c r="P152" i="20" s="1"/>
  <c r="I152" i="21"/>
  <c r="I152" i="20" s="1"/>
  <c r="Q152" i="21"/>
  <c r="Q152" i="20" s="1"/>
  <c r="E152" i="21"/>
  <c r="E152" i="20" s="1"/>
  <c r="L152" i="21"/>
  <c r="L152" i="20" s="1"/>
  <c r="M152" i="21"/>
  <c r="M152" i="20" s="1"/>
  <c r="N152" i="21"/>
  <c r="N152" i="20" s="1"/>
  <c r="Y157" i="21"/>
  <c r="X157" i="21"/>
  <c r="A158" i="21"/>
  <c r="V151" i="21"/>
  <c r="B151" i="20"/>
  <c r="G154" i="19"/>
  <c r="W151" i="20" l="1"/>
  <c r="AC151" i="20"/>
  <c r="AA151" i="20"/>
  <c r="Y151" i="20"/>
  <c r="Z157" i="3"/>
  <c r="AF157" i="3"/>
  <c r="AD157" i="3"/>
  <c r="M153" i="21"/>
  <c r="M153" i="20" s="1"/>
  <c r="B153" i="21"/>
  <c r="U153" i="21"/>
  <c r="U153" i="20" s="1"/>
  <c r="G153" i="21"/>
  <c r="G153" i="20" s="1"/>
  <c r="K153" i="21"/>
  <c r="K153" i="20" s="1"/>
  <c r="S153" i="21"/>
  <c r="S153" i="20" s="1"/>
  <c r="F153" i="21"/>
  <c r="F153" i="20" s="1"/>
  <c r="I153" i="21"/>
  <c r="I153" i="20" s="1"/>
  <c r="E153" i="21"/>
  <c r="E153" i="20" s="1"/>
  <c r="C153" i="21"/>
  <c r="C153" i="20" s="1"/>
  <c r="O153" i="21"/>
  <c r="O153" i="20" s="1"/>
  <c r="P153" i="21"/>
  <c r="P153" i="20" s="1"/>
  <c r="J153" i="21"/>
  <c r="J153" i="20" s="1"/>
  <c r="L153" i="21"/>
  <c r="L153" i="20" s="1"/>
  <c r="D153" i="21"/>
  <c r="D153" i="20" s="1"/>
  <c r="H153" i="21"/>
  <c r="H153" i="20" s="1"/>
  <c r="R153" i="21"/>
  <c r="R153" i="20" s="1"/>
  <c r="T153" i="21"/>
  <c r="T153" i="20" s="1"/>
  <c r="N153" i="21"/>
  <c r="N153" i="20" s="1"/>
  <c r="Q153" i="21"/>
  <c r="Q153" i="20" s="1"/>
  <c r="AB154" i="1"/>
  <c r="D154" i="1" s="1"/>
  <c r="AB155" i="3" s="1"/>
  <c r="D156" i="19"/>
  <c r="AB157" i="19"/>
  <c r="AA158" i="2"/>
  <c r="A159" i="2"/>
  <c r="Z158" i="2"/>
  <c r="V152" i="21"/>
  <c r="B152" i="20"/>
  <c r="Y158" i="21"/>
  <c r="X158" i="21"/>
  <c r="A159" i="21"/>
  <c r="G155" i="19"/>
  <c r="H154" i="21" l="1"/>
  <c r="H154" i="20" s="1"/>
  <c r="U154" i="21"/>
  <c r="U154" i="20" s="1"/>
  <c r="B154" i="21"/>
  <c r="P154" i="21"/>
  <c r="P154" i="20" s="1"/>
  <c r="D154" i="21"/>
  <c r="D154" i="20" s="1"/>
  <c r="C154" i="21"/>
  <c r="C154" i="20" s="1"/>
  <c r="E154" i="21"/>
  <c r="E154" i="20" s="1"/>
  <c r="I154" i="21"/>
  <c r="I154" i="20" s="1"/>
  <c r="S154" i="21"/>
  <c r="S154" i="20" s="1"/>
  <c r="L154" i="21"/>
  <c r="L154" i="20" s="1"/>
  <c r="O154" i="21"/>
  <c r="O154" i="20" s="1"/>
  <c r="T154" i="21"/>
  <c r="T154" i="20" s="1"/>
  <c r="F154" i="21"/>
  <c r="F154" i="20" s="1"/>
  <c r="Q154" i="21"/>
  <c r="Q154" i="20" s="1"/>
  <c r="N154" i="21"/>
  <c r="N154" i="20" s="1"/>
  <c r="J154" i="21"/>
  <c r="J154" i="20" s="1"/>
  <c r="M154" i="21"/>
  <c r="M154" i="20" s="1"/>
  <c r="R154" i="21"/>
  <c r="R154" i="20" s="1"/>
  <c r="G154" i="21"/>
  <c r="G154" i="20" s="1"/>
  <c r="K154" i="21"/>
  <c r="K154" i="20" s="1"/>
  <c r="Z158" i="3"/>
  <c r="AF158" i="3"/>
  <c r="AD158" i="3"/>
  <c r="Z159" i="2"/>
  <c r="AA159" i="2"/>
  <c r="A160" i="2"/>
  <c r="AB155" i="1"/>
  <c r="D155" i="1" s="1"/>
  <c r="AB156" i="3" s="1"/>
  <c r="AB158" i="19"/>
  <c r="D157" i="19"/>
  <c r="G156" i="19"/>
  <c r="W152" i="20"/>
  <c r="AC152" i="20"/>
  <c r="AA152" i="20"/>
  <c r="Y152" i="20"/>
  <c r="Y159" i="21"/>
  <c r="A160" i="21"/>
  <c r="X159" i="21"/>
  <c r="V153" i="21"/>
  <c r="B153" i="20"/>
  <c r="V153" i="20" s="1"/>
  <c r="N8" i="4" s="1"/>
  <c r="AB156" i="1" l="1"/>
  <c r="D156" i="1" s="1"/>
  <c r="AB157" i="3" s="1"/>
  <c r="D158" i="19"/>
  <c r="AB159" i="19"/>
  <c r="Y160" i="21"/>
  <c r="X160" i="21"/>
  <c r="A161" i="21"/>
  <c r="G157" i="19"/>
  <c r="AA160" i="2"/>
  <c r="A161" i="2"/>
  <c r="Z160" i="2"/>
  <c r="V154" i="21"/>
  <c r="B154" i="20"/>
  <c r="E155" i="21"/>
  <c r="E155" i="20" s="1"/>
  <c r="R155" i="21"/>
  <c r="R155" i="20" s="1"/>
  <c r="H155" i="21"/>
  <c r="H155" i="20" s="1"/>
  <c r="C155" i="21"/>
  <c r="C155" i="20" s="1"/>
  <c r="L155" i="21"/>
  <c r="L155" i="20" s="1"/>
  <c r="F155" i="21"/>
  <c r="F155" i="20" s="1"/>
  <c r="O155" i="21"/>
  <c r="O155" i="20" s="1"/>
  <c r="S155" i="21"/>
  <c r="S155" i="20" s="1"/>
  <c r="P155" i="21"/>
  <c r="P155" i="20" s="1"/>
  <c r="M155" i="21"/>
  <c r="M155" i="20" s="1"/>
  <c r="U155" i="21"/>
  <c r="U155" i="20" s="1"/>
  <c r="K155" i="21"/>
  <c r="K155" i="20" s="1"/>
  <c r="G155" i="21"/>
  <c r="G155" i="20" s="1"/>
  <c r="D155" i="21"/>
  <c r="D155" i="20" s="1"/>
  <c r="T155" i="21"/>
  <c r="T155" i="20" s="1"/>
  <c r="N155" i="21"/>
  <c r="N155" i="20" s="1"/>
  <c r="J155" i="21"/>
  <c r="J155" i="20" s="1"/>
  <c r="B155" i="21"/>
  <c r="I155" i="21"/>
  <c r="I155" i="20" s="1"/>
  <c r="Q155" i="21"/>
  <c r="Q155" i="20" s="1"/>
  <c r="Z159" i="3"/>
  <c r="AF159" i="3"/>
  <c r="AD159" i="3"/>
  <c r="W153" i="20"/>
  <c r="X153" i="20" s="1"/>
  <c r="N9" i="4" s="1"/>
  <c r="AC153" i="20"/>
  <c r="AD153" i="20" s="1"/>
  <c r="AA153" i="20"/>
  <c r="AB153" i="20" s="1"/>
  <c r="W153" i="21"/>
  <c r="N83" i="4" s="1"/>
  <c r="Y153" i="20"/>
  <c r="Z153" i="20" s="1"/>
  <c r="N10" i="4" s="1"/>
  <c r="V155" i="21" l="1"/>
  <c r="B155" i="20"/>
  <c r="W154" i="20"/>
  <c r="AC154" i="20"/>
  <c r="AA154" i="20"/>
  <c r="Y154" i="20"/>
  <c r="AB157" i="1"/>
  <c r="D157" i="1" s="1"/>
  <c r="AB158" i="3" s="1"/>
  <c r="D159" i="19"/>
  <c r="AB160" i="19"/>
  <c r="AA161" i="2"/>
  <c r="A162" i="2"/>
  <c r="Z161" i="2"/>
  <c r="G158" i="19"/>
  <c r="Z160" i="3"/>
  <c r="AF160" i="3"/>
  <c r="AD160" i="3"/>
  <c r="N82" i="4"/>
  <c r="N85" i="4" s="1"/>
  <c r="N93" i="4"/>
  <c r="N92" i="4"/>
  <c r="N91" i="4"/>
  <c r="N95" i="4"/>
  <c r="N87" i="4"/>
  <c r="N86" i="4"/>
  <c r="N94" i="4"/>
  <c r="N12" i="4"/>
  <c r="N89" i="4" s="1"/>
  <c r="N11" i="4"/>
  <c r="N13" i="4" s="1"/>
  <c r="N17" i="4" s="1"/>
  <c r="D156" i="21"/>
  <c r="D156" i="20" s="1"/>
  <c r="F156" i="21"/>
  <c r="F156" i="20" s="1"/>
  <c r="Q156" i="21"/>
  <c r="Q156" i="20" s="1"/>
  <c r="I156" i="21"/>
  <c r="I156" i="20" s="1"/>
  <c r="K156" i="21"/>
  <c r="K156" i="20" s="1"/>
  <c r="L156" i="21"/>
  <c r="L156" i="20" s="1"/>
  <c r="N156" i="21"/>
  <c r="N156" i="20" s="1"/>
  <c r="E156" i="21"/>
  <c r="E156" i="20" s="1"/>
  <c r="T156" i="21"/>
  <c r="T156" i="20" s="1"/>
  <c r="G156" i="21"/>
  <c r="G156" i="20" s="1"/>
  <c r="M156" i="21"/>
  <c r="M156" i="20" s="1"/>
  <c r="O156" i="21"/>
  <c r="O156" i="20" s="1"/>
  <c r="H156" i="21"/>
  <c r="H156" i="20" s="1"/>
  <c r="B156" i="21"/>
  <c r="P156" i="21"/>
  <c r="P156" i="20" s="1"/>
  <c r="S156" i="21"/>
  <c r="S156" i="20" s="1"/>
  <c r="C156" i="21"/>
  <c r="C156" i="20" s="1"/>
  <c r="U156" i="21"/>
  <c r="U156" i="20" s="1"/>
  <c r="J156" i="21"/>
  <c r="J156" i="20" s="1"/>
  <c r="R156" i="21"/>
  <c r="R156" i="20" s="1"/>
  <c r="Y161" i="21"/>
  <c r="X161" i="21"/>
  <c r="A162" i="21"/>
  <c r="N20" i="4" l="1"/>
  <c r="N19" i="4"/>
  <c r="N36" i="4" s="1"/>
  <c r="Y162" i="21"/>
  <c r="X162" i="21"/>
  <c r="A163" i="21"/>
  <c r="AA162" i="2"/>
  <c r="A163" i="2"/>
  <c r="Z162" i="2"/>
  <c r="V156" i="21"/>
  <c r="B156" i="20"/>
  <c r="N88" i="4"/>
  <c r="Z161" i="3"/>
  <c r="AF161" i="3"/>
  <c r="AD161" i="3"/>
  <c r="AB158" i="1"/>
  <c r="D158" i="1" s="1"/>
  <c r="AB159" i="3" s="1"/>
  <c r="AB161" i="19"/>
  <c r="D160" i="19"/>
  <c r="G159" i="19"/>
  <c r="O157" i="21"/>
  <c r="O157" i="20" s="1"/>
  <c r="Q157" i="21"/>
  <c r="Q157" i="20" s="1"/>
  <c r="E157" i="21"/>
  <c r="E157" i="20" s="1"/>
  <c r="J157" i="21"/>
  <c r="J157" i="20" s="1"/>
  <c r="M157" i="21"/>
  <c r="M157" i="20" s="1"/>
  <c r="G157" i="21"/>
  <c r="G157" i="20" s="1"/>
  <c r="F157" i="21"/>
  <c r="F157" i="20" s="1"/>
  <c r="R157" i="21"/>
  <c r="R157" i="20" s="1"/>
  <c r="H157" i="21"/>
  <c r="H157" i="20" s="1"/>
  <c r="K157" i="21"/>
  <c r="K157" i="20" s="1"/>
  <c r="D157" i="21"/>
  <c r="D157" i="20" s="1"/>
  <c r="U157" i="21"/>
  <c r="U157" i="20" s="1"/>
  <c r="C157" i="21"/>
  <c r="C157" i="20" s="1"/>
  <c r="S157" i="21"/>
  <c r="S157" i="20" s="1"/>
  <c r="P157" i="21"/>
  <c r="P157" i="20" s="1"/>
  <c r="I157" i="21"/>
  <c r="I157" i="20" s="1"/>
  <c r="N157" i="21"/>
  <c r="N157" i="20" s="1"/>
  <c r="B157" i="21"/>
  <c r="L157" i="21"/>
  <c r="L157" i="20" s="1"/>
  <c r="T157" i="21"/>
  <c r="T157" i="20" s="1"/>
  <c r="W155" i="20"/>
  <c r="AC155" i="20"/>
  <c r="AA155" i="20"/>
  <c r="Y155" i="20"/>
  <c r="V157" i="21" l="1"/>
  <c r="B157" i="20"/>
  <c r="Z162" i="3"/>
  <c r="AF162" i="3"/>
  <c r="AD162" i="3"/>
  <c r="H158" i="21"/>
  <c r="H158" i="20" s="1"/>
  <c r="T158" i="21"/>
  <c r="T158" i="20" s="1"/>
  <c r="B158" i="21"/>
  <c r="U158" i="21"/>
  <c r="U158" i="20" s="1"/>
  <c r="P158" i="21"/>
  <c r="P158" i="20" s="1"/>
  <c r="C158" i="21"/>
  <c r="C158" i="20" s="1"/>
  <c r="E158" i="21"/>
  <c r="E158" i="20" s="1"/>
  <c r="I158" i="21"/>
  <c r="I158" i="20" s="1"/>
  <c r="Q158" i="21"/>
  <c r="Q158" i="20" s="1"/>
  <c r="R158" i="21"/>
  <c r="R158" i="20" s="1"/>
  <c r="K158" i="21"/>
  <c r="K158" i="20" s="1"/>
  <c r="O158" i="21"/>
  <c r="O158" i="20" s="1"/>
  <c r="D158" i="21"/>
  <c r="D158" i="20" s="1"/>
  <c r="J158" i="21"/>
  <c r="J158" i="20" s="1"/>
  <c r="L158" i="21"/>
  <c r="L158" i="20" s="1"/>
  <c r="S158" i="21"/>
  <c r="S158" i="20" s="1"/>
  <c r="M158" i="21"/>
  <c r="M158" i="20" s="1"/>
  <c r="F158" i="21"/>
  <c r="F158" i="20" s="1"/>
  <c r="N158" i="21"/>
  <c r="N158" i="20" s="1"/>
  <c r="G158" i="21"/>
  <c r="G158" i="20" s="1"/>
  <c r="Y163" i="21"/>
  <c r="A164" i="21"/>
  <c r="X163" i="21"/>
  <c r="G160" i="19"/>
  <c r="W156" i="20"/>
  <c r="AC156" i="20"/>
  <c r="AA156" i="20"/>
  <c r="Y156" i="20"/>
  <c r="AB159" i="1"/>
  <c r="D159" i="1" s="1"/>
  <c r="AB160" i="3" s="1"/>
  <c r="D161" i="19"/>
  <c r="AB162" i="19"/>
  <c r="Z163" i="2"/>
  <c r="AA163" i="2"/>
  <c r="A164" i="2"/>
  <c r="N25" i="4"/>
  <c r="N35" i="4"/>
  <c r="N38" i="4" s="1"/>
  <c r="Y164" i="21" l="1"/>
  <c r="X164" i="21"/>
  <c r="A165" i="21"/>
  <c r="AA164" i="2"/>
  <c r="A165" i="2"/>
  <c r="Z164" i="2"/>
  <c r="Z163" i="3"/>
  <c r="AF163" i="3"/>
  <c r="AD163" i="3"/>
  <c r="W157" i="20"/>
  <c r="AC157" i="20"/>
  <c r="AA157" i="20"/>
  <c r="Y157" i="20"/>
  <c r="V158" i="21"/>
  <c r="B158" i="20"/>
  <c r="AB160" i="1"/>
  <c r="D160" i="1" s="1"/>
  <c r="AB161" i="3" s="1"/>
  <c r="AB163" i="19"/>
  <c r="D162" i="19"/>
  <c r="G161" i="19"/>
  <c r="O159" i="21"/>
  <c r="O159" i="20" s="1"/>
  <c r="D159" i="21"/>
  <c r="D159" i="20" s="1"/>
  <c r="C159" i="21"/>
  <c r="C159" i="20" s="1"/>
  <c r="H159" i="21"/>
  <c r="H159" i="20" s="1"/>
  <c r="L159" i="21"/>
  <c r="L159" i="20" s="1"/>
  <c r="F159" i="21"/>
  <c r="F159" i="20" s="1"/>
  <c r="U159" i="21"/>
  <c r="U159" i="20" s="1"/>
  <c r="N159" i="21"/>
  <c r="N159" i="20" s="1"/>
  <c r="T159" i="21"/>
  <c r="T159" i="20" s="1"/>
  <c r="I159" i="21"/>
  <c r="I159" i="20" s="1"/>
  <c r="P159" i="21"/>
  <c r="P159" i="20" s="1"/>
  <c r="S159" i="21"/>
  <c r="S159" i="20" s="1"/>
  <c r="B159" i="21"/>
  <c r="G159" i="21"/>
  <c r="G159" i="20" s="1"/>
  <c r="Q159" i="21"/>
  <c r="Q159" i="20" s="1"/>
  <c r="E159" i="21"/>
  <c r="E159" i="20" s="1"/>
  <c r="K159" i="21"/>
  <c r="K159" i="20" s="1"/>
  <c r="J159" i="21"/>
  <c r="J159" i="20" s="1"/>
  <c r="R159" i="21"/>
  <c r="R159" i="20" s="1"/>
  <c r="M159" i="21"/>
  <c r="M159" i="20" s="1"/>
  <c r="AB161" i="1" l="1"/>
  <c r="D161" i="1" s="1"/>
  <c r="AB162" i="3" s="1"/>
  <c r="D163" i="19"/>
  <c r="AB164" i="19"/>
  <c r="W158" i="20"/>
  <c r="AC158" i="20"/>
  <c r="AA158" i="20"/>
  <c r="Y158" i="20"/>
  <c r="A166" i="2"/>
  <c r="Z165" i="2"/>
  <c r="AA165" i="2"/>
  <c r="Z164" i="3"/>
  <c r="AF164" i="3"/>
  <c r="AD164" i="3"/>
  <c r="G162" i="19"/>
  <c r="V159" i="21"/>
  <c r="B159" i="20"/>
  <c r="F160" i="21"/>
  <c r="F160" i="20" s="1"/>
  <c r="M160" i="21"/>
  <c r="M160" i="20" s="1"/>
  <c r="B160" i="21"/>
  <c r="N160" i="21"/>
  <c r="N160" i="20" s="1"/>
  <c r="E160" i="21"/>
  <c r="E160" i="20" s="1"/>
  <c r="Q160" i="21"/>
  <c r="Q160" i="20" s="1"/>
  <c r="K160" i="21"/>
  <c r="K160" i="20" s="1"/>
  <c r="T160" i="21"/>
  <c r="T160" i="20" s="1"/>
  <c r="S160" i="21"/>
  <c r="S160" i="20" s="1"/>
  <c r="U160" i="21"/>
  <c r="U160" i="20" s="1"/>
  <c r="C160" i="21"/>
  <c r="C160" i="20" s="1"/>
  <c r="G160" i="21"/>
  <c r="G160" i="20" s="1"/>
  <c r="H160" i="21"/>
  <c r="H160" i="20" s="1"/>
  <c r="I160" i="21"/>
  <c r="I160" i="20" s="1"/>
  <c r="D160" i="21"/>
  <c r="D160" i="20" s="1"/>
  <c r="J160" i="21"/>
  <c r="J160" i="20" s="1"/>
  <c r="L160" i="21"/>
  <c r="L160" i="20" s="1"/>
  <c r="P160" i="21"/>
  <c r="P160" i="20" s="1"/>
  <c r="O160" i="21"/>
  <c r="O160" i="20" s="1"/>
  <c r="R160" i="21"/>
  <c r="R160" i="20" s="1"/>
  <c r="X165" i="21"/>
  <c r="Y165" i="21"/>
  <c r="A166" i="21"/>
  <c r="V160" i="21" l="1"/>
  <c r="B160" i="20"/>
  <c r="X166" i="21"/>
  <c r="Y166" i="21"/>
  <c r="A167" i="21"/>
  <c r="W159" i="20"/>
  <c r="AC159" i="20"/>
  <c r="AA159" i="20"/>
  <c r="Y159" i="20"/>
  <c r="AB162" i="1"/>
  <c r="D162" i="1" s="1"/>
  <c r="AB163" i="3" s="1"/>
  <c r="AB165" i="19"/>
  <c r="D164" i="19"/>
  <c r="G163" i="19"/>
  <c r="Z165" i="3"/>
  <c r="AA165" i="3" s="1"/>
  <c r="AF165" i="3"/>
  <c r="AG165" i="3" s="1"/>
  <c r="AD165" i="3"/>
  <c r="AE165" i="3" s="1"/>
  <c r="L161" i="21"/>
  <c r="L161" i="20" s="1"/>
  <c r="U161" i="21"/>
  <c r="U161" i="20" s="1"/>
  <c r="K161" i="21"/>
  <c r="K161" i="20" s="1"/>
  <c r="T161" i="21"/>
  <c r="T161" i="20" s="1"/>
  <c r="B161" i="21"/>
  <c r="C161" i="21"/>
  <c r="C161" i="20" s="1"/>
  <c r="F161" i="21"/>
  <c r="F161" i="20" s="1"/>
  <c r="O161" i="21"/>
  <c r="O161" i="20" s="1"/>
  <c r="G161" i="21"/>
  <c r="G161" i="20" s="1"/>
  <c r="R161" i="21"/>
  <c r="R161" i="20" s="1"/>
  <c r="M161" i="21"/>
  <c r="M161" i="20" s="1"/>
  <c r="H161" i="21"/>
  <c r="H161" i="20" s="1"/>
  <c r="N161" i="21"/>
  <c r="N161" i="20" s="1"/>
  <c r="I161" i="21"/>
  <c r="I161" i="20" s="1"/>
  <c r="D161" i="21"/>
  <c r="D161" i="20" s="1"/>
  <c r="E161" i="21"/>
  <c r="E161" i="20" s="1"/>
  <c r="J161" i="21"/>
  <c r="J161" i="20" s="1"/>
  <c r="P161" i="21"/>
  <c r="P161" i="20" s="1"/>
  <c r="Q161" i="21"/>
  <c r="Q161" i="20" s="1"/>
  <c r="S161" i="21"/>
  <c r="S161" i="20" s="1"/>
  <c r="Z166" i="2"/>
  <c r="AA166" i="2"/>
  <c r="A167" i="2"/>
  <c r="V161" i="21" l="1"/>
  <c r="B161" i="20"/>
  <c r="H162" i="21"/>
  <c r="H162" i="20" s="1"/>
  <c r="K162" i="21"/>
  <c r="K162" i="20" s="1"/>
  <c r="G162" i="21"/>
  <c r="G162" i="20" s="1"/>
  <c r="P162" i="21"/>
  <c r="P162" i="20" s="1"/>
  <c r="J162" i="21"/>
  <c r="J162" i="20" s="1"/>
  <c r="M162" i="21"/>
  <c r="M162" i="20" s="1"/>
  <c r="D162" i="21"/>
  <c r="D162" i="20" s="1"/>
  <c r="E162" i="21"/>
  <c r="E162" i="20" s="1"/>
  <c r="I162" i="21"/>
  <c r="I162" i="20" s="1"/>
  <c r="O162" i="21"/>
  <c r="O162" i="20" s="1"/>
  <c r="R162" i="21"/>
  <c r="R162" i="20" s="1"/>
  <c r="U162" i="21"/>
  <c r="U162" i="20" s="1"/>
  <c r="Q162" i="21"/>
  <c r="Q162" i="20" s="1"/>
  <c r="S162" i="21"/>
  <c r="S162" i="20" s="1"/>
  <c r="F162" i="21"/>
  <c r="F162" i="20" s="1"/>
  <c r="B162" i="21"/>
  <c r="N162" i="21"/>
  <c r="N162" i="20" s="1"/>
  <c r="L162" i="21"/>
  <c r="L162" i="20" s="1"/>
  <c r="T162" i="21"/>
  <c r="T162" i="20" s="1"/>
  <c r="C162" i="21"/>
  <c r="C162" i="20" s="1"/>
  <c r="G164" i="19"/>
  <c r="Z166" i="3"/>
  <c r="AF166" i="3"/>
  <c r="AD166" i="3"/>
  <c r="X167" i="21"/>
  <c r="Y167" i="21"/>
  <c r="A168" i="21"/>
  <c r="AB163" i="1"/>
  <c r="D163" i="1" s="1"/>
  <c r="AB164" i="3" s="1"/>
  <c r="D165" i="19"/>
  <c r="AB166" i="19"/>
  <c r="W160" i="20"/>
  <c r="AC160" i="20"/>
  <c r="AA160" i="20"/>
  <c r="Y160" i="20"/>
  <c r="Z167" i="2"/>
  <c r="A168" i="2"/>
  <c r="AA167" i="2"/>
  <c r="Z167" i="3" l="1"/>
  <c r="AD167" i="3"/>
  <c r="AF167" i="3"/>
  <c r="G165" i="19"/>
  <c r="AA168" i="2"/>
  <c r="A169" i="2"/>
  <c r="Z168" i="2"/>
  <c r="AB164" i="1"/>
  <c r="D164" i="1" s="1"/>
  <c r="AB165" i="3" s="1"/>
  <c r="AC165" i="3" s="1"/>
  <c r="D166" i="19"/>
  <c r="AB167" i="19"/>
  <c r="M163" i="21"/>
  <c r="M163" i="20" s="1"/>
  <c r="I163" i="21"/>
  <c r="I163" i="20" s="1"/>
  <c r="C163" i="21"/>
  <c r="C163" i="20" s="1"/>
  <c r="H163" i="21"/>
  <c r="H163" i="20" s="1"/>
  <c r="K163" i="21"/>
  <c r="K163" i="20" s="1"/>
  <c r="B163" i="21"/>
  <c r="L163" i="21"/>
  <c r="L163" i="20" s="1"/>
  <c r="F163" i="21"/>
  <c r="F163" i="20" s="1"/>
  <c r="R163" i="21"/>
  <c r="R163" i="20" s="1"/>
  <c r="P163" i="21"/>
  <c r="P163" i="20" s="1"/>
  <c r="T163" i="21"/>
  <c r="T163" i="20" s="1"/>
  <c r="S163" i="21"/>
  <c r="S163" i="20" s="1"/>
  <c r="E163" i="21"/>
  <c r="E163" i="20" s="1"/>
  <c r="N163" i="21"/>
  <c r="N163" i="20" s="1"/>
  <c r="U163" i="21"/>
  <c r="U163" i="20" s="1"/>
  <c r="O163" i="21"/>
  <c r="O163" i="20" s="1"/>
  <c r="J163" i="21"/>
  <c r="J163" i="20" s="1"/>
  <c r="D163" i="21"/>
  <c r="D163" i="20" s="1"/>
  <c r="G163" i="21"/>
  <c r="G163" i="20" s="1"/>
  <c r="Q163" i="21"/>
  <c r="Q163" i="20" s="1"/>
  <c r="X168" i="21"/>
  <c r="A169" i="21"/>
  <c r="Y168" i="21"/>
  <c r="V162" i="21"/>
  <c r="B162" i="20"/>
  <c r="W161" i="20"/>
  <c r="AC161" i="20"/>
  <c r="AA161" i="20"/>
  <c r="Y161" i="20"/>
  <c r="X169" i="21" l="1"/>
  <c r="Y169" i="21"/>
  <c r="A170" i="21"/>
  <c r="V163" i="21"/>
  <c r="B163" i="20"/>
  <c r="Z169" i="2"/>
  <c r="A170" i="2"/>
  <c r="AA169" i="2"/>
  <c r="W162" i="20"/>
  <c r="AC162" i="20"/>
  <c r="AA162" i="20"/>
  <c r="Y162" i="20"/>
  <c r="Z168" i="3"/>
  <c r="AF168" i="3"/>
  <c r="AD168" i="3"/>
  <c r="D164" i="21"/>
  <c r="D164" i="20" s="1"/>
  <c r="F164" i="21"/>
  <c r="F164" i="20" s="1"/>
  <c r="S164" i="21"/>
  <c r="S164" i="20" s="1"/>
  <c r="U164" i="21"/>
  <c r="U164" i="20" s="1"/>
  <c r="L164" i="21"/>
  <c r="L164" i="20" s="1"/>
  <c r="N164" i="21"/>
  <c r="N164" i="20" s="1"/>
  <c r="T164" i="21"/>
  <c r="T164" i="20" s="1"/>
  <c r="B164" i="21"/>
  <c r="J164" i="21"/>
  <c r="J164" i="20" s="1"/>
  <c r="E164" i="21"/>
  <c r="E164" i="20" s="1"/>
  <c r="I164" i="21"/>
  <c r="I164" i="20" s="1"/>
  <c r="H164" i="21"/>
  <c r="H164" i="20" s="1"/>
  <c r="P164" i="21"/>
  <c r="P164" i="20" s="1"/>
  <c r="M164" i="21"/>
  <c r="M164" i="20" s="1"/>
  <c r="G164" i="21"/>
  <c r="G164" i="20" s="1"/>
  <c r="C164" i="21"/>
  <c r="C164" i="20" s="1"/>
  <c r="K164" i="21"/>
  <c r="K164" i="20" s="1"/>
  <c r="O164" i="21"/>
  <c r="O164" i="20" s="1"/>
  <c r="Q164" i="21"/>
  <c r="Q164" i="20" s="1"/>
  <c r="R164" i="21"/>
  <c r="R164" i="20" s="1"/>
  <c r="AB165" i="1"/>
  <c r="D165" i="1" s="1"/>
  <c r="AB166" i="3" s="1"/>
  <c r="D167" i="19"/>
  <c r="AB168" i="19"/>
  <c r="G166" i="19"/>
  <c r="W163" i="20" l="1"/>
  <c r="AC163" i="20"/>
  <c r="AA163" i="20"/>
  <c r="Y163" i="20"/>
  <c r="AB166" i="1"/>
  <c r="D166" i="1" s="1"/>
  <c r="AB167" i="3" s="1"/>
  <c r="AB169" i="19"/>
  <c r="D168" i="19"/>
  <c r="I165" i="21"/>
  <c r="I165" i="20" s="1"/>
  <c r="F165" i="21"/>
  <c r="F165" i="20" s="1"/>
  <c r="U165" i="21"/>
  <c r="U165" i="20" s="1"/>
  <c r="H165" i="21"/>
  <c r="H165" i="20" s="1"/>
  <c r="E165" i="21"/>
  <c r="E165" i="20" s="1"/>
  <c r="G165" i="21"/>
  <c r="G165" i="20" s="1"/>
  <c r="C165" i="21"/>
  <c r="C165" i="20" s="1"/>
  <c r="D165" i="21"/>
  <c r="D165" i="20" s="1"/>
  <c r="Q165" i="21"/>
  <c r="Q165" i="20" s="1"/>
  <c r="J165" i="21"/>
  <c r="J165" i="20" s="1"/>
  <c r="S165" i="21"/>
  <c r="S165" i="20" s="1"/>
  <c r="M165" i="21"/>
  <c r="M165" i="20" s="1"/>
  <c r="N165" i="21"/>
  <c r="N165" i="20" s="1"/>
  <c r="L165" i="21"/>
  <c r="L165" i="20" s="1"/>
  <c r="P165" i="21"/>
  <c r="P165" i="20" s="1"/>
  <c r="T165" i="21"/>
  <c r="T165" i="20" s="1"/>
  <c r="B165" i="21"/>
  <c r="O165" i="21"/>
  <c r="O165" i="20" s="1"/>
  <c r="K165" i="21"/>
  <c r="K165" i="20" s="1"/>
  <c r="R165" i="21"/>
  <c r="R165" i="20" s="1"/>
  <c r="V164" i="21"/>
  <c r="B164" i="20"/>
  <c r="AA170" i="2"/>
  <c r="A171" i="2"/>
  <c r="Z170" i="2"/>
  <c r="G167" i="19"/>
  <c r="X170" i="21"/>
  <c r="Y170" i="21"/>
  <c r="A171" i="21"/>
  <c r="Z169" i="3"/>
  <c r="AF169" i="3"/>
  <c r="AD169" i="3"/>
  <c r="X171" i="21" l="1"/>
  <c r="Y171" i="21"/>
  <c r="A172" i="21"/>
  <c r="G168" i="19"/>
  <c r="W164" i="20"/>
  <c r="AC164" i="20"/>
  <c r="AA164" i="20"/>
  <c r="Y164" i="20"/>
  <c r="AB167" i="1"/>
  <c r="D167" i="1" s="1"/>
  <c r="AB168" i="3" s="1"/>
  <c r="D169" i="19"/>
  <c r="AB170" i="19"/>
  <c r="Z170" i="3"/>
  <c r="AF170" i="3"/>
  <c r="AD170" i="3"/>
  <c r="V165" i="20"/>
  <c r="O8" i="4" s="1"/>
  <c r="G166" i="21"/>
  <c r="G166" i="20" s="1"/>
  <c r="S166" i="21"/>
  <c r="S166" i="20" s="1"/>
  <c r="F166" i="21"/>
  <c r="F166" i="20" s="1"/>
  <c r="O166" i="21"/>
  <c r="O166" i="20" s="1"/>
  <c r="R166" i="21"/>
  <c r="R166" i="20" s="1"/>
  <c r="C166" i="21"/>
  <c r="C166" i="20" s="1"/>
  <c r="U166" i="21"/>
  <c r="U166" i="20" s="1"/>
  <c r="B166" i="21"/>
  <c r="D166" i="21"/>
  <c r="D166" i="20" s="1"/>
  <c r="J166" i="21"/>
  <c r="J166" i="20" s="1"/>
  <c r="T166" i="21"/>
  <c r="T166" i="20" s="1"/>
  <c r="Q166" i="21"/>
  <c r="Q166" i="20" s="1"/>
  <c r="I166" i="21"/>
  <c r="I166" i="20" s="1"/>
  <c r="K166" i="21"/>
  <c r="K166" i="20" s="1"/>
  <c r="E166" i="21"/>
  <c r="E166" i="20" s="1"/>
  <c r="N166" i="21"/>
  <c r="N166" i="20" s="1"/>
  <c r="M166" i="21"/>
  <c r="M166" i="20" s="1"/>
  <c r="H166" i="21"/>
  <c r="H166" i="20" s="1"/>
  <c r="P166" i="21"/>
  <c r="P166" i="20" s="1"/>
  <c r="L166" i="21"/>
  <c r="L166" i="20" s="1"/>
  <c r="A172" i="2"/>
  <c r="Z171" i="2"/>
  <c r="AA171" i="2"/>
  <c r="V165" i="21"/>
  <c r="B165" i="20"/>
  <c r="G169" i="19" l="1"/>
  <c r="W165" i="20"/>
  <c r="X165" i="20" s="1"/>
  <c r="O9" i="4" s="1"/>
  <c r="AC165" i="20"/>
  <c r="AD165" i="20" s="1"/>
  <c r="AA165" i="20"/>
  <c r="AB165" i="20" s="1"/>
  <c r="W165" i="21"/>
  <c r="O83" i="4" s="1"/>
  <c r="Y165" i="20"/>
  <c r="Z165" i="20" s="1"/>
  <c r="O10" i="4" s="1"/>
  <c r="V166" i="21"/>
  <c r="B166" i="20"/>
  <c r="Z172" i="2"/>
  <c r="AA172" i="2"/>
  <c r="A173" i="2"/>
  <c r="M167" i="21"/>
  <c r="M167" i="20" s="1"/>
  <c r="D167" i="21"/>
  <c r="D167" i="20" s="1"/>
  <c r="F167" i="21"/>
  <c r="F167" i="20" s="1"/>
  <c r="C167" i="21"/>
  <c r="C167" i="20" s="1"/>
  <c r="U167" i="21"/>
  <c r="U167" i="20" s="1"/>
  <c r="Q167" i="21"/>
  <c r="Q167" i="20" s="1"/>
  <c r="R167" i="21"/>
  <c r="R167" i="20" s="1"/>
  <c r="G167" i="21"/>
  <c r="G167" i="20" s="1"/>
  <c r="K167" i="21"/>
  <c r="K167" i="20" s="1"/>
  <c r="H167" i="21"/>
  <c r="H167" i="20" s="1"/>
  <c r="I167" i="21"/>
  <c r="I167" i="20" s="1"/>
  <c r="E167" i="21"/>
  <c r="E167" i="20" s="1"/>
  <c r="B167" i="21"/>
  <c r="O167" i="21"/>
  <c r="O167" i="20" s="1"/>
  <c r="J167" i="21"/>
  <c r="J167" i="20" s="1"/>
  <c r="L167" i="21"/>
  <c r="L167" i="20" s="1"/>
  <c r="S167" i="21"/>
  <c r="S167" i="20" s="1"/>
  <c r="P167" i="21"/>
  <c r="P167" i="20" s="1"/>
  <c r="N167" i="21"/>
  <c r="N167" i="20" s="1"/>
  <c r="T167" i="21"/>
  <c r="T167" i="20" s="1"/>
  <c r="X172" i="21"/>
  <c r="A173" i="21"/>
  <c r="Y172" i="21"/>
  <c r="AB168" i="1"/>
  <c r="D168" i="1" s="1"/>
  <c r="AB169" i="3" s="1"/>
  <c r="AB171" i="19"/>
  <c r="D170" i="19"/>
  <c r="Z171" i="3"/>
  <c r="AF171" i="3"/>
  <c r="AD171" i="3"/>
  <c r="AB169" i="1" l="1"/>
  <c r="D169" i="1" s="1"/>
  <c r="AB170" i="3" s="1"/>
  <c r="AB172" i="19"/>
  <c r="D171" i="19"/>
  <c r="AC166" i="20"/>
  <c r="W166" i="20"/>
  <c r="AA166" i="20"/>
  <c r="Y166" i="20"/>
  <c r="Z172" i="3"/>
  <c r="AF172" i="3"/>
  <c r="AD172" i="3"/>
  <c r="G170" i="19"/>
  <c r="O86" i="4"/>
  <c r="O94" i="4"/>
  <c r="O91" i="4"/>
  <c r="O87" i="4"/>
  <c r="O89" i="4"/>
  <c r="O92" i="4"/>
  <c r="O95" i="4"/>
  <c r="O93" i="4"/>
  <c r="O82" i="4"/>
  <c r="O85" i="4" s="1"/>
  <c r="A174" i="2"/>
  <c r="Z173" i="2"/>
  <c r="AA173" i="2"/>
  <c r="X173" i="21"/>
  <c r="A174" i="21"/>
  <c r="Y173" i="21"/>
  <c r="N168" i="21"/>
  <c r="N168" i="20" s="1"/>
  <c r="D168" i="21"/>
  <c r="D168" i="20" s="1"/>
  <c r="E168" i="21"/>
  <c r="E168" i="20" s="1"/>
  <c r="F168" i="21"/>
  <c r="F168" i="20" s="1"/>
  <c r="H168" i="21"/>
  <c r="H168" i="20" s="1"/>
  <c r="S168" i="21"/>
  <c r="S168" i="20" s="1"/>
  <c r="P168" i="21"/>
  <c r="P168" i="20" s="1"/>
  <c r="I168" i="21"/>
  <c r="I168" i="20" s="1"/>
  <c r="M168" i="21"/>
  <c r="M168" i="20" s="1"/>
  <c r="U168" i="21"/>
  <c r="U168" i="20" s="1"/>
  <c r="T168" i="21"/>
  <c r="T168" i="20" s="1"/>
  <c r="B168" i="21"/>
  <c r="G168" i="21"/>
  <c r="G168" i="20" s="1"/>
  <c r="L168" i="21"/>
  <c r="L168" i="20" s="1"/>
  <c r="O168" i="21"/>
  <c r="O168" i="20" s="1"/>
  <c r="C168" i="21"/>
  <c r="C168" i="20" s="1"/>
  <c r="R168" i="21"/>
  <c r="R168" i="20" s="1"/>
  <c r="K168" i="21"/>
  <c r="K168" i="20" s="1"/>
  <c r="Q168" i="21"/>
  <c r="Q168" i="20" s="1"/>
  <c r="J168" i="21"/>
  <c r="J168" i="20" s="1"/>
  <c r="O11" i="4"/>
  <c r="O13" i="4" s="1"/>
  <c r="O17" i="4" s="1"/>
  <c r="O12" i="4"/>
  <c r="V167" i="21"/>
  <c r="B167" i="20"/>
  <c r="O19" i="4" l="1"/>
  <c r="O36" i="4" s="1"/>
  <c r="O88" i="4"/>
  <c r="V168" i="21"/>
  <c r="B168" i="20"/>
  <c r="W167" i="20"/>
  <c r="AC167" i="20"/>
  <c r="AA167" i="20"/>
  <c r="Y167" i="20"/>
  <c r="X174" i="21"/>
  <c r="Y174" i="21"/>
  <c r="A175" i="21"/>
  <c r="K169" i="21"/>
  <c r="K169" i="20" s="1"/>
  <c r="S169" i="21"/>
  <c r="S169" i="20" s="1"/>
  <c r="P169" i="21"/>
  <c r="P169" i="20" s="1"/>
  <c r="B169" i="21"/>
  <c r="F169" i="21"/>
  <c r="F169" i="20" s="1"/>
  <c r="G169" i="21"/>
  <c r="G169" i="20" s="1"/>
  <c r="M169" i="21"/>
  <c r="M169" i="20" s="1"/>
  <c r="N169" i="21"/>
  <c r="N169" i="20" s="1"/>
  <c r="R169" i="21"/>
  <c r="R169" i="20" s="1"/>
  <c r="D169" i="21"/>
  <c r="D169" i="20" s="1"/>
  <c r="C169" i="21"/>
  <c r="C169" i="20" s="1"/>
  <c r="T169" i="21"/>
  <c r="T169" i="20" s="1"/>
  <c r="L169" i="21"/>
  <c r="L169" i="20" s="1"/>
  <c r="J169" i="21"/>
  <c r="J169" i="20" s="1"/>
  <c r="E169" i="21"/>
  <c r="E169" i="20" s="1"/>
  <c r="U169" i="21"/>
  <c r="U169" i="20" s="1"/>
  <c r="I169" i="21"/>
  <c r="I169" i="20" s="1"/>
  <c r="O169" i="21"/>
  <c r="O169" i="20" s="1"/>
  <c r="H169" i="21"/>
  <c r="H169" i="20" s="1"/>
  <c r="Q169" i="21"/>
  <c r="Q169" i="20" s="1"/>
  <c r="Z173" i="3"/>
  <c r="AF173" i="3"/>
  <c r="AD173" i="3"/>
  <c r="G171" i="19"/>
  <c r="AB173" i="19"/>
  <c r="AB170" i="1"/>
  <c r="D170" i="1" s="1"/>
  <c r="AB171" i="3" s="1"/>
  <c r="D172" i="19"/>
  <c r="Z174" i="2"/>
  <c r="AA174" i="2"/>
  <c r="A175" i="2"/>
  <c r="Z174" i="3" l="1"/>
  <c r="AF174" i="3"/>
  <c r="AD174" i="3"/>
  <c r="X175" i="21"/>
  <c r="Y175" i="21"/>
  <c r="A176" i="21"/>
  <c r="AB171" i="1"/>
  <c r="D171" i="1" s="1"/>
  <c r="AB172" i="3" s="1"/>
  <c r="AB174" i="19"/>
  <c r="D173" i="19"/>
  <c r="Z175" i="2"/>
  <c r="AA175" i="2"/>
  <c r="A176" i="2"/>
  <c r="G172" i="19"/>
  <c r="W168" i="20"/>
  <c r="AC168" i="20"/>
  <c r="AA168" i="20"/>
  <c r="Y168" i="20"/>
  <c r="V169" i="21"/>
  <c r="B169" i="20"/>
  <c r="G170" i="21"/>
  <c r="G170" i="20" s="1"/>
  <c r="E170" i="21"/>
  <c r="E170" i="20" s="1"/>
  <c r="P170" i="21"/>
  <c r="P170" i="20" s="1"/>
  <c r="R170" i="21"/>
  <c r="R170" i="20" s="1"/>
  <c r="O170" i="21"/>
  <c r="O170" i="20" s="1"/>
  <c r="M170" i="21"/>
  <c r="M170" i="20" s="1"/>
  <c r="C170" i="21"/>
  <c r="C170" i="20" s="1"/>
  <c r="U170" i="21"/>
  <c r="U170" i="20" s="1"/>
  <c r="Q170" i="21"/>
  <c r="Q170" i="20" s="1"/>
  <c r="D170" i="21"/>
  <c r="D170" i="20" s="1"/>
  <c r="H170" i="21"/>
  <c r="H170" i="20" s="1"/>
  <c r="I170" i="21"/>
  <c r="I170" i="20" s="1"/>
  <c r="L170" i="21"/>
  <c r="L170" i="20" s="1"/>
  <c r="T170" i="21"/>
  <c r="T170" i="20" s="1"/>
  <c r="K170" i="21"/>
  <c r="K170" i="20" s="1"/>
  <c r="N170" i="21"/>
  <c r="N170" i="20" s="1"/>
  <c r="F170" i="21"/>
  <c r="F170" i="20" s="1"/>
  <c r="S170" i="21"/>
  <c r="S170" i="20" s="1"/>
  <c r="J170" i="21"/>
  <c r="J170" i="20" s="1"/>
  <c r="B170" i="21"/>
  <c r="O20" i="4"/>
  <c r="AA176" i="2" l="1"/>
  <c r="Z176" i="2"/>
  <c r="A177" i="2"/>
  <c r="W169" i="20"/>
  <c r="AC169" i="20"/>
  <c r="AA169" i="20"/>
  <c r="Y169" i="20"/>
  <c r="Z175" i="3"/>
  <c r="AF175" i="3"/>
  <c r="AD175" i="3"/>
  <c r="O35" i="4"/>
  <c r="O38" i="4" s="1"/>
  <c r="O25" i="4"/>
  <c r="G173" i="19"/>
  <c r="V170" i="21"/>
  <c r="B170" i="20"/>
  <c r="AB172" i="1"/>
  <c r="D172" i="1" s="1"/>
  <c r="AB173" i="3" s="1"/>
  <c r="AB175" i="19"/>
  <c r="D174" i="19"/>
  <c r="H171" i="21"/>
  <c r="H171" i="20" s="1"/>
  <c r="D171" i="21"/>
  <c r="D171" i="20" s="1"/>
  <c r="T171" i="21"/>
  <c r="T171" i="20" s="1"/>
  <c r="G171" i="21"/>
  <c r="G171" i="20" s="1"/>
  <c r="Q171" i="21"/>
  <c r="Q171" i="20" s="1"/>
  <c r="K171" i="21"/>
  <c r="K171" i="20" s="1"/>
  <c r="L171" i="21"/>
  <c r="L171" i="20" s="1"/>
  <c r="O171" i="21"/>
  <c r="O171" i="20" s="1"/>
  <c r="J171" i="21"/>
  <c r="J171" i="20" s="1"/>
  <c r="F171" i="21"/>
  <c r="F171" i="20" s="1"/>
  <c r="I171" i="21"/>
  <c r="I171" i="20" s="1"/>
  <c r="S171" i="21"/>
  <c r="S171" i="20" s="1"/>
  <c r="N171" i="21"/>
  <c r="N171" i="20" s="1"/>
  <c r="B171" i="21"/>
  <c r="P171" i="21"/>
  <c r="P171" i="20" s="1"/>
  <c r="C171" i="21"/>
  <c r="C171" i="20" s="1"/>
  <c r="R171" i="21"/>
  <c r="R171" i="20" s="1"/>
  <c r="M171" i="21"/>
  <c r="M171" i="20" s="1"/>
  <c r="U171" i="21"/>
  <c r="U171" i="20" s="1"/>
  <c r="E171" i="21"/>
  <c r="E171" i="20" s="1"/>
  <c r="X176" i="21"/>
  <c r="A177" i="21"/>
  <c r="Y176" i="21"/>
  <c r="W170" i="20" l="1"/>
  <c r="AC170" i="20"/>
  <c r="AA170" i="20"/>
  <c r="Y170" i="20"/>
  <c r="AB173" i="1"/>
  <c r="D173" i="1" s="1"/>
  <c r="AB174" i="3" s="1"/>
  <c r="AB176" i="19"/>
  <c r="D175" i="19"/>
  <c r="X177" i="21"/>
  <c r="A178" i="21"/>
  <c r="Y177" i="21"/>
  <c r="V171" i="21"/>
  <c r="B171" i="20"/>
  <c r="Z177" i="2"/>
  <c r="AA177" i="2"/>
  <c r="A178" i="2"/>
  <c r="Z176" i="3"/>
  <c r="AF176" i="3"/>
  <c r="AD176" i="3"/>
  <c r="C172" i="21"/>
  <c r="C172" i="20" s="1"/>
  <c r="U172" i="21"/>
  <c r="U172" i="20" s="1"/>
  <c r="L172" i="21"/>
  <c r="L172" i="20" s="1"/>
  <c r="B172" i="21"/>
  <c r="Q172" i="21"/>
  <c r="Q172" i="20" s="1"/>
  <c r="K172" i="21"/>
  <c r="K172" i="20" s="1"/>
  <c r="P172" i="21"/>
  <c r="P172" i="20" s="1"/>
  <c r="I172" i="21"/>
  <c r="I172" i="20" s="1"/>
  <c r="S172" i="21"/>
  <c r="S172" i="20" s="1"/>
  <c r="E172" i="21"/>
  <c r="E172" i="20" s="1"/>
  <c r="M172" i="21"/>
  <c r="M172" i="20" s="1"/>
  <c r="R172" i="21"/>
  <c r="R172" i="20" s="1"/>
  <c r="D172" i="21"/>
  <c r="D172" i="20" s="1"/>
  <c r="G172" i="21"/>
  <c r="G172" i="20" s="1"/>
  <c r="T172" i="21"/>
  <c r="T172" i="20" s="1"/>
  <c r="O172" i="21"/>
  <c r="O172" i="20" s="1"/>
  <c r="H172" i="21"/>
  <c r="H172" i="20" s="1"/>
  <c r="J172" i="21"/>
  <c r="J172" i="20" s="1"/>
  <c r="N172" i="21"/>
  <c r="N172" i="20" s="1"/>
  <c r="F172" i="21"/>
  <c r="F172" i="20" s="1"/>
  <c r="G174" i="19"/>
  <c r="Z177" i="3" l="1"/>
  <c r="AA177" i="3" s="1"/>
  <c r="AF177" i="3"/>
  <c r="AG177" i="3" s="1"/>
  <c r="AD177" i="3"/>
  <c r="AE177" i="3" s="1"/>
  <c r="G175" i="19"/>
  <c r="AB174" i="1"/>
  <c r="D174" i="1" s="1"/>
  <c r="AB175" i="3" s="1"/>
  <c r="D176" i="19"/>
  <c r="AB177" i="19"/>
  <c r="W171" i="20"/>
  <c r="AC171" i="20"/>
  <c r="AA171" i="20"/>
  <c r="Y171" i="20"/>
  <c r="X178" i="21"/>
  <c r="Y178" i="21"/>
  <c r="A179" i="21"/>
  <c r="B173" i="21"/>
  <c r="R173" i="21"/>
  <c r="R173" i="20" s="1"/>
  <c r="E173" i="21"/>
  <c r="E173" i="20" s="1"/>
  <c r="N173" i="21"/>
  <c r="N173" i="20" s="1"/>
  <c r="P173" i="21"/>
  <c r="P173" i="20" s="1"/>
  <c r="M173" i="21"/>
  <c r="M173" i="20" s="1"/>
  <c r="D173" i="21"/>
  <c r="D173" i="20" s="1"/>
  <c r="J173" i="21"/>
  <c r="J173" i="20" s="1"/>
  <c r="G173" i="21"/>
  <c r="G173" i="20" s="1"/>
  <c r="T173" i="21"/>
  <c r="T173" i="20" s="1"/>
  <c r="U173" i="21"/>
  <c r="U173" i="20" s="1"/>
  <c r="H173" i="21"/>
  <c r="H173" i="20" s="1"/>
  <c r="O173" i="21"/>
  <c r="O173" i="20" s="1"/>
  <c r="Q173" i="21"/>
  <c r="Q173" i="20" s="1"/>
  <c r="I173" i="21"/>
  <c r="I173" i="20" s="1"/>
  <c r="L173" i="21"/>
  <c r="L173" i="20" s="1"/>
  <c r="C173" i="21"/>
  <c r="C173" i="20" s="1"/>
  <c r="K173" i="21"/>
  <c r="K173" i="20" s="1"/>
  <c r="F173" i="21"/>
  <c r="F173" i="20" s="1"/>
  <c r="S173" i="21"/>
  <c r="S173" i="20" s="1"/>
  <c r="V172" i="21"/>
  <c r="B172" i="20"/>
  <c r="Z178" i="2"/>
  <c r="AA178" i="2"/>
  <c r="A179" i="2"/>
  <c r="AA179" i="2" l="1"/>
  <c r="Z179" i="2"/>
  <c r="A180" i="2"/>
  <c r="V173" i="21"/>
  <c r="B173" i="20"/>
  <c r="AB175" i="1"/>
  <c r="D175" i="1" s="1"/>
  <c r="AB176" i="3" s="1"/>
  <c r="AB178" i="19"/>
  <c r="D177" i="19"/>
  <c r="AF178" i="3"/>
  <c r="AD178" i="3"/>
  <c r="Z178" i="3"/>
  <c r="X179" i="21"/>
  <c r="Y179" i="21"/>
  <c r="A180" i="21"/>
  <c r="G176" i="19"/>
  <c r="W172" i="20"/>
  <c r="AC172" i="20"/>
  <c r="AA172" i="20"/>
  <c r="Y172" i="20"/>
  <c r="G174" i="21"/>
  <c r="G174" i="20" s="1"/>
  <c r="S174" i="21"/>
  <c r="S174" i="20" s="1"/>
  <c r="O174" i="21"/>
  <c r="O174" i="20" s="1"/>
  <c r="B174" i="21"/>
  <c r="D174" i="21"/>
  <c r="D174" i="20" s="1"/>
  <c r="C174" i="21"/>
  <c r="C174" i="20" s="1"/>
  <c r="U174" i="21"/>
  <c r="U174" i="20" s="1"/>
  <c r="J174" i="21"/>
  <c r="J174" i="20" s="1"/>
  <c r="N174" i="21"/>
  <c r="N174" i="20" s="1"/>
  <c r="K174" i="21"/>
  <c r="K174" i="20" s="1"/>
  <c r="T174" i="21"/>
  <c r="T174" i="20" s="1"/>
  <c r="F174" i="21"/>
  <c r="F174" i="20" s="1"/>
  <c r="E174" i="21"/>
  <c r="E174" i="20" s="1"/>
  <c r="P174" i="21"/>
  <c r="P174" i="20" s="1"/>
  <c r="I174" i="21"/>
  <c r="I174" i="20" s="1"/>
  <c r="H174" i="21"/>
  <c r="H174" i="20" s="1"/>
  <c r="M174" i="21"/>
  <c r="M174" i="20" s="1"/>
  <c r="R174" i="21"/>
  <c r="R174" i="20" s="1"/>
  <c r="Q174" i="21"/>
  <c r="Q174" i="20" s="1"/>
  <c r="L174" i="21"/>
  <c r="L174" i="20" s="1"/>
  <c r="Z180" i="2" l="1"/>
  <c r="AA180" i="2"/>
  <c r="A181" i="2"/>
  <c r="G177" i="19"/>
  <c r="M175" i="21"/>
  <c r="M175" i="20" s="1"/>
  <c r="J175" i="21"/>
  <c r="J175" i="20" s="1"/>
  <c r="C175" i="21"/>
  <c r="C175" i="20" s="1"/>
  <c r="U175" i="21"/>
  <c r="U175" i="20" s="1"/>
  <c r="G175" i="21"/>
  <c r="G175" i="20" s="1"/>
  <c r="K175" i="21"/>
  <c r="K175" i="20" s="1"/>
  <c r="H175" i="21"/>
  <c r="H175" i="20" s="1"/>
  <c r="F175" i="21"/>
  <c r="F175" i="20" s="1"/>
  <c r="B175" i="21"/>
  <c r="S175" i="21"/>
  <c r="S175" i="20" s="1"/>
  <c r="R175" i="21"/>
  <c r="R175" i="20" s="1"/>
  <c r="O175" i="21"/>
  <c r="O175" i="20" s="1"/>
  <c r="P175" i="21"/>
  <c r="P175" i="20" s="1"/>
  <c r="D175" i="21"/>
  <c r="D175" i="20" s="1"/>
  <c r="I175" i="21"/>
  <c r="I175" i="20" s="1"/>
  <c r="E175" i="21"/>
  <c r="E175" i="20" s="1"/>
  <c r="Q175" i="21"/>
  <c r="Q175" i="20" s="1"/>
  <c r="L175" i="21"/>
  <c r="L175" i="20" s="1"/>
  <c r="T175" i="21"/>
  <c r="T175" i="20" s="1"/>
  <c r="N175" i="21"/>
  <c r="N175" i="20" s="1"/>
  <c r="AB176" i="1"/>
  <c r="D176" i="1" s="1"/>
  <c r="AB177" i="3" s="1"/>
  <c r="AC177" i="3" s="1"/>
  <c r="D178" i="19"/>
  <c r="AB179" i="19"/>
  <c r="W173" i="20"/>
  <c r="AC173" i="20"/>
  <c r="AA173" i="20"/>
  <c r="Y173" i="20"/>
  <c r="Y180" i="21"/>
  <c r="A181" i="21"/>
  <c r="X180" i="21"/>
  <c r="V174" i="21"/>
  <c r="B174" i="20"/>
  <c r="AF179" i="3"/>
  <c r="Z179" i="3"/>
  <c r="AD179" i="3"/>
  <c r="A182" i="21" l="1"/>
  <c r="X181" i="21"/>
  <c r="Y181" i="21"/>
  <c r="Z180" i="3"/>
  <c r="AF180" i="3"/>
  <c r="AD180" i="3"/>
  <c r="W174" i="20"/>
  <c r="AC174" i="20"/>
  <c r="AA174" i="20"/>
  <c r="Y174" i="20"/>
  <c r="V175" i="21"/>
  <c r="B175" i="20"/>
  <c r="AB177" i="1"/>
  <c r="D177" i="1" s="1"/>
  <c r="AB178" i="3" s="1"/>
  <c r="AB180" i="19"/>
  <c r="D179" i="19"/>
  <c r="I176" i="21"/>
  <c r="I176" i="20" s="1"/>
  <c r="N176" i="21"/>
  <c r="N176" i="20" s="1"/>
  <c r="Q176" i="21"/>
  <c r="Q176" i="20" s="1"/>
  <c r="L176" i="21"/>
  <c r="L176" i="20" s="1"/>
  <c r="E176" i="21"/>
  <c r="E176" i="20" s="1"/>
  <c r="B176" i="21"/>
  <c r="S176" i="21"/>
  <c r="S176" i="20" s="1"/>
  <c r="F176" i="21"/>
  <c r="F176" i="20" s="1"/>
  <c r="H176" i="21"/>
  <c r="H176" i="20" s="1"/>
  <c r="J176" i="21"/>
  <c r="J176" i="20" s="1"/>
  <c r="C176" i="21"/>
  <c r="C176" i="20" s="1"/>
  <c r="T176" i="21"/>
  <c r="T176" i="20" s="1"/>
  <c r="K176" i="21"/>
  <c r="K176" i="20" s="1"/>
  <c r="G176" i="21"/>
  <c r="G176" i="20" s="1"/>
  <c r="M176" i="21"/>
  <c r="M176" i="20" s="1"/>
  <c r="R176" i="21"/>
  <c r="R176" i="20" s="1"/>
  <c r="O176" i="21"/>
  <c r="O176" i="20" s="1"/>
  <c r="U176" i="21"/>
  <c r="U176" i="20" s="1"/>
  <c r="D176" i="21"/>
  <c r="D176" i="20" s="1"/>
  <c r="P176" i="21"/>
  <c r="P176" i="20" s="1"/>
  <c r="G178" i="19"/>
  <c r="AA181" i="2"/>
  <c r="A182" i="2"/>
  <c r="Z181" i="2"/>
  <c r="Z181" i="3" l="1"/>
  <c r="AF181" i="3"/>
  <c r="AD181" i="3"/>
  <c r="D180" i="19"/>
  <c r="AB178" i="1"/>
  <c r="D178" i="1" s="1"/>
  <c r="AB179" i="3" s="1"/>
  <c r="AB181" i="19"/>
  <c r="K177" i="21"/>
  <c r="K177" i="20" s="1"/>
  <c r="H177" i="21"/>
  <c r="H177" i="20" s="1"/>
  <c r="I177" i="21"/>
  <c r="I177" i="20" s="1"/>
  <c r="F177" i="21"/>
  <c r="F177" i="20" s="1"/>
  <c r="S177" i="21"/>
  <c r="S177" i="20" s="1"/>
  <c r="T177" i="21"/>
  <c r="T177" i="20" s="1"/>
  <c r="J177" i="21"/>
  <c r="J177" i="20" s="1"/>
  <c r="P177" i="21"/>
  <c r="P177" i="20" s="1"/>
  <c r="R177" i="21"/>
  <c r="R177" i="20" s="1"/>
  <c r="N177" i="21"/>
  <c r="N177" i="20" s="1"/>
  <c r="G177" i="21"/>
  <c r="G177" i="20" s="1"/>
  <c r="M177" i="21"/>
  <c r="M177" i="20" s="1"/>
  <c r="Q177" i="21"/>
  <c r="Q177" i="20" s="1"/>
  <c r="U177" i="21"/>
  <c r="U177" i="20" s="1"/>
  <c r="D177" i="21"/>
  <c r="D177" i="20" s="1"/>
  <c r="C177" i="21"/>
  <c r="C177" i="20" s="1"/>
  <c r="O177" i="21"/>
  <c r="O177" i="20" s="1"/>
  <c r="E177" i="21"/>
  <c r="E177" i="20" s="1"/>
  <c r="L177" i="21"/>
  <c r="L177" i="20" s="1"/>
  <c r="B177" i="21"/>
  <c r="V176" i="21"/>
  <c r="B176" i="20"/>
  <c r="W175" i="20"/>
  <c r="AC175" i="20"/>
  <c r="AA175" i="20"/>
  <c r="Y175" i="20"/>
  <c r="X182" i="21"/>
  <c r="Y182" i="21"/>
  <c r="A183" i="21"/>
  <c r="A183" i="2"/>
  <c r="Z182" i="2"/>
  <c r="AA182" i="2"/>
  <c r="G179" i="19"/>
  <c r="V177" i="20" l="1"/>
  <c r="P8" i="4" s="1"/>
  <c r="G180" i="19"/>
  <c r="Z183" i="2"/>
  <c r="AA183" i="2"/>
  <c r="A184" i="2"/>
  <c r="X183" i="21"/>
  <c r="Y183" i="21"/>
  <c r="A184" i="21"/>
  <c r="W176" i="20"/>
  <c r="AC176" i="20"/>
  <c r="AA176" i="20"/>
  <c r="Y176" i="20"/>
  <c r="Z182" i="3"/>
  <c r="AF182" i="3"/>
  <c r="AD182" i="3"/>
  <c r="AB179" i="1"/>
  <c r="D179" i="1" s="1"/>
  <c r="AB180" i="3" s="1"/>
  <c r="AB182" i="19"/>
  <c r="D181" i="19"/>
  <c r="V177" i="21"/>
  <c r="B177" i="20"/>
  <c r="F178" i="21"/>
  <c r="F178" i="20" s="1"/>
  <c r="D178" i="21"/>
  <c r="D178" i="20" s="1"/>
  <c r="G178" i="21"/>
  <c r="G178" i="20" s="1"/>
  <c r="N178" i="21"/>
  <c r="N178" i="20" s="1"/>
  <c r="L178" i="21"/>
  <c r="L178" i="20" s="1"/>
  <c r="I178" i="21"/>
  <c r="I178" i="20" s="1"/>
  <c r="B178" i="21"/>
  <c r="T178" i="21"/>
  <c r="T178" i="20" s="1"/>
  <c r="H178" i="21"/>
  <c r="H178" i="20" s="1"/>
  <c r="K178" i="21"/>
  <c r="K178" i="20" s="1"/>
  <c r="P178" i="21"/>
  <c r="P178" i="20" s="1"/>
  <c r="S178" i="21"/>
  <c r="S178" i="20" s="1"/>
  <c r="C178" i="21"/>
  <c r="C178" i="20" s="1"/>
  <c r="Q178" i="21"/>
  <c r="Q178" i="20" s="1"/>
  <c r="E178" i="21"/>
  <c r="E178" i="20" s="1"/>
  <c r="J178" i="21"/>
  <c r="J178" i="20" s="1"/>
  <c r="O178" i="21"/>
  <c r="O178" i="20" s="1"/>
  <c r="M178" i="21"/>
  <c r="M178" i="20" s="1"/>
  <c r="R178" i="21"/>
  <c r="R178" i="20" s="1"/>
  <c r="U178" i="21"/>
  <c r="U178" i="20" s="1"/>
  <c r="A185" i="2" l="1"/>
  <c r="Z184" i="2"/>
  <c r="AA184" i="2"/>
  <c r="Z183" i="3"/>
  <c r="AF183" i="3"/>
  <c r="AD183" i="3"/>
  <c r="V178" i="21"/>
  <c r="B178" i="20"/>
  <c r="W177" i="20"/>
  <c r="X177" i="20" s="1"/>
  <c r="P9" i="4" s="1"/>
  <c r="AC177" i="20"/>
  <c r="AD177" i="20" s="1"/>
  <c r="AA177" i="20"/>
  <c r="AB177" i="20" s="1"/>
  <c r="W177" i="21"/>
  <c r="P83" i="4" s="1"/>
  <c r="Y177" i="20"/>
  <c r="Z177" i="20" s="1"/>
  <c r="P10" i="4" s="1"/>
  <c r="G181" i="19"/>
  <c r="AB180" i="1"/>
  <c r="D180" i="1" s="1"/>
  <c r="AB181" i="3" s="1"/>
  <c r="D182" i="19"/>
  <c r="AB183" i="19"/>
  <c r="S179" i="21"/>
  <c r="S179" i="20" s="1"/>
  <c r="H179" i="21"/>
  <c r="H179" i="20" s="1"/>
  <c r="F179" i="21"/>
  <c r="F179" i="20" s="1"/>
  <c r="K179" i="21"/>
  <c r="K179" i="20" s="1"/>
  <c r="J179" i="21"/>
  <c r="J179" i="20" s="1"/>
  <c r="O179" i="21"/>
  <c r="O179" i="20" s="1"/>
  <c r="N179" i="21"/>
  <c r="N179" i="20" s="1"/>
  <c r="R179" i="21"/>
  <c r="R179" i="20" s="1"/>
  <c r="D179" i="21"/>
  <c r="D179" i="20" s="1"/>
  <c r="L179" i="21"/>
  <c r="L179" i="20" s="1"/>
  <c r="G179" i="21"/>
  <c r="G179" i="20" s="1"/>
  <c r="T179" i="21"/>
  <c r="T179" i="20" s="1"/>
  <c r="C179" i="21"/>
  <c r="C179" i="20" s="1"/>
  <c r="Q179" i="21"/>
  <c r="Q179" i="20" s="1"/>
  <c r="E179" i="21"/>
  <c r="E179" i="20" s="1"/>
  <c r="B179" i="21"/>
  <c r="I179" i="21"/>
  <c r="I179" i="20" s="1"/>
  <c r="M179" i="21"/>
  <c r="M179" i="20" s="1"/>
  <c r="P179" i="21"/>
  <c r="P179" i="20" s="1"/>
  <c r="U179" i="21"/>
  <c r="U179" i="20" s="1"/>
  <c r="Y184" i="21"/>
  <c r="A185" i="21"/>
  <c r="X184" i="21"/>
  <c r="B180" i="21" l="1"/>
  <c r="T180" i="21"/>
  <c r="T180" i="20" s="1"/>
  <c r="G180" i="21"/>
  <c r="G180" i="20" s="1"/>
  <c r="J180" i="21"/>
  <c r="J180" i="20" s="1"/>
  <c r="I180" i="21"/>
  <c r="I180" i="20" s="1"/>
  <c r="U180" i="21"/>
  <c r="U180" i="20" s="1"/>
  <c r="R180" i="21"/>
  <c r="R180" i="20" s="1"/>
  <c r="D180" i="21"/>
  <c r="D180" i="20" s="1"/>
  <c r="E180" i="21"/>
  <c r="E180" i="20" s="1"/>
  <c r="H180" i="21"/>
  <c r="H180" i="20" s="1"/>
  <c r="K180" i="21"/>
  <c r="K180" i="20" s="1"/>
  <c r="O180" i="21"/>
  <c r="O180" i="20" s="1"/>
  <c r="F180" i="21"/>
  <c r="F180" i="20" s="1"/>
  <c r="P180" i="21"/>
  <c r="P180" i="20" s="1"/>
  <c r="N180" i="21"/>
  <c r="N180" i="20" s="1"/>
  <c r="M180" i="21"/>
  <c r="M180" i="20" s="1"/>
  <c r="C180" i="21"/>
  <c r="C180" i="20" s="1"/>
  <c r="L180" i="21"/>
  <c r="L180" i="20" s="1"/>
  <c r="Q180" i="21"/>
  <c r="Q180" i="20" s="1"/>
  <c r="S180" i="21"/>
  <c r="S180" i="20" s="1"/>
  <c r="W178" i="20"/>
  <c r="AC178" i="20"/>
  <c r="AA178" i="20"/>
  <c r="Y178" i="20"/>
  <c r="P12" i="4"/>
  <c r="P89" i="4" s="1"/>
  <c r="P11" i="4"/>
  <c r="Z184" i="3"/>
  <c r="AF184" i="3"/>
  <c r="AD184" i="3"/>
  <c r="V179" i="21"/>
  <c r="B179" i="20"/>
  <c r="AB181" i="1"/>
  <c r="D181" i="1" s="1"/>
  <c r="AB182" i="3" s="1"/>
  <c r="AB184" i="19"/>
  <c r="D183" i="19"/>
  <c r="P86" i="4"/>
  <c r="P88" i="4"/>
  <c r="P91" i="4"/>
  <c r="P93" i="4"/>
  <c r="P95" i="4"/>
  <c r="P82" i="4"/>
  <c r="P87" i="4" s="1"/>
  <c r="P85" i="4"/>
  <c r="P92" i="4"/>
  <c r="P94" i="4"/>
  <c r="G182" i="19"/>
  <c r="AA185" i="2"/>
  <c r="A186" i="2"/>
  <c r="Z185" i="2"/>
  <c r="X185" i="21"/>
  <c r="A186" i="21"/>
  <c r="Y185" i="21"/>
  <c r="G181" i="21" l="1"/>
  <c r="G181" i="20" s="1"/>
  <c r="D181" i="21"/>
  <c r="D181" i="20" s="1"/>
  <c r="S181" i="21"/>
  <c r="S181" i="20" s="1"/>
  <c r="H181" i="21"/>
  <c r="H181" i="20" s="1"/>
  <c r="E181" i="21"/>
  <c r="E181" i="20" s="1"/>
  <c r="L181" i="21"/>
  <c r="L181" i="20" s="1"/>
  <c r="K181" i="21"/>
  <c r="K181" i="20" s="1"/>
  <c r="F181" i="21"/>
  <c r="F181" i="20" s="1"/>
  <c r="M181" i="21"/>
  <c r="M181" i="20" s="1"/>
  <c r="P181" i="21"/>
  <c r="P181" i="20" s="1"/>
  <c r="Q181" i="21"/>
  <c r="Q181" i="20" s="1"/>
  <c r="B181" i="21"/>
  <c r="C181" i="21"/>
  <c r="C181" i="20" s="1"/>
  <c r="J181" i="21"/>
  <c r="J181" i="20" s="1"/>
  <c r="N181" i="21"/>
  <c r="N181" i="20" s="1"/>
  <c r="R181" i="21"/>
  <c r="R181" i="20" s="1"/>
  <c r="I181" i="21"/>
  <c r="I181" i="20" s="1"/>
  <c r="O181" i="21"/>
  <c r="O181" i="20" s="1"/>
  <c r="T181" i="21"/>
  <c r="T181" i="20" s="1"/>
  <c r="U181" i="21"/>
  <c r="U181" i="20" s="1"/>
  <c r="W179" i="20"/>
  <c r="AC179" i="20"/>
  <c r="AA179" i="20"/>
  <c r="Y179" i="20"/>
  <c r="G183" i="19"/>
  <c r="P13" i="4"/>
  <c r="P17" i="4" s="1"/>
  <c r="X186" i="21"/>
  <c r="Y186" i="21"/>
  <c r="A187" i="21"/>
  <c r="Z186" i="2"/>
  <c r="AA186" i="2"/>
  <c r="A187" i="2"/>
  <c r="AB182" i="1"/>
  <c r="D182" i="1" s="1"/>
  <c r="AB183" i="3" s="1"/>
  <c r="AB185" i="19"/>
  <c r="D184" i="19"/>
  <c r="Z185" i="3"/>
  <c r="AF185" i="3"/>
  <c r="AD185" i="3"/>
  <c r="V180" i="21"/>
  <c r="B180" i="20"/>
  <c r="AB183" i="1" l="1"/>
  <c r="D183" i="1" s="1"/>
  <c r="AB184" i="3" s="1"/>
  <c r="AB186" i="19"/>
  <c r="D185" i="19"/>
  <c r="G184" i="19"/>
  <c r="W180" i="20"/>
  <c r="AC180" i="20"/>
  <c r="AA180" i="20"/>
  <c r="Y180" i="20"/>
  <c r="AA187" i="2"/>
  <c r="A188" i="2"/>
  <c r="Z187" i="2"/>
  <c r="P20" i="4"/>
  <c r="P19" i="4"/>
  <c r="P36" i="4" s="1"/>
  <c r="V181" i="21"/>
  <c r="B181" i="20"/>
  <c r="F182" i="21"/>
  <c r="F182" i="20" s="1"/>
  <c r="R182" i="21"/>
  <c r="R182" i="20" s="1"/>
  <c r="Q182" i="21"/>
  <c r="Q182" i="20" s="1"/>
  <c r="K182" i="21"/>
  <c r="K182" i="20" s="1"/>
  <c r="N182" i="21"/>
  <c r="N182" i="20" s="1"/>
  <c r="G182" i="21"/>
  <c r="G182" i="20" s="1"/>
  <c r="H182" i="21"/>
  <c r="H182" i="20" s="1"/>
  <c r="I182" i="21"/>
  <c r="I182" i="20" s="1"/>
  <c r="M182" i="21"/>
  <c r="M182" i="20" s="1"/>
  <c r="B182" i="21"/>
  <c r="T182" i="21"/>
  <c r="T182" i="20" s="1"/>
  <c r="P182" i="21"/>
  <c r="P182" i="20" s="1"/>
  <c r="S182" i="21"/>
  <c r="S182" i="20" s="1"/>
  <c r="O182" i="21"/>
  <c r="O182" i="20" s="1"/>
  <c r="J182" i="21"/>
  <c r="J182" i="20" s="1"/>
  <c r="E182" i="21"/>
  <c r="E182" i="20" s="1"/>
  <c r="D182" i="21"/>
  <c r="D182" i="20" s="1"/>
  <c r="L182" i="21"/>
  <c r="L182" i="20" s="1"/>
  <c r="U182" i="21"/>
  <c r="U182" i="20" s="1"/>
  <c r="C182" i="21"/>
  <c r="C182" i="20" s="1"/>
  <c r="X187" i="21"/>
  <c r="Y187" i="21"/>
  <c r="A188" i="21"/>
  <c r="Z186" i="3"/>
  <c r="AF186" i="3"/>
  <c r="AD186" i="3"/>
  <c r="L183" i="21" l="1"/>
  <c r="L183" i="20" s="1"/>
  <c r="C183" i="21"/>
  <c r="C183" i="20" s="1"/>
  <c r="Q183" i="21"/>
  <c r="Q183" i="20" s="1"/>
  <c r="B183" i="21"/>
  <c r="T183" i="21"/>
  <c r="T183" i="20" s="1"/>
  <c r="P183" i="21"/>
  <c r="P183" i="20" s="1"/>
  <c r="G183" i="21"/>
  <c r="G183" i="20" s="1"/>
  <c r="M183" i="21"/>
  <c r="M183" i="20" s="1"/>
  <c r="F183" i="21"/>
  <c r="F183" i="20" s="1"/>
  <c r="J183" i="21"/>
  <c r="J183" i="20" s="1"/>
  <c r="S183" i="21"/>
  <c r="S183" i="20" s="1"/>
  <c r="H183" i="21"/>
  <c r="H183" i="20" s="1"/>
  <c r="D183" i="21"/>
  <c r="D183" i="20" s="1"/>
  <c r="I183" i="21"/>
  <c r="I183" i="20" s="1"/>
  <c r="O183" i="21"/>
  <c r="O183" i="20" s="1"/>
  <c r="N183" i="21"/>
  <c r="N183" i="20" s="1"/>
  <c r="R183" i="21"/>
  <c r="R183" i="20" s="1"/>
  <c r="E183" i="21"/>
  <c r="E183" i="20" s="1"/>
  <c r="K183" i="21"/>
  <c r="K183" i="20" s="1"/>
  <c r="U183" i="21"/>
  <c r="U183" i="20" s="1"/>
  <c r="G185" i="19"/>
  <c r="V182" i="21"/>
  <c r="B182" i="20"/>
  <c r="Y188" i="21"/>
  <c r="A189" i="21"/>
  <c r="X188" i="21"/>
  <c r="W181" i="20"/>
  <c r="AC181" i="20"/>
  <c r="AA181" i="20"/>
  <c r="Y181" i="20"/>
  <c r="P25" i="4"/>
  <c r="P35" i="4"/>
  <c r="P38" i="4" s="1"/>
  <c r="Z187" i="3"/>
  <c r="AF187" i="3"/>
  <c r="AD187" i="3"/>
  <c r="AA188" i="2"/>
  <c r="A189" i="2"/>
  <c r="Z188" i="2"/>
  <c r="AB184" i="1"/>
  <c r="D184" i="1" s="1"/>
  <c r="AB185" i="3" s="1"/>
  <c r="AB187" i="19"/>
  <c r="D186" i="19"/>
  <c r="W182" i="20" l="1"/>
  <c r="AC182" i="20"/>
  <c r="AA182" i="20"/>
  <c r="Y182" i="20"/>
  <c r="V183" i="21"/>
  <c r="B183" i="20"/>
  <c r="A190" i="21"/>
  <c r="Y189" i="21"/>
  <c r="X189" i="21"/>
  <c r="G186" i="19"/>
  <c r="G184" i="21"/>
  <c r="G184" i="20" s="1"/>
  <c r="D184" i="21"/>
  <c r="D184" i="20" s="1"/>
  <c r="E184" i="21"/>
  <c r="E184" i="20" s="1"/>
  <c r="S184" i="21"/>
  <c r="S184" i="20" s="1"/>
  <c r="O184" i="21"/>
  <c r="O184" i="20" s="1"/>
  <c r="R184" i="21"/>
  <c r="R184" i="20" s="1"/>
  <c r="M184" i="21"/>
  <c r="M184" i="20" s="1"/>
  <c r="L184" i="21"/>
  <c r="L184" i="20" s="1"/>
  <c r="K184" i="21"/>
  <c r="K184" i="20" s="1"/>
  <c r="F184" i="21"/>
  <c r="F184" i="20" s="1"/>
  <c r="T184" i="21"/>
  <c r="T184" i="20" s="1"/>
  <c r="Q184" i="21"/>
  <c r="Q184" i="20" s="1"/>
  <c r="H184" i="21"/>
  <c r="H184" i="20" s="1"/>
  <c r="U184" i="21"/>
  <c r="U184" i="20" s="1"/>
  <c r="N184" i="21"/>
  <c r="N184" i="20" s="1"/>
  <c r="B184" i="21"/>
  <c r="C184" i="21"/>
  <c r="C184" i="20" s="1"/>
  <c r="J184" i="21"/>
  <c r="J184" i="20" s="1"/>
  <c r="P184" i="21"/>
  <c r="P184" i="20" s="1"/>
  <c r="I184" i="21"/>
  <c r="I184" i="20" s="1"/>
  <c r="AB185" i="1"/>
  <c r="D185" i="1" s="1"/>
  <c r="AB186" i="3" s="1"/>
  <c r="AB188" i="19"/>
  <c r="D187" i="19"/>
  <c r="A190" i="2"/>
  <c r="Z189" i="2"/>
  <c r="AA189" i="2"/>
  <c r="Z188" i="3"/>
  <c r="AF188" i="3"/>
  <c r="AD188" i="3"/>
  <c r="AB186" i="1" l="1"/>
  <c r="D186" i="1" s="1"/>
  <c r="AB187" i="3" s="1"/>
  <c r="AB189" i="19"/>
  <c r="D188" i="19"/>
  <c r="A191" i="2"/>
  <c r="Z190" i="2"/>
  <c r="AA190" i="2"/>
  <c r="V184" i="21"/>
  <c r="B184" i="20"/>
  <c r="W183" i="20"/>
  <c r="AC183" i="20"/>
  <c r="AA183" i="20"/>
  <c r="Y183" i="20"/>
  <c r="G187" i="19"/>
  <c r="J185" i="21"/>
  <c r="J185" i="20" s="1"/>
  <c r="R185" i="21"/>
  <c r="R185" i="20" s="1"/>
  <c r="C185" i="21"/>
  <c r="C185" i="20" s="1"/>
  <c r="K185" i="21"/>
  <c r="K185" i="20" s="1"/>
  <c r="F185" i="21"/>
  <c r="F185" i="20" s="1"/>
  <c r="L185" i="21"/>
  <c r="L185" i="20" s="1"/>
  <c r="M185" i="21"/>
  <c r="M185" i="20" s="1"/>
  <c r="B185" i="21"/>
  <c r="U185" i="21"/>
  <c r="U185" i="20" s="1"/>
  <c r="O185" i="21"/>
  <c r="O185" i="20" s="1"/>
  <c r="T185" i="21"/>
  <c r="T185" i="20" s="1"/>
  <c r="Q185" i="21"/>
  <c r="Q185" i="20" s="1"/>
  <c r="D185" i="21"/>
  <c r="D185" i="20" s="1"/>
  <c r="G185" i="21"/>
  <c r="G185" i="20" s="1"/>
  <c r="S185" i="21"/>
  <c r="S185" i="20" s="1"/>
  <c r="P185" i="21"/>
  <c r="P185" i="20" s="1"/>
  <c r="N185" i="21"/>
  <c r="N185" i="20" s="1"/>
  <c r="H185" i="21"/>
  <c r="H185" i="20" s="1"/>
  <c r="E185" i="21"/>
  <c r="E185" i="20" s="1"/>
  <c r="I185" i="21"/>
  <c r="I185" i="20" s="1"/>
  <c r="A191" i="21"/>
  <c r="Y190" i="21"/>
  <c r="X190" i="21"/>
  <c r="Z189" i="3"/>
  <c r="AA189" i="3" s="1"/>
  <c r="AF189" i="3"/>
  <c r="AG189" i="3" s="1"/>
  <c r="AD189" i="3"/>
  <c r="AE189" i="3" s="1"/>
  <c r="G188" i="19" l="1"/>
  <c r="W184" i="20"/>
  <c r="AC184" i="20"/>
  <c r="AA184" i="20"/>
  <c r="Y184" i="20"/>
  <c r="V185" i="21"/>
  <c r="B185" i="20"/>
  <c r="AF190" i="3"/>
  <c r="Z190" i="3"/>
  <c r="AD190" i="3"/>
  <c r="A192" i="21"/>
  <c r="X191" i="21"/>
  <c r="Y191" i="21"/>
  <c r="F186" i="21"/>
  <c r="F186" i="20" s="1"/>
  <c r="D186" i="21"/>
  <c r="D186" i="20" s="1"/>
  <c r="N186" i="21"/>
  <c r="N186" i="20" s="1"/>
  <c r="L186" i="21"/>
  <c r="L186" i="20" s="1"/>
  <c r="B186" i="21"/>
  <c r="T186" i="21"/>
  <c r="T186" i="20" s="1"/>
  <c r="M186" i="21"/>
  <c r="M186" i="20" s="1"/>
  <c r="H186" i="21"/>
  <c r="H186" i="20" s="1"/>
  <c r="K186" i="21"/>
  <c r="K186" i="20" s="1"/>
  <c r="P186" i="21"/>
  <c r="P186" i="20" s="1"/>
  <c r="C186" i="21"/>
  <c r="C186" i="20" s="1"/>
  <c r="G186" i="21"/>
  <c r="G186" i="20" s="1"/>
  <c r="S186" i="21"/>
  <c r="S186" i="20" s="1"/>
  <c r="J186" i="21"/>
  <c r="J186" i="20" s="1"/>
  <c r="I186" i="21"/>
  <c r="I186" i="20" s="1"/>
  <c r="E186" i="21"/>
  <c r="E186" i="20" s="1"/>
  <c r="U186" i="21"/>
  <c r="U186" i="20" s="1"/>
  <c r="R186" i="21"/>
  <c r="R186" i="20" s="1"/>
  <c r="O186" i="21"/>
  <c r="O186" i="20" s="1"/>
  <c r="Q186" i="21"/>
  <c r="Q186" i="20" s="1"/>
  <c r="A192" i="2"/>
  <c r="Z191" i="2"/>
  <c r="AA191" i="2"/>
  <c r="AB187" i="1"/>
  <c r="D187" i="1" s="1"/>
  <c r="AB188" i="3" s="1"/>
  <c r="D189" i="19"/>
  <c r="AB190" i="19"/>
  <c r="A193" i="2" l="1"/>
  <c r="Z192" i="2"/>
  <c r="AA192" i="2"/>
  <c r="G189" i="19"/>
  <c r="W185" i="20"/>
  <c r="AC185" i="20"/>
  <c r="AA185" i="20"/>
  <c r="Y185" i="20"/>
  <c r="V186" i="21"/>
  <c r="B186" i="20"/>
  <c r="AB188" i="1"/>
  <c r="D188" i="1" s="1"/>
  <c r="AB189" i="3" s="1"/>
  <c r="AC189" i="3" s="1"/>
  <c r="AB191" i="19"/>
  <c r="D190" i="19"/>
  <c r="Z191" i="3"/>
  <c r="AF191" i="3"/>
  <c r="AD191" i="3"/>
  <c r="A193" i="21"/>
  <c r="X192" i="21"/>
  <c r="Y192" i="21"/>
  <c r="I187" i="21"/>
  <c r="I187" i="20" s="1"/>
  <c r="C187" i="21"/>
  <c r="C187" i="20" s="1"/>
  <c r="P187" i="21"/>
  <c r="P187" i="20" s="1"/>
  <c r="F187" i="21"/>
  <c r="F187" i="20" s="1"/>
  <c r="J187" i="21"/>
  <c r="J187" i="20" s="1"/>
  <c r="K187" i="21"/>
  <c r="K187" i="20" s="1"/>
  <c r="N187" i="21"/>
  <c r="N187" i="20" s="1"/>
  <c r="E187" i="21"/>
  <c r="E187" i="20" s="1"/>
  <c r="H187" i="21"/>
  <c r="H187" i="20" s="1"/>
  <c r="O187" i="21"/>
  <c r="O187" i="20" s="1"/>
  <c r="Q187" i="21"/>
  <c r="Q187" i="20" s="1"/>
  <c r="G187" i="21"/>
  <c r="G187" i="20" s="1"/>
  <c r="B187" i="21"/>
  <c r="U187" i="21"/>
  <c r="U187" i="20" s="1"/>
  <c r="R187" i="21"/>
  <c r="R187" i="20" s="1"/>
  <c r="L187" i="21"/>
  <c r="L187" i="20" s="1"/>
  <c r="M187" i="21"/>
  <c r="M187" i="20" s="1"/>
  <c r="S187" i="21"/>
  <c r="S187" i="20" s="1"/>
  <c r="T187" i="21"/>
  <c r="T187" i="20" s="1"/>
  <c r="D187" i="21"/>
  <c r="D187" i="20" s="1"/>
  <c r="W186" i="20" l="1"/>
  <c r="AC186" i="20"/>
  <c r="AA186" i="20"/>
  <c r="Y186" i="20"/>
  <c r="G190" i="19"/>
  <c r="AB189" i="1"/>
  <c r="D189" i="1" s="1"/>
  <c r="AB190" i="3" s="1"/>
  <c r="D191" i="19"/>
  <c r="AB192" i="19"/>
  <c r="A194" i="21"/>
  <c r="Y193" i="21"/>
  <c r="X193" i="21"/>
  <c r="Z192" i="3"/>
  <c r="AF192" i="3"/>
  <c r="AD192" i="3"/>
  <c r="B188" i="21"/>
  <c r="T188" i="21"/>
  <c r="T188" i="20" s="1"/>
  <c r="O188" i="21"/>
  <c r="O188" i="20" s="1"/>
  <c r="S188" i="21"/>
  <c r="S188" i="20" s="1"/>
  <c r="G188" i="21"/>
  <c r="G188" i="20" s="1"/>
  <c r="I188" i="21"/>
  <c r="I188" i="20" s="1"/>
  <c r="C188" i="21"/>
  <c r="C188" i="20" s="1"/>
  <c r="J188" i="21"/>
  <c r="J188" i="20" s="1"/>
  <c r="K188" i="21"/>
  <c r="K188" i="20" s="1"/>
  <c r="R188" i="21"/>
  <c r="R188" i="20" s="1"/>
  <c r="E188" i="21"/>
  <c r="E188" i="20" s="1"/>
  <c r="D188" i="21"/>
  <c r="D188" i="20" s="1"/>
  <c r="U188" i="21"/>
  <c r="U188" i="20" s="1"/>
  <c r="P188" i="21"/>
  <c r="P188" i="20" s="1"/>
  <c r="L188" i="21"/>
  <c r="L188" i="20" s="1"/>
  <c r="F188" i="21"/>
  <c r="F188" i="20" s="1"/>
  <c r="N188" i="21"/>
  <c r="N188" i="20" s="1"/>
  <c r="M188" i="21"/>
  <c r="M188" i="20" s="1"/>
  <c r="Q188" i="21"/>
  <c r="Q188" i="20" s="1"/>
  <c r="H188" i="21"/>
  <c r="H188" i="20" s="1"/>
  <c r="V187" i="21"/>
  <c r="B187" i="20"/>
  <c r="A194" i="2"/>
  <c r="Z193" i="2"/>
  <c r="AA193" i="2"/>
  <c r="O189" i="21" l="1"/>
  <c r="O189" i="20" s="1"/>
  <c r="E189" i="21"/>
  <c r="E189" i="20" s="1"/>
  <c r="D189" i="21"/>
  <c r="D189" i="20" s="1"/>
  <c r="C189" i="21"/>
  <c r="C189" i="20" s="1"/>
  <c r="U189" i="21"/>
  <c r="U189" i="20" s="1"/>
  <c r="H189" i="21"/>
  <c r="H189" i="20" s="1"/>
  <c r="K189" i="21"/>
  <c r="K189" i="20" s="1"/>
  <c r="L189" i="21"/>
  <c r="L189" i="20" s="1"/>
  <c r="M189" i="21"/>
  <c r="M189" i="20" s="1"/>
  <c r="P189" i="21"/>
  <c r="P189" i="20" s="1"/>
  <c r="F189" i="21"/>
  <c r="F189" i="20" s="1"/>
  <c r="I189" i="21"/>
  <c r="I189" i="20" s="1"/>
  <c r="T189" i="21"/>
  <c r="T189" i="20" s="1"/>
  <c r="N189" i="21"/>
  <c r="N189" i="20" s="1"/>
  <c r="G189" i="21"/>
  <c r="G189" i="20" s="1"/>
  <c r="B189" i="21"/>
  <c r="S189" i="21"/>
  <c r="S189" i="20" s="1"/>
  <c r="J189" i="21"/>
  <c r="J189" i="20" s="1"/>
  <c r="Q189" i="21"/>
  <c r="Q189" i="20" s="1"/>
  <c r="R189" i="21"/>
  <c r="R189" i="20" s="1"/>
  <c r="AB190" i="1"/>
  <c r="D190" i="1" s="1"/>
  <c r="AB191" i="3" s="1"/>
  <c r="D192" i="19"/>
  <c r="AB193" i="19"/>
  <c r="Z193" i="3"/>
  <c r="AF193" i="3"/>
  <c r="AD193" i="3"/>
  <c r="G191" i="19"/>
  <c r="V188" i="21"/>
  <c r="B188" i="20"/>
  <c r="A195" i="2"/>
  <c r="Z194" i="2"/>
  <c r="AA194" i="2"/>
  <c r="W187" i="20"/>
  <c r="AC187" i="20"/>
  <c r="AA187" i="20"/>
  <c r="Y187" i="20"/>
  <c r="A195" i="21"/>
  <c r="X194" i="21"/>
  <c r="Y194" i="21"/>
  <c r="W188" i="20" l="1"/>
  <c r="AC188" i="20"/>
  <c r="AA188" i="20"/>
  <c r="Y188" i="20"/>
  <c r="AB191" i="1"/>
  <c r="D191" i="1" s="1"/>
  <c r="AB192" i="3" s="1"/>
  <c r="D193" i="19"/>
  <c r="AB194" i="19"/>
  <c r="V189" i="20"/>
  <c r="Q8" i="4" s="1"/>
  <c r="E190" i="21"/>
  <c r="E190" i="20" s="1"/>
  <c r="M190" i="21"/>
  <c r="M190" i="20" s="1"/>
  <c r="B190" i="21"/>
  <c r="U190" i="21"/>
  <c r="U190" i="20" s="1"/>
  <c r="O190" i="21"/>
  <c r="O190" i="20" s="1"/>
  <c r="H190" i="21"/>
  <c r="H190" i="20" s="1"/>
  <c r="L190" i="21"/>
  <c r="L190" i="20" s="1"/>
  <c r="I190" i="21"/>
  <c r="I190" i="20" s="1"/>
  <c r="S190" i="21"/>
  <c r="S190" i="20" s="1"/>
  <c r="G190" i="21"/>
  <c r="G190" i="20" s="1"/>
  <c r="Q190" i="21"/>
  <c r="Q190" i="20" s="1"/>
  <c r="P190" i="21"/>
  <c r="P190" i="20" s="1"/>
  <c r="F190" i="21"/>
  <c r="F190" i="20" s="1"/>
  <c r="R190" i="21"/>
  <c r="R190" i="20" s="1"/>
  <c r="C190" i="21"/>
  <c r="C190" i="20" s="1"/>
  <c r="K190" i="21"/>
  <c r="K190" i="20" s="1"/>
  <c r="J190" i="21"/>
  <c r="J190" i="20" s="1"/>
  <c r="N190" i="21"/>
  <c r="N190" i="20" s="1"/>
  <c r="T190" i="21"/>
  <c r="T190" i="20" s="1"/>
  <c r="D190" i="21"/>
  <c r="D190" i="20" s="1"/>
  <c r="V189" i="21"/>
  <c r="B189" i="20"/>
  <c r="G192" i="19"/>
  <c r="Z194" i="3"/>
  <c r="AF194" i="3"/>
  <c r="AD194" i="3"/>
  <c r="A196" i="21"/>
  <c r="X195" i="21"/>
  <c r="Y195" i="21"/>
  <c r="A196" i="2"/>
  <c r="Z195" i="2"/>
  <c r="AA195" i="2"/>
  <c r="I191" i="21" l="1"/>
  <c r="I191" i="20" s="1"/>
  <c r="K191" i="21"/>
  <c r="K191" i="20" s="1"/>
  <c r="H191" i="21"/>
  <c r="H191" i="20" s="1"/>
  <c r="L191" i="21"/>
  <c r="L191" i="20" s="1"/>
  <c r="Q191" i="21"/>
  <c r="Q191" i="20" s="1"/>
  <c r="S191" i="21"/>
  <c r="S191" i="20" s="1"/>
  <c r="R191" i="21"/>
  <c r="R191" i="20" s="1"/>
  <c r="O191" i="21"/>
  <c r="O191" i="20" s="1"/>
  <c r="T191" i="21"/>
  <c r="T191" i="20" s="1"/>
  <c r="F191" i="21"/>
  <c r="F191" i="20" s="1"/>
  <c r="J191" i="21"/>
  <c r="J191" i="20" s="1"/>
  <c r="N191" i="21"/>
  <c r="N191" i="20" s="1"/>
  <c r="E191" i="21"/>
  <c r="E191" i="20" s="1"/>
  <c r="P191" i="21"/>
  <c r="P191" i="20" s="1"/>
  <c r="D191" i="21"/>
  <c r="D191" i="20" s="1"/>
  <c r="C191" i="21"/>
  <c r="C191" i="20" s="1"/>
  <c r="M191" i="21"/>
  <c r="M191" i="20" s="1"/>
  <c r="U191" i="21"/>
  <c r="U191" i="20" s="1"/>
  <c r="B191" i="21"/>
  <c r="G191" i="21"/>
  <c r="G191" i="20" s="1"/>
  <c r="A197" i="2"/>
  <c r="Z196" i="2"/>
  <c r="AA196" i="2"/>
  <c r="AB192" i="1"/>
  <c r="D192" i="1" s="1"/>
  <c r="AB193" i="3" s="1"/>
  <c r="AB195" i="19"/>
  <c r="D194" i="19"/>
  <c r="G193" i="19"/>
  <c r="W189" i="20"/>
  <c r="X189" i="20" s="1"/>
  <c r="Q9" i="4" s="1"/>
  <c r="AC189" i="20"/>
  <c r="AD189" i="20" s="1"/>
  <c r="AA189" i="20"/>
  <c r="AB189" i="20" s="1"/>
  <c r="W189" i="21"/>
  <c r="Q83" i="4" s="1"/>
  <c r="Y189" i="20"/>
  <c r="Z189" i="20" s="1"/>
  <c r="Q10" i="4" s="1"/>
  <c r="A197" i="21"/>
  <c r="X196" i="21"/>
  <c r="Y196" i="21"/>
  <c r="Z195" i="3"/>
  <c r="AF195" i="3"/>
  <c r="AD195" i="3"/>
  <c r="V190" i="21"/>
  <c r="B190" i="20"/>
  <c r="W190" i="20" l="1"/>
  <c r="AC190" i="20"/>
  <c r="AA190" i="20"/>
  <c r="Y190" i="20"/>
  <c r="A198" i="21"/>
  <c r="Y197" i="21"/>
  <c r="X197" i="21"/>
  <c r="Q12" i="4"/>
  <c r="Q11" i="4"/>
  <c r="Q13" i="4" s="1"/>
  <c r="Q17" i="4" s="1"/>
  <c r="Z196" i="3"/>
  <c r="AF196" i="3"/>
  <c r="AD196" i="3"/>
  <c r="V191" i="21"/>
  <c r="B191" i="20"/>
  <c r="A198" i="2"/>
  <c r="Z197" i="2"/>
  <c r="AA197" i="2"/>
  <c r="U192" i="21"/>
  <c r="U192" i="20" s="1"/>
  <c r="T192" i="21"/>
  <c r="T192" i="20" s="1"/>
  <c r="J192" i="21"/>
  <c r="J192" i="20" s="1"/>
  <c r="N192" i="21"/>
  <c r="N192" i="20" s="1"/>
  <c r="H192" i="21"/>
  <c r="H192" i="20" s="1"/>
  <c r="I192" i="21"/>
  <c r="I192" i="20" s="1"/>
  <c r="C192" i="21"/>
  <c r="C192" i="20" s="1"/>
  <c r="E192" i="21"/>
  <c r="E192" i="20" s="1"/>
  <c r="D192" i="21"/>
  <c r="D192" i="20" s="1"/>
  <c r="R192" i="21"/>
  <c r="R192" i="20" s="1"/>
  <c r="B192" i="21"/>
  <c r="Q192" i="21"/>
  <c r="Q192" i="20" s="1"/>
  <c r="P192" i="21"/>
  <c r="P192" i="20" s="1"/>
  <c r="G192" i="21"/>
  <c r="G192" i="20" s="1"/>
  <c r="L192" i="21"/>
  <c r="L192" i="20" s="1"/>
  <c r="O192" i="21"/>
  <c r="O192" i="20" s="1"/>
  <c r="K192" i="21"/>
  <c r="K192" i="20" s="1"/>
  <c r="F192" i="21"/>
  <c r="F192" i="20" s="1"/>
  <c r="S192" i="21"/>
  <c r="S192" i="20" s="1"/>
  <c r="M192" i="21"/>
  <c r="M192" i="20" s="1"/>
  <c r="G194" i="19"/>
  <c r="AB193" i="1"/>
  <c r="D193" i="1" s="1"/>
  <c r="AB194" i="3" s="1"/>
  <c r="D195" i="19"/>
  <c r="AB196" i="19"/>
  <c r="Q82" i="4"/>
  <c r="Q85" i="4" s="1"/>
  <c r="Q87" i="4"/>
  <c r="Q89" i="4"/>
  <c r="Q92" i="4"/>
  <c r="Q94" i="4"/>
  <c r="Q95" i="4"/>
  <c r="Q86" i="4"/>
  <c r="Q91" i="4"/>
  <c r="Q93" i="4"/>
  <c r="Q19" i="4" l="1"/>
  <c r="Q36" i="4" s="1"/>
  <c r="Q20" i="4"/>
  <c r="W191" i="20"/>
  <c r="AC191" i="20"/>
  <c r="AA191" i="20"/>
  <c r="Y191" i="20"/>
  <c r="A199" i="21"/>
  <c r="X198" i="21"/>
  <c r="Y198" i="21"/>
  <c r="V192" i="21"/>
  <c r="B192" i="20"/>
  <c r="F193" i="21"/>
  <c r="F193" i="20" s="1"/>
  <c r="T193" i="21"/>
  <c r="T193" i="20" s="1"/>
  <c r="E193" i="21"/>
  <c r="E193" i="20" s="1"/>
  <c r="R193" i="21"/>
  <c r="R193" i="20" s="1"/>
  <c r="H193" i="21"/>
  <c r="H193" i="20" s="1"/>
  <c r="J193" i="21"/>
  <c r="J193" i="20" s="1"/>
  <c r="M193" i="21"/>
  <c r="M193" i="20" s="1"/>
  <c r="L193" i="21"/>
  <c r="L193" i="20" s="1"/>
  <c r="O193" i="21"/>
  <c r="O193" i="20" s="1"/>
  <c r="K193" i="21"/>
  <c r="K193" i="20" s="1"/>
  <c r="U193" i="21"/>
  <c r="U193" i="20" s="1"/>
  <c r="S193" i="21"/>
  <c r="S193" i="20" s="1"/>
  <c r="D193" i="21"/>
  <c r="D193" i="20" s="1"/>
  <c r="I193" i="21"/>
  <c r="I193" i="20" s="1"/>
  <c r="Q193" i="21"/>
  <c r="Q193" i="20" s="1"/>
  <c r="N193" i="21"/>
  <c r="N193" i="20" s="1"/>
  <c r="P193" i="21"/>
  <c r="P193" i="20" s="1"/>
  <c r="G193" i="21"/>
  <c r="G193" i="20" s="1"/>
  <c r="C193" i="21"/>
  <c r="C193" i="20" s="1"/>
  <c r="B193" i="21"/>
  <c r="A199" i="2"/>
  <c r="Z198" i="2"/>
  <c r="AA198" i="2"/>
  <c r="D196" i="19"/>
  <c r="AB197" i="19"/>
  <c r="AB194" i="1"/>
  <c r="D194" i="1" s="1"/>
  <c r="AB195" i="3" s="1"/>
  <c r="Q88" i="4"/>
  <c r="G195" i="19"/>
  <c r="Z197" i="3"/>
  <c r="AF197" i="3"/>
  <c r="AD197" i="3"/>
  <c r="W192" i="20" l="1"/>
  <c r="AC192" i="20"/>
  <c r="AA192" i="20"/>
  <c r="Y192" i="20"/>
  <c r="A200" i="2"/>
  <c r="Z199" i="2"/>
  <c r="AA199" i="2"/>
  <c r="V193" i="21"/>
  <c r="B193" i="20"/>
  <c r="A200" i="21"/>
  <c r="X199" i="21"/>
  <c r="Y199" i="21"/>
  <c r="G196" i="19"/>
  <c r="Z198" i="3"/>
  <c r="AF198" i="3"/>
  <c r="AD198" i="3"/>
  <c r="C194" i="21"/>
  <c r="C194" i="20" s="1"/>
  <c r="D194" i="21"/>
  <c r="D194" i="20" s="1"/>
  <c r="L194" i="21"/>
  <c r="L194" i="20" s="1"/>
  <c r="K194" i="21"/>
  <c r="K194" i="20" s="1"/>
  <c r="H194" i="21"/>
  <c r="H194" i="20" s="1"/>
  <c r="S194" i="21"/>
  <c r="S194" i="20" s="1"/>
  <c r="G194" i="21"/>
  <c r="G194" i="20" s="1"/>
  <c r="J194" i="21"/>
  <c r="J194" i="20" s="1"/>
  <c r="B194" i="21"/>
  <c r="U194" i="21"/>
  <c r="U194" i="20" s="1"/>
  <c r="I194" i="21"/>
  <c r="I194" i="20" s="1"/>
  <c r="O194" i="21"/>
  <c r="O194" i="20" s="1"/>
  <c r="R194" i="21"/>
  <c r="R194" i="20" s="1"/>
  <c r="E194" i="21"/>
  <c r="E194" i="20" s="1"/>
  <c r="F194" i="21"/>
  <c r="F194" i="20" s="1"/>
  <c r="M194" i="21"/>
  <c r="M194" i="20" s="1"/>
  <c r="T194" i="21"/>
  <c r="T194" i="20" s="1"/>
  <c r="Q194" i="21"/>
  <c r="Q194" i="20" s="1"/>
  <c r="P194" i="21"/>
  <c r="P194" i="20" s="1"/>
  <c r="N194" i="21"/>
  <c r="N194" i="20" s="1"/>
  <c r="Q25" i="4"/>
  <c r="Q35" i="4"/>
  <c r="Q38" i="4" s="1"/>
  <c r="AB195" i="1"/>
  <c r="D195" i="1" s="1"/>
  <c r="AB196" i="3" s="1"/>
  <c r="D197" i="19"/>
  <c r="AB198" i="19"/>
  <c r="AB196" i="1" l="1"/>
  <c r="D196" i="1" s="1"/>
  <c r="AB197" i="3" s="1"/>
  <c r="D198" i="19"/>
  <c r="AB199" i="19"/>
  <c r="V194" i="21"/>
  <c r="B194" i="20"/>
  <c r="A201" i="21"/>
  <c r="X200" i="21"/>
  <c r="Y200" i="21"/>
  <c r="G197" i="19"/>
  <c r="Z199" i="3"/>
  <c r="AF199" i="3"/>
  <c r="AD199" i="3"/>
  <c r="W193" i="20"/>
  <c r="AC193" i="20"/>
  <c r="AA193" i="20"/>
  <c r="Y193" i="20"/>
  <c r="M195" i="21"/>
  <c r="M195" i="20" s="1"/>
  <c r="I195" i="21"/>
  <c r="I195" i="20" s="1"/>
  <c r="N195" i="21"/>
  <c r="N195" i="20" s="1"/>
  <c r="U195" i="21"/>
  <c r="U195" i="20" s="1"/>
  <c r="Q195" i="21"/>
  <c r="Q195" i="20" s="1"/>
  <c r="F195" i="21"/>
  <c r="F195" i="20" s="1"/>
  <c r="J195" i="21"/>
  <c r="J195" i="20" s="1"/>
  <c r="G195" i="21"/>
  <c r="G195" i="20" s="1"/>
  <c r="B195" i="21"/>
  <c r="C195" i="21"/>
  <c r="C195" i="20" s="1"/>
  <c r="O195" i="21"/>
  <c r="O195" i="20" s="1"/>
  <c r="K195" i="21"/>
  <c r="K195" i="20" s="1"/>
  <c r="E195" i="21"/>
  <c r="E195" i="20" s="1"/>
  <c r="S195" i="21"/>
  <c r="S195" i="20" s="1"/>
  <c r="H195" i="21"/>
  <c r="H195" i="20" s="1"/>
  <c r="L195" i="21"/>
  <c r="L195" i="20" s="1"/>
  <c r="D195" i="21"/>
  <c r="D195" i="20" s="1"/>
  <c r="P195" i="21"/>
  <c r="P195" i="20" s="1"/>
  <c r="T195" i="21"/>
  <c r="T195" i="20" s="1"/>
  <c r="R195" i="21"/>
  <c r="R195" i="20" s="1"/>
  <c r="A201" i="2"/>
  <c r="AA200" i="2"/>
  <c r="Z200" i="2"/>
  <c r="AA201" i="2" l="1"/>
  <c r="Z201" i="2"/>
  <c r="A202" i="2"/>
  <c r="V195" i="21"/>
  <c r="B195" i="20"/>
  <c r="W194" i="20"/>
  <c r="AC194" i="20"/>
  <c r="AA194" i="20"/>
  <c r="Y194" i="20"/>
  <c r="Z200" i="3"/>
  <c r="AF200" i="3"/>
  <c r="AD200" i="3"/>
  <c r="S196" i="21"/>
  <c r="S196" i="20" s="1"/>
  <c r="H196" i="21"/>
  <c r="H196" i="20" s="1"/>
  <c r="R196" i="21"/>
  <c r="R196" i="20" s="1"/>
  <c r="E196" i="21"/>
  <c r="E196" i="20" s="1"/>
  <c r="I196" i="21"/>
  <c r="I196" i="20" s="1"/>
  <c r="G196" i="21"/>
  <c r="G196" i="20" s="1"/>
  <c r="O196" i="21"/>
  <c r="O196" i="20" s="1"/>
  <c r="C196" i="21"/>
  <c r="C196" i="20" s="1"/>
  <c r="D196" i="21"/>
  <c r="D196" i="20" s="1"/>
  <c r="M196" i="21"/>
  <c r="M196" i="20" s="1"/>
  <c r="J196" i="21"/>
  <c r="J196" i="20" s="1"/>
  <c r="B196" i="21"/>
  <c r="P196" i="21"/>
  <c r="P196" i="20" s="1"/>
  <c r="K196" i="21"/>
  <c r="K196" i="20" s="1"/>
  <c r="N196" i="21"/>
  <c r="N196" i="20" s="1"/>
  <c r="F196" i="21"/>
  <c r="F196" i="20" s="1"/>
  <c r="U196" i="21"/>
  <c r="U196" i="20" s="1"/>
  <c r="Q196" i="21"/>
  <c r="Q196" i="20" s="1"/>
  <c r="L196" i="21"/>
  <c r="L196" i="20" s="1"/>
  <c r="T196" i="21"/>
  <c r="T196" i="20" s="1"/>
  <c r="AB197" i="1"/>
  <c r="D197" i="1" s="1"/>
  <c r="AB198" i="3" s="1"/>
  <c r="D199" i="19"/>
  <c r="AB200" i="19"/>
  <c r="G198" i="19"/>
  <c r="Y201" i="21"/>
  <c r="X201" i="21"/>
  <c r="A202" i="21"/>
  <c r="G199" i="19" l="1"/>
  <c r="AA202" i="2"/>
  <c r="Z202" i="2"/>
  <c r="A203" i="2"/>
  <c r="AB198" i="1"/>
  <c r="D198" i="1" s="1"/>
  <c r="AB199" i="3" s="1"/>
  <c r="D200" i="19"/>
  <c r="AB201" i="19"/>
  <c r="F197" i="21"/>
  <c r="F197" i="20" s="1"/>
  <c r="C197" i="21"/>
  <c r="C197" i="20" s="1"/>
  <c r="R197" i="21"/>
  <c r="R197" i="20" s="1"/>
  <c r="T197" i="21"/>
  <c r="T197" i="20" s="1"/>
  <c r="K197" i="21"/>
  <c r="K197" i="20" s="1"/>
  <c r="P197" i="21"/>
  <c r="P197" i="20" s="1"/>
  <c r="M197" i="21"/>
  <c r="M197" i="20" s="1"/>
  <c r="L197" i="21"/>
  <c r="L197" i="20" s="1"/>
  <c r="O197" i="21"/>
  <c r="O197" i="20" s="1"/>
  <c r="N197" i="21"/>
  <c r="N197" i="20" s="1"/>
  <c r="H197" i="21"/>
  <c r="H197" i="20" s="1"/>
  <c r="S197" i="21"/>
  <c r="S197" i="20" s="1"/>
  <c r="D197" i="21"/>
  <c r="D197" i="20" s="1"/>
  <c r="J197" i="21"/>
  <c r="J197" i="20" s="1"/>
  <c r="B197" i="21"/>
  <c r="G197" i="21"/>
  <c r="G197" i="20" s="1"/>
  <c r="E197" i="21"/>
  <c r="E197" i="20" s="1"/>
  <c r="I197" i="21"/>
  <c r="I197" i="20" s="1"/>
  <c r="U197" i="21"/>
  <c r="U197" i="20" s="1"/>
  <c r="Q197" i="21"/>
  <c r="Q197" i="20" s="1"/>
  <c r="Y202" i="21"/>
  <c r="A203" i="21"/>
  <c r="X202" i="21"/>
  <c r="V196" i="21"/>
  <c r="B196" i="20"/>
  <c r="Z201" i="3"/>
  <c r="AA201" i="3" s="1"/>
  <c r="AF201" i="3"/>
  <c r="AG201" i="3" s="1"/>
  <c r="AD201" i="3"/>
  <c r="AE201" i="3" s="1"/>
  <c r="W195" i="20"/>
  <c r="AC195" i="20"/>
  <c r="AA195" i="20"/>
  <c r="Y195" i="20"/>
  <c r="V197" i="21" l="1"/>
  <c r="B197" i="20"/>
  <c r="AA203" i="2"/>
  <c r="Z203" i="2"/>
  <c r="A204" i="2"/>
  <c r="Y203" i="21"/>
  <c r="X203" i="21"/>
  <c r="A204" i="21"/>
  <c r="E198" i="21"/>
  <c r="E198" i="20" s="1"/>
  <c r="P198" i="21"/>
  <c r="P198" i="20" s="1"/>
  <c r="M198" i="21"/>
  <c r="M198" i="20" s="1"/>
  <c r="L198" i="21"/>
  <c r="L198" i="20" s="1"/>
  <c r="R198" i="21"/>
  <c r="R198" i="20" s="1"/>
  <c r="U198" i="21"/>
  <c r="U198" i="20" s="1"/>
  <c r="G198" i="21"/>
  <c r="G198" i="20" s="1"/>
  <c r="I198" i="21"/>
  <c r="I198" i="20" s="1"/>
  <c r="S198" i="21"/>
  <c r="S198" i="20" s="1"/>
  <c r="O198" i="21"/>
  <c r="O198" i="20" s="1"/>
  <c r="H198" i="21"/>
  <c r="H198" i="20" s="1"/>
  <c r="Q198" i="21"/>
  <c r="Q198" i="20" s="1"/>
  <c r="B198" i="21"/>
  <c r="J198" i="21"/>
  <c r="J198" i="20" s="1"/>
  <c r="T198" i="21"/>
  <c r="T198" i="20" s="1"/>
  <c r="C198" i="21"/>
  <c r="C198" i="20" s="1"/>
  <c r="D198" i="21"/>
  <c r="D198" i="20" s="1"/>
  <c r="K198" i="21"/>
  <c r="K198" i="20" s="1"/>
  <c r="F198" i="21"/>
  <c r="F198" i="20" s="1"/>
  <c r="N198" i="21"/>
  <c r="N198" i="20" s="1"/>
  <c r="Z202" i="3"/>
  <c r="AF202" i="3"/>
  <c r="AD202" i="3"/>
  <c r="G200" i="19"/>
  <c r="W196" i="20"/>
  <c r="AC196" i="20"/>
  <c r="AA196" i="20"/>
  <c r="Y196" i="20"/>
  <c r="AB199" i="1"/>
  <c r="D199" i="1" s="1"/>
  <c r="AB200" i="3" s="1"/>
  <c r="AB202" i="19"/>
  <c r="D201" i="19"/>
  <c r="I199" i="21" l="1"/>
  <c r="I199" i="20" s="1"/>
  <c r="K199" i="21"/>
  <c r="K199" i="20" s="1"/>
  <c r="B199" i="21"/>
  <c r="P199" i="21"/>
  <c r="P199" i="20" s="1"/>
  <c r="N199" i="21"/>
  <c r="N199" i="20" s="1"/>
  <c r="Q199" i="21"/>
  <c r="Q199" i="20" s="1"/>
  <c r="S199" i="21"/>
  <c r="S199" i="20" s="1"/>
  <c r="O199" i="21"/>
  <c r="O199" i="20" s="1"/>
  <c r="F199" i="21"/>
  <c r="F199" i="20" s="1"/>
  <c r="T199" i="21"/>
  <c r="T199" i="20" s="1"/>
  <c r="R199" i="21"/>
  <c r="R199" i="20" s="1"/>
  <c r="E199" i="21"/>
  <c r="E199" i="20" s="1"/>
  <c r="C199" i="21"/>
  <c r="C199" i="20" s="1"/>
  <c r="M199" i="21"/>
  <c r="M199" i="20" s="1"/>
  <c r="H199" i="21"/>
  <c r="H199" i="20" s="1"/>
  <c r="U199" i="21"/>
  <c r="U199" i="20" s="1"/>
  <c r="D199" i="21"/>
  <c r="D199" i="20" s="1"/>
  <c r="L199" i="21"/>
  <c r="L199" i="20" s="1"/>
  <c r="G199" i="21"/>
  <c r="G199" i="20" s="1"/>
  <c r="J199" i="21"/>
  <c r="J199" i="20" s="1"/>
  <c r="G201" i="19"/>
  <c r="Y204" i="21"/>
  <c r="X204" i="21"/>
  <c r="A205" i="21"/>
  <c r="AB200" i="1"/>
  <c r="D200" i="1" s="1"/>
  <c r="AB201" i="3" s="1"/>
  <c r="AC201" i="3" s="1"/>
  <c r="AB203" i="19"/>
  <c r="D202" i="19"/>
  <c r="V198" i="21"/>
  <c r="B198" i="20"/>
  <c r="AA204" i="2"/>
  <c r="Z204" i="2"/>
  <c r="A205" i="2"/>
  <c r="Z203" i="3"/>
  <c r="AF203" i="3"/>
  <c r="AD203" i="3"/>
  <c r="W197" i="20"/>
  <c r="AC197" i="20"/>
  <c r="AA197" i="20"/>
  <c r="Y197" i="20"/>
  <c r="W198" i="20" l="1"/>
  <c r="AC198" i="20"/>
  <c r="AA198" i="20"/>
  <c r="Y198" i="20"/>
  <c r="U200" i="21"/>
  <c r="U200" i="20" s="1"/>
  <c r="L200" i="21"/>
  <c r="L200" i="20" s="1"/>
  <c r="B200" i="21"/>
  <c r="F200" i="21"/>
  <c r="F200" i="20" s="1"/>
  <c r="I200" i="21"/>
  <c r="I200" i="20" s="1"/>
  <c r="C200" i="21"/>
  <c r="C200" i="20" s="1"/>
  <c r="D200" i="21"/>
  <c r="D200" i="20" s="1"/>
  <c r="R200" i="21"/>
  <c r="R200" i="20" s="1"/>
  <c r="O200" i="21"/>
  <c r="O200" i="20" s="1"/>
  <c r="E200" i="21"/>
  <c r="E200" i="20" s="1"/>
  <c r="N200" i="21"/>
  <c r="N200" i="20" s="1"/>
  <c r="H200" i="21"/>
  <c r="H200" i="20" s="1"/>
  <c r="T200" i="21"/>
  <c r="T200" i="20" s="1"/>
  <c r="Q200" i="21"/>
  <c r="Q200" i="20" s="1"/>
  <c r="K200" i="21"/>
  <c r="K200" i="20" s="1"/>
  <c r="S200" i="21"/>
  <c r="S200" i="20" s="1"/>
  <c r="M200" i="21"/>
  <c r="M200" i="20" s="1"/>
  <c r="J200" i="21"/>
  <c r="J200" i="20" s="1"/>
  <c r="P200" i="21"/>
  <c r="P200" i="20" s="1"/>
  <c r="G200" i="21"/>
  <c r="G200" i="20" s="1"/>
  <c r="G202" i="19"/>
  <c r="AB201" i="1"/>
  <c r="D201" i="1" s="1"/>
  <c r="AB202" i="3" s="1"/>
  <c r="AB204" i="19"/>
  <c r="D203" i="19"/>
  <c r="AA205" i="2"/>
  <c r="Z205" i="2"/>
  <c r="A206" i="2"/>
  <c r="V199" i="21"/>
  <c r="B199" i="20"/>
  <c r="Y205" i="21"/>
  <c r="X205" i="21"/>
  <c r="A206" i="21"/>
  <c r="Z204" i="3"/>
  <c r="AF204" i="3"/>
  <c r="AD204" i="3"/>
  <c r="G203" i="19" l="1"/>
  <c r="AB202" i="1"/>
  <c r="D202" i="1" s="1"/>
  <c r="AB203" i="3" s="1"/>
  <c r="D204" i="19"/>
  <c r="AB205" i="19"/>
  <c r="Y206" i="21"/>
  <c r="A207" i="21"/>
  <c r="X206" i="21"/>
  <c r="J201" i="21"/>
  <c r="J201" i="20" s="1"/>
  <c r="E201" i="21"/>
  <c r="E201" i="20" s="1"/>
  <c r="N201" i="21"/>
  <c r="N201" i="20" s="1"/>
  <c r="P201" i="21"/>
  <c r="P201" i="20" s="1"/>
  <c r="D201" i="21"/>
  <c r="D201" i="20" s="1"/>
  <c r="M201" i="21"/>
  <c r="M201" i="20" s="1"/>
  <c r="K201" i="21"/>
  <c r="K201" i="20" s="1"/>
  <c r="L201" i="21"/>
  <c r="L201" i="20" s="1"/>
  <c r="B201" i="21"/>
  <c r="R201" i="21"/>
  <c r="R201" i="20" s="1"/>
  <c r="H201" i="21"/>
  <c r="H201" i="20" s="1"/>
  <c r="U201" i="21"/>
  <c r="U201" i="20" s="1"/>
  <c r="I201" i="21"/>
  <c r="I201" i="20" s="1"/>
  <c r="Q201" i="21"/>
  <c r="Q201" i="20" s="1"/>
  <c r="C201" i="21"/>
  <c r="C201" i="20" s="1"/>
  <c r="G201" i="21"/>
  <c r="G201" i="20" s="1"/>
  <c r="O201" i="21"/>
  <c r="O201" i="20" s="1"/>
  <c r="S201" i="21"/>
  <c r="S201" i="20" s="1"/>
  <c r="T201" i="21"/>
  <c r="T201" i="20" s="1"/>
  <c r="F201" i="21"/>
  <c r="F201" i="20" s="1"/>
  <c r="W199" i="20"/>
  <c r="AC199" i="20"/>
  <c r="AA199" i="20"/>
  <c r="Y199" i="20"/>
  <c r="AA206" i="2"/>
  <c r="Z206" i="2"/>
  <c r="A207" i="2"/>
  <c r="Z205" i="3"/>
  <c r="AF205" i="3"/>
  <c r="AD205" i="3"/>
  <c r="V200" i="21"/>
  <c r="B200" i="20"/>
  <c r="Z206" i="3" l="1"/>
  <c r="AF206" i="3"/>
  <c r="AD206" i="3"/>
  <c r="V201" i="20"/>
  <c r="R8" i="4" s="1"/>
  <c r="AB203" i="1"/>
  <c r="D203" i="1" s="1"/>
  <c r="AB204" i="3" s="1"/>
  <c r="D205" i="19"/>
  <c r="AB206" i="19"/>
  <c r="V201" i="21"/>
  <c r="B201" i="20"/>
  <c r="AA207" i="2"/>
  <c r="Z207" i="2"/>
  <c r="A208" i="2"/>
  <c r="G204" i="19"/>
  <c r="B202" i="21"/>
  <c r="O202" i="21"/>
  <c r="O202" i="20" s="1"/>
  <c r="J202" i="21"/>
  <c r="J202" i="20" s="1"/>
  <c r="R202" i="21"/>
  <c r="R202" i="20" s="1"/>
  <c r="N202" i="21"/>
  <c r="N202" i="20" s="1"/>
  <c r="E202" i="21"/>
  <c r="E202" i="20" s="1"/>
  <c r="T202" i="21"/>
  <c r="T202" i="20" s="1"/>
  <c r="H202" i="21"/>
  <c r="H202" i="20" s="1"/>
  <c r="F202" i="21"/>
  <c r="F202" i="20" s="1"/>
  <c r="U202" i="21"/>
  <c r="U202" i="20" s="1"/>
  <c r="I202" i="21"/>
  <c r="I202" i="20" s="1"/>
  <c r="C202" i="21"/>
  <c r="C202" i="20" s="1"/>
  <c r="K202" i="21"/>
  <c r="K202" i="20" s="1"/>
  <c r="S202" i="21"/>
  <c r="S202" i="20" s="1"/>
  <c r="P202" i="21"/>
  <c r="P202" i="20" s="1"/>
  <c r="D202" i="21"/>
  <c r="D202" i="20" s="1"/>
  <c r="Q202" i="21"/>
  <c r="Q202" i="20" s="1"/>
  <c r="G202" i="21"/>
  <c r="G202" i="20" s="1"/>
  <c r="L202" i="21"/>
  <c r="L202" i="20" s="1"/>
  <c r="M202" i="21"/>
  <c r="M202" i="20" s="1"/>
  <c r="W200" i="20"/>
  <c r="AC200" i="20"/>
  <c r="AA200" i="20"/>
  <c r="Y200" i="20"/>
  <c r="Y207" i="21"/>
  <c r="A208" i="21"/>
  <c r="X207" i="21"/>
  <c r="AA208" i="2" l="1"/>
  <c r="Z208" i="2"/>
  <c r="A209" i="2"/>
  <c r="Z207" i="3"/>
  <c r="AF207" i="3"/>
  <c r="AD207" i="3"/>
  <c r="G205" i="19"/>
  <c r="Y208" i="21"/>
  <c r="X208" i="21"/>
  <c r="A209" i="21"/>
  <c r="W201" i="20"/>
  <c r="X201" i="20" s="1"/>
  <c r="R9" i="4" s="1"/>
  <c r="AC201" i="20"/>
  <c r="AD201" i="20" s="1"/>
  <c r="AA201" i="20"/>
  <c r="AB201" i="20" s="1"/>
  <c r="W201" i="21"/>
  <c r="R83" i="4" s="1"/>
  <c r="Y201" i="20"/>
  <c r="Z201" i="20" s="1"/>
  <c r="R10" i="4" s="1"/>
  <c r="L203" i="21"/>
  <c r="L203" i="20" s="1"/>
  <c r="H203" i="21"/>
  <c r="H203" i="20" s="1"/>
  <c r="G203" i="21"/>
  <c r="G203" i="20" s="1"/>
  <c r="N203" i="21"/>
  <c r="N203" i="20" s="1"/>
  <c r="E203" i="21"/>
  <c r="E203" i="20" s="1"/>
  <c r="T203" i="21"/>
  <c r="T203" i="20" s="1"/>
  <c r="P203" i="21"/>
  <c r="P203" i="20" s="1"/>
  <c r="U203" i="21"/>
  <c r="U203" i="20" s="1"/>
  <c r="Q203" i="21"/>
  <c r="Q203" i="20" s="1"/>
  <c r="S203" i="21"/>
  <c r="S203" i="20" s="1"/>
  <c r="C203" i="21"/>
  <c r="C203" i="20" s="1"/>
  <c r="K203" i="21"/>
  <c r="K203" i="20" s="1"/>
  <c r="M203" i="21"/>
  <c r="M203" i="20" s="1"/>
  <c r="F203" i="21"/>
  <c r="F203" i="20" s="1"/>
  <c r="J203" i="21"/>
  <c r="J203" i="20" s="1"/>
  <c r="I203" i="21"/>
  <c r="I203" i="20" s="1"/>
  <c r="D203" i="21"/>
  <c r="D203" i="20" s="1"/>
  <c r="R203" i="21"/>
  <c r="R203" i="20" s="1"/>
  <c r="O203" i="21"/>
  <c r="O203" i="20" s="1"/>
  <c r="B203" i="21"/>
  <c r="V202" i="21"/>
  <c r="B202" i="20"/>
  <c r="AB204" i="1"/>
  <c r="D204" i="1" s="1"/>
  <c r="AB205" i="3" s="1"/>
  <c r="D206" i="19"/>
  <c r="AB207" i="19"/>
  <c r="Z208" i="3" l="1"/>
  <c r="AF208" i="3"/>
  <c r="AD208" i="3"/>
  <c r="R92" i="4"/>
  <c r="R85" i="4"/>
  <c r="R93" i="4"/>
  <c r="R95" i="4"/>
  <c r="R94" i="4"/>
  <c r="R82" i="4"/>
  <c r="R87" i="4" s="1"/>
  <c r="R89" i="4"/>
  <c r="R91" i="4"/>
  <c r="R12" i="4"/>
  <c r="R11" i="4"/>
  <c r="R13" i="4" s="1"/>
  <c r="R17" i="4" s="1"/>
  <c r="W202" i="20"/>
  <c r="AC202" i="20"/>
  <c r="AA202" i="20"/>
  <c r="Y202" i="20"/>
  <c r="G206" i="19"/>
  <c r="R204" i="21"/>
  <c r="R204" i="20" s="1"/>
  <c r="K204" i="21"/>
  <c r="K204" i="20" s="1"/>
  <c r="M204" i="21"/>
  <c r="M204" i="20" s="1"/>
  <c r="C204" i="21"/>
  <c r="C204" i="20" s="1"/>
  <c r="F204" i="21"/>
  <c r="F204" i="20" s="1"/>
  <c r="D204" i="21"/>
  <c r="D204" i="20" s="1"/>
  <c r="H204" i="21"/>
  <c r="H204" i="20" s="1"/>
  <c r="I204" i="21"/>
  <c r="I204" i="20" s="1"/>
  <c r="O204" i="21"/>
  <c r="O204" i="20" s="1"/>
  <c r="S204" i="21"/>
  <c r="S204" i="20" s="1"/>
  <c r="B204" i="21"/>
  <c r="N204" i="21"/>
  <c r="N204" i="20" s="1"/>
  <c r="L204" i="21"/>
  <c r="L204" i="20" s="1"/>
  <c r="J204" i="21"/>
  <c r="J204" i="20" s="1"/>
  <c r="Q204" i="21"/>
  <c r="Q204" i="20" s="1"/>
  <c r="T204" i="21"/>
  <c r="T204" i="20" s="1"/>
  <c r="P204" i="21"/>
  <c r="P204" i="20" s="1"/>
  <c r="E204" i="21"/>
  <c r="E204" i="20" s="1"/>
  <c r="U204" i="21"/>
  <c r="U204" i="20" s="1"/>
  <c r="G204" i="21"/>
  <c r="G204" i="20" s="1"/>
  <c r="V203" i="21"/>
  <c r="B203" i="20"/>
  <c r="Y209" i="21"/>
  <c r="X209" i="21"/>
  <c r="A210" i="21"/>
  <c r="AA209" i="2"/>
  <c r="Z209" i="2"/>
  <c r="A210" i="2"/>
  <c r="AB205" i="1"/>
  <c r="D205" i="1" s="1"/>
  <c r="AB206" i="3" s="1"/>
  <c r="D207" i="19"/>
  <c r="AB208" i="19"/>
  <c r="R20" i="4" l="1"/>
  <c r="R19" i="4"/>
  <c r="R36" i="4" s="1"/>
  <c r="W203" i="20"/>
  <c r="AC203" i="20"/>
  <c r="AA203" i="20"/>
  <c r="Y203" i="20"/>
  <c r="R88" i="4"/>
  <c r="R86" i="4"/>
  <c r="AB206" i="1"/>
  <c r="D206" i="1" s="1"/>
  <c r="AB207" i="3" s="1"/>
  <c r="D208" i="19"/>
  <c r="AB209" i="19"/>
  <c r="V204" i="21"/>
  <c r="B204" i="20"/>
  <c r="Z209" i="3"/>
  <c r="AF209" i="3"/>
  <c r="AD209" i="3"/>
  <c r="G207" i="19"/>
  <c r="Y210" i="21"/>
  <c r="A211" i="21"/>
  <c r="X210" i="21"/>
  <c r="AA210" i="2"/>
  <c r="Z210" i="2"/>
  <c r="A211" i="2"/>
  <c r="B205" i="21"/>
  <c r="M205" i="21"/>
  <c r="M205" i="20" s="1"/>
  <c r="N205" i="21"/>
  <c r="N205" i="20" s="1"/>
  <c r="O205" i="21"/>
  <c r="O205" i="20" s="1"/>
  <c r="J205" i="21"/>
  <c r="J205" i="20" s="1"/>
  <c r="G205" i="21"/>
  <c r="G205" i="20" s="1"/>
  <c r="L205" i="21"/>
  <c r="L205" i="20" s="1"/>
  <c r="Q205" i="21"/>
  <c r="Q205" i="20" s="1"/>
  <c r="R205" i="21"/>
  <c r="R205" i="20" s="1"/>
  <c r="S205" i="21"/>
  <c r="S205" i="20" s="1"/>
  <c r="D205" i="21"/>
  <c r="D205" i="20" s="1"/>
  <c r="K205" i="21"/>
  <c r="K205" i="20" s="1"/>
  <c r="T205" i="21"/>
  <c r="T205" i="20" s="1"/>
  <c r="U205" i="21"/>
  <c r="U205" i="20" s="1"/>
  <c r="H205" i="21"/>
  <c r="H205" i="20" s="1"/>
  <c r="F205" i="21"/>
  <c r="F205" i="20" s="1"/>
  <c r="P205" i="21"/>
  <c r="P205" i="20" s="1"/>
  <c r="E205" i="21"/>
  <c r="E205" i="20" s="1"/>
  <c r="I205" i="21"/>
  <c r="I205" i="20" s="1"/>
  <c r="C205" i="21"/>
  <c r="C205" i="20" s="1"/>
  <c r="W204" i="20" l="1"/>
  <c r="AC204" i="20"/>
  <c r="AA204" i="20"/>
  <c r="Y204" i="20"/>
  <c r="Z210" i="3"/>
  <c r="AF210" i="3"/>
  <c r="AD210" i="3"/>
  <c r="V205" i="21"/>
  <c r="B205" i="20"/>
  <c r="D206" i="21"/>
  <c r="D206" i="20" s="1"/>
  <c r="L206" i="21"/>
  <c r="L206" i="20" s="1"/>
  <c r="T206" i="21"/>
  <c r="T206" i="20" s="1"/>
  <c r="N206" i="21"/>
  <c r="N206" i="20" s="1"/>
  <c r="C206" i="21"/>
  <c r="C206" i="20" s="1"/>
  <c r="H206" i="21"/>
  <c r="H206" i="20" s="1"/>
  <c r="R206" i="21"/>
  <c r="R206" i="20" s="1"/>
  <c r="S206" i="21"/>
  <c r="S206" i="20" s="1"/>
  <c r="U206" i="21"/>
  <c r="U206" i="20" s="1"/>
  <c r="K206" i="21"/>
  <c r="K206" i="20" s="1"/>
  <c r="Q206" i="21"/>
  <c r="Q206" i="20" s="1"/>
  <c r="P206" i="21"/>
  <c r="P206" i="20" s="1"/>
  <c r="F206" i="21"/>
  <c r="F206" i="20" s="1"/>
  <c r="I206" i="21"/>
  <c r="I206" i="20" s="1"/>
  <c r="B206" i="21"/>
  <c r="E206" i="21"/>
  <c r="E206" i="20" s="1"/>
  <c r="J206" i="21"/>
  <c r="J206" i="20" s="1"/>
  <c r="M206" i="21"/>
  <c r="M206" i="20" s="1"/>
  <c r="O206" i="21"/>
  <c r="O206" i="20" s="1"/>
  <c r="G206" i="21"/>
  <c r="G206" i="20" s="1"/>
  <c r="AA211" i="2"/>
  <c r="A212" i="2"/>
  <c r="Z211" i="2"/>
  <c r="AB207" i="1"/>
  <c r="D207" i="1" s="1"/>
  <c r="AB208" i="3" s="1"/>
  <c r="AB210" i="19"/>
  <c r="D209" i="19"/>
  <c r="G208" i="19"/>
  <c r="Y211" i="21"/>
  <c r="X211" i="21"/>
  <c r="A212" i="21"/>
  <c r="R35" i="4"/>
  <c r="R38" i="4" s="1"/>
  <c r="R25" i="4"/>
  <c r="AB208" i="1" l="1"/>
  <c r="D208" i="1" s="1"/>
  <c r="AB209" i="3" s="1"/>
  <c r="D210" i="19"/>
  <c r="AB211" i="19"/>
  <c r="Z211" i="3"/>
  <c r="AF211" i="3"/>
  <c r="AD211" i="3"/>
  <c r="H207" i="21"/>
  <c r="H207" i="20" s="1"/>
  <c r="J207" i="21"/>
  <c r="J207" i="20" s="1"/>
  <c r="U207" i="21"/>
  <c r="U207" i="20" s="1"/>
  <c r="P207" i="21"/>
  <c r="P207" i="20" s="1"/>
  <c r="R207" i="21"/>
  <c r="R207" i="20" s="1"/>
  <c r="F207" i="21"/>
  <c r="F207" i="20" s="1"/>
  <c r="I207" i="21"/>
  <c r="I207" i="20" s="1"/>
  <c r="S207" i="21"/>
  <c r="S207" i="20" s="1"/>
  <c r="O207" i="21"/>
  <c r="O207" i="20" s="1"/>
  <c r="M207" i="21"/>
  <c r="M207" i="20" s="1"/>
  <c r="D207" i="21"/>
  <c r="D207" i="20" s="1"/>
  <c r="B207" i="21"/>
  <c r="E207" i="21"/>
  <c r="E207" i="20" s="1"/>
  <c r="G207" i="21"/>
  <c r="G207" i="20" s="1"/>
  <c r="K207" i="21"/>
  <c r="K207" i="20" s="1"/>
  <c r="N207" i="21"/>
  <c r="N207" i="20" s="1"/>
  <c r="L207" i="21"/>
  <c r="L207" i="20" s="1"/>
  <c r="T207" i="21"/>
  <c r="T207" i="20" s="1"/>
  <c r="C207" i="21"/>
  <c r="C207" i="20" s="1"/>
  <c r="Q207" i="21"/>
  <c r="Q207" i="20" s="1"/>
  <c r="Y212" i="21"/>
  <c r="X212" i="21"/>
  <c r="A213" i="21"/>
  <c r="V206" i="21"/>
  <c r="B206" i="20"/>
  <c r="G209" i="19"/>
  <c r="W205" i="20"/>
  <c r="AC205" i="20"/>
  <c r="AA205" i="20"/>
  <c r="Y205" i="20"/>
  <c r="AA212" i="2"/>
  <c r="Z212" i="2"/>
  <c r="A213" i="2"/>
  <c r="W206" i="20" l="1"/>
  <c r="AC206" i="20"/>
  <c r="AA206" i="20"/>
  <c r="Y206" i="20"/>
  <c r="Z213" i="2"/>
  <c r="AA213" i="2"/>
  <c r="A214" i="2"/>
  <c r="V207" i="21"/>
  <c r="B207" i="20"/>
  <c r="AB209" i="1"/>
  <c r="D209" i="1" s="1"/>
  <c r="AB210" i="3" s="1"/>
  <c r="D211" i="19"/>
  <c r="AB212" i="19"/>
  <c r="Z212" i="3"/>
  <c r="AF212" i="3"/>
  <c r="AD212" i="3"/>
  <c r="T208" i="21"/>
  <c r="T208" i="20" s="1"/>
  <c r="N208" i="21"/>
  <c r="N208" i="20" s="1"/>
  <c r="U208" i="21"/>
  <c r="U208" i="20" s="1"/>
  <c r="I208" i="21"/>
  <c r="I208" i="20" s="1"/>
  <c r="H208" i="21"/>
  <c r="H208" i="20" s="1"/>
  <c r="B208" i="21"/>
  <c r="G208" i="21"/>
  <c r="G208" i="20" s="1"/>
  <c r="D208" i="21"/>
  <c r="D208" i="20" s="1"/>
  <c r="C208" i="21"/>
  <c r="C208" i="20" s="1"/>
  <c r="Q208" i="21"/>
  <c r="Q208" i="20" s="1"/>
  <c r="F208" i="21"/>
  <c r="F208" i="20" s="1"/>
  <c r="K208" i="21"/>
  <c r="K208" i="20" s="1"/>
  <c r="P208" i="21"/>
  <c r="P208" i="20" s="1"/>
  <c r="E208" i="21"/>
  <c r="E208" i="20" s="1"/>
  <c r="M208" i="21"/>
  <c r="M208" i="20" s="1"/>
  <c r="J208" i="21"/>
  <c r="J208" i="20" s="1"/>
  <c r="O208" i="21"/>
  <c r="O208" i="20" s="1"/>
  <c r="R208" i="21"/>
  <c r="R208" i="20" s="1"/>
  <c r="S208" i="21"/>
  <c r="S208" i="20" s="1"/>
  <c r="L208" i="21"/>
  <c r="L208" i="20" s="1"/>
  <c r="G210" i="19"/>
  <c r="X213" i="21"/>
  <c r="A214" i="21"/>
  <c r="Y213" i="21"/>
  <c r="Z213" i="3" l="1"/>
  <c r="AA213" i="3" s="1"/>
  <c r="AF213" i="3"/>
  <c r="AG213" i="3" s="1"/>
  <c r="AD213" i="3"/>
  <c r="AE213" i="3" s="1"/>
  <c r="V208" i="21"/>
  <c r="B208" i="20"/>
  <c r="E209" i="21"/>
  <c r="E209" i="20" s="1"/>
  <c r="S209" i="21"/>
  <c r="S209" i="20" s="1"/>
  <c r="G209" i="21"/>
  <c r="G209" i="20" s="1"/>
  <c r="M209" i="21"/>
  <c r="M209" i="20" s="1"/>
  <c r="D209" i="21"/>
  <c r="D209" i="20" s="1"/>
  <c r="Q209" i="21"/>
  <c r="Q209" i="20" s="1"/>
  <c r="U209" i="21"/>
  <c r="U209" i="20" s="1"/>
  <c r="O209" i="21"/>
  <c r="O209" i="20" s="1"/>
  <c r="L209" i="21"/>
  <c r="L209" i="20" s="1"/>
  <c r="K209" i="21"/>
  <c r="K209" i="20" s="1"/>
  <c r="J209" i="21"/>
  <c r="J209" i="20" s="1"/>
  <c r="N209" i="21"/>
  <c r="N209" i="20" s="1"/>
  <c r="T209" i="21"/>
  <c r="T209" i="20" s="1"/>
  <c r="R209" i="21"/>
  <c r="R209" i="20" s="1"/>
  <c r="H209" i="21"/>
  <c r="H209" i="20" s="1"/>
  <c r="F209" i="21"/>
  <c r="F209" i="20" s="1"/>
  <c r="P209" i="21"/>
  <c r="P209" i="20" s="1"/>
  <c r="I209" i="21"/>
  <c r="I209" i="20" s="1"/>
  <c r="B209" i="21"/>
  <c r="C209" i="21"/>
  <c r="C209" i="20" s="1"/>
  <c r="AB210" i="1"/>
  <c r="D210" i="1" s="1"/>
  <c r="AB211" i="3" s="1"/>
  <c r="AB213" i="19"/>
  <c r="D212" i="19"/>
  <c r="W207" i="20"/>
  <c r="AC207" i="20"/>
  <c r="AA207" i="20"/>
  <c r="Y207" i="20"/>
  <c r="G211" i="19"/>
  <c r="X214" i="21"/>
  <c r="A215" i="21"/>
  <c r="Y214" i="21"/>
  <c r="Z214" i="2"/>
  <c r="A215" i="2"/>
  <c r="AA214" i="2"/>
  <c r="X215" i="21" l="1"/>
  <c r="A216" i="21"/>
  <c r="Y215" i="21"/>
  <c r="V209" i="21"/>
  <c r="B209" i="20"/>
  <c r="Z215" i="2"/>
  <c r="AA215" i="2"/>
  <c r="A216" i="2"/>
  <c r="G212" i="19"/>
  <c r="AB211" i="1"/>
  <c r="D211" i="1" s="1"/>
  <c r="AB212" i="3" s="1"/>
  <c r="D213" i="19"/>
  <c r="AB214" i="19"/>
  <c r="B210" i="21"/>
  <c r="J210" i="21"/>
  <c r="J210" i="20" s="1"/>
  <c r="G210" i="21"/>
  <c r="G210" i="20" s="1"/>
  <c r="N210" i="21"/>
  <c r="N210" i="20" s="1"/>
  <c r="R210" i="21"/>
  <c r="R210" i="20" s="1"/>
  <c r="F210" i="21"/>
  <c r="F210" i="20" s="1"/>
  <c r="U210" i="21"/>
  <c r="U210" i="20" s="1"/>
  <c r="I210" i="21"/>
  <c r="I210" i="20" s="1"/>
  <c r="Q210" i="21"/>
  <c r="Q210" i="20" s="1"/>
  <c r="T210" i="21"/>
  <c r="T210" i="20" s="1"/>
  <c r="H210" i="21"/>
  <c r="H210" i="20" s="1"/>
  <c r="K210" i="21"/>
  <c r="K210" i="20" s="1"/>
  <c r="D210" i="21"/>
  <c r="D210" i="20" s="1"/>
  <c r="L210" i="21"/>
  <c r="L210" i="20" s="1"/>
  <c r="M210" i="21"/>
  <c r="M210" i="20" s="1"/>
  <c r="E210" i="21"/>
  <c r="E210" i="20" s="1"/>
  <c r="P210" i="21"/>
  <c r="P210" i="20" s="1"/>
  <c r="O210" i="21"/>
  <c r="O210" i="20" s="1"/>
  <c r="C210" i="21"/>
  <c r="C210" i="20" s="1"/>
  <c r="S210" i="21"/>
  <c r="S210" i="20" s="1"/>
  <c r="W208" i="20"/>
  <c r="AC208" i="20"/>
  <c r="AA208" i="20"/>
  <c r="Y208" i="20"/>
  <c r="Z214" i="3"/>
  <c r="AF214" i="3"/>
  <c r="AD214" i="3"/>
  <c r="Z216" i="2" l="1"/>
  <c r="A217" i="2"/>
  <c r="AA216" i="2"/>
  <c r="Z215" i="3"/>
  <c r="AF215" i="3"/>
  <c r="AD215" i="3"/>
  <c r="V210" i="21"/>
  <c r="B210" i="20"/>
  <c r="W209" i="20"/>
  <c r="AC209" i="20"/>
  <c r="AA209" i="20"/>
  <c r="Y209" i="20"/>
  <c r="AB212" i="1"/>
  <c r="D212" i="1" s="1"/>
  <c r="AB213" i="3" s="1"/>
  <c r="AC213" i="3" s="1"/>
  <c r="AB215" i="19"/>
  <c r="D214" i="19"/>
  <c r="G213" i="19"/>
  <c r="L211" i="21"/>
  <c r="L211" i="20" s="1"/>
  <c r="H211" i="21"/>
  <c r="H211" i="20" s="1"/>
  <c r="Q211" i="21"/>
  <c r="Q211" i="20" s="1"/>
  <c r="T211" i="21"/>
  <c r="T211" i="20" s="1"/>
  <c r="P211" i="21"/>
  <c r="P211" i="20" s="1"/>
  <c r="O211" i="21"/>
  <c r="O211" i="20" s="1"/>
  <c r="F211" i="21"/>
  <c r="F211" i="20" s="1"/>
  <c r="U211" i="21"/>
  <c r="U211" i="20" s="1"/>
  <c r="B211" i="21"/>
  <c r="S211" i="21"/>
  <c r="S211" i="20" s="1"/>
  <c r="M211" i="21"/>
  <c r="M211" i="20" s="1"/>
  <c r="J211" i="21"/>
  <c r="J211" i="20" s="1"/>
  <c r="C211" i="21"/>
  <c r="C211" i="20" s="1"/>
  <c r="D211" i="21"/>
  <c r="D211" i="20" s="1"/>
  <c r="R211" i="21"/>
  <c r="R211" i="20" s="1"/>
  <c r="I211" i="21"/>
  <c r="I211" i="20" s="1"/>
  <c r="N211" i="21"/>
  <c r="N211" i="20" s="1"/>
  <c r="E211" i="21"/>
  <c r="E211" i="20" s="1"/>
  <c r="G211" i="21"/>
  <c r="G211" i="20" s="1"/>
  <c r="K211" i="21"/>
  <c r="K211" i="20" s="1"/>
  <c r="X216" i="21"/>
  <c r="A217" i="21"/>
  <c r="Y216" i="21"/>
  <c r="Z216" i="3" l="1"/>
  <c r="AF216" i="3"/>
  <c r="AD216" i="3"/>
  <c r="X217" i="21"/>
  <c r="A218" i="21"/>
  <c r="Y217" i="21"/>
  <c r="V211" i="21"/>
  <c r="B211" i="20"/>
  <c r="R212" i="21"/>
  <c r="R212" i="20" s="1"/>
  <c r="E212" i="21"/>
  <c r="E212" i="20" s="1"/>
  <c r="S212" i="21"/>
  <c r="S212" i="20" s="1"/>
  <c r="D212" i="21"/>
  <c r="D212" i="20" s="1"/>
  <c r="H212" i="21"/>
  <c r="H212" i="20" s="1"/>
  <c r="B212" i="21"/>
  <c r="I212" i="21"/>
  <c r="I212" i="20" s="1"/>
  <c r="O212" i="21"/>
  <c r="O212" i="20" s="1"/>
  <c r="F212" i="21"/>
  <c r="F212" i="20" s="1"/>
  <c r="M212" i="21"/>
  <c r="M212" i="20" s="1"/>
  <c r="Q212" i="21"/>
  <c r="Q212" i="20" s="1"/>
  <c r="L212" i="21"/>
  <c r="L212" i="20" s="1"/>
  <c r="U212" i="21"/>
  <c r="U212" i="20" s="1"/>
  <c r="J212" i="21"/>
  <c r="J212" i="20" s="1"/>
  <c r="K212" i="21"/>
  <c r="K212" i="20" s="1"/>
  <c r="G212" i="21"/>
  <c r="G212" i="20" s="1"/>
  <c r="T212" i="21"/>
  <c r="T212" i="20" s="1"/>
  <c r="P212" i="21"/>
  <c r="P212" i="20" s="1"/>
  <c r="N212" i="21"/>
  <c r="N212" i="20" s="1"/>
  <c r="C212" i="21"/>
  <c r="C212" i="20" s="1"/>
  <c r="W210" i="20"/>
  <c r="AC210" i="20"/>
  <c r="AA210" i="20"/>
  <c r="Y210" i="20"/>
  <c r="G214" i="19"/>
  <c r="Z217" i="2"/>
  <c r="A218" i="2"/>
  <c r="AA217" i="2"/>
  <c r="AB213" i="1"/>
  <c r="D213" i="1" s="1"/>
  <c r="AB214" i="3" s="1"/>
  <c r="AB216" i="19"/>
  <c r="D215" i="19"/>
  <c r="G215" i="19" l="1"/>
  <c r="V212" i="21"/>
  <c r="B212" i="20"/>
  <c r="Z217" i="3"/>
  <c r="AF217" i="3"/>
  <c r="AD217" i="3"/>
  <c r="X218" i="21"/>
  <c r="A219" i="21"/>
  <c r="Y218" i="21"/>
  <c r="Z218" i="2"/>
  <c r="AA218" i="2"/>
  <c r="A219" i="2"/>
  <c r="AB214" i="1"/>
  <c r="D214" i="1" s="1"/>
  <c r="AB215" i="3" s="1"/>
  <c r="AB217" i="19"/>
  <c r="D216" i="19"/>
  <c r="Q213" i="21"/>
  <c r="Q213" i="20" s="1"/>
  <c r="B213" i="21"/>
  <c r="F213" i="21"/>
  <c r="F213" i="20" s="1"/>
  <c r="J213" i="21"/>
  <c r="J213" i="20" s="1"/>
  <c r="U213" i="21"/>
  <c r="U213" i="20" s="1"/>
  <c r="L213" i="21"/>
  <c r="L213" i="20" s="1"/>
  <c r="I213" i="21"/>
  <c r="I213" i="20" s="1"/>
  <c r="C213" i="21"/>
  <c r="C213" i="20" s="1"/>
  <c r="K213" i="21"/>
  <c r="K213" i="20" s="1"/>
  <c r="N213" i="21"/>
  <c r="N213" i="20" s="1"/>
  <c r="S213" i="21"/>
  <c r="S213" i="20" s="1"/>
  <c r="D213" i="21"/>
  <c r="D213" i="20" s="1"/>
  <c r="H213" i="21"/>
  <c r="H213" i="20" s="1"/>
  <c r="E213" i="21"/>
  <c r="E213" i="20" s="1"/>
  <c r="T213" i="21"/>
  <c r="T213" i="20" s="1"/>
  <c r="P213" i="21"/>
  <c r="P213" i="20" s="1"/>
  <c r="G213" i="21"/>
  <c r="G213" i="20" s="1"/>
  <c r="O213" i="21"/>
  <c r="O213" i="20" s="1"/>
  <c r="R213" i="21"/>
  <c r="R213" i="20" s="1"/>
  <c r="M213" i="21"/>
  <c r="M213" i="20" s="1"/>
  <c r="W211" i="20"/>
  <c r="AC211" i="20"/>
  <c r="AA211" i="20"/>
  <c r="Y211" i="20"/>
  <c r="G216" i="19" l="1"/>
  <c r="AB215" i="1"/>
  <c r="D215" i="1" s="1"/>
  <c r="AB216" i="3" s="1"/>
  <c r="D217" i="19"/>
  <c r="AB218" i="19"/>
  <c r="Z219" i="2"/>
  <c r="AA219" i="2"/>
  <c r="A220" i="2"/>
  <c r="Z218" i="3"/>
  <c r="AF218" i="3"/>
  <c r="AD218" i="3"/>
  <c r="V213" i="21"/>
  <c r="B213" i="20"/>
  <c r="V213" i="20" s="1"/>
  <c r="S8" i="4" s="1"/>
  <c r="W212" i="20"/>
  <c r="AC212" i="20"/>
  <c r="AA212" i="20"/>
  <c r="Y212" i="20"/>
  <c r="X219" i="21"/>
  <c r="A220" i="21"/>
  <c r="Y219" i="21"/>
  <c r="C214" i="21"/>
  <c r="C214" i="20" s="1"/>
  <c r="L214" i="21"/>
  <c r="L214" i="20" s="1"/>
  <c r="H214" i="21"/>
  <c r="H214" i="20" s="1"/>
  <c r="K214" i="21"/>
  <c r="K214" i="20" s="1"/>
  <c r="E214" i="21"/>
  <c r="E214" i="20" s="1"/>
  <c r="S214" i="21"/>
  <c r="S214" i="20" s="1"/>
  <c r="R214" i="21"/>
  <c r="R214" i="20" s="1"/>
  <c r="F214" i="21"/>
  <c r="F214" i="20" s="1"/>
  <c r="D214" i="21"/>
  <c r="D214" i="20" s="1"/>
  <c r="G214" i="21"/>
  <c r="G214" i="20" s="1"/>
  <c r="M214" i="21"/>
  <c r="M214" i="20" s="1"/>
  <c r="B214" i="21"/>
  <c r="O214" i="21"/>
  <c r="O214" i="20" s="1"/>
  <c r="J214" i="21"/>
  <c r="J214" i="20" s="1"/>
  <c r="U214" i="21"/>
  <c r="U214" i="20" s="1"/>
  <c r="N214" i="21"/>
  <c r="N214" i="20" s="1"/>
  <c r="T214" i="21"/>
  <c r="T214" i="20" s="1"/>
  <c r="P214" i="21"/>
  <c r="P214" i="20" s="1"/>
  <c r="I214" i="21"/>
  <c r="I214" i="20" s="1"/>
  <c r="Q214" i="21"/>
  <c r="Q214" i="20" s="1"/>
  <c r="Z219" i="3" l="1"/>
  <c r="AF219" i="3"/>
  <c r="AD219" i="3"/>
  <c r="W213" i="20"/>
  <c r="X213" i="20" s="1"/>
  <c r="S9" i="4" s="1"/>
  <c r="AC213" i="20"/>
  <c r="AD213" i="20" s="1"/>
  <c r="AA213" i="20"/>
  <c r="AB213" i="20" s="1"/>
  <c r="W213" i="21"/>
  <c r="S83" i="4" s="1"/>
  <c r="Y213" i="20"/>
  <c r="Z213" i="20" s="1"/>
  <c r="S10" i="4" s="1"/>
  <c r="V214" i="21"/>
  <c r="B214" i="20"/>
  <c r="Z220" i="2"/>
  <c r="AA220" i="2"/>
  <c r="A221" i="2"/>
  <c r="G215" i="21"/>
  <c r="G215" i="20" s="1"/>
  <c r="N215" i="21"/>
  <c r="N215" i="20" s="1"/>
  <c r="D215" i="21"/>
  <c r="D215" i="20" s="1"/>
  <c r="L215" i="21"/>
  <c r="L215" i="20" s="1"/>
  <c r="O215" i="21"/>
  <c r="O215" i="20" s="1"/>
  <c r="M215" i="21"/>
  <c r="M215" i="20" s="1"/>
  <c r="P215" i="21"/>
  <c r="P215" i="20" s="1"/>
  <c r="J215" i="21"/>
  <c r="J215" i="20" s="1"/>
  <c r="I215" i="21"/>
  <c r="I215" i="20" s="1"/>
  <c r="U215" i="21"/>
  <c r="U215" i="20" s="1"/>
  <c r="C215" i="21"/>
  <c r="C215" i="20" s="1"/>
  <c r="Q215" i="21"/>
  <c r="Q215" i="20" s="1"/>
  <c r="T215" i="21"/>
  <c r="T215" i="20" s="1"/>
  <c r="K215" i="21"/>
  <c r="K215" i="20" s="1"/>
  <c r="E215" i="21"/>
  <c r="E215" i="20" s="1"/>
  <c r="S215" i="21"/>
  <c r="S215" i="20" s="1"/>
  <c r="R215" i="21"/>
  <c r="R215" i="20" s="1"/>
  <c r="H215" i="21"/>
  <c r="H215" i="20" s="1"/>
  <c r="B215" i="21"/>
  <c r="F215" i="21"/>
  <c r="F215" i="20" s="1"/>
  <c r="X220" i="21"/>
  <c r="A221" i="21"/>
  <c r="Y220" i="21"/>
  <c r="AB219" i="19"/>
  <c r="AB216" i="1"/>
  <c r="D216" i="1" s="1"/>
  <c r="AB217" i="3" s="1"/>
  <c r="D218" i="19"/>
  <c r="G217" i="19"/>
  <c r="D219" i="19" l="1"/>
  <c r="AB217" i="1"/>
  <c r="D217" i="1" s="1"/>
  <c r="AB218" i="3" s="1"/>
  <c r="AB220" i="19"/>
  <c r="Z221" i="2"/>
  <c r="AA221" i="2"/>
  <c r="A222" i="2"/>
  <c r="S94" i="4"/>
  <c r="S82" i="4"/>
  <c r="S91" i="4"/>
  <c r="S85" i="4"/>
  <c r="S93" i="4"/>
  <c r="S92" i="4"/>
  <c r="S86" i="4"/>
  <c r="S95" i="4"/>
  <c r="S87" i="4"/>
  <c r="S12" i="4"/>
  <c r="S89" i="4" s="1"/>
  <c r="S11" i="4"/>
  <c r="S13" i="4" s="1"/>
  <c r="S17" i="4" s="1"/>
  <c r="Z220" i="3"/>
  <c r="AF220" i="3"/>
  <c r="AD220" i="3"/>
  <c r="X221" i="21"/>
  <c r="A222" i="21"/>
  <c r="Y221" i="21"/>
  <c r="S216" i="21"/>
  <c r="S216" i="20" s="1"/>
  <c r="I216" i="21"/>
  <c r="I216" i="20" s="1"/>
  <c r="Q216" i="21"/>
  <c r="Q216" i="20" s="1"/>
  <c r="D216" i="21"/>
  <c r="D216" i="20" s="1"/>
  <c r="G216" i="21"/>
  <c r="G216" i="20" s="1"/>
  <c r="B216" i="21"/>
  <c r="P216" i="21"/>
  <c r="P216" i="20" s="1"/>
  <c r="E216" i="21"/>
  <c r="E216" i="20" s="1"/>
  <c r="L216" i="21"/>
  <c r="L216" i="20" s="1"/>
  <c r="C216" i="21"/>
  <c r="C216" i="20" s="1"/>
  <c r="U216" i="21"/>
  <c r="U216" i="20" s="1"/>
  <c r="M216" i="21"/>
  <c r="M216" i="20" s="1"/>
  <c r="O216" i="21"/>
  <c r="O216" i="20" s="1"/>
  <c r="H216" i="21"/>
  <c r="H216" i="20" s="1"/>
  <c r="N216" i="21"/>
  <c r="N216" i="20" s="1"/>
  <c r="K216" i="21"/>
  <c r="K216" i="20" s="1"/>
  <c r="R216" i="21"/>
  <c r="R216" i="20" s="1"/>
  <c r="J216" i="21"/>
  <c r="J216" i="20" s="1"/>
  <c r="T216" i="21"/>
  <c r="T216" i="20" s="1"/>
  <c r="F216" i="21"/>
  <c r="F216" i="20" s="1"/>
  <c r="W214" i="20"/>
  <c r="AC214" i="20"/>
  <c r="AA214" i="20"/>
  <c r="Y214" i="20"/>
  <c r="G218" i="19"/>
  <c r="V215" i="21"/>
  <c r="B215" i="20"/>
  <c r="S20" i="4" l="1"/>
  <c r="S19" i="4"/>
  <c r="S36" i="4" s="1"/>
  <c r="A223" i="2"/>
  <c r="Z222" i="2"/>
  <c r="AA222" i="2"/>
  <c r="C217" i="21"/>
  <c r="C217" i="20" s="1"/>
  <c r="N217" i="21"/>
  <c r="N217" i="20" s="1"/>
  <c r="K217" i="21"/>
  <c r="K217" i="20" s="1"/>
  <c r="I217" i="21"/>
  <c r="I217" i="20" s="1"/>
  <c r="U217" i="21"/>
  <c r="U217" i="20" s="1"/>
  <c r="R217" i="21"/>
  <c r="R217" i="20" s="1"/>
  <c r="M217" i="21"/>
  <c r="M217" i="20" s="1"/>
  <c r="Q217" i="21"/>
  <c r="Q217" i="20" s="1"/>
  <c r="H217" i="21"/>
  <c r="H217" i="20" s="1"/>
  <c r="S217" i="21"/>
  <c r="S217" i="20" s="1"/>
  <c r="T217" i="21"/>
  <c r="T217" i="20" s="1"/>
  <c r="L217" i="21"/>
  <c r="L217" i="20" s="1"/>
  <c r="G217" i="21"/>
  <c r="G217" i="20" s="1"/>
  <c r="J217" i="21"/>
  <c r="J217" i="20" s="1"/>
  <c r="O217" i="21"/>
  <c r="O217" i="20" s="1"/>
  <c r="D217" i="21"/>
  <c r="D217" i="20" s="1"/>
  <c r="B217" i="21"/>
  <c r="P217" i="21"/>
  <c r="P217" i="20" s="1"/>
  <c r="F217" i="21"/>
  <c r="F217" i="20" s="1"/>
  <c r="E217" i="21"/>
  <c r="E217" i="20" s="1"/>
  <c r="Z221" i="3"/>
  <c r="AF221" i="3"/>
  <c r="AD221" i="3"/>
  <c r="AB218" i="1"/>
  <c r="D218" i="1" s="1"/>
  <c r="AB219" i="3" s="1"/>
  <c r="D220" i="19"/>
  <c r="AB221" i="19"/>
  <c r="X222" i="21"/>
  <c r="A223" i="21"/>
  <c r="Y222" i="21"/>
  <c r="G219" i="19"/>
  <c r="W215" i="20"/>
  <c r="AC215" i="20"/>
  <c r="AA215" i="20"/>
  <c r="Y215" i="20"/>
  <c r="V216" i="21"/>
  <c r="B216" i="20"/>
  <c r="S88" i="4"/>
  <c r="X223" i="21" l="1"/>
  <c r="A224" i="21"/>
  <c r="Y223" i="21"/>
  <c r="A224" i="2"/>
  <c r="Z223" i="2"/>
  <c r="AA223" i="2"/>
  <c r="L218" i="21"/>
  <c r="L218" i="20" s="1"/>
  <c r="S218" i="21"/>
  <c r="S218" i="20" s="1"/>
  <c r="G218" i="21"/>
  <c r="G218" i="20" s="1"/>
  <c r="E218" i="21"/>
  <c r="E218" i="20" s="1"/>
  <c r="T218" i="21"/>
  <c r="T218" i="20" s="1"/>
  <c r="H218" i="21"/>
  <c r="H218" i="20" s="1"/>
  <c r="M218" i="21"/>
  <c r="M218" i="20" s="1"/>
  <c r="D218" i="21"/>
  <c r="D218" i="20" s="1"/>
  <c r="F218" i="21"/>
  <c r="F218" i="20" s="1"/>
  <c r="N218" i="21"/>
  <c r="N218" i="20" s="1"/>
  <c r="C218" i="21"/>
  <c r="C218" i="20" s="1"/>
  <c r="I218" i="21"/>
  <c r="I218" i="20" s="1"/>
  <c r="Q218" i="21"/>
  <c r="Q218" i="20" s="1"/>
  <c r="O218" i="21"/>
  <c r="O218" i="20" s="1"/>
  <c r="K218" i="21"/>
  <c r="K218" i="20" s="1"/>
  <c r="U218" i="21"/>
  <c r="U218" i="20" s="1"/>
  <c r="P218" i="21"/>
  <c r="P218" i="20" s="1"/>
  <c r="B218" i="21"/>
  <c r="J218" i="21"/>
  <c r="J218" i="20" s="1"/>
  <c r="R218" i="21"/>
  <c r="R218" i="20" s="1"/>
  <c r="G220" i="19"/>
  <c r="W216" i="20"/>
  <c r="AC216" i="20"/>
  <c r="AA216" i="20"/>
  <c r="Y216" i="20"/>
  <c r="V217" i="21"/>
  <c r="B217" i="20"/>
  <c r="Z222" i="3"/>
  <c r="AF222" i="3"/>
  <c r="AD222" i="3"/>
  <c r="AB219" i="1"/>
  <c r="D219" i="1" s="1"/>
  <c r="AB220" i="3" s="1"/>
  <c r="D221" i="19"/>
  <c r="AB222" i="19"/>
  <c r="S35" i="4"/>
  <c r="S38" i="4" s="1"/>
  <c r="S25" i="4"/>
  <c r="G221" i="19" l="1"/>
  <c r="V218" i="21"/>
  <c r="B218" i="20"/>
  <c r="A225" i="2"/>
  <c r="Z224" i="2"/>
  <c r="AA224" i="2"/>
  <c r="K219" i="21"/>
  <c r="K219" i="20" s="1"/>
  <c r="G219" i="21"/>
  <c r="G219" i="20" s="1"/>
  <c r="F219" i="21"/>
  <c r="F219" i="20" s="1"/>
  <c r="U219" i="21"/>
  <c r="U219" i="20" s="1"/>
  <c r="J219" i="21"/>
  <c r="J219" i="20" s="1"/>
  <c r="L219" i="21"/>
  <c r="L219" i="20" s="1"/>
  <c r="S219" i="21"/>
  <c r="S219" i="20" s="1"/>
  <c r="O219" i="21"/>
  <c r="O219" i="20" s="1"/>
  <c r="T219" i="21"/>
  <c r="T219" i="20" s="1"/>
  <c r="M219" i="21"/>
  <c r="M219" i="20" s="1"/>
  <c r="R219" i="21"/>
  <c r="R219" i="20" s="1"/>
  <c r="I219" i="21"/>
  <c r="I219" i="20" s="1"/>
  <c r="B219" i="21"/>
  <c r="H219" i="21"/>
  <c r="H219" i="20" s="1"/>
  <c r="P219" i="21"/>
  <c r="P219" i="20" s="1"/>
  <c r="Q219" i="21"/>
  <c r="Q219" i="20" s="1"/>
  <c r="E219" i="21"/>
  <c r="E219" i="20" s="1"/>
  <c r="N219" i="21"/>
  <c r="N219" i="20" s="1"/>
  <c r="C219" i="21"/>
  <c r="C219" i="20" s="1"/>
  <c r="D219" i="21"/>
  <c r="D219" i="20" s="1"/>
  <c r="W217" i="20"/>
  <c r="AC217" i="20"/>
  <c r="AA217" i="20"/>
  <c r="Y217" i="20"/>
  <c r="X224" i="21"/>
  <c r="A225" i="21"/>
  <c r="Y224" i="21"/>
  <c r="Z223" i="3"/>
  <c r="AF223" i="3"/>
  <c r="AD223" i="3"/>
  <c r="AB220" i="1"/>
  <c r="D220" i="1" s="1"/>
  <c r="AB221" i="3" s="1"/>
  <c r="D222" i="19"/>
  <c r="AB223" i="19"/>
  <c r="V219" i="21" l="1"/>
  <c r="B219" i="20"/>
  <c r="AA225" i="2"/>
  <c r="A226" i="2"/>
  <c r="Z225" i="2"/>
  <c r="AB221" i="1"/>
  <c r="D221" i="1" s="1"/>
  <c r="AB222" i="3" s="1"/>
  <c r="D223" i="19"/>
  <c r="AB224" i="19"/>
  <c r="Y225" i="21"/>
  <c r="X225" i="21"/>
  <c r="A226" i="21"/>
  <c r="W218" i="20"/>
  <c r="AC218" i="20"/>
  <c r="AA218" i="20"/>
  <c r="Y218" i="20"/>
  <c r="G222" i="19"/>
  <c r="I220" i="21"/>
  <c r="I220" i="20" s="1"/>
  <c r="P220" i="21"/>
  <c r="P220" i="20" s="1"/>
  <c r="T220" i="21"/>
  <c r="T220" i="20" s="1"/>
  <c r="D220" i="21"/>
  <c r="D220" i="20" s="1"/>
  <c r="F220" i="21"/>
  <c r="F220" i="20" s="1"/>
  <c r="M220" i="21"/>
  <c r="M220" i="20" s="1"/>
  <c r="Q220" i="21"/>
  <c r="Q220" i="20" s="1"/>
  <c r="J220" i="21"/>
  <c r="J220" i="20" s="1"/>
  <c r="L220" i="21"/>
  <c r="L220" i="20" s="1"/>
  <c r="C220" i="21"/>
  <c r="C220" i="20" s="1"/>
  <c r="G220" i="21"/>
  <c r="G220" i="20" s="1"/>
  <c r="H220" i="21"/>
  <c r="H220" i="20" s="1"/>
  <c r="B220" i="21"/>
  <c r="R220" i="21"/>
  <c r="R220" i="20" s="1"/>
  <c r="E220" i="21"/>
  <c r="E220" i="20" s="1"/>
  <c r="K220" i="21"/>
  <c r="K220" i="20" s="1"/>
  <c r="S220" i="21"/>
  <c r="S220" i="20" s="1"/>
  <c r="N220" i="21"/>
  <c r="N220" i="20" s="1"/>
  <c r="O220" i="21"/>
  <c r="O220" i="20" s="1"/>
  <c r="U220" i="21"/>
  <c r="U220" i="20" s="1"/>
  <c r="Z224" i="3"/>
  <c r="AF224" i="3"/>
  <c r="AD224" i="3"/>
  <c r="D224" i="19" l="1"/>
  <c r="AB225" i="19"/>
  <c r="AB222" i="1"/>
  <c r="D222" i="1" s="1"/>
  <c r="AB223" i="3" s="1"/>
  <c r="V220" i="21"/>
  <c r="B220" i="20"/>
  <c r="G223" i="19"/>
  <c r="AA226" i="2"/>
  <c r="A227" i="2"/>
  <c r="Z226" i="2"/>
  <c r="Y226" i="21"/>
  <c r="X226" i="21"/>
  <c r="A227" i="21"/>
  <c r="Z225" i="3"/>
  <c r="AA225" i="3" s="1"/>
  <c r="AF225" i="3"/>
  <c r="AG225" i="3" s="1"/>
  <c r="AD225" i="3"/>
  <c r="AE225" i="3" s="1"/>
  <c r="R221" i="21"/>
  <c r="R221" i="20" s="1"/>
  <c r="E221" i="21"/>
  <c r="E221" i="20" s="1"/>
  <c r="H221" i="21"/>
  <c r="H221" i="20" s="1"/>
  <c r="N221" i="21"/>
  <c r="N221" i="20" s="1"/>
  <c r="I221" i="21"/>
  <c r="I221" i="20" s="1"/>
  <c r="L221" i="21"/>
  <c r="L221" i="20" s="1"/>
  <c r="M221" i="21"/>
  <c r="M221" i="20" s="1"/>
  <c r="K221" i="21"/>
  <c r="K221" i="20" s="1"/>
  <c r="F221" i="21"/>
  <c r="F221" i="20" s="1"/>
  <c r="U221" i="21"/>
  <c r="U221" i="20" s="1"/>
  <c r="P221" i="21"/>
  <c r="P221" i="20" s="1"/>
  <c r="C221" i="21"/>
  <c r="C221" i="20" s="1"/>
  <c r="S221" i="21"/>
  <c r="S221" i="20" s="1"/>
  <c r="T221" i="21"/>
  <c r="T221" i="20" s="1"/>
  <c r="D221" i="21"/>
  <c r="D221" i="20" s="1"/>
  <c r="Q221" i="21"/>
  <c r="Q221" i="20" s="1"/>
  <c r="G221" i="21"/>
  <c r="G221" i="20" s="1"/>
  <c r="O221" i="21"/>
  <c r="O221" i="20" s="1"/>
  <c r="J221" i="21"/>
  <c r="J221" i="20" s="1"/>
  <c r="B221" i="21"/>
  <c r="W219" i="20"/>
  <c r="AC219" i="20"/>
  <c r="AA219" i="20"/>
  <c r="Y219" i="20"/>
  <c r="C222" i="21" l="1"/>
  <c r="C222" i="20" s="1"/>
  <c r="S222" i="21"/>
  <c r="S222" i="20" s="1"/>
  <c r="H222" i="21"/>
  <c r="H222" i="20" s="1"/>
  <c r="T222" i="21"/>
  <c r="T222" i="20" s="1"/>
  <c r="R222" i="21"/>
  <c r="R222" i="20" s="1"/>
  <c r="F222" i="21"/>
  <c r="F222" i="20" s="1"/>
  <c r="J222" i="21"/>
  <c r="J222" i="20" s="1"/>
  <c r="G222" i="21"/>
  <c r="G222" i="20" s="1"/>
  <c r="U222" i="21"/>
  <c r="U222" i="20" s="1"/>
  <c r="E222" i="21"/>
  <c r="E222" i="20" s="1"/>
  <c r="O222" i="21"/>
  <c r="O222" i="20" s="1"/>
  <c r="K222" i="21"/>
  <c r="K222" i="20" s="1"/>
  <c r="M222" i="21"/>
  <c r="M222" i="20" s="1"/>
  <c r="D222" i="21"/>
  <c r="D222" i="20" s="1"/>
  <c r="L222" i="21"/>
  <c r="L222" i="20" s="1"/>
  <c r="I222" i="21"/>
  <c r="I222" i="20" s="1"/>
  <c r="P222" i="21"/>
  <c r="P222" i="20" s="1"/>
  <c r="Q222" i="21"/>
  <c r="Q222" i="20" s="1"/>
  <c r="B222" i="21"/>
  <c r="N222" i="21"/>
  <c r="N222" i="20" s="1"/>
  <c r="V221" i="21"/>
  <c r="B221" i="20"/>
  <c r="W220" i="20"/>
  <c r="AC220" i="20"/>
  <c r="AA220" i="20"/>
  <c r="Y220" i="20"/>
  <c r="Z226" i="3"/>
  <c r="AF226" i="3"/>
  <c r="AD226" i="3"/>
  <c r="AB226" i="19"/>
  <c r="D225" i="19"/>
  <c r="AB223" i="1"/>
  <c r="D223" i="1" s="1"/>
  <c r="AB224" i="3" s="1"/>
  <c r="Y227" i="21"/>
  <c r="X227" i="21"/>
  <c r="A228" i="21"/>
  <c r="AA227" i="2"/>
  <c r="A228" i="2"/>
  <c r="Z227" i="2"/>
  <c r="G224" i="19"/>
  <c r="G225" i="19" l="1"/>
  <c r="AB224" i="1"/>
  <c r="D224" i="1" s="1"/>
  <c r="AB225" i="3" s="1"/>
  <c r="AC225" i="3" s="1"/>
  <c r="D226" i="19"/>
  <c r="AB227" i="19"/>
  <c r="Y228" i="21"/>
  <c r="X228" i="21"/>
  <c r="A229" i="21"/>
  <c r="V222" i="21"/>
  <c r="B222" i="20"/>
  <c r="G223" i="21"/>
  <c r="G223" i="20" s="1"/>
  <c r="S223" i="21"/>
  <c r="S223" i="20" s="1"/>
  <c r="C223" i="21"/>
  <c r="C223" i="20" s="1"/>
  <c r="O223" i="21"/>
  <c r="O223" i="20" s="1"/>
  <c r="M223" i="21"/>
  <c r="M223" i="20" s="1"/>
  <c r="P223" i="21"/>
  <c r="P223" i="20" s="1"/>
  <c r="E223" i="21"/>
  <c r="E223" i="20" s="1"/>
  <c r="L223" i="21"/>
  <c r="L223" i="20" s="1"/>
  <c r="I223" i="21"/>
  <c r="I223" i="20" s="1"/>
  <c r="U223" i="21"/>
  <c r="U223" i="20" s="1"/>
  <c r="B223" i="21"/>
  <c r="Q223" i="21"/>
  <c r="Q223" i="20" s="1"/>
  <c r="H223" i="21"/>
  <c r="H223" i="20" s="1"/>
  <c r="K223" i="21"/>
  <c r="K223" i="20" s="1"/>
  <c r="J223" i="21"/>
  <c r="J223" i="20" s="1"/>
  <c r="T223" i="21"/>
  <c r="T223" i="20" s="1"/>
  <c r="D223" i="21"/>
  <c r="D223" i="20" s="1"/>
  <c r="R223" i="21"/>
  <c r="R223" i="20" s="1"/>
  <c r="N223" i="21"/>
  <c r="N223" i="20" s="1"/>
  <c r="F223" i="21"/>
  <c r="F223" i="20" s="1"/>
  <c r="AA228" i="2"/>
  <c r="A229" i="2"/>
  <c r="Z228" i="2"/>
  <c r="Z227" i="3"/>
  <c r="AF227" i="3"/>
  <c r="AD227" i="3"/>
  <c r="W221" i="20"/>
  <c r="AC221" i="20"/>
  <c r="AA221" i="20"/>
  <c r="Y221" i="20"/>
  <c r="Z228" i="3" l="1"/>
  <c r="AF228" i="3"/>
  <c r="AD228" i="3"/>
  <c r="V223" i="21"/>
  <c r="B223" i="20"/>
  <c r="G226" i="19"/>
  <c r="W222" i="20"/>
  <c r="AC222" i="20"/>
  <c r="AA222" i="20"/>
  <c r="Y222" i="20"/>
  <c r="AA229" i="2"/>
  <c r="A230" i="2"/>
  <c r="Z229" i="2"/>
  <c r="Y229" i="21"/>
  <c r="X229" i="21"/>
  <c r="A230" i="21"/>
  <c r="I224" i="21"/>
  <c r="I224" i="20" s="1"/>
  <c r="S224" i="21"/>
  <c r="S224" i="20" s="1"/>
  <c r="Q224" i="21"/>
  <c r="Q224" i="20" s="1"/>
  <c r="E224" i="21"/>
  <c r="E224" i="20" s="1"/>
  <c r="J224" i="21"/>
  <c r="J224" i="20" s="1"/>
  <c r="G224" i="21"/>
  <c r="G224" i="20" s="1"/>
  <c r="P224" i="21"/>
  <c r="P224" i="20" s="1"/>
  <c r="K224" i="21"/>
  <c r="K224" i="20" s="1"/>
  <c r="N224" i="21"/>
  <c r="N224" i="20" s="1"/>
  <c r="M224" i="21"/>
  <c r="M224" i="20" s="1"/>
  <c r="C224" i="21"/>
  <c r="C224" i="20" s="1"/>
  <c r="F224" i="21"/>
  <c r="F224" i="20" s="1"/>
  <c r="T224" i="21"/>
  <c r="T224" i="20" s="1"/>
  <c r="L224" i="21"/>
  <c r="L224" i="20" s="1"/>
  <c r="O224" i="21"/>
  <c r="O224" i="20" s="1"/>
  <c r="H224" i="21"/>
  <c r="H224" i="20" s="1"/>
  <c r="R224" i="21"/>
  <c r="R224" i="20" s="1"/>
  <c r="B224" i="21"/>
  <c r="D224" i="21"/>
  <c r="D224" i="20" s="1"/>
  <c r="U224" i="21"/>
  <c r="U224" i="20" s="1"/>
  <c r="AB228" i="19"/>
  <c r="AB225" i="1"/>
  <c r="D225" i="1" s="1"/>
  <c r="AB226" i="3" s="1"/>
  <c r="D227" i="19"/>
  <c r="AA230" i="2" l="1"/>
  <c r="A231" i="2"/>
  <c r="Z230" i="2"/>
  <c r="Z229" i="3"/>
  <c r="AF229" i="3"/>
  <c r="AD229" i="3"/>
  <c r="W223" i="20"/>
  <c r="AC223" i="20"/>
  <c r="AA223" i="20"/>
  <c r="Y223" i="20"/>
  <c r="V224" i="21"/>
  <c r="B224" i="20"/>
  <c r="Y230" i="21"/>
  <c r="X230" i="21"/>
  <c r="A231" i="21"/>
  <c r="G227" i="19"/>
  <c r="AB226" i="1"/>
  <c r="D226" i="1" s="1"/>
  <c r="AB227" i="3" s="1"/>
  <c r="D228" i="19"/>
  <c r="AB229" i="19"/>
  <c r="D225" i="21"/>
  <c r="D225" i="20" s="1"/>
  <c r="R225" i="21"/>
  <c r="R225" i="20" s="1"/>
  <c r="F225" i="21"/>
  <c r="F225" i="20" s="1"/>
  <c r="N225" i="21"/>
  <c r="N225" i="20" s="1"/>
  <c r="E225" i="21"/>
  <c r="E225" i="20" s="1"/>
  <c r="I225" i="21"/>
  <c r="I225" i="20" s="1"/>
  <c r="P225" i="21"/>
  <c r="P225" i="20" s="1"/>
  <c r="H225" i="21"/>
  <c r="H225" i="20" s="1"/>
  <c r="Q225" i="21"/>
  <c r="Q225" i="20" s="1"/>
  <c r="S225" i="21"/>
  <c r="S225" i="20" s="1"/>
  <c r="J225" i="21"/>
  <c r="J225" i="20" s="1"/>
  <c r="U225" i="21"/>
  <c r="U225" i="20" s="1"/>
  <c r="K225" i="21"/>
  <c r="K225" i="20" s="1"/>
  <c r="G225" i="21"/>
  <c r="G225" i="20" s="1"/>
  <c r="C225" i="21"/>
  <c r="C225" i="20" s="1"/>
  <c r="O225" i="21"/>
  <c r="O225" i="20" s="1"/>
  <c r="M225" i="21"/>
  <c r="M225" i="20" s="1"/>
  <c r="L225" i="21"/>
  <c r="L225" i="20" s="1"/>
  <c r="T225" i="21"/>
  <c r="T225" i="20" s="1"/>
  <c r="B225" i="21"/>
  <c r="AB227" i="1" l="1"/>
  <c r="D227" i="1" s="1"/>
  <c r="AB228" i="3" s="1"/>
  <c r="AB230" i="19"/>
  <c r="D229" i="19"/>
  <c r="G228" i="19"/>
  <c r="W224" i="20"/>
  <c r="AC224" i="20"/>
  <c r="AA224" i="20"/>
  <c r="Y224" i="20"/>
  <c r="Y231" i="21"/>
  <c r="X231" i="21"/>
  <c r="A232" i="21"/>
  <c r="K226" i="21"/>
  <c r="K226" i="20" s="1"/>
  <c r="F226" i="21"/>
  <c r="F226" i="20" s="1"/>
  <c r="T226" i="21"/>
  <c r="T226" i="20" s="1"/>
  <c r="D226" i="21"/>
  <c r="D226" i="20" s="1"/>
  <c r="E226" i="21"/>
  <c r="E226" i="20" s="1"/>
  <c r="Q226" i="21"/>
  <c r="Q226" i="20" s="1"/>
  <c r="S226" i="21"/>
  <c r="S226" i="20" s="1"/>
  <c r="C226" i="21"/>
  <c r="C226" i="20" s="1"/>
  <c r="G226" i="21"/>
  <c r="G226" i="20" s="1"/>
  <c r="H226" i="21"/>
  <c r="H226" i="20" s="1"/>
  <c r="O226" i="21"/>
  <c r="O226" i="20" s="1"/>
  <c r="R226" i="21"/>
  <c r="R226" i="20" s="1"/>
  <c r="P226" i="21"/>
  <c r="P226" i="20" s="1"/>
  <c r="B226" i="21"/>
  <c r="N226" i="21"/>
  <c r="N226" i="20" s="1"/>
  <c r="J226" i="21"/>
  <c r="J226" i="20" s="1"/>
  <c r="L226" i="21"/>
  <c r="L226" i="20" s="1"/>
  <c r="M226" i="21"/>
  <c r="M226" i="20" s="1"/>
  <c r="U226" i="21"/>
  <c r="U226" i="20" s="1"/>
  <c r="I226" i="21"/>
  <c r="I226" i="20" s="1"/>
  <c r="AA231" i="2"/>
  <c r="A232" i="2"/>
  <c r="Z231" i="2"/>
  <c r="V225" i="21"/>
  <c r="B225" i="20"/>
  <c r="V225" i="20" s="1"/>
  <c r="T8" i="4" s="1"/>
  <c r="Z230" i="3"/>
  <c r="AF230" i="3"/>
  <c r="AD230" i="3"/>
  <c r="W225" i="20" l="1"/>
  <c r="X225" i="20" s="1"/>
  <c r="T9" i="4" s="1"/>
  <c r="AC225" i="20"/>
  <c r="AD225" i="20" s="1"/>
  <c r="AA225" i="20"/>
  <c r="AB225" i="20" s="1"/>
  <c r="W225" i="21"/>
  <c r="T83" i="4" s="1"/>
  <c r="Y225" i="20"/>
  <c r="Z225" i="20" s="1"/>
  <c r="T10" i="4" s="1"/>
  <c r="Y232" i="21"/>
  <c r="X232" i="21"/>
  <c r="A233" i="21"/>
  <c r="F227" i="21"/>
  <c r="F227" i="20" s="1"/>
  <c r="R227" i="21"/>
  <c r="R227" i="20" s="1"/>
  <c r="B227" i="21"/>
  <c r="N227" i="21"/>
  <c r="N227" i="20" s="1"/>
  <c r="L227" i="21"/>
  <c r="L227" i="20" s="1"/>
  <c r="U227" i="21"/>
  <c r="U227" i="20" s="1"/>
  <c r="H227" i="21"/>
  <c r="H227" i="20" s="1"/>
  <c r="T227" i="21"/>
  <c r="T227" i="20" s="1"/>
  <c r="E227" i="21"/>
  <c r="E227" i="20" s="1"/>
  <c r="I227" i="21"/>
  <c r="I227" i="20" s="1"/>
  <c r="M227" i="21"/>
  <c r="M227" i="20" s="1"/>
  <c r="Q227" i="21"/>
  <c r="Q227" i="20" s="1"/>
  <c r="S227" i="21"/>
  <c r="S227" i="20" s="1"/>
  <c r="P227" i="21"/>
  <c r="P227" i="20" s="1"/>
  <c r="C227" i="21"/>
  <c r="C227" i="20" s="1"/>
  <c r="O227" i="21"/>
  <c r="O227" i="20" s="1"/>
  <c r="K227" i="21"/>
  <c r="K227" i="20" s="1"/>
  <c r="G227" i="21"/>
  <c r="G227" i="20" s="1"/>
  <c r="J227" i="21"/>
  <c r="J227" i="20" s="1"/>
  <c r="D227" i="21"/>
  <c r="D227" i="20" s="1"/>
  <c r="AA232" i="2"/>
  <c r="A233" i="2"/>
  <c r="Z232" i="2"/>
  <c r="V226" i="21"/>
  <c r="B226" i="20"/>
  <c r="AB228" i="1"/>
  <c r="D228" i="1" s="1"/>
  <c r="AB229" i="3" s="1"/>
  <c r="D230" i="19"/>
  <c r="AB231" i="19"/>
  <c r="Z231" i="3"/>
  <c r="AF231" i="3"/>
  <c r="AD231" i="3"/>
  <c r="G229" i="19"/>
  <c r="AB229" i="1" l="1"/>
  <c r="D229" i="1" s="1"/>
  <c r="AB230" i="3" s="1"/>
  <c r="D231" i="19"/>
  <c r="AB232" i="19"/>
  <c r="AA233" i="2"/>
  <c r="A234" i="2"/>
  <c r="Z233" i="2"/>
  <c r="Z232" i="3"/>
  <c r="AF232" i="3"/>
  <c r="AD232" i="3"/>
  <c r="T82" i="4"/>
  <c r="T86" i="4" s="1"/>
  <c r="T85" i="4"/>
  <c r="T92" i="4"/>
  <c r="T94" i="4"/>
  <c r="T91" i="4"/>
  <c r="T93" i="4"/>
  <c r="T95" i="4"/>
  <c r="G230" i="19"/>
  <c r="V227" i="21"/>
  <c r="B227" i="20"/>
  <c r="T12" i="4"/>
  <c r="T89" i="4" s="1"/>
  <c r="T11" i="4"/>
  <c r="T13" i="4" s="1"/>
  <c r="T17" i="4" s="1"/>
  <c r="H228" i="21"/>
  <c r="H228" i="20" s="1"/>
  <c r="R228" i="21"/>
  <c r="R228" i="20" s="1"/>
  <c r="U228" i="21"/>
  <c r="U228" i="20" s="1"/>
  <c r="K228" i="21"/>
  <c r="K228" i="20" s="1"/>
  <c r="M228" i="21"/>
  <c r="M228" i="20" s="1"/>
  <c r="S228" i="21"/>
  <c r="S228" i="20" s="1"/>
  <c r="P228" i="21"/>
  <c r="P228" i="20" s="1"/>
  <c r="D228" i="21"/>
  <c r="D228" i="20" s="1"/>
  <c r="F228" i="21"/>
  <c r="F228" i="20" s="1"/>
  <c r="O228" i="21"/>
  <c r="O228" i="20" s="1"/>
  <c r="J228" i="21"/>
  <c r="J228" i="20" s="1"/>
  <c r="E228" i="21"/>
  <c r="E228" i="20" s="1"/>
  <c r="B228" i="21"/>
  <c r="L228" i="21"/>
  <c r="L228" i="20" s="1"/>
  <c r="C228" i="21"/>
  <c r="C228" i="20" s="1"/>
  <c r="I228" i="21"/>
  <c r="I228" i="20" s="1"/>
  <c r="Q228" i="21"/>
  <c r="Q228" i="20" s="1"/>
  <c r="T228" i="21"/>
  <c r="T228" i="20" s="1"/>
  <c r="N228" i="21"/>
  <c r="N228" i="20" s="1"/>
  <c r="G228" i="21"/>
  <c r="G228" i="20" s="1"/>
  <c r="W226" i="20"/>
  <c r="AC226" i="20"/>
  <c r="AA226" i="20"/>
  <c r="Y226" i="20"/>
  <c r="Y233" i="21"/>
  <c r="X233" i="21"/>
  <c r="A234" i="21"/>
  <c r="T20" i="4" l="1"/>
  <c r="T19" i="4"/>
  <c r="T36" i="4" s="1"/>
  <c r="T87" i="4"/>
  <c r="AA234" i="2"/>
  <c r="A235" i="2"/>
  <c r="Z234" i="2"/>
  <c r="W227" i="20"/>
  <c r="AC227" i="20"/>
  <c r="AA227" i="20"/>
  <c r="Y227" i="20"/>
  <c r="Z233" i="3"/>
  <c r="AF233" i="3"/>
  <c r="AD233" i="3"/>
  <c r="T88" i="4"/>
  <c r="AB230" i="1"/>
  <c r="D230" i="1" s="1"/>
  <c r="AB231" i="3" s="1"/>
  <c r="AB233" i="19"/>
  <c r="D232" i="19"/>
  <c r="G231" i="19"/>
  <c r="V228" i="21"/>
  <c r="B228" i="20"/>
  <c r="Y234" i="21"/>
  <c r="X234" i="21"/>
  <c r="A235" i="21"/>
  <c r="C229" i="21"/>
  <c r="C229" i="20" s="1"/>
  <c r="M229" i="21"/>
  <c r="M229" i="20" s="1"/>
  <c r="D229" i="21"/>
  <c r="D229" i="20" s="1"/>
  <c r="S229" i="21"/>
  <c r="S229" i="20" s="1"/>
  <c r="I229" i="21"/>
  <c r="I229" i="20" s="1"/>
  <c r="K229" i="21"/>
  <c r="K229" i="20" s="1"/>
  <c r="E229" i="21"/>
  <c r="E229" i="20" s="1"/>
  <c r="H229" i="21"/>
  <c r="H229" i="20" s="1"/>
  <c r="O229" i="21"/>
  <c r="O229" i="20" s="1"/>
  <c r="Q229" i="21"/>
  <c r="Q229" i="20" s="1"/>
  <c r="U229" i="21"/>
  <c r="U229" i="20" s="1"/>
  <c r="J229" i="21"/>
  <c r="J229" i="20" s="1"/>
  <c r="G229" i="21"/>
  <c r="G229" i="20" s="1"/>
  <c r="R229" i="21"/>
  <c r="R229" i="20" s="1"/>
  <c r="F229" i="21"/>
  <c r="F229" i="20" s="1"/>
  <c r="B229" i="21"/>
  <c r="N229" i="21"/>
  <c r="N229" i="20" s="1"/>
  <c r="L229" i="21"/>
  <c r="L229" i="20" s="1"/>
  <c r="T229" i="21"/>
  <c r="T229" i="20" s="1"/>
  <c r="P229" i="21"/>
  <c r="P229" i="20" s="1"/>
  <c r="V229" i="21" l="1"/>
  <c r="B229" i="20"/>
  <c r="G232" i="19"/>
  <c r="R230" i="21"/>
  <c r="R230" i="20" s="1"/>
  <c r="G230" i="21"/>
  <c r="G230" i="20" s="1"/>
  <c r="C230" i="21"/>
  <c r="C230" i="20" s="1"/>
  <c r="K230" i="21"/>
  <c r="K230" i="20" s="1"/>
  <c r="Q230" i="21"/>
  <c r="Q230" i="20" s="1"/>
  <c r="E230" i="21"/>
  <c r="E230" i="20" s="1"/>
  <c r="I230" i="21"/>
  <c r="I230" i="20" s="1"/>
  <c r="M230" i="21"/>
  <c r="M230" i="20" s="1"/>
  <c r="F230" i="21"/>
  <c r="F230" i="20" s="1"/>
  <c r="T230" i="21"/>
  <c r="T230" i="20" s="1"/>
  <c r="D230" i="21"/>
  <c r="D230" i="20" s="1"/>
  <c r="N230" i="21"/>
  <c r="N230" i="20" s="1"/>
  <c r="J230" i="21"/>
  <c r="J230" i="20" s="1"/>
  <c r="L230" i="21"/>
  <c r="L230" i="20" s="1"/>
  <c r="U230" i="21"/>
  <c r="U230" i="20" s="1"/>
  <c r="S230" i="21"/>
  <c r="S230" i="20" s="1"/>
  <c r="H230" i="21"/>
  <c r="H230" i="20" s="1"/>
  <c r="O230" i="21"/>
  <c r="O230" i="20" s="1"/>
  <c r="P230" i="21"/>
  <c r="P230" i="20" s="1"/>
  <c r="B230" i="21"/>
  <c r="AA235" i="2"/>
  <c r="A236" i="2"/>
  <c r="Z235" i="2"/>
  <c r="Y235" i="21"/>
  <c r="X235" i="21"/>
  <c r="A236" i="21"/>
  <c r="Z234" i="3"/>
  <c r="AF234" i="3"/>
  <c r="AD234" i="3"/>
  <c r="AB231" i="1"/>
  <c r="D231" i="1" s="1"/>
  <c r="AB232" i="3" s="1"/>
  <c r="D233" i="19"/>
  <c r="AB234" i="19"/>
  <c r="W228" i="20"/>
  <c r="AC228" i="20"/>
  <c r="AA228" i="20"/>
  <c r="Y228" i="20"/>
  <c r="T35" i="4"/>
  <c r="T38" i="4" s="1"/>
  <c r="T25" i="4"/>
  <c r="AB232" i="1" l="1"/>
  <c r="D232" i="1" s="1"/>
  <c r="AB233" i="3" s="1"/>
  <c r="AB235" i="19"/>
  <c r="D234" i="19"/>
  <c r="G233" i="19"/>
  <c r="V230" i="21"/>
  <c r="B230" i="20"/>
  <c r="F231" i="21"/>
  <c r="F231" i="20" s="1"/>
  <c r="R231" i="21"/>
  <c r="R231" i="20" s="1"/>
  <c r="B231" i="21"/>
  <c r="U231" i="21"/>
  <c r="U231" i="20" s="1"/>
  <c r="N231" i="21"/>
  <c r="N231" i="20" s="1"/>
  <c r="L231" i="21"/>
  <c r="L231" i="20" s="1"/>
  <c r="O231" i="21"/>
  <c r="O231" i="20" s="1"/>
  <c r="D231" i="21"/>
  <c r="D231" i="20" s="1"/>
  <c r="H231" i="21"/>
  <c r="H231" i="20" s="1"/>
  <c r="T231" i="21"/>
  <c r="T231" i="20" s="1"/>
  <c r="Q231" i="21"/>
  <c r="Q231" i="20" s="1"/>
  <c r="P231" i="21"/>
  <c r="P231" i="20" s="1"/>
  <c r="G231" i="21"/>
  <c r="G231" i="20" s="1"/>
  <c r="J231" i="21"/>
  <c r="J231" i="20" s="1"/>
  <c r="C231" i="21"/>
  <c r="C231" i="20" s="1"/>
  <c r="E231" i="21"/>
  <c r="E231" i="20" s="1"/>
  <c r="K231" i="21"/>
  <c r="K231" i="20" s="1"/>
  <c r="M231" i="21"/>
  <c r="M231" i="20" s="1"/>
  <c r="I231" i="21"/>
  <c r="I231" i="20" s="1"/>
  <c r="S231" i="21"/>
  <c r="S231" i="20" s="1"/>
  <c r="AA236" i="2"/>
  <c r="A237" i="2"/>
  <c r="Z236" i="2"/>
  <c r="Y236" i="21"/>
  <c r="A237" i="21"/>
  <c r="X236" i="21"/>
  <c r="Z235" i="3"/>
  <c r="AF235" i="3"/>
  <c r="AD235" i="3"/>
  <c r="W229" i="20"/>
  <c r="AC229" i="20"/>
  <c r="AA229" i="20"/>
  <c r="Y229" i="20"/>
  <c r="X237" i="21" l="1"/>
  <c r="Y237" i="21"/>
  <c r="A238" i="21"/>
  <c r="Z237" i="2"/>
  <c r="AA237" i="2"/>
  <c r="A238" i="2"/>
  <c r="Z236" i="3"/>
  <c r="AF236" i="3"/>
  <c r="AD236" i="3"/>
  <c r="W230" i="20"/>
  <c r="AC230" i="20"/>
  <c r="AA230" i="20"/>
  <c r="Y230" i="20"/>
  <c r="V231" i="21"/>
  <c r="B231" i="20"/>
  <c r="G234" i="19"/>
  <c r="AB233" i="1"/>
  <c r="D233" i="1" s="1"/>
  <c r="AB234" i="3" s="1"/>
  <c r="D235" i="19"/>
  <c r="AB236" i="19"/>
  <c r="H232" i="21"/>
  <c r="H232" i="20" s="1"/>
  <c r="R232" i="21"/>
  <c r="R232" i="20" s="1"/>
  <c r="M232" i="21"/>
  <c r="M232" i="20" s="1"/>
  <c r="P232" i="21"/>
  <c r="P232" i="20" s="1"/>
  <c r="D232" i="21"/>
  <c r="D232" i="20" s="1"/>
  <c r="F232" i="21"/>
  <c r="F232" i="20" s="1"/>
  <c r="O232" i="21"/>
  <c r="O232" i="20" s="1"/>
  <c r="J232" i="21"/>
  <c r="J232" i="20" s="1"/>
  <c r="L232" i="21"/>
  <c r="L232" i="20" s="1"/>
  <c r="B232" i="21"/>
  <c r="I232" i="21"/>
  <c r="I232" i="20" s="1"/>
  <c r="S232" i="21"/>
  <c r="S232" i="20" s="1"/>
  <c r="E232" i="21"/>
  <c r="E232" i="20" s="1"/>
  <c r="N232" i="21"/>
  <c r="N232" i="20" s="1"/>
  <c r="K232" i="21"/>
  <c r="K232" i="20" s="1"/>
  <c r="G232" i="21"/>
  <c r="G232" i="20" s="1"/>
  <c r="U232" i="21"/>
  <c r="U232" i="20" s="1"/>
  <c r="C232" i="21"/>
  <c r="C232" i="20" s="1"/>
  <c r="Q232" i="21"/>
  <c r="Q232" i="20" s="1"/>
  <c r="T232" i="21"/>
  <c r="T232" i="20" s="1"/>
  <c r="C233" i="21" l="1"/>
  <c r="C233" i="20" s="1"/>
  <c r="M233" i="21"/>
  <c r="M233" i="20" s="1"/>
  <c r="D233" i="21"/>
  <c r="D233" i="20" s="1"/>
  <c r="Q233" i="21"/>
  <c r="Q233" i="20" s="1"/>
  <c r="H233" i="21"/>
  <c r="H233" i="20" s="1"/>
  <c r="O233" i="21"/>
  <c r="O233" i="20" s="1"/>
  <c r="G233" i="21"/>
  <c r="G233" i="20" s="1"/>
  <c r="J233" i="21"/>
  <c r="J233" i="20" s="1"/>
  <c r="P233" i="21"/>
  <c r="P233" i="20" s="1"/>
  <c r="R233" i="21"/>
  <c r="R233" i="20" s="1"/>
  <c r="E233" i="21"/>
  <c r="E233" i="20" s="1"/>
  <c r="F233" i="21"/>
  <c r="F233" i="20" s="1"/>
  <c r="B233" i="21"/>
  <c r="K233" i="21"/>
  <c r="K233" i="20" s="1"/>
  <c r="N233" i="21"/>
  <c r="N233" i="20" s="1"/>
  <c r="L233" i="21"/>
  <c r="L233" i="20" s="1"/>
  <c r="S233" i="21"/>
  <c r="S233" i="20" s="1"/>
  <c r="U233" i="21"/>
  <c r="U233" i="20" s="1"/>
  <c r="I233" i="21"/>
  <c r="I233" i="20" s="1"/>
  <c r="T233" i="21"/>
  <c r="T233" i="20" s="1"/>
  <c r="V232" i="21"/>
  <c r="B232" i="20"/>
  <c r="W231" i="20"/>
  <c r="AC231" i="20"/>
  <c r="AA231" i="20"/>
  <c r="Y231" i="20"/>
  <c r="G235" i="19"/>
  <c r="X238" i="21"/>
  <c r="A239" i="21"/>
  <c r="Y238" i="21"/>
  <c r="Z238" i="2"/>
  <c r="AA238" i="2"/>
  <c r="A239" i="2"/>
  <c r="AB234" i="1"/>
  <c r="D234" i="1" s="1"/>
  <c r="AB235" i="3" s="1"/>
  <c r="D236" i="19"/>
  <c r="AB237" i="19"/>
  <c r="Z237" i="3"/>
  <c r="AA237" i="3" s="1"/>
  <c r="AF237" i="3"/>
  <c r="AG237" i="3" s="1"/>
  <c r="AD237" i="3"/>
  <c r="AE237" i="3" s="1"/>
  <c r="X239" i="21" l="1"/>
  <c r="Y239" i="21"/>
  <c r="A240" i="21"/>
  <c r="Z239" i="2"/>
  <c r="AA239" i="2"/>
  <c r="A240" i="2"/>
  <c r="I234" i="21"/>
  <c r="I234" i="20" s="1"/>
  <c r="K234" i="21"/>
  <c r="K234" i="20" s="1"/>
  <c r="F234" i="21"/>
  <c r="F234" i="20" s="1"/>
  <c r="T234" i="21"/>
  <c r="T234" i="20" s="1"/>
  <c r="D234" i="21"/>
  <c r="D234" i="20" s="1"/>
  <c r="E234" i="21"/>
  <c r="E234" i="20" s="1"/>
  <c r="Q234" i="21"/>
  <c r="Q234" i="20" s="1"/>
  <c r="S234" i="21"/>
  <c r="S234" i="20" s="1"/>
  <c r="M234" i="21"/>
  <c r="M234" i="20" s="1"/>
  <c r="G234" i="21"/>
  <c r="G234" i="20" s="1"/>
  <c r="N234" i="21"/>
  <c r="N234" i="20" s="1"/>
  <c r="J234" i="21"/>
  <c r="J234" i="20" s="1"/>
  <c r="L234" i="21"/>
  <c r="L234" i="20" s="1"/>
  <c r="H234" i="21"/>
  <c r="H234" i="20" s="1"/>
  <c r="O234" i="21"/>
  <c r="O234" i="20" s="1"/>
  <c r="C234" i="21"/>
  <c r="C234" i="20" s="1"/>
  <c r="P234" i="21"/>
  <c r="P234" i="20" s="1"/>
  <c r="B234" i="21"/>
  <c r="R234" i="21"/>
  <c r="R234" i="20" s="1"/>
  <c r="U234" i="21"/>
  <c r="U234" i="20" s="1"/>
  <c r="AB235" i="1"/>
  <c r="D235" i="1" s="1"/>
  <c r="AB236" i="3" s="1"/>
  <c r="D237" i="19"/>
  <c r="AB238" i="19"/>
  <c r="G236" i="19"/>
  <c r="W232" i="20"/>
  <c r="AC232" i="20"/>
  <c r="AA232" i="20"/>
  <c r="Y232" i="20"/>
  <c r="V233" i="21"/>
  <c r="B233" i="20"/>
  <c r="Z238" i="3"/>
  <c r="AF238" i="3"/>
  <c r="AD238" i="3"/>
  <c r="V234" i="21" l="1"/>
  <c r="B234" i="20"/>
  <c r="F235" i="21"/>
  <c r="F235" i="20" s="1"/>
  <c r="R235" i="21"/>
  <c r="R235" i="20" s="1"/>
  <c r="B235" i="21"/>
  <c r="E235" i="21"/>
  <c r="E235" i="20" s="1"/>
  <c r="N235" i="21"/>
  <c r="N235" i="20" s="1"/>
  <c r="L235" i="21"/>
  <c r="L235" i="20" s="1"/>
  <c r="K235" i="21"/>
  <c r="K235" i="20" s="1"/>
  <c r="U235" i="21"/>
  <c r="U235" i="20" s="1"/>
  <c r="H235" i="21"/>
  <c r="H235" i="20" s="1"/>
  <c r="T235" i="21"/>
  <c r="T235" i="20" s="1"/>
  <c r="I235" i="21"/>
  <c r="I235" i="20" s="1"/>
  <c r="S235" i="21"/>
  <c r="S235" i="20" s="1"/>
  <c r="Q235" i="21"/>
  <c r="Q235" i="20" s="1"/>
  <c r="D235" i="21"/>
  <c r="D235" i="20" s="1"/>
  <c r="P235" i="21"/>
  <c r="P235" i="20" s="1"/>
  <c r="M235" i="21"/>
  <c r="M235" i="20" s="1"/>
  <c r="G235" i="21"/>
  <c r="G235" i="20" s="1"/>
  <c r="C235" i="21"/>
  <c r="C235" i="20" s="1"/>
  <c r="O235" i="21"/>
  <c r="O235" i="20" s="1"/>
  <c r="J235" i="21"/>
  <c r="J235" i="20" s="1"/>
  <c r="Z240" i="2"/>
  <c r="AA240" i="2"/>
  <c r="A241" i="2"/>
  <c r="X240" i="21"/>
  <c r="A241" i="21"/>
  <c r="Y240" i="21"/>
  <c r="AB236" i="1"/>
  <c r="D236" i="1" s="1"/>
  <c r="AB237" i="3" s="1"/>
  <c r="AC237" i="3" s="1"/>
  <c r="AB239" i="19"/>
  <c r="D238" i="19"/>
  <c r="Z239" i="3"/>
  <c r="AF239" i="3"/>
  <c r="AD239" i="3"/>
  <c r="W233" i="20"/>
  <c r="AC233" i="20"/>
  <c r="AA233" i="20"/>
  <c r="Y233" i="20"/>
  <c r="G237" i="19"/>
  <c r="H236" i="21" l="1"/>
  <c r="H236" i="20" s="1"/>
  <c r="R236" i="21"/>
  <c r="R236" i="20" s="1"/>
  <c r="U236" i="21"/>
  <c r="U236" i="20" s="1"/>
  <c r="K236" i="21"/>
  <c r="K236" i="20" s="1"/>
  <c r="M236" i="21"/>
  <c r="M236" i="20" s="1"/>
  <c r="S236" i="21"/>
  <c r="S236" i="20" s="1"/>
  <c r="P236" i="21"/>
  <c r="P236" i="20" s="1"/>
  <c r="D236" i="21"/>
  <c r="D236" i="20" s="1"/>
  <c r="F236" i="21"/>
  <c r="F236" i="20" s="1"/>
  <c r="O236" i="21"/>
  <c r="O236" i="20" s="1"/>
  <c r="J236" i="21"/>
  <c r="J236" i="20" s="1"/>
  <c r="C236" i="21"/>
  <c r="C236" i="20" s="1"/>
  <c r="E236" i="21"/>
  <c r="E236" i="20" s="1"/>
  <c r="B236" i="21"/>
  <c r="L236" i="21"/>
  <c r="L236" i="20" s="1"/>
  <c r="I236" i="21"/>
  <c r="I236" i="20" s="1"/>
  <c r="N236" i="21"/>
  <c r="N236" i="20" s="1"/>
  <c r="Q236" i="21"/>
  <c r="Q236" i="20" s="1"/>
  <c r="T236" i="21"/>
  <c r="T236" i="20" s="1"/>
  <c r="G236" i="21"/>
  <c r="G236" i="20" s="1"/>
  <c r="V235" i="21"/>
  <c r="B235" i="20"/>
  <c r="Z240" i="3"/>
  <c r="AF240" i="3"/>
  <c r="AD240" i="3"/>
  <c r="W234" i="20"/>
  <c r="AC234" i="20"/>
  <c r="AA234" i="20"/>
  <c r="Y234" i="20"/>
  <c r="G238" i="19"/>
  <c r="X241" i="21"/>
  <c r="Y241" i="21"/>
  <c r="A242" i="21"/>
  <c r="Z241" i="2"/>
  <c r="AA241" i="2"/>
  <c r="A242" i="2"/>
  <c r="AB237" i="1"/>
  <c r="D237" i="1" s="1"/>
  <c r="AB238" i="3" s="1"/>
  <c r="D239" i="19"/>
  <c r="AB240" i="19"/>
  <c r="V236" i="21" l="1"/>
  <c r="B236" i="20"/>
  <c r="Z241" i="3"/>
  <c r="AF241" i="3"/>
  <c r="AD241" i="3"/>
  <c r="X242" i="21"/>
  <c r="A243" i="21"/>
  <c r="Y242" i="21"/>
  <c r="AB238" i="1"/>
  <c r="D238" i="1" s="1"/>
  <c r="AB239" i="3" s="1"/>
  <c r="AB241" i="19"/>
  <c r="D240" i="19"/>
  <c r="Z242" i="2"/>
  <c r="AA242" i="2"/>
  <c r="A243" i="2"/>
  <c r="W235" i="20"/>
  <c r="AC235" i="20"/>
  <c r="AA235" i="20"/>
  <c r="Y235" i="20"/>
  <c r="G239" i="19"/>
  <c r="C237" i="21"/>
  <c r="C237" i="20" s="1"/>
  <c r="M237" i="21"/>
  <c r="M237" i="20" s="1"/>
  <c r="D237" i="21"/>
  <c r="D237" i="20" s="1"/>
  <c r="S237" i="21"/>
  <c r="S237" i="20" s="1"/>
  <c r="I237" i="21"/>
  <c r="I237" i="20" s="1"/>
  <c r="K237" i="21"/>
  <c r="K237" i="20" s="1"/>
  <c r="H237" i="21"/>
  <c r="H237" i="20" s="1"/>
  <c r="O237" i="21"/>
  <c r="O237" i="20" s="1"/>
  <c r="E237" i="21"/>
  <c r="E237" i="20" s="1"/>
  <c r="J237" i="21"/>
  <c r="J237" i="20" s="1"/>
  <c r="G237" i="21"/>
  <c r="G237" i="20" s="1"/>
  <c r="P237" i="21"/>
  <c r="P237" i="20" s="1"/>
  <c r="T237" i="21"/>
  <c r="T237" i="20" s="1"/>
  <c r="Q237" i="21"/>
  <c r="Q237" i="20" s="1"/>
  <c r="F237" i="21"/>
  <c r="F237" i="20" s="1"/>
  <c r="B237" i="21"/>
  <c r="N237" i="21"/>
  <c r="N237" i="20" s="1"/>
  <c r="L237" i="21"/>
  <c r="L237" i="20" s="1"/>
  <c r="R237" i="21"/>
  <c r="R237" i="20" s="1"/>
  <c r="U237" i="21"/>
  <c r="U237" i="20" s="1"/>
  <c r="V237" i="21" l="1"/>
  <c r="B237" i="20"/>
  <c r="V237" i="20" s="1"/>
  <c r="U8" i="4" s="1"/>
  <c r="U238" i="21"/>
  <c r="U238" i="20" s="1"/>
  <c r="Q238" i="21"/>
  <c r="Q238" i="20" s="1"/>
  <c r="F238" i="21"/>
  <c r="F238" i="20" s="1"/>
  <c r="R238" i="21"/>
  <c r="R238" i="20" s="1"/>
  <c r="J238" i="21"/>
  <c r="J238" i="20" s="1"/>
  <c r="P238" i="21"/>
  <c r="P238" i="20" s="1"/>
  <c r="D238" i="21"/>
  <c r="D238" i="20" s="1"/>
  <c r="H238" i="21"/>
  <c r="H238" i="20" s="1"/>
  <c r="E238" i="21"/>
  <c r="E238" i="20" s="1"/>
  <c r="S238" i="21"/>
  <c r="S238" i="20" s="1"/>
  <c r="C238" i="21"/>
  <c r="C238" i="20" s="1"/>
  <c r="M238" i="21"/>
  <c r="M238" i="20" s="1"/>
  <c r="I238" i="21"/>
  <c r="I238" i="20" s="1"/>
  <c r="B238" i="21"/>
  <c r="T238" i="21"/>
  <c r="T238" i="20" s="1"/>
  <c r="G238" i="21"/>
  <c r="G238" i="20" s="1"/>
  <c r="N238" i="21"/>
  <c r="N238" i="20" s="1"/>
  <c r="L238" i="21"/>
  <c r="L238" i="20" s="1"/>
  <c r="O238" i="21"/>
  <c r="O238" i="20" s="1"/>
  <c r="K238" i="21"/>
  <c r="K238" i="20" s="1"/>
  <c r="G240" i="19"/>
  <c r="AB239" i="1"/>
  <c r="D239" i="1" s="1"/>
  <c r="AB240" i="3" s="1"/>
  <c r="AB242" i="19"/>
  <c r="D241" i="19"/>
  <c r="W236" i="20"/>
  <c r="AC236" i="20"/>
  <c r="AA236" i="20"/>
  <c r="Y236" i="20"/>
  <c r="Z243" i="2"/>
  <c r="AA243" i="2"/>
  <c r="A244" i="2"/>
  <c r="X243" i="21"/>
  <c r="Y243" i="21"/>
  <c r="A244" i="21"/>
  <c r="Z242" i="3"/>
  <c r="AF242" i="3"/>
  <c r="AD242" i="3"/>
  <c r="G241" i="19" l="1"/>
  <c r="Z244" i="2"/>
  <c r="AA244" i="2"/>
  <c r="A245" i="2"/>
  <c r="Q239" i="21"/>
  <c r="Q239" i="20" s="1"/>
  <c r="K239" i="21"/>
  <c r="K239" i="20" s="1"/>
  <c r="E239" i="21"/>
  <c r="E239" i="20" s="1"/>
  <c r="N239" i="21"/>
  <c r="N239" i="20" s="1"/>
  <c r="C239" i="21"/>
  <c r="C239" i="20" s="1"/>
  <c r="M239" i="21"/>
  <c r="M239" i="20" s="1"/>
  <c r="G239" i="21"/>
  <c r="G239" i="20" s="1"/>
  <c r="O239" i="21"/>
  <c r="O239" i="20" s="1"/>
  <c r="I239" i="21"/>
  <c r="I239" i="20" s="1"/>
  <c r="J239" i="21"/>
  <c r="J239" i="20" s="1"/>
  <c r="U239" i="21"/>
  <c r="U239" i="20" s="1"/>
  <c r="F239" i="21"/>
  <c r="F239" i="20" s="1"/>
  <c r="S239" i="21"/>
  <c r="S239" i="20" s="1"/>
  <c r="D239" i="21"/>
  <c r="D239" i="20" s="1"/>
  <c r="T239" i="21"/>
  <c r="T239" i="20" s="1"/>
  <c r="H239" i="21"/>
  <c r="H239" i="20" s="1"/>
  <c r="P239" i="21"/>
  <c r="P239" i="20" s="1"/>
  <c r="L239" i="21"/>
  <c r="L239" i="20" s="1"/>
  <c r="R239" i="21"/>
  <c r="R239" i="20" s="1"/>
  <c r="B239" i="21"/>
  <c r="Z243" i="3"/>
  <c r="AF243" i="3"/>
  <c r="AD243" i="3"/>
  <c r="W237" i="20"/>
  <c r="X237" i="20" s="1"/>
  <c r="U9" i="4" s="1"/>
  <c r="AC237" i="20"/>
  <c r="AD237" i="20" s="1"/>
  <c r="AA237" i="20"/>
  <c r="AB237" i="20" s="1"/>
  <c r="W237" i="21"/>
  <c r="U83" i="4" s="1"/>
  <c r="Y237" i="20"/>
  <c r="Z237" i="20" s="1"/>
  <c r="U10" i="4" s="1"/>
  <c r="X244" i="21"/>
  <c r="A245" i="21"/>
  <c r="Y244" i="21"/>
  <c r="AB240" i="1"/>
  <c r="D240" i="1" s="1"/>
  <c r="AB241" i="3" s="1"/>
  <c r="AB243" i="19"/>
  <c r="D242" i="19"/>
  <c r="V238" i="21"/>
  <c r="B238" i="20"/>
  <c r="Z245" i="2" l="1"/>
  <c r="AA245" i="2"/>
  <c r="A246" i="2"/>
  <c r="W238" i="20"/>
  <c r="AC238" i="20"/>
  <c r="AA238" i="20"/>
  <c r="Y238" i="20"/>
  <c r="G242" i="19"/>
  <c r="AB241" i="1"/>
  <c r="D241" i="1" s="1"/>
  <c r="AB242" i="3" s="1"/>
  <c r="D243" i="19"/>
  <c r="AB244" i="19"/>
  <c r="X245" i="21"/>
  <c r="Y245" i="21"/>
  <c r="A246" i="21"/>
  <c r="Z244" i="3"/>
  <c r="AF244" i="3"/>
  <c r="AD244" i="3"/>
  <c r="V239" i="21"/>
  <c r="B239" i="20"/>
  <c r="U91" i="4"/>
  <c r="U93" i="4"/>
  <c r="U95" i="4"/>
  <c r="U92" i="4"/>
  <c r="U82" i="4"/>
  <c r="U86" i="4" s="1"/>
  <c r="U94" i="4"/>
  <c r="G240" i="21"/>
  <c r="G240" i="20" s="1"/>
  <c r="O240" i="21"/>
  <c r="O240" i="20" s="1"/>
  <c r="C240" i="21"/>
  <c r="C240" i="20" s="1"/>
  <c r="I240" i="21"/>
  <c r="I240" i="20" s="1"/>
  <c r="H240" i="21"/>
  <c r="H240" i="20" s="1"/>
  <c r="N240" i="21"/>
  <c r="N240" i="20" s="1"/>
  <c r="S240" i="21"/>
  <c r="S240" i="20" s="1"/>
  <c r="L240" i="21"/>
  <c r="L240" i="20" s="1"/>
  <c r="K240" i="21"/>
  <c r="K240" i="20" s="1"/>
  <c r="U240" i="21"/>
  <c r="U240" i="20" s="1"/>
  <c r="D240" i="21"/>
  <c r="D240" i="20" s="1"/>
  <c r="F240" i="21"/>
  <c r="F240" i="20" s="1"/>
  <c r="J240" i="21"/>
  <c r="J240" i="20" s="1"/>
  <c r="E240" i="21"/>
  <c r="E240" i="20" s="1"/>
  <c r="Q240" i="21"/>
  <c r="Q240" i="20" s="1"/>
  <c r="M240" i="21"/>
  <c r="M240" i="20" s="1"/>
  <c r="P240" i="21"/>
  <c r="P240" i="20" s="1"/>
  <c r="T240" i="21"/>
  <c r="T240" i="20" s="1"/>
  <c r="B240" i="21"/>
  <c r="R240" i="21"/>
  <c r="R240" i="20" s="1"/>
  <c r="U12" i="4"/>
  <c r="U89" i="4" s="1"/>
  <c r="U11" i="4"/>
  <c r="U13" i="4" s="1"/>
  <c r="U17" i="4" s="1"/>
  <c r="U19" i="4" l="1"/>
  <c r="U36" i="4" s="1"/>
  <c r="W239" i="20"/>
  <c r="AC239" i="20"/>
  <c r="AA239" i="20"/>
  <c r="Y239" i="20"/>
  <c r="V240" i="21"/>
  <c r="B240" i="20"/>
  <c r="U87" i="4"/>
  <c r="AB242" i="1"/>
  <c r="D242" i="1" s="1"/>
  <c r="AB243" i="3" s="1"/>
  <c r="D244" i="19"/>
  <c r="AB245" i="19"/>
  <c r="G243" i="19"/>
  <c r="Z246" i="2"/>
  <c r="AA246" i="2"/>
  <c r="A247" i="2"/>
  <c r="Z245" i="3"/>
  <c r="AF245" i="3"/>
  <c r="AD245" i="3"/>
  <c r="U85" i="4"/>
  <c r="U88" i="4"/>
  <c r="X246" i="21"/>
  <c r="A247" i="21"/>
  <c r="Y246" i="21"/>
  <c r="M241" i="21"/>
  <c r="M241" i="20" s="1"/>
  <c r="B241" i="21"/>
  <c r="C241" i="21"/>
  <c r="C241" i="20" s="1"/>
  <c r="P241" i="21"/>
  <c r="P241" i="20" s="1"/>
  <c r="U241" i="21"/>
  <c r="U241" i="20" s="1"/>
  <c r="L241" i="21"/>
  <c r="L241" i="20" s="1"/>
  <c r="N241" i="21"/>
  <c r="N241" i="20" s="1"/>
  <c r="G241" i="21"/>
  <c r="G241" i="20" s="1"/>
  <c r="S241" i="21"/>
  <c r="S241" i="20" s="1"/>
  <c r="Q241" i="21"/>
  <c r="Q241" i="20" s="1"/>
  <c r="O241" i="21"/>
  <c r="O241" i="20" s="1"/>
  <c r="H241" i="21"/>
  <c r="H241" i="20" s="1"/>
  <c r="D241" i="21"/>
  <c r="D241" i="20" s="1"/>
  <c r="K241" i="21"/>
  <c r="K241" i="20" s="1"/>
  <c r="E241" i="21"/>
  <c r="E241" i="20" s="1"/>
  <c r="I241" i="21"/>
  <c r="I241" i="20" s="1"/>
  <c r="F241" i="21"/>
  <c r="F241" i="20" s="1"/>
  <c r="J241" i="21"/>
  <c r="J241" i="20" s="1"/>
  <c r="R241" i="21"/>
  <c r="R241" i="20" s="1"/>
  <c r="T241" i="21"/>
  <c r="T241" i="20" s="1"/>
  <c r="V241" i="21" l="1"/>
  <c r="B241" i="20"/>
  <c r="AB243" i="1"/>
  <c r="D243" i="1" s="1"/>
  <c r="AB244" i="3" s="1"/>
  <c r="D245" i="19"/>
  <c r="AB246" i="19"/>
  <c r="X247" i="21"/>
  <c r="Y247" i="21"/>
  <c r="A248" i="21"/>
  <c r="Z247" i="2"/>
  <c r="AA247" i="2"/>
  <c r="A248" i="2"/>
  <c r="G244" i="19"/>
  <c r="Z246" i="3"/>
  <c r="AF246" i="3"/>
  <c r="AD246" i="3"/>
  <c r="E242" i="21"/>
  <c r="E242" i="20" s="1"/>
  <c r="J242" i="21"/>
  <c r="J242" i="20" s="1"/>
  <c r="K242" i="21"/>
  <c r="K242" i="20" s="1"/>
  <c r="L242" i="21"/>
  <c r="L242" i="20" s="1"/>
  <c r="N242" i="21"/>
  <c r="N242" i="20" s="1"/>
  <c r="D242" i="21"/>
  <c r="D242" i="20" s="1"/>
  <c r="P242" i="21"/>
  <c r="P242" i="20" s="1"/>
  <c r="R242" i="21"/>
  <c r="R242" i="20" s="1"/>
  <c r="C242" i="21"/>
  <c r="C242" i="20" s="1"/>
  <c r="Q242" i="21"/>
  <c r="Q242" i="20" s="1"/>
  <c r="G242" i="21"/>
  <c r="G242" i="20" s="1"/>
  <c r="O242" i="21"/>
  <c r="O242" i="20" s="1"/>
  <c r="I242" i="21"/>
  <c r="I242" i="20" s="1"/>
  <c r="H242" i="21"/>
  <c r="H242" i="20" s="1"/>
  <c r="S242" i="21"/>
  <c r="S242" i="20" s="1"/>
  <c r="M242" i="21"/>
  <c r="M242" i="20" s="1"/>
  <c r="U242" i="21"/>
  <c r="U242" i="20" s="1"/>
  <c r="T242" i="21"/>
  <c r="T242" i="20" s="1"/>
  <c r="B242" i="21"/>
  <c r="F242" i="21"/>
  <c r="F242" i="20" s="1"/>
  <c r="U20" i="4"/>
  <c r="W240" i="20"/>
  <c r="AC240" i="20"/>
  <c r="AA240" i="20"/>
  <c r="Y240" i="20"/>
  <c r="AB244" i="1" l="1"/>
  <c r="D244" i="1" s="1"/>
  <c r="AB245" i="3" s="1"/>
  <c r="D246" i="19"/>
  <c r="AB247" i="19"/>
  <c r="T243" i="21"/>
  <c r="T243" i="20" s="1"/>
  <c r="M243" i="21"/>
  <c r="M243" i="20" s="1"/>
  <c r="G243" i="21"/>
  <c r="G243" i="20" s="1"/>
  <c r="F243" i="21"/>
  <c r="F243" i="20" s="1"/>
  <c r="D243" i="21"/>
  <c r="D243" i="20" s="1"/>
  <c r="U243" i="21"/>
  <c r="U243" i="20" s="1"/>
  <c r="H243" i="21"/>
  <c r="H243" i="20" s="1"/>
  <c r="L243" i="21"/>
  <c r="L243" i="20" s="1"/>
  <c r="P243" i="21"/>
  <c r="P243" i="20" s="1"/>
  <c r="R243" i="21"/>
  <c r="R243" i="20" s="1"/>
  <c r="J243" i="21"/>
  <c r="J243" i="20" s="1"/>
  <c r="K243" i="21"/>
  <c r="K243" i="20" s="1"/>
  <c r="B243" i="21"/>
  <c r="N243" i="21"/>
  <c r="N243" i="20" s="1"/>
  <c r="I243" i="21"/>
  <c r="I243" i="20" s="1"/>
  <c r="O243" i="21"/>
  <c r="O243" i="20" s="1"/>
  <c r="S243" i="21"/>
  <c r="S243" i="20" s="1"/>
  <c r="C243" i="21"/>
  <c r="C243" i="20" s="1"/>
  <c r="E243" i="21"/>
  <c r="E243" i="20" s="1"/>
  <c r="Q243" i="21"/>
  <c r="Q243" i="20" s="1"/>
  <c r="G245" i="19"/>
  <c r="V242" i="21"/>
  <c r="B242" i="20"/>
  <c r="Z248" i="2"/>
  <c r="AA248" i="2"/>
  <c r="A249" i="2"/>
  <c r="Z247" i="3"/>
  <c r="AF247" i="3"/>
  <c r="AD247" i="3"/>
  <c r="W241" i="20"/>
  <c r="AC241" i="20"/>
  <c r="AA241" i="20"/>
  <c r="Y241" i="20"/>
  <c r="X248" i="21"/>
  <c r="A249" i="21"/>
  <c r="Y248" i="21"/>
  <c r="U25" i="4"/>
  <c r="U35" i="4"/>
  <c r="U38" i="4" s="1"/>
  <c r="Z248" i="3" l="1"/>
  <c r="AF248" i="3"/>
  <c r="AD248" i="3"/>
  <c r="W242" i="20"/>
  <c r="AC242" i="20"/>
  <c r="AA242" i="20"/>
  <c r="Y242" i="20"/>
  <c r="G246" i="19"/>
  <c r="X249" i="21"/>
  <c r="Y249" i="21"/>
  <c r="E244" i="21"/>
  <c r="E244" i="20" s="1"/>
  <c r="G244" i="21"/>
  <c r="G244" i="20" s="1"/>
  <c r="C244" i="21"/>
  <c r="C244" i="20" s="1"/>
  <c r="I244" i="21"/>
  <c r="I244" i="20" s="1"/>
  <c r="T244" i="21"/>
  <c r="T244" i="20" s="1"/>
  <c r="J244" i="21"/>
  <c r="J244" i="20" s="1"/>
  <c r="L244" i="21"/>
  <c r="L244" i="20" s="1"/>
  <c r="M244" i="21"/>
  <c r="M244" i="20" s="1"/>
  <c r="O244" i="21"/>
  <c r="O244" i="20" s="1"/>
  <c r="N244" i="21"/>
  <c r="N244" i="20" s="1"/>
  <c r="S244" i="21"/>
  <c r="S244" i="20" s="1"/>
  <c r="U244" i="21"/>
  <c r="U244" i="20" s="1"/>
  <c r="D244" i="21"/>
  <c r="D244" i="20" s="1"/>
  <c r="Q244" i="21"/>
  <c r="Q244" i="20" s="1"/>
  <c r="R244" i="21"/>
  <c r="R244" i="20" s="1"/>
  <c r="P244" i="21"/>
  <c r="P244" i="20" s="1"/>
  <c r="K244" i="21"/>
  <c r="K244" i="20" s="1"/>
  <c r="B244" i="21"/>
  <c r="F244" i="21"/>
  <c r="F244" i="20" s="1"/>
  <c r="H244" i="21"/>
  <c r="H244" i="20" s="1"/>
  <c r="AB245" i="1"/>
  <c r="D245" i="1" s="1"/>
  <c r="AB246" i="3" s="1"/>
  <c r="D247" i="19"/>
  <c r="AB248" i="19"/>
  <c r="V243" i="21"/>
  <c r="B243" i="20"/>
  <c r="Z249" i="2"/>
  <c r="AA249" i="2"/>
  <c r="G247" i="19" l="1"/>
  <c r="B245" i="21"/>
  <c r="N245" i="21"/>
  <c r="N245" i="20" s="1"/>
  <c r="L245" i="21"/>
  <c r="L245" i="20" s="1"/>
  <c r="R245" i="21"/>
  <c r="R245" i="20" s="1"/>
  <c r="H245" i="21"/>
  <c r="H245" i="20" s="1"/>
  <c r="J245" i="21"/>
  <c r="J245" i="20" s="1"/>
  <c r="D245" i="21"/>
  <c r="D245" i="20" s="1"/>
  <c r="G245" i="21"/>
  <c r="G245" i="20" s="1"/>
  <c r="K245" i="21"/>
  <c r="K245" i="20" s="1"/>
  <c r="F245" i="21"/>
  <c r="F245" i="20" s="1"/>
  <c r="S245" i="21"/>
  <c r="S245" i="20" s="1"/>
  <c r="I245" i="21"/>
  <c r="I245" i="20" s="1"/>
  <c r="P245" i="21"/>
  <c r="P245" i="20" s="1"/>
  <c r="E245" i="21"/>
  <c r="E245" i="20" s="1"/>
  <c r="M245" i="21"/>
  <c r="M245" i="20" s="1"/>
  <c r="U245" i="21"/>
  <c r="U245" i="20" s="1"/>
  <c r="Q245" i="21"/>
  <c r="Q245" i="20" s="1"/>
  <c r="O245" i="21"/>
  <c r="O245" i="20" s="1"/>
  <c r="T245" i="21"/>
  <c r="T245" i="20" s="1"/>
  <c r="C245" i="21"/>
  <c r="C245" i="20" s="1"/>
  <c r="Z249" i="3"/>
  <c r="AA249" i="3" s="1"/>
  <c r="AF249" i="3"/>
  <c r="AG249" i="3" s="1"/>
  <c r="AD249" i="3"/>
  <c r="AE249" i="3" s="1"/>
  <c r="V244" i="21"/>
  <c r="B244" i="20"/>
  <c r="W243" i="20"/>
  <c r="AC243" i="20"/>
  <c r="AA243" i="20"/>
  <c r="Y243" i="20"/>
  <c r="AB246" i="1"/>
  <c r="D246" i="1" s="1"/>
  <c r="AB247" i="3" s="1"/>
  <c r="D248" i="19"/>
  <c r="AB249" i="19"/>
  <c r="AB247" i="1" l="1"/>
  <c r="D247" i="1" s="1"/>
  <c r="AB248" i="3" s="1"/>
  <c r="AB250" i="19"/>
  <c r="D249" i="19"/>
  <c r="V245" i="21"/>
  <c r="B245" i="20"/>
  <c r="G248" i="19"/>
  <c r="W244" i="20"/>
  <c r="AC244" i="20"/>
  <c r="AA244" i="20"/>
  <c r="Y244" i="20"/>
  <c r="U246" i="21"/>
  <c r="U246" i="20" s="1"/>
  <c r="K246" i="21"/>
  <c r="K246" i="20" s="1"/>
  <c r="J246" i="21"/>
  <c r="J246" i="20" s="1"/>
  <c r="P246" i="21"/>
  <c r="P246" i="20" s="1"/>
  <c r="D246" i="21"/>
  <c r="D246" i="20" s="1"/>
  <c r="H246" i="21"/>
  <c r="H246" i="20" s="1"/>
  <c r="L246" i="21"/>
  <c r="L246" i="20" s="1"/>
  <c r="E246" i="21"/>
  <c r="E246" i="20" s="1"/>
  <c r="R246" i="21"/>
  <c r="R246" i="20" s="1"/>
  <c r="B246" i="21"/>
  <c r="T246" i="21"/>
  <c r="T246" i="20" s="1"/>
  <c r="M246" i="21"/>
  <c r="M246" i="20" s="1"/>
  <c r="C246" i="21"/>
  <c r="C246" i="20" s="1"/>
  <c r="F246" i="21"/>
  <c r="F246" i="20" s="1"/>
  <c r="N246" i="21"/>
  <c r="N246" i="20" s="1"/>
  <c r="G246" i="21"/>
  <c r="G246" i="20" s="1"/>
  <c r="I246" i="21"/>
  <c r="I246" i="20" s="1"/>
  <c r="O246" i="21"/>
  <c r="O246" i="20" s="1"/>
  <c r="S246" i="21"/>
  <c r="S246" i="20" s="1"/>
  <c r="Q246" i="21"/>
  <c r="Q246" i="20" s="1"/>
  <c r="V246" i="21" l="1"/>
  <c r="B246" i="20"/>
  <c r="W245" i="20"/>
  <c r="AC245" i="20"/>
  <c r="AA245" i="20"/>
  <c r="Y245" i="20"/>
  <c r="G249" i="19"/>
  <c r="AB248" i="1"/>
  <c r="D248" i="1" s="1"/>
  <c r="AB249" i="3" s="1"/>
  <c r="AC249" i="3" s="1"/>
  <c r="D250" i="19"/>
  <c r="N247" i="21"/>
  <c r="N247" i="20" s="1"/>
  <c r="C247" i="21"/>
  <c r="C247" i="20" s="1"/>
  <c r="E247" i="21"/>
  <c r="E247" i="20" s="1"/>
  <c r="M247" i="21"/>
  <c r="M247" i="20" s="1"/>
  <c r="I247" i="21"/>
  <c r="I247" i="20" s="1"/>
  <c r="G247" i="21"/>
  <c r="G247" i="20" s="1"/>
  <c r="Q247" i="21"/>
  <c r="Q247" i="20" s="1"/>
  <c r="K247" i="21"/>
  <c r="K247" i="20" s="1"/>
  <c r="O247" i="21"/>
  <c r="O247" i="20" s="1"/>
  <c r="F247" i="21"/>
  <c r="F247" i="20" s="1"/>
  <c r="P247" i="21"/>
  <c r="P247" i="20" s="1"/>
  <c r="T247" i="21"/>
  <c r="T247" i="20" s="1"/>
  <c r="B247" i="21"/>
  <c r="D247" i="21"/>
  <c r="D247" i="20" s="1"/>
  <c r="J247" i="21"/>
  <c r="J247" i="20" s="1"/>
  <c r="L247" i="21"/>
  <c r="L247" i="20" s="1"/>
  <c r="H247" i="21"/>
  <c r="H247" i="20" s="1"/>
  <c r="U247" i="21"/>
  <c r="U247" i="20" s="1"/>
  <c r="R247" i="21"/>
  <c r="R247" i="20" s="1"/>
  <c r="S247" i="21"/>
  <c r="S247" i="20" s="1"/>
  <c r="V247" i="21" l="1"/>
  <c r="B247" i="20"/>
  <c r="G250" i="19"/>
  <c r="G248" i="21"/>
  <c r="G248" i="20" s="1"/>
  <c r="N248" i="21"/>
  <c r="N248" i="20" s="1"/>
  <c r="S248" i="21"/>
  <c r="S248" i="20" s="1"/>
  <c r="O248" i="21"/>
  <c r="O248" i="20" s="1"/>
  <c r="K248" i="21"/>
  <c r="K248" i="20" s="1"/>
  <c r="R248" i="21"/>
  <c r="R248" i="20" s="1"/>
  <c r="U248" i="21"/>
  <c r="U248" i="20" s="1"/>
  <c r="D248" i="21"/>
  <c r="D248" i="20" s="1"/>
  <c r="F248" i="21"/>
  <c r="F248" i="20" s="1"/>
  <c r="H248" i="21"/>
  <c r="H248" i="20" s="1"/>
  <c r="C248" i="21"/>
  <c r="C248" i="20" s="1"/>
  <c r="Q248" i="21"/>
  <c r="Q248" i="20" s="1"/>
  <c r="T248" i="21"/>
  <c r="T248" i="20" s="1"/>
  <c r="B248" i="21"/>
  <c r="J248" i="21"/>
  <c r="J248" i="20" s="1"/>
  <c r="E248" i="21"/>
  <c r="E248" i="20" s="1"/>
  <c r="P248" i="21"/>
  <c r="P248" i="20" s="1"/>
  <c r="I248" i="21"/>
  <c r="I248" i="20" s="1"/>
  <c r="L248" i="21"/>
  <c r="L248" i="20" s="1"/>
  <c r="M248" i="21"/>
  <c r="M248" i="20" s="1"/>
  <c r="W246" i="20"/>
  <c r="AC246" i="20"/>
  <c r="AA246" i="20"/>
  <c r="Y246" i="20"/>
  <c r="M249" i="21" l="1"/>
  <c r="M249" i="20" s="1"/>
  <c r="B249" i="21"/>
  <c r="J249" i="21"/>
  <c r="J249" i="20" s="1"/>
  <c r="U249" i="21"/>
  <c r="U249" i="20" s="1"/>
  <c r="K249" i="21"/>
  <c r="K249" i="20" s="1"/>
  <c r="L249" i="21"/>
  <c r="L249" i="20" s="1"/>
  <c r="F249" i="21"/>
  <c r="F249" i="20" s="1"/>
  <c r="S249" i="21"/>
  <c r="S249" i="20" s="1"/>
  <c r="G249" i="21"/>
  <c r="G249" i="20" s="1"/>
  <c r="Q249" i="21"/>
  <c r="Q249" i="20" s="1"/>
  <c r="I249" i="21"/>
  <c r="I249" i="20" s="1"/>
  <c r="C249" i="21"/>
  <c r="C249" i="20" s="1"/>
  <c r="E249" i="21"/>
  <c r="E249" i="20" s="1"/>
  <c r="D249" i="21"/>
  <c r="D249" i="20" s="1"/>
  <c r="O249" i="21"/>
  <c r="O249" i="20" s="1"/>
  <c r="N249" i="21"/>
  <c r="N249" i="20" s="1"/>
  <c r="P249" i="21"/>
  <c r="P249" i="20" s="1"/>
  <c r="R249" i="21"/>
  <c r="R249" i="20" s="1"/>
  <c r="T249" i="21"/>
  <c r="T249" i="20" s="1"/>
  <c r="H249" i="21"/>
  <c r="H249" i="20" s="1"/>
  <c r="V248" i="21"/>
  <c r="B248" i="20"/>
  <c r="W247" i="20"/>
  <c r="AC247" i="20"/>
  <c r="AA247" i="20"/>
  <c r="Y247" i="20"/>
  <c r="W248" i="20" l="1"/>
  <c r="AC248" i="20"/>
  <c r="AA248" i="20"/>
  <c r="Y248" i="20"/>
  <c r="V249" i="21"/>
  <c r="B249" i="20"/>
  <c r="V249" i="20"/>
  <c r="V8" i="4" s="1"/>
  <c r="W249" i="20" l="1"/>
  <c r="X249" i="20" s="1"/>
  <c r="V9" i="4" s="1"/>
  <c r="AC249" i="20"/>
  <c r="AD249" i="20" s="1"/>
  <c r="AA249" i="20"/>
  <c r="AB249" i="20" s="1"/>
  <c r="W249" i="21"/>
  <c r="V83" i="4" s="1"/>
  <c r="Y249" i="20"/>
  <c r="Z249" i="20" s="1"/>
  <c r="V10" i="4" s="1"/>
  <c r="V13" i="4" l="1"/>
  <c r="V17" i="4" s="1"/>
  <c r="V12" i="4"/>
  <c r="V11" i="4"/>
  <c r="V95" i="4"/>
  <c r="V89" i="4"/>
  <c r="V88" i="4"/>
  <c r="V91" i="4"/>
  <c r="V87" i="4"/>
  <c r="V92" i="4"/>
  <c r="V94" i="4"/>
  <c r="V82" i="4"/>
  <c r="V85" i="4" s="1"/>
  <c r="V86" i="4"/>
  <c r="V93" i="4"/>
  <c r="V20" i="4" l="1"/>
  <c r="V19" i="4"/>
  <c r="V36" i="4" s="1"/>
  <c r="V25" i="4" l="1"/>
  <c r="V35" i="4"/>
  <c r="V38" i="4" s="1"/>
  <c r="C28" i="4" l="1"/>
  <c r="E2" i="7" s="1"/>
  <c r="W25" i="4"/>
  <c r="C29" i="4" l="1"/>
  <c r="F2" i="7" s="1"/>
  <c r="C30" i="4"/>
  <c r="C47" i="4" l="1"/>
  <c r="G2" i="7"/>
  <c r="C68" i="4" l="1"/>
  <c r="C49" i="4"/>
  <c r="D52" i="4"/>
  <c r="G30" i="4" l="1"/>
  <c r="D53" i="4"/>
  <c r="D56" i="4"/>
  <c r="E52" i="4" s="1"/>
  <c r="N54" i="4"/>
  <c r="I54" i="4"/>
  <c r="G54" i="4"/>
  <c r="R54" i="4"/>
  <c r="P54" i="4"/>
  <c r="M54" i="4"/>
  <c r="O54" i="4"/>
  <c r="E54" i="4"/>
  <c r="H54" i="4"/>
  <c r="L54" i="4"/>
  <c r="J54" i="4"/>
  <c r="Q54" i="4"/>
  <c r="K54" i="4"/>
  <c r="D54" i="4"/>
  <c r="F54" i="4"/>
  <c r="E53" i="4" l="1"/>
  <c r="E56" i="4"/>
  <c r="F52" i="4" s="1"/>
  <c r="D40" i="4"/>
  <c r="D41" i="4" s="1"/>
  <c r="D55" i="4"/>
  <c r="D60" i="4" s="1"/>
  <c r="D63" i="4" s="1"/>
  <c r="D58" i="4"/>
  <c r="E40" i="4" l="1"/>
  <c r="E41" i="4" s="1"/>
  <c r="E58" i="4"/>
  <c r="E55" i="4"/>
  <c r="E60" i="4" s="1"/>
  <c r="E63" i="4" s="1"/>
  <c r="D42" i="4"/>
  <c r="D43" i="4" s="1"/>
  <c r="F53" i="4"/>
  <c r="F56" i="4"/>
  <c r="G52" i="4" s="1"/>
  <c r="F55" i="4" l="1"/>
  <c r="F40" i="4"/>
  <c r="F41" i="4" s="1"/>
  <c r="F58" i="4"/>
  <c r="G53" i="4"/>
  <c r="G56" i="4"/>
  <c r="H52" i="4" s="1"/>
  <c r="E42" i="4"/>
  <c r="E43" i="4" s="1"/>
  <c r="H56" i="4" l="1"/>
  <c r="I52" i="4" s="1"/>
  <c r="H53" i="4"/>
  <c r="F42" i="4"/>
  <c r="F43" i="4" s="1"/>
  <c r="F60" i="4"/>
  <c r="F63" i="4" s="1"/>
  <c r="G55" i="4"/>
  <c r="G58" i="4"/>
  <c r="G40" i="4"/>
  <c r="G41" i="4" s="1"/>
  <c r="G43" i="4" l="1"/>
  <c r="G42" i="4"/>
  <c r="G60" i="4"/>
  <c r="G63" i="4" s="1"/>
  <c r="H40" i="4"/>
  <c r="H41" i="4" s="1"/>
  <c r="H55" i="4"/>
  <c r="H60" i="4" s="1"/>
  <c r="H63" i="4" s="1"/>
  <c r="C65" i="4" s="1"/>
  <c r="G27" i="4" s="1"/>
  <c r="H58" i="4"/>
  <c r="I56" i="4"/>
  <c r="J52" i="4" s="1"/>
  <c r="I53" i="4"/>
  <c r="J56" i="4" l="1"/>
  <c r="K52" i="4" s="1"/>
  <c r="J53" i="4"/>
  <c r="H42" i="4"/>
  <c r="H43" i="4" s="1"/>
  <c r="I40" i="4"/>
  <c r="I41" i="4" s="1"/>
  <c r="I58" i="4"/>
  <c r="I55" i="4"/>
  <c r="I60" i="4" s="1"/>
  <c r="I63" i="4" s="1"/>
  <c r="K56" i="4" l="1"/>
  <c r="L52" i="4" s="1"/>
  <c r="K53" i="4"/>
  <c r="I42" i="4"/>
  <c r="I43" i="4"/>
  <c r="J55" i="4"/>
  <c r="J40" i="4"/>
  <c r="J41" i="4" s="1"/>
  <c r="J58" i="4"/>
  <c r="L53" i="4" l="1"/>
  <c r="L56" i="4"/>
  <c r="M52" i="4" s="1"/>
  <c r="J42" i="4"/>
  <c r="J43" i="4"/>
  <c r="J60" i="4"/>
  <c r="J63" i="4" s="1"/>
  <c r="K55" i="4"/>
  <c r="K58" i="4"/>
  <c r="K40" i="4"/>
  <c r="K41" i="4" s="1"/>
  <c r="L40" i="4" l="1"/>
  <c r="L41" i="4" s="1"/>
  <c r="L55" i="4"/>
  <c r="L58" i="4"/>
  <c r="K60" i="4"/>
  <c r="K63" i="4" s="1"/>
  <c r="K43" i="4"/>
  <c r="K42" i="4"/>
  <c r="M53" i="4"/>
  <c r="M56" i="4"/>
  <c r="N52" i="4" s="1"/>
  <c r="L43" i="4" l="1"/>
  <c r="L42" i="4"/>
  <c r="M40" i="4"/>
  <c r="M41" i="4" s="1"/>
  <c r="M55" i="4"/>
  <c r="M58" i="4"/>
  <c r="N53" i="4"/>
  <c r="N56" i="4"/>
  <c r="O52" i="4" s="1"/>
  <c r="L60" i="4"/>
  <c r="L63" i="4" s="1"/>
  <c r="O53" i="4" l="1"/>
  <c r="O56" i="4"/>
  <c r="P52" i="4" s="1"/>
  <c r="N40" i="4"/>
  <c r="N41" i="4" s="1"/>
  <c r="N58" i="4"/>
  <c r="N55" i="4"/>
  <c r="N60" i="4" s="1"/>
  <c r="N63" i="4" s="1"/>
  <c r="M60" i="4"/>
  <c r="M63" i="4" s="1"/>
  <c r="M42" i="4"/>
  <c r="M43" i="4"/>
  <c r="O55" i="4" l="1"/>
  <c r="O60" i="4" s="1"/>
  <c r="O63" i="4" s="1"/>
  <c r="O58" i="4"/>
  <c r="O40" i="4"/>
  <c r="O41" i="4" s="1"/>
  <c r="N42" i="4"/>
  <c r="N43" i="4"/>
  <c r="P56" i="4"/>
  <c r="Q52" i="4" s="1"/>
  <c r="P53" i="4"/>
  <c r="Q53" i="4" l="1"/>
  <c r="Q56" i="4"/>
  <c r="R52" i="4" s="1"/>
  <c r="P40" i="4"/>
  <c r="P41" i="4" s="1"/>
  <c r="P55" i="4"/>
  <c r="P58" i="4"/>
  <c r="O42" i="4"/>
  <c r="O43" i="4" s="1"/>
  <c r="P60" i="4" l="1"/>
  <c r="P63" i="4" s="1"/>
  <c r="Q40" i="4"/>
  <c r="Q41" i="4" s="1"/>
  <c r="Q58" i="4"/>
  <c r="Q55" i="4"/>
  <c r="Q60" i="4" s="1"/>
  <c r="Q63" i="4" s="1"/>
  <c r="P43" i="4"/>
  <c r="P42" i="4"/>
  <c r="R56" i="4"/>
  <c r="S52" i="4" s="1"/>
  <c r="R53" i="4"/>
  <c r="S56" i="4" l="1"/>
  <c r="T52" i="4" s="1"/>
  <c r="S53" i="4"/>
  <c r="R55" i="4"/>
  <c r="R40" i="4"/>
  <c r="R41" i="4" s="1"/>
  <c r="R58" i="4"/>
  <c r="Q42" i="4"/>
  <c r="Q43" i="4"/>
  <c r="T53" i="4" l="1"/>
  <c r="T56" i="4"/>
  <c r="U52" i="4" s="1"/>
  <c r="R42" i="4"/>
  <c r="R43" i="4"/>
  <c r="R60" i="4"/>
  <c r="R63" i="4" s="1"/>
  <c r="S55" i="4"/>
  <c r="S58" i="4"/>
  <c r="S40" i="4"/>
  <c r="S41" i="4" s="1"/>
  <c r="S43" i="4" l="1"/>
  <c r="S42" i="4"/>
  <c r="S60" i="4"/>
  <c r="S63" i="4" s="1"/>
  <c r="T40" i="4"/>
  <c r="T41" i="4" s="1"/>
  <c r="T55" i="4"/>
  <c r="T60" i="4" s="1"/>
  <c r="T63" i="4" s="1"/>
  <c r="T58" i="4"/>
  <c r="U56" i="4"/>
  <c r="V52" i="4" s="1"/>
  <c r="U53" i="4"/>
  <c r="V53" i="4" l="1"/>
  <c r="V56" i="4"/>
  <c r="W52" i="4" s="1"/>
  <c r="U40" i="4"/>
  <c r="U41" i="4" s="1"/>
  <c r="U55" i="4"/>
  <c r="U58" i="4"/>
  <c r="T42" i="4"/>
  <c r="T43" i="4" s="1"/>
  <c r="V40" i="4" l="1"/>
  <c r="V41" i="4" s="1"/>
  <c r="V58" i="4"/>
  <c r="V55" i="4"/>
  <c r="V60" i="4" s="1"/>
  <c r="V63" i="4" s="1"/>
  <c r="C66" i="4" s="1"/>
  <c r="G28" i="4" s="1"/>
  <c r="U60" i="4"/>
  <c r="U63" i="4" s="1"/>
  <c r="U43" i="4"/>
  <c r="U42" i="4"/>
  <c r="W53" i="4"/>
  <c r="W56" i="4"/>
  <c r="W55" i="4" l="1"/>
  <c r="W60" i="4" s="1"/>
  <c r="W63" i="4" s="1"/>
  <c r="W58" i="4"/>
  <c r="V42" i="4"/>
  <c r="V43" i="4"/>
  <c r="C67" i="4" l="1"/>
  <c r="G29" i="4" s="1"/>
  <c r="C69" i="4"/>
  <c r="G31" i="4" s="1"/>
</calcChain>
</file>

<file path=xl/sharedStrings.xml><?xml version="1.0" encoding="utf-8"?>
<sst xmlns="http://schemas.openxmlformats.org/spreadsheetml/2006/main" count="3786" uniqueCount="307">
  <si>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</si>
  <si>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</si>
  <si>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</si>
  <si>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</si>
  <si>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</si>
  <si>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</si>
  <si>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</si>
  <si>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</si>
  <si>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</si>
  <si>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</si>
  <si>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Bucket 11</t>
  </si>
  <si>
    <t>Bucket 12</t>
  </si>
  <si>
    <t>Bucket 13</t>
  </si>
  <si>
    <t>Bucket 14</t>
  </si>
  <si>
    <t>Bucket 15</t>
  </si>
  <si>
    <t>Bucket 16</t>
  </si>
  <si>
    <t>Bucket 17</t>
  </si>
  <si>
    <t>Bucket 18</t>
  </si>
  <si>
    <t>Bucket 19</t>
  </si>
  <si>
    <t>Bucket 20</t>
  </si>
  <si>
    <t>Fuel</t>
  </si>
  <si>
    <t>VOM</t>
  </si>
  <si>
    <t>SO2</t>
  </si>
  <si>
    <t>NOx</t>
  </si>
  <si>
    <t>Dispatch</t>
  </si>
  <si>
    <t>Cost</t>
  </si>
  <si>
    <t>Capacity</t>
  </si>
  <si>
    <t>Revenue</t>
  </si>
  <si>
    <t>NPV</t>
  </si>
  <si>
    <t>Unit</t>
  </si>
  <si>
    <t>ID</t>
  </si>
  <si>
    <t>Variable O&amp;M</t>
  </si>
  <si>
    <t>SO2 Costs</t>
  </si>
  <si>
    <t>NOx Costs</t>
  </si>
  <si>
    <t>Fixed O&amp;M</t>
  </si>
  <si>
    <t>Property Tax</t>
  </si>
  <si>
    <t>A&amp;G</t>
  </si>
  <si>
    <t>Depreciation</t>
  </si>
  <si>
    <t>Prod. Margin</t>
  </si>
  <si>
    <t>Cap Ads</t>
  </si>
  <si>
    <t>Env Cap Ads</t>
  </si>
  <si>
    <t>Variable</t>
  </si>
  <si>
    <t>O&amp;M</t>
  </si>
  <si>
    <t>Heat</t>
  </si>
  <si>
    <t>Rate</t>
  </si>
  <si>
    <t>Availability</t>
  </si>
  <si>
    <t>Annual</t>
  </si>
  <si>
    <t>Price</t>
  </si>
  <si>
    <t>Var. O&amp;M Escalation</t>
  </si>
  <si>
    <t>Fixed O&amp;M Schedule</t>
  </si>
  <si>
    <t>A&amp;G Schedule</t>
  </si>
  <si>
    <t>Property Tax Schedule</t>
  </si>
  <si>
    <t>Fixed</t>
  </si>
  <si>
    <t>Corporate Tax Rate</t>
  </si>
  <si>
    <t>Environmental Capital</t>
  </si>
  <si>
    <t>Conesville 4</t>
  </si>
  <si>
    <t>East Bend 2</t>
  </si>
  <si>
    <t>JM Stuart 1</t>
  </si>
  <si>
    <t>JM Stuart 2</t>
  </si>
  <si>
    <t>JM Stuart 3</t>
  </si>
  <si>
    <t>JM Stuart 4</t>
  </si>
  <si>
    <t>Killen 2</t>
  </si>
  <si>
    <t>Miami Fort 5</t>
  </si>
  <si>
    <t>Miami Fort 6</t>
  </si>
  <si>
    <t>Miami Fort 7</t>
  </si>
  <si>
    <t>Miami Fort 8</t>
  </si>
  <si>
    <t>WC Beckjord 1</t>
  </si>
  <si>
    <t>WC Beckjord 2</t>
  </si>
  <si>
    <t>WC Beckjord 4</t>
  </si>
  <si>
    <t>WC Beckjord 5</t>
  </si>
  <si>
    <t>WC Beckjord 3</t>
  </si>
  <si>
    <t>WC Beckjord 6</t>
  </si>
  <si>
    <t>WH Zimmer 1</t>
  </si>
  <si>
    <t>Dicks Creek 1</t>
  </si>
  <si>
    <t>Dicks Creek 3</t>
  </si>
  <si>
    <t>Dicks Creek 4&amp;5</t>
  </si>
  <si>
    <t>Beckjord CT1</t>
  </si>
  <si>
    <t>Beckjord CT2</t>
  </si>
  <si>
    <t>Beckjord CT3</t>
  </si>
  <si>
    <t>Beckjord CT4</t>
  </si>
  <si>
    <t>Woodsdale 1</t>
  </si>
  <si>
    <t>Woodsdale 2</t>
  </si>
  <si>
    <t>Woodsdale 3</t>
  </si>
  <si>
    <t>Woodsdale 4</t>
  </si>
  <si>
    <t>Woodsdale 5</t>
  </si>
  <si>
    <t>Woodsdale 6</t>
  </si>
  <si>
    <t>Miami Fort 3-6</t>
  </si>
  <si>
    <t>Type</t>
  </si>
  <si>
    <t>Unit(s)</t>
  </si>
  <si>
    <t>Value</t>
  </si>
  <si>
    <t>$/Kw</t>
  </si>
  <si>
    <t>Cap. Factor</t>
  </si>
  <si>
    <t>Var. O&amp;M</t>
  </si>
  <si>
    <t>Vaiable Costs ($/Mwh)</t>
  </si>
  <si>
    <t>Fixed Costs ($/Kw)</t>
  </si>
  <si>
    <t>PTax</t>
  </si>
  <si>
    <t>Env. Cap Ads</t>
  </si>
  <si>
    <t>Gen. (Mwh)</t>
  </si>
  <si>
    <t>Diagnostics</t>
  </si>
  <si>
    <t>Disc. Rt.</t>
  </si>
  <si>
    <t>Life</t>
  </si>
  <si>
    <t>Coal</t>
  </si>
  <si>
    <t>Oil</t>
  </si>
  <si>
    <t>Gas</t>
  </si>
  <si>
    <t>Seas = 1</t>
  </si>
  <si>
    <t>Ann = 2</t>
  </si>
  <si>
    <t>(Terminal)</t>
  </si>
  <si>
    <t>SO2 Rate</t>
  </si>
  <si>
    <t>NOx Rate</t>
  </si>
  <si>
    <t>Cinergy Unit Data</t>
  </si>
  <si>
    <t>Discount Rate</t>
  </si>
  <si>
    <t>Seas. Flag</t>
  </si>
  <si>
    <t>General 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</si>
  <si>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</si>
  <si>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</si>
  <si>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</si>
  <si>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</si>
  <si>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</si>
  <si>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</si>
  <si>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</si>
  <si>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</si>
  <si>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</si>
  <si>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</si>
  <si>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</si>
  <si>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</si>
  <si>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Seasonal Adjustment</t>
  </si>
  <si>
    <t>Diagnostic Sheet</t>
  </si>
  <si>
    <t>Pull Down Menu to Go To</t>
  </si>
  <si>
    <t>The Desired Unit(s)</t>
  </si>
  <si>
    <t>Generation Data</t>
  </si>
  <si>
    <t>Assumptions Sheet</t>
  </si>
  <si>
    <t>EA &amp; Fuel Pricing Assumptions</t>
  </si>
  <si>
    <t>Valuation Summary</t>
  </si>
  <si>
    <t>EPA Allowances</t>
  </si>
  <si>
    <t>Cinergy Total</t>
  </si>
  <si>
    <t>Total</t>
  </si>
  <si>
    <t>Fixed O&amp;M Escalation</t>
  </si>
  <si>
    <t>NPV (TV)</t>
  </si>
  <si>
    <t xml:space="preserve">Income Statement &amp; Diagnostic Worksheet </t>
  </si>
  <si>
    <t>Price Duration Curves</t>
  </si>
  <si>
    <t>Summer</t>
  </si>
  <si>
    <t>Winter</t>
  </si>
  <si>
    <t>Spr/Fall</t>
  </si>
  <si>
    <t>Availabilty</t>
  </si>
  <si>
    <t>Cap Ex</t>
  </si>
  <si>
    <t>Tax Depr. On Cap Ex</t>
  </si>
  <si>
    <t>Base Tax Dep.</t>
  </si>
  <si>
    <t>20 yr MACRS</t>
  </si>
  <si>
    <t>Env Cap Ex</t>
  </si>
  <si>
    <t>Acc. Depr.</t>
  </si>
  <si>
    <t>Tax Depr. On Env Cap Ex</t>
  </si>
  <si>
    <t>Cap Ex Depreciation</t>
  </si>
  <si>
    <t>Env Cap Ex Depreciation</t>
  </si>
  <si>
    <t>Normal Capital Expendtitures</t>
  </si>
  <si>
    <t>TV</t>
  </si>
  <si>
    <t>Deterministic Asset Valuation Model</t>
  </si>
  <si>
    <t>Environmental VOM</t>
  </si>
  <si>
    <t>Environmental FOM</t>
  </si>
  <si>
    <t>Reg.</t>
  </si>
  <si>
    <t>Env.</t>
  </si>
  <si>
    <t>Unit &gt;&gt;</t>
  </si>
  <si>
    <t>Environmental Data</t>
  </si>
  <si>
    <t>Duke</t>
  </si>
  <si>
    <t>Baseload</t>
  </si>
  <si>
    <t>Plant Type</t>
  </si>
  <si>
    <t>BL</t>
  </si>
  <si>
    <t>Plant</t>
  </si>
  <si>
    <t>Peak</t>
  </si>
  <si>
    <t>PPA Price</t>
  </si>
  <si>
    <t>(2000-2005)</t>
  </si>
  <si>
    <t>NPV ('00-'05)</t>
  </si>
  <si>
    <t>Monthly</t>
  </si>
  <si>
    <t xml:space="preserve">Yearly </t>
  </si>
  <si>
    <t>(2006-2019)</t>
  </si>
  <si>
    <t>PPA Value</t>
  </si>
  <si>
    <t>BaseLoad Total</t>
  </si>
  <si>
    <t>Peaker Total</t>
  </si>
  <si>
    <t>PPA Run %</t>
  </si>
  <si>
    <t>2nd-call Run %</t>
  </si>
  <si>
    <t>Year</t>
  </si>
  <si>
    <t>NPV ('06-'19)</t>
  </si>
  <si>
    <t>VMC</t>
  </si>
  <si>
    <t>All</t>
  </si>
  <si>
    <t>Net Margin</t>
  </si>
  <si>
    <t>Monthly Total</t>
  </si>
  <si>
    <t xml:space="preserve">Second Call </t>
  </si>
  <si>
    <t>First Call</t>
  </si>
  <si>
    <t>Expected Cap</t>
  </si>
  <si>
    <t>Spring</t>
  </si>
  <si>
    <t>Fall</t>
  </si>
  <si>
    <t>Leverage Level</t>
  </si>
  <si>
    <t>FMV of Assets/Borrowing</t>
  </si>
  <si>
    <t>Princ PMTS</t>
  </si>
  <si>
    <t>Interest Rate</t>
  </si>
  <si>
    <t>Beginning Balance</t>
  </si>
  <si>
    <t>Interest Payment</t>
  </si>
  <si>
    <t>Principal Payments</t>
  </si>
  <si>
    <t>Total Payments</t>
  </si>
  <si>
    <t>Ending Balance</t>
  </si>
  <si>
    <t>Tax Benefit of Interest</t>
  </si>
  <si>
    <t>Total Debt Payments (after-tax)</t>
  </si>
  <si>
    <t>Amortization Period Years</t>
  </si>
  <si>
    <t>Cash Flows Modified for Leverage</t>
  </si>
  <si>
    <t xml:space="preserve">Plus Leverage </t>
  </si>
  <si>
    <t>Interest Rate on Debt</t>
  </si>
  <si>
    <t>Leveraged Cash Flows</t>
  </si>
  <si>
    <t>Base Unit Tax Depreciation Schedule</t>
  </si>
  <si>
    <t>Base Unit Book Depreciation Schedule</t>
  </si>
  <si>
    <t>Capital Addition Book Life (Years)</t>
  </si>
  <si>
    <t>Cap Ex Book Depreciation</t>
  </si>
  <si>
    <t>Years</t>
  </si>
  <si>
    <t>Env Cap Ex Book Depreciation</t>
  </si>
  <si>
    <t>Environmental CapEX Book Depr</t>
  </si>
  <si>
    <t>Capacity  (Mw)</t>
  </si>
  <si>
    <t>Cap.</t>
  </si>
  <si>
    <t>Avg</t>
  </si>
  <si>
    <t>Average</t>
  </si>
  <si>
    <t>Total Tax Depreciation</t>
  </si>
  <si>
    <t>Unlevered</t>
  </si>
  <si>
    <t>Levered</t>
  </si>
  <si>
    <t>Operating Income</t>
  </si>
  <si>
    <t>Total Tax</t>
  </si>
  <si>
    <t>Net Income Calculation</t>
  </si>
  <si>
    <t>Net Cash Income Per Above</t>
  </si>
  <si>
    <t>Add Back:</t>
  </si>
  <si>
    <t>Income Taxes (Per Cash Flow)</t>
  </si>
  <si>
    <t>Tax Depreciation (Per Cash Flow)</t>
  </si>
  <si>
    <t>EBITDA</t>
  </si>
  <si>
    <t>Less:</t>
  </si>
  <si>
    <t>Book Depreciation</t>
  </si>
  <si>
    <t>Interest Expense</t>
  </si>
  <si>
    <t>Earnings Before Income Taxes</t>
  </si>
  <si>
    <t>Net Income - GAAP Basis</t>
  </si>
  <si>
    <t>Free Cash Flow</t>
  </si>
  <si>
    <t>Total Book Depr</t>
  </si>
  <si>
    <t>Book Depr. On Env Cap Ex</t>
  </si>
  <si>
    <t>Book Depr. On Cap Ex</t>
  </si>
  <si>
    <t>Income Taxes</t>
  </si>
  <si>
    <t>ORIGINAL</t>
  </si>
  <si>
    <t>ACCUMULATED</t>
  </si>
  <si>
    <t>NET</t>
  </si>
  <si>
    <t>ANNUAL</t>
  </si>
  <si>
    <t>COSTS</t>
  </si>
  <si>
    <t>PROVISION/AMORTIZATION  (1)</t>
  </si>
  <si>
    <t>PLANT</t>
  </si>
  <si>
    <t>BECKJORD 1-5</t>
  </si>
  <si>
    <t>BECKJORD 6</t>
  </si>
  <si>
    <t>BECKJORD GT</t>
  </si>
  <si>
    <t>BECKJORD GENERAL</t>
  </si>
  <si>
    <t>BECKJORD INTANGIBLE</t>
  </si>
  <si>
    <t>TOTAL BECKJORD</t>
  </si>
  <si>
    <t>MIAMI FORT 5-6</t>
  </si>
  <si>
    <t>MIAMI FORT 7</t>
  </si>
  <si>
    <t>MIAMI FORT 8</t>
  </si>
  <si>
    <t>MIAMI FORT GT</t>
  </si>
  <si>
    <t>MIAMI FORT GENERAL 5-6</t>
  </si>
  <si>
    <t>MIAMI FORT GENERAL 7</t>
  </si>
  <si>
    <t>MIAMI FORT GENERAL 8</t>
  </si>
  <si>
    <t>MIAMI FORT INTANGIBLE 5-6</t>
  </si>
  <si>
    <t>TOTAL MIAMI FORT</t>
  </si>
  <si>
    <t>DICKS CREEK</t>
  </si>
  <si>
    <t>STUART</t>
  </si>
  <si>
    <t>CONESVILLE</t>
  </si>
  <si>
    <t>EAST BEND</t>
  </si>
  <si>
    <t>KILLEN</t>
  </si>
  <si>
    <t>ZIMMER</t>
  </si>
  <si>
    <t>WOODSDALE</t>
  </si>
  <si>
    <t>TOTAL</t>
  </si>
  <si>
    <t>Original Costs, Accumulated Depreciation and Annual Depreciation of Step Up Transformers</t>
  </si>
  <si>
    <t xml:space="preserve"> @ 12/31/99</t>
  </si>
  <si>
    <t>Beckjord Unit 6</t>
  </si>
  <si>
    <t>Beckjord GT</t>
  </si>
  <si>
    <t>Beckjord Substation</t>
  </si>
  <si>
    <t>Beckjord Station</t>
  </si>
  <si>
    <t>Miami Fort Units 7&amp;8</t>
  </si>
  <si>
    <t>Miami Fort GT</t>
  </si>
  <si>
    <t>Miami Fort Substation</t>
  </si>
  <si>
    <t>Miami Fort - Front Street</t>
  </si>
  <si>
    <t>Miami Fort Station</t>
  </si>
  <si>
    <t>Dicks Creek Substation</t>
  </si>
  <si>
    <t>Stuart Substation</t>
  </si>
  <si>
    <t>Conesville Substation</t>
  </si>
  <si>
    <t>East Bend Substation</t>
  </si>
  <si>
    <t>Zimmer Substation</t>
  </si>
  <si>
    <t>Woodsdale Substation</t>
  </si>
  <si>
    <t xml:space="preserve">Total </t>
  </si>
  <si>
    <t>Grand Total Plant Summary Recap - Projected 2000 Based on Additions Through 1999</t>
  </si>
  <si>
    <t>Beckjord</t>
  </si>
  <si>
    <t>Miami Fort</t>
  </si>
  <si>
    <t>Incremental Increase In 2000 Depreciation PER ECBU Budget Due to 2000 Additions:</t>
  </si>
  <si>
    <t>Depreciation Years</t>
  </si>
  <si>
    <t>Depreciation per 2000 Budget With 2000 Additions:</t>
  </si>
  <si>
    <t>Income Tax</t>
  </si>
  <si>
    <t>2nd Call</t>
  </si>
  <si>
    <t>PPA</t>
  </si>
  <si>
    <t>Yearly</t>
  </si>
  <si>
    <t>SCR</t>
  </si>
  <si>
    <t>OPT/SCR</t>
  </si>
  <si>
    <t>SNCR/LNB</t>
  </si>
  <si>
    <t>OPT</t>
  </si>
  <si>
    <t>OPT/LNB</t>
  </si>
  <si>
    <t xml:space="preserve">       NOx Plan</t>
  </si>
  <si>
    <t>Red.</t>
  </si>
  <si>
    <t xml:space="preserve"> </t>
  </si>
  <si>
    <t xml:space="preserve">DEPR/AMORT </t>
  </si>
  <si>
    <t>Allocated EPA Allowances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</si>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</sst>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0.0"/>
    <numFmt numFmtId="167" formatCode="0.000"/>
    <numFmt numFmtId="168" formatCode="#,##0.0"/>
    <numFmt numFmtId="169" formatCode="_(* #,##0_);_(* \(#,##0\);_(* &quot;-&quot;??_);_(@_)"/>
    <numFmt numFmtId="170" formatCode="0.0%"/>
    <numFmt numFmtId="171" formatCode="_(* #,##0.000_);_(* \(#,##0.000\);_(* &quot;-&quot;??_);_(@_)"/>
    <numFmt numFmtId="172" formatCode="_(* #,##0.0_);_(* \(#,##0.0\);_(* &quot;-&quot;??_);_(@_)"/>
    <numFmt numFmtId="174" formatCode="#,##0.0_);[Red]\(#,##0.0\)"/>
    <numFmt numFmtId="177" formatCode="0.000000"/>
    <numFmt numFmtId="179" formatCode="_(&quot;$&quot;* #,##0.0_);_(&quot;$&quot;* \(#,##0.0\);_(&quot;$&quot;* &quot;-&quot;??_);_(@_)"/>
    <numFmt numFmtId="180" formatCode="0.00_);[Red]\(0.00\)"/>
    <numFmt numFmtId="181" formatCode="_(* #,##0.00_);[Red]_(* \(#,##0.00\);_(* &quot;-&quot;??_);_(@_)"/>
    <numFmt numFmtId="183" formatCode="_(&quot;$&quot;* #,##0_);_(&quot;$&quot;* \(#,##0\);_(&quot;$&quot;* &quot;-&quot;??_);_(@_)"/>
    <numFmt numFmtId="189" formatCode="_(* #,##0.00000_);_(* \(#,##0.00000\);_(* &quot;-&quot;??_);_(@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u/>
      <sz val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8"/>
      <name val="Arial"/>
      <family val="2"/>
    </font>
    <font>
      <sz val="10"/>
      <color indexed="22"/>
      <name val="Arial"/>
      <family val="2"/>
    </font>
    <font>
      <b/>
      <sz val="18"/>
      <name val="Arial"/>
      <family val="2"/>
    </font>
    <font>
      <b/>
      <sz val="12"/>
      <color indexed="12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7" fontId="1" fillId="0" borderId="0">
      <alignment horizontal="left" wrapTex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7" fontId="1" fillId="0" borderId="0">
      <alignment horizontal="left" wrapText="1"/>
    </xf>
    <xf numFmtId="9" fontId="1" fillId="0" borderId="0" applyFont="0" applyFill="0" applyBorder="0" applyAlignment="0" applyProtection="0"/>
  </cellStyleXfs>
  <cellXfs count="482">
    <xf numFmtId="0" fontId="0" fillId="0" borderId="0" xfId="0"/>
    <xf numFmtId="17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169" fontId="2" fillId="0" borderId="0" xfId="2" applyNumberFormat="1" applyFont="1"/>
    <xf numFmtId="169" fontId="2" fillId="0" borderId="0" xfId="2" applyNumberFormat="1" applyFont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4" fontId="2" fillId="0" borderId="0" xfId="0" applyNumberFormat="1" applyFont="1"/>
    <xf numFmtId="10" fontId="0" fillId="0" borderId="0" xfId="5" applyNumberFormat="1" applyFont="1"/>
    <xf numFmtId="2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5" fontId="2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/>
    <xf numFmtId="170" fontId="2" fillId="0" borderId="0" xfId="0" applyNumberFormat="1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38" fontId="2" fillId="0" borderId="2" xfId="0" applyNumberFormat="1" applyFont="1" applyFill="1" applyBorder="1"/>
    <xf numFmtId="0" fontId="6" fillId="0" borderId="0" xfId="0" applyFont="1" applyAlignment="1">
      <alignment horizontal="center"/>
    </xf>
    <xf numFmtId="0" fontId="2" fillId="0" borderId="0" xfId="0" quotePrefix="1" applyFont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quotePrefix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8" fontId="6" fillId="0" borderId="2" xfId="0" applyNumberFormat="1" applyFont="1" applyBorder="1"/>
    <xf numFmtId="0" fontId="7" fillId="0" borderId="2" xfId="0" applyFont="1" applyBorder="1"/>
    <xf numFmtId="2" fontId="6" fillId="0" borderId="2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8" fontId="6" fillId="0" borderId="17" xfId="0" applyNumberFormat="1" applyFont="1" applyBorder="1"/>
    <xf numFmtId="0" fontId="6" fillId="0" borderId="17" xfId="0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7" fontId="6" fillId="0" borderId="16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38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quotePrefix="1" applyFont="1" applyFill="1" applyBorder="1" applyAlignment="1">
      <alignment horizontal="center"/>
    </xf>
    <xf numFmtId="0" fontId="0" fillId="0" borderId="2" xfId="0" applyFill="1" applyBorder="1"/>
    <xf numFmtId="167" fontId="2" fillId="0" borderId="0" xfId="0" applyNumberFormat="1" applyFont="1" applyAlignment="1">
      <alignment horizontal="center"/>
    </xf>
    <xf numFmtId="168" fontId="6" fillId="0" borderId="19" xfId="0" applyNumberFormat="1" applyFont="1" applyBorder="1"/>
    <xf numFmtId="168" fontId="6" fillId="0" borderId="20" xfId="0" applyNumberFormat="1" applyFont="1" applyBorder="1"/>
    <xf numFmtId="0" fontId="0" fillId="0" borderId="0" xfId="0" quotePrefix="1"/>
    <xf numFmtId="0" fontId="4" fillId="0" borderId="0" xfId="0" quotePrefix="1" applyFont="1"/>
    <xf numFmtId="172" fontId="2" fillId="0" borderId="0" xfId="2" applyNumberFormat="1" applyFont="1"/>
    <xf numFmtId="170" fontId="2" fillId="0" borderId="0" xfId="5" applyNumberFormat="1" applyFont="1" applyAlignment="1">
      <alignment horizontal="center"/>
    </xf>
    <xf numFmtId="0" fontId="0" fillId="0" borderId="21" xfId="0" applyBorder="1"/>
    <xf numFmtId="0" fontId="8" fillId="0" borderId="0" xfId="0" applyFont="1"/>
    <xf numFmtId="168" fontId="2" fillId="0" borderId="0" xfId="0" applyNumberFormat="1" applyFont="1"/>
    <xf numFmtId="3" fontId="2" fillId="0" borderId="0" xfId="0" applyNumberFormat="1" applyFont="1" applyFill="1" applyBorder="1"/>
    <xf numFmtId="0" fontId="4" fillId="2" borderId="22" xfId="0" applyFont="1" applyFill="1" applyBorder="1" applyAlignment="1">
      <alignment horizontal="left"/>
    </xf>
    <xf numFmtId="0" fontId="0" fillId="2" borderId="23" xfId="0" applyFill="1" applyBorder="1"/>
    <xf numFmtId="0" fontId="0" fillId="2" borderId="24" xfId="0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3" fillId="3" borderId="25" xfId="0" applyFont="1" applyFill="1" applyBorder="1" applyAlignment="1">
      <alignment horizontal="center"/>
    </xf>
    <xf numFmtId="0" fontId="9" fillId="0" borderId="0" xfId="0" applyFont="1" applyFill="1" applyBorder="1"/>
    <xf numFmtId="0" fontId="7" fillId="0" borderId="1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8" fontId="2" fillId="0" borderId="26" xfId="0" applyNumberFormat="1" applyFont="1" applyFill="1" applyBorder="1"/>
    <xf numFmtId="174" fontId="2" fillId="0" borderId="16" xfId="0" applyNumberFormat="1" applyFont="1" applyFill="1" applyBorder="1"/>
    <xf numFmtId="0" fontId="0" fillId="2" borderId="20" xfId="0" applyFill="1" applyBorder="1" applyAlignment="1">
      <alignment horizontal="center"/>
    </xf>
    <xf numFmtId="0" fontId="0" fillId="2" borderId="17" xfId="0" applyFill="1" applyBorder="1"/>
    <xf numFmtId="38" fontId="2" fillId="2" borderId="17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/>
    <xf numFmtId="38" fontId="2" fillId="2" borderId="17" xfId="0" applyNumberFormat="1" applyFont="1" applyFill="1" applyBorder="1"/>
    <xf numFmtId="174" fontId="2" fillId="2" borderId="18" xfId="0" applyNumberFormat="1" applyFont="1" applyFill="1" applyBorder="1"/>
    <xf numFmtId="180" fontId="0" fillId="0" borderId="0" xfId="0" applyNumberFormat="1"/>
    <xf numFmtId="180" fontId="3" fillId="0" borderId="0" xfId="0" applyNumberFormat="1" applyFont="1" applyAlignment="1">
      <alignment horizontal="center"/>
    </xf>
    <xf numFmtId="40" fontId="0" fillId="0" borderId="0" xfId="0" applyNumberFormat="1"/>
    <xf numFmtId="40" fontId="3" fillId="0" borderId="0" xfId="0" applyNumberFormat="1" applyFont="1" applyAlignment="1">
      <alignment horizontal="center"/>
    </xf>
    <xf numFmtId="4" fontId="0" fillId="0" borderId="0" xfId="0" applyNumberFormat="1"/>
    <xf numFmtId="4" fontId="2" fillId="0" borderId="0" xfId="0" applyNumberFormat="1" applyFont="1" applyAlignment="1">
      <alignment horizontal="left"/>
    </xf>
    <xf numFmtId="40" fontId="4" fillId="0" borderId="0" xfId="0" applyNumberFormat="1" applyFont="1"/>
    <xf numFmtId="0" fontId="2" fillId="0" borderId="0" xfId="0" applyNumberFormat="1" applyFont="1"/>
    <xf numFmtId="0" fontId="3" fillId="4" borderId="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0" fillId="4" borderId="24" xfId="0" applyFill="1" applyBorder="1"/>
    <xf numFmtId="0" fontId="3" fillId="4" borderId="10" xfId="0" quotePrefix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10" fillId="4" borderId="19" xfId="0" applyFont="1" applyFill="1" applyBorder="1"/>
    <xf numFmtId="2" fontId="10" fillId="4" borderId="2" xfId="0" applyNumberFormat="1" applyFont="1" applyFill="1" applyBorder="1"/>
    <xf numFmtId="3" fontId="10" fillId="4" borderId="2" xfId="0" applyNumberFormat="1" applyFont="1" applyFill="1" applyBorder="1"/>
    <xf numFmtId="170" fontId="10" fillId="4" borderId="2" xfId="5" applyNumberFormat="1" applyFont="1" applyFill="1" applyBorder="1"/>
    <xf numFmtId="0" fontId="10" fillId="4" borderId="2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65" fontId="10" fillId="4" borderId="19" xfId="0" applyNumberFormat="1" applyFont="1" applyFill="1" applyBorder="1"/>
    <xf numFmtId="0" fontId="10" fillId="4" borderId="20" xfId="0" applyFont="1" applyFill="1" applyBorder="1"/>
    <xf numFmtId="2" fontId="10" fillId="4" borderId="17" xfId="0" applyNumberFormat="1" applyFont="1" applyFill="1" applyBorder="1"/>
    <xf numFmtId="3" fontId="10" fillId="4" borderId="17" xfId="0" applyNumberFormat="1" applyFont="1" applyFill="1" applyBorder="1"/>
    <xf numFmtId="170" fontId="10" fillId="4" borderId="17" xfId="5" applyNumberFormat="1" applyFont="1" applyFill="1" applyBorder="1"/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7" fillId="0" borderId="0" xfId="0" applyFont="1" applyFill="1"/>
    <xf numFmtId="0" fontId="7" fillId="0" borderId="0" xfId="0" applyFont="1"/>
    <xf numFmtId="0" fontId="11" fillId="0" borderId="0" xfId="0" applyFont="1" applyFill="1"/>
    <xf numFmtId="169" fontId="2" fillId="0" borderId="27" xfId="2" applyNumberFormat="1" applyFont="1" applyBorder="1"/>
    <xf numFmtId="169" fontId="2" fillId="0" borderId="2" xfId="2" applyNumberFormat="1" applyFont="1" applyBorder="1"/>
    <xf numFmtId="179" fontId="0" fillId="0" borderId="27" xfId="3" applyNumberFormat="1" applyFont="1" applyBorder="1"/>
    <xf numFmtId="179" fontId="0" fillId="0" borderId="2" xfId="3" applyNumberFormat="1" applyFont="1" applyBorder="1"/>
    <xf numFmtId="179" fontId="0" fillId="0" borderId="28" xfId="3" applyNumberFormat="1" applyFont="1" applyBorder="1"/>
    <xf numFmtId="179" fontId="0" fillId="0" borderId="29" xfId="3" applyNumberFormat="1" applyFont="1" applyBorder="1"/>
    <xf numFmtId="0" fontId="0" fillId="0" borderId="29" xfId="0" applyBorder="1"/>
    <xf numFmtId="3" fontId="2" fillId="0" borderId="30" xfId="3" applyNumberFormat="1" applyFont="1" applyBorder="1"/>
    <xf numFmtId="3" fontId="2" fillId="0" borderId="31" xfId="3" applyNumberFormat="1" applyFont="1" applyBorder="1"/>
    <xf numFmtId="3" fontId="2" fillId="0" borderId="32" xfId="3" applyNumberFormat="1" applyFont="1" applyBorder="1"/>
    <xf numFmtId="10" fontId="10" fillId="0" borderId="27" xfId="5" applyNumberFormat="1" applyFont="1" applyBorder="1" applyAlignment="1">
      <alignment horizontal="center"/>
    </xf>
    <xf numFmtId="10" fontId="10" fillId="0" borderId="2" xfId="5" applyNumberFormat="1" applyFont="1" applyBorder="1" applyAlignment="1">
      <alignment horizontal="center"/>
    </xf>
    <xf numFmtId="0" fontId="9" fillId="4" borderId="11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/>
    <xf numFmtId="0" fontId="9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12" xfId="0" applyFont="1" applyFill="1" applyBorder="1"/>
    <xf numFmtId="0" fontId="12" fillId="4" borderId="8" xfId="0" applyFont="1" applyFill="1" applyBorder="1"/>
    <xf numFmtId="172" fontId="10" fillId="4" borderId="33" xfId="0" applyNumberFormat="1" applyFont="1" applyFill="1" applyBorder="1"/>
    <xf numFmtId="172" fontId="9" fillId="4" borderId="33" xfId="0" applyNumberFormat="1" applyFont="1" applyFill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5" xfId="0" applyFont="1" applyBorder="1"/>
    <xf numFmtId="0" fontId="0" fillId="0" borderId="34" xfId="0" applyBorder="1"/>
    <xf numFmtId="0" fontId="0" fillId="0" borderId="35" xfId="0" applyBorder="1"/>
    <xf numFmtId="172" fontId="2" fillId="4" borderId="36" xfId="0" applyNumberFormat="1" applyFont="1" applyFill="1" applyBorder="1" applyAlignment="1">
      <alignment horizontal="center"/>
    </xf>
    <xf numFmtId="172" fontId="2" fillId="4" borderId="37" xfId="0" applyNumberFormat="1" applyFont="1" applyFill="1" applyBorder="1" applyAlignment="1">
      <alignment horizontal="center"/>
    </xf>
    <xf numFmtId="172" fontId="2" fillId="4" borderId="37" xfId="0" applyNumberFormat="1" applyFont="1" applyFill="1" applyBorder="1"/>
    <xf numFmtId="172" fontId="2" fillId="4" borderId="38" xfId="0" applyNumberFormat="1" applyFont="1" applyFill="1" applyBorder="1"/>
    <xf numFmtId="0" fontId="3" fillId="0" borderId="39" xfId="0" applyFont="1" applyFill="1" applyBorder="1" applyAlignment="1">
      <alignment horizontal="center"/>
    </xf>
    <xf numFmtId="43" fontId="2" fillId="4" borderId="36" xfId="0" applyNumberFormat="1" applyFont="1" applyFill="1" applyBorder="1"/>
    <xf numFmtId="17" fontId="3" fillId="0" borderId="21" xfId="0" applyNumberFormat="1" applyFont="1" applyBorder="1"/>
    <xf numFmtId="164" fontId="10" fillId="4" borderId="28" xfId="3" applyNumberFormat="1" applyFont="1" applyFill="1" applyBorder="1"/>
    <xf numFmtId="0" fontId="0" fillId="0" borderId="33" xfId="0" applyFill="1" applyBorder="1"/>
    <xf numFmtId="0" fontId="0" fillId="0" borderId="33" xfId="0" applyBorder="1"/>
    <xf numFmtId="171" fontId="10" fillId="4" borderId="28" xfId="0" applyNumberFormat="1" applyFont="1" applyFill="1" applyBorder="1"/>
    <xf numFmtId="171" fontId="10" fillId="4" borderId="40" xfId="0" applyNumberFormat="1" applyFont="1" applyFill="1" applyBorder="1"/>
    <xf numFmtId="171" fontId="10" fillId="4" borderId="41" xfId="0" applyNumberFormat="1" applyFont="1" applyFill="1" applyBorder="1"/>
    <xf numFmtId="3" fontId="2" fillId="0" borderId="23" xfId="0" applyNumberFormat="1" applyFont="1" applyBorder="1" applyAlignment="1">
      <alignment horizontal="center"/>
    </xf>
    <xf numFmtId="0" fontId="0" fillId="0" borderId="23" xfId="0" applyBorder="1"/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2" fillId="4" borderId="42" xfId="0" applyNumberFormat="1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2" fillId="4" borderId="43" xfId="0" applyNumberFormat="1" applyFont="1" applyFill="1" applyBorder="1" applyAlignment="1">
      <alignment horizontal="center"/>
    </xf>
    <xf numFmtId="39" fontId="10" fillId="4" borderId="28" xfId="3" applyNumberFormat="1" applyFont="1" applyFill="1" applyBorder="1"/>
    <xf numFmtId="10" fontId="3" fillId="0" borderId="0" xfId="0" applyNumberFormat="1" applyFont="1"/>
    <xf numFmtId="0" fontId="0" fillId="0" borderId="44" xfId="0" applyBorder="1"/>
    <xf numFmtId="0" fontId="4" fillId="0" borderId="44" xfId="0" applyFont="1" applyBorder="1"/>
    <xf numFmtId="9" fontId="3" fillId="0" borderId="0" xfId="5" applyFont="1" applyAlignment="1">
      <alignment horizontal="center"/>
    </xf>
    <xf numFmtId="181" fontId="0" fillId="4" borderId="37" xfId="0" applyNumberFormat="1" applyFill="1" applyBorder="1"/>
    <xf numFmtId="181" fontId="2" fillId="4" borderId="37" xfId="0" applyNumberFormat="1" applyFont="1" applyFill="1" applyBorder="1"/>
    <xf numFmtId="181" fontId="0" fillId="4" borderId="38" xfId="0" applyNumberFormat="1" applyFill="1" applyBorder="1"/>
    <xf numFmtId="181" fontId="2" fillId="4" borderId="38" xfId="0" applyNumberFormat="1" applyFont="1" applyFill="1" applyBorder="1"/>
    <xf numFmtId="181" fontId="4" fillId="4" borderId="37" xfId="0" applyNumberFormat="1" applyFont="1" applyFill="1" applyBorder="1"/>
    <xf numFmtId="181" fontId="4" fillId="4" borderId="38" xfId="0" applyNumberFormat="1" applyFont="1" applyFill="1" applyBorder="1"/>
    <xf numFmtId="181" fontId="3" fillId="4" borderId="38" xfId="0" applyNumberFormat="1" applyFont="1" applyFill="1" applyBorder="1"/>
    <xf numFmtId="180" fontId="4" fillId="0" borderId="0" xfId="0" applyNumberFormat="1" applyFont="1"/>
    <xf numFmtId="0" fontId="14" fillId="0" borderId="0" xfId="0" applyFont="1" applyBorder="1"/>
    <xf numFmtId="3" fontId="10" fillId="4" borderId="28" xfId="0" applyNumberFormat="1" applyFont="1" applyFill="1" applyBorder="1"/>
    <xf numFmtId="3" fontId="10" fillId="4" borderId="29" xfId="0" applyNumberFormat="1" applyFont="1" applyFill="1" applyBorder="1"/>
    <xf numFmtId="3" fontId="10" fillId="4" borderId="41" xfId="0" applyNumberFormat="1" applyFont="1" applyFill="1" applyBorder="1"/>
    <xf numFmtId="3" fontId="10" fillId="4" borderId="45" xfId="0" applyNumberFormat="1" applyFont="1" applyFill="1" applyBorder="1"/>
    <xf numFmtId="3" fontId="10" fillId="4" borderId="32" xfId="0" applyNumberFormat="1" applyFont="1" applyFill="1" applyBorder="1"/>
    <xf numFmtId="0" fontId="0" fillId="0" borderId="44" xfId="0" applyFill="1" applyBorder="1"/>
    <xf numFmtId="43" fontId="2" fillId="0" borderId="46" xfId="2" applyFont="1" applyBorder="1"/>
    <xf numFmtId="41" fontId="10" fillId="4" borderId="28" xfId="0" applyNumberFormat="1" applyFont="1" applyFill="1" applyBorder="1"/>
    <xf numFmtId="41" fontId="10" fillId="4" borderId="29" xfId="0" applyNumberFormat="1" applyFont="1" applyFill="1" applyBorder="1"/>
    <xf numFmtId="41" fontId="10" fillId="4" borderId="40" xfId="0" applyNumberFormat="1" applyFont="1" applyFill="1" applyBorder="1"/>
    <xf numFmtId="41" fontId="10" fillId="4" borderId="41" xfId="0" applyNumberFormat="1" applyFont="1" applyFill="1" applyBorder="1"/>
    <xf numFmtId="41" fontId="10" fillId="4" borderId="45" xfId="0" applyNumberFormat="1" applyFont="1" applyFill="1" applyBorder="1"/>
    <xf numFmtId="41" fontId="10" fillId="4" borderId="32" xfId="0" applyNumberFormat="1" applyFont="1" applyFill="1" applyBorder="1"/>
    <xf numFmtId="41" fontId="2" fillId="0" borderId="0" xfId="0" applyNumberFormat="1" applyFont="1"/>
    <xf numFmtId="3" fontId="10" fillId="4" borderId="45" xfId="4" applyNumberFormat="1" applyFont="1" applyFill="1" applyBorder="1" applyAlignment="1"/>
    <xf numFmtId="3" fontId="10" fillId="4" borderId="32" xfId="4" applyNumberFormat="1" applyFont="1" applyFill="1" applyBorder="1" applyAlignment="1"/>
    <xf numFmtId="170" fontId="0" fillId="0" borderId="0" xfId="0" applyNumberFormat="1"/>
    <xf numFmtId="0" fontId="15" fillId="0" borderId="0" xfId="0" applyFont="1"/>
    <xf numFmtId="10" fontId="6" fillId="0" borderId="0" xfId="5" applyNumberFormat="1" applyFont="1"/>
    <xf numFmtId="0" fontId="3" fillId="0" borderId="44" xfId="0" applyFont="1" applyBorder="1"/>
    <xf numFmtId="10" fontId="6" fillId="0" borderId="44" xfId="0" applyNumberFormat="1" applyFont="1" applyBorder="1"/>
    <xf numFmtId="43" fontId="0" fillId="0" borderId="0" xfId="0" applyNumberFormat="1"/>
    <xf numFmtId="169" fontId="5" fillId="0" borderId="0" xfId="2" applyNumberFormat="1" applyFont="1" applyFill="1" applyAlignment="1">
      <alignment horizontal="left"/>
    </xf>
    <xf numFmtId="167" fontId="6" fillId="0" borderId="2" xfId="0" applyNumberFormat="1" applyFont="1" applyBorder="1" applyAlignment="1">
      <alignment horizontal="center"/>
    </xf>
    <xf numFmtId="167" fontId="6" fillId="0" borderId="17" xfId="0" applyNumberFormat="1" applyFont="1" applyBorder="1" applyAlignment="1">
      <alignment horizontal="center"/>
    </xf>
    <xf numFmtId="41" fontId="10" fillId="4" borderId="28" xfId="3" applyNumberFormat="1" applyFont="1" applyFill="1" applyBorder="1"/>
    <xf numFmtId="172" fontId="2" fillId="5" borderId="36" xfId="0" applyNumberFormat="1" applyFont="1" applyFill="1" applyBorder="1" applyAlignment="1">
      <alignment horizontal="center"/>
    </xf>
    <xf numFmtId="43" fontId="2" fillId="5" borderId="36" xfId="0" applyNumberFormat="1" applyFont="1" applyFill="1" applyBorder="1"/>
    <xf numFmtId="181" fontId="4" fillId="5" borderId="37" xfId="0" applyNumberFormat="1" applyFont="1" applyFill="1" applyBorder="1"/>
    <xf numFmtId="9" fontId="10" fillId="0" borderId="0" xfId="5" applyFont="1" applyFill="1"/>
    <xf numFmtId="0" fontId="3" fillId="4" borderId="21" xfId="0" applyFont="1" applyFill="1" applyBorder="1"/>
    <xf numFmtId="0" fontId="3" fillId="4" borderId="33" xfId="0" applyFont="1" applyFill="1" applyBorder="1"/>
    <xf numFmtId="10" fontId="6" fillId="4" borderId="29" xfId="5" applyNumberFormat="1" applyFont="1" applyFill="1" applyBorder="1" applyAlignment="1">
      <alignment horizontal="center"/>
    </xf>
    <xf numFmtId="10" fontId="6" fillId="4" borderId="41" xfId="5" applyNumberFormat="1" applyFont="1" applyFill="1" applyBorder="1" applyAlignment="1">
      <alignment horizontal="center"/>
    </xf>
    <xf numFmtId="170" fontId="6" fillId="4" borderId="41" xfId="5" applyNumberFormat="1" applyFont="1" applyFill="1" applyBorder="1" applyAlignment="1">
      <alignment horizontal="center"/>
    </xf>
    <xf numFmtId="0" fontId="6" fillId="4" borderId="41" xfId="0" applyFont="1" applyFill="1" applyBorder="1" applyAlignment="1">
      <alignment horizontal="center"/>
    </xf>
    <xf numFmtId="40" fontId="2" fillId="0" borderId="31" xfId="2" applyNumberFormat="1" applyFont="1" applyFill="1" applyBorder="1"/>
    <xf numFmtId="169" fontId="2" fillId="0" borderId="30" xfId="2" applyNumberFormat="1" applyFont="1" applyBorder="1"/>
    <xf numFmtId="0" fontId="10" fillId="4" borderId="27" xfId="0" applyFont="1" applyFill="1" applyBorder="1"/>
    <xf numFmtId="165" fontId="10" fillId="4" borderId="27" xfId="0" applyNumberFormat="1" applyFont="1" applyFill="1" applyBorder="1"/>
    <xf numFmtId="0" fontId="10" fillId="4" borderId="47" xfId="0" applyFont="1" applyFill="1" applyBorder="1"/>
    <xf numFmtId="0" fontId="3" fillId="4" borderId="4" xfId="0" applyFont="1" applyFill="1" applyBorder="1" applyAlignment="1">
      <alignment horizontal="center"/>
    </xf>
    <xf numFmtId="172" fontId="2" fillId="0" borderId="8" xfId="2" applyNumberFormat="1" applyFont="1" applyBorder="1"/>
    <xf numFmtId="41" fontId="10" fillId="4" borderId="30" xfId="0" applyNumberFormat="1" applyFont="1" applyFill="1" applyBorder="1"/>
    <xf numFmtId="40" fontId="2" fillId="0" borderId="30" xfId="2" applyNumberFormat="1" applyFont="1" applyFill="1" applyBorder="1"/>
    <xf numFmtId="169" fontId="2" fillId="0" borderId="29" xfId="2" applyNumberFormat="1" applyFont="1" applyBorder="1"/>
    <xf numFmtId="0" fontId="4" fillId="6" borderId="0" xfId="0" applyFont="1" applyFill="1"/>
    <xf numFmtId="3" fontId="4" fillId="6" borderId="0" xfId="0" applyNumberFormat="1" applyFont="1" applyFill="1"/>
    <xf numFmtId="0" fontId="4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9" fontId="4" fillId="5" borderId="0" xfId="0" applyNumberFormat="1" applyFont="1" applyFill="1"/>
    <xf numFmtId="0" fontId="3" fillId="5" borderId="0" xfId="0" applyFont="1" applyFill="1"/>
    <xf numFmtId="0" fontId="2" fillId="5" borderId="0" xfId="0" applyFont="1" applyFill="1" applyAlignment="1">
      <alignment horizontal="left"/>
    </xf>
    <xf numFmtId="0" fontId="4" fillId="5" borderId="2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5" borderId="27" xfId="0" applyFill="1" applyBorder="1"/>
    <xf numFmtId="0" fontId="0" fillId="5" borderId="2" xfId="0" applyFill="1" applyBorder="1"/>
    <xf numFmtId="41" fontId="2" fillId="5" borderId="27" xfId="2" applyNumberFormat="1" applyFont="1" applyFill="1" applyBorder="1"/>
    <xf numFmtId="41" fontId="2" fillId="5" borderId="2" xfId="2" applyNumberFormat="1" applyFont="1" applyFill="1" applyBorder="1"/>
    <xf numFmtId="10" fontId="2" fillId="5" borderId="2" xfId="5" applyNumberFormat="1" applyFont="1" applyFill="1" applyBorder="1"/>
    <xf numFmtId="43" fontId="2" fillId="5" borderId="27" xfId="0" applyNumberFormat="1" applyFont="1" applyFill="1" applyBorder="1"/>
    <xf numFmtId="43" fontId="2" fillId="5" borderId="2" xfId="0" applyNumberFormat="1" applyFont="1" applyFill="1" applyBorder="1"/>
    <xf numFmtId="43" fontId="2" fillId="5" borderId="28" xfId="0" applyNumberFormat="1" applyFont="1" applyFill="1" applyBorder="1"/>
    <xf numFmtId="43" fontId="2" fillId="5" borderId="29" xfId="0" applyNumberFormat="1" applyFont="1" applyFill="1" applyBorder="1"/>
    <xf numFmtId="0" fontId="4" fillId="0" borderId="10" xfId="0" applyFont="1" applyBorder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169" fontId="5" fillId="0" borderId="0" xfId="0" applyNumberFormat="1" applyFont="1" applyFill="1"/>
    <xf numFmtId="0" fontId="4" fillId="0" borderId="2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0" xfId="0" applyFont="1" applyFill="1"/>
    <xf numFmtId="0" fontId="0" fillId="0" borderId="27" xfId="0" applyFill="1" applyBorder="1"/>
    <xf numFmtId="0" fontId="2" fillId="0" borderId="0" xfId="0" applyFont="1" applyFill="1" applyAlignment="1">
      <alignment horizontal="left"/>
    </xf>
    <xf numFmtId="41" fontId="2" fillId="0" borderId="27" xfId="2" applyNumberFormat="1" applyFont="1" applyFill="1" applyBorder="1"/>
    <xf numFmtId="41" fontId="2" fillId="0" borderId="2" xfId="2" applyNumberFormat="1" applyFont="1" applyFill="1" applyBorder="1"/>
    <xf numFmtId="0" fontId="2" fillId="0" borderId="0" xfId="0" applyFont="1" applyFill="1" applyBorder="1" applyAlignment="1">
      <alignment horizontal="left"/>
    </xf>
    <xf numFmtId="41" fontId="2" fillId="0" borderId="0" xfId="2" applyNumberFormat="1" applyFont="1" applyFill="1" applyBorder="1"/>
    <xf numFmtId="10" fontId="2" fillId="0" borderId="0" xfId="5" applyNumberFormat="1" applyFont="1" applyFill="1" applyBorder="1"/>
    <xf numFmtId="0" fontId="3" fillId="0" borderId="0" xfId="0" applyFont="1" applyFill="1" applyBorder="1"/>
    <xf numFmtId="43" fontId="2" fillId="0" borderId="0" xfId="0" applyNumberFormat="1" applyFont="1" applyFill="1" applyBorder="1"/>
    <xf numFmtId="40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/>
    <xf numFmtId="169" fontId="5" fillId="0" borderId="0" xfId="2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6" fontId="0" fillId="0" borderId="0" xfId="0" applyNumberFormat="1" applyFill="1"/>
    <xf numFmtId="0" fontId="3" fillId="0" borderId="0" xfId="0" applyFont="1" applyFill="1" applyBorder="1" applyAlignment="1">
      <alignment horizontal="left"/>
    </xf>
    <xf numFmtId="169" fontId="3" fillId="0" borderId="0" xfId="2" applyNumberFormat="1" applyFont="1" applyFill="1" applyBorder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9" fontId="16" fillId="0" borderId="0" xfId="2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/>
    <xf numFmtId="40" fontId="2" fillId="0" borderId="0" xfId="0" applyNumberFormat="1" applyFont="1" applyFill="1" applyAlignment="1">
      <alignment horizontal="left"/>
    </xf>
    <xf numFmtId="40" fontId="2" fillId="0" borderId="44" xfId="0" applyNumberFormat="1" applyFont="1" applyFill="1" applyBorder="1" applyAlignment="1">
      <alignment horizontal="left"/>
    </xf>
    <xf numFmtId="40" fontId="3" fillId="0" borderId="0" xfId="0" applyNumberFormat="1" applyFont="1" applyFill="1" applyAlignment="1">
      <alignment horizontal="left"/>
    </xf>
    <xf numFmtId="6" fontId="3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6" fontId="6" fillId="0" borderId="0" xfId="0" applyNumberFormat="1" applyFont="1" applyFill="1" applyBorder="1" applyAlignment="1"/>
    <xf numFmtId="0" fontId="9" fillId="0" borderId="0" xfId="0" applyFont="1" applyFill="1"/>
    <xf numFmtId="0" fontId="3" fillId="0" borderId="44" xfId="0" applyFont="1" applyFill="1" applyBorder="1" applyAlignment="1">
      <alignment horizontal="left"/>
    </xf>
    <xf numFmtId="6" fontId="2" fillId="0" borderId="0" xfId="0" applyNumberFormat="1" applyFont="1" applyFill="1" applyBorder="1" applyAlignment="1">
      <alignment horizontal="center"/>
    </xf>
    <xf numFmtId="177" fontId="6" fillId="0" borderId="44" xfId="4" applyFont="1" applyFill="1" applyBorder="1" applyAlignment="1">
      <alignment horizontal="left"/>
    </xf>
    <xf numFmtId="183" fontId="6" fillId="0" borderId="44" xfId="3" applyNumberFormat="1" applyFont="1" applyFill="1" applyBorder="1"/>
    <xf numFmtId="169" fontId="2" fillId="0" borderId="0" xfId="2" applyNumberFormat="1" applyFont="1" applyFill="1"/>
    <xf numFmtId="43" fontId="9" fillId="0" borderId="0" xfId="0" applyNumberFormat="1" applyFont="1" applyFill="1"/>
    <xf numFmtId="43" fontId="6" fillId="0" borderId="0" xfId="3" applyNumberFormat="1" applyFon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9" fontId="3" fillId="0" borderId="0" xfId="2" applyNumberFormat="1" applyFont="1" applyFill="1"/>
    <xf numFmtId="38" fontId="4" fillId="0" borderId="0" xfId="0" applyNumberFormat="1" applyFont="1" applyFill="1"/>
    <xf numFmtId="38" fontId="0" fillId="0" borderId="0" xfId="0" applyNumberFormat="1" applyFill="1"/>
    <xf numFmtId="0" fontId="2" fillId="0" borderId="21" xfId="0" applyFont="1" applyFill="1" applyBorder="1" applyAlignment="1">
      <alignment horizontal="left"/>
    </xf>
    <xf numFmtId="169" fontId="2" fillId="0" borderId="21" xfId="2" applyNumberFormat="1" applyFont="1" applyFill="1" applyBorder="1"/>
    <xf numFmtId="0" fontId="3" fillId="0" borderId="48" xfId="0" applyFont="1" applyFill="1" applyBorder="1" applyAlignment="1">
      <alignment horizontal="left"/>
    </xf>
    <xf numFmtId="169" fontId="3" fillId="0" borderId="48" xfId="2" applyNumberFormat="1" applyFont="1" applyFill="1" applyBorder="1"/>
    <xf numFmtId="38" fontId="4" fillId="0" borderId="48" xfId="0" applyNumberFormat="1" applyFont="1" applyFill="1" applyBorder="1"/>
    <xf numFmtId="0" fontId="2" fillId="0" borderId="48" xfId="0" applyFont="1" applyFill="1" applyBorder="1" applyAlignment="1">
      <alignment horizontal="left"/>
    </xf>
    <xf numFmtId="169" fontId="2" fillId="0" borderId="48" xfId="2" applyNumberFormat="1" applyFont="1" applyFill="1" applyBorder="1"/>
    <xf numFmtId="38" fontId="0" fillId="0" borderId="48" xfId="0" applyNumberFormat="1" applyFill="1" applyBorder="1"/>
    <xf numFmtId="0" fontId="14" fillId="0" borderId="0" xfId="0" applyFont="1" applyFill="1"/>
    <xf numFmtId="0" fontId="9" fillId="0" borderId="0" xfId="0" applyFont="1" applyFill="1" applyAlignment="1">
      <alignment horizontal="center"/>
    </xf>
    <xf numFmtId="9" fontId="3" fillId="0" borderId="0" xfId="5" applyFont="1" applyFill="1"/>
    <xf numFmtId="43" fontId="3" fillId="0" borderId="0" xfId="0" applyNumberFormat="1" applyFont="1" applyFill="1"/>
    <xf numFmtId="10" fontId="3" fillId="0" borderId="0" xfId="5" applyNumberFormat="1" applyFont="1" applyFill="1"/>
    <xf numFmtId="38" fontId="2" fillId="0" borderId="0" xfId="0" applyNumberFormat="1" applyFont="1" applyFill="1"/>
    <xf numFmtId="38" fontId="2" fillId="0" borderId="33" xfId="0" applyNumberFormat="1" applyFont="1" applyFill="1" applyBorder="1"/>
    <xf numFmtId="38" fontId="2" fillId="0" borderId="48" xfId="0" applyNumberFormat="1" applyFont="1" applyFill="1" applyBorder="1"/>
    <xf numFmtId="10" fontId="6" fillId="4" borderId="41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169" fontId="16" fillId="0" borderId="0" xfId="2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left"/>
    </xf>
    <xf numFmtId="40" fontId="2" fillId="0" borderId="0" xfId="2" applyNumberFormat="1" applyFont="1" applyFill="1" applyBorder="1"/>
    <xf numFmtId="40" fontId="3" fillId="0" borderId="0" xfId="0" applyNumberFormat="1" applyFont="1" applyFill="1" applyBorder="1" applyAlignment="1">
      <alignment horizontal="left"/>
    </xf>
    <xf numFmtId="177" fontId="6" fillId="0" borderId="0" xfId="4" applyFont="1" applyFill="1" applyBorder="1" applyAlignment="1">
      <alignment horizontal="left"/>
    </xf>
    <xf numFmtId="40" fontId="3" fillId="0" borderId="0" xfId="0" applyNumberFormat="1" applyFont="1" applyFill="1" applyBorder="1"/>
    <xf numFmtId="40" fontId="3" fillId="0" borderId="0" xfId="2" applyNumberFormat="1" applyFont="1" applyFill="1" applyBorder="1"/>
    <xf numFmtId="169" fontId="2" fillId="0" borderId="0" xfId="2" applyNumberFormat="1" applyFont="1" applyFill="1" applyBorder="1"/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9" fontId="2" fillId="5" borderId="0" xfId="2" applyNumberFormat="1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183" fontId="6" fillId="0" borderId="0" xfId="3" applyNumberFormat="1" applyFont="1" applyFill="1" applyBorder="1"/>
    <xf numFmtId="43" fontId="9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38" fontId="4" fillId="0" borderId="0" xfId="0" applyNumberFormat="1" applyFont="1" applyFill="1" applyBorder="1"/>
    <xf numFmtId="38" fontId="0" fillId="0" borderId="0" xfId="0" applyNumberFormat="1" applyFill="1" applyBorder="1"/>
    <xf numFmtId="0" fontId="14" fillId="0" borderId="0" xfId="0" applyFont="1" applyFill="1" applyBorder="1"/>
    <xf numFmtId="0" fontId="9" fillId="0" borderId="0" xfId="0" applyFont="1" applyFill="1" applyBorder="1" applyAlignment="1">
      <alignment horizontal="center"/>
    </xf>
    <xf numFmtId="9" fontId="3" fillId="0" borderId="0" xfId="5" applyFont="1" applyFill="1" applyBorder="1"/>
    <xf numFmtId="0" fontId="2" fillId="0" borderId="0" xfId="0" applyFont="1" applyFill="1" applyBorder="1"/>
    <xf numFmtId="43" fontId="3" fillId="0" borderId="0" xfId="0" applyNumberFormat="1" applyFont="1" applyFill="1" applyBorder="1"/>
    <xf numFmtId="10" fontId="3" fillId="0" borderId="0" xfId="5" applyNumberFormat="1" applyFont="1" applyFill="1" applyBorder="1"/>
    <xf numFmtId="0" fontId="5" fillId="0" borderId="0" xfId="0" applyFont="1" applyFill="1" applyBorder="1" applyAlignment="1">
      <alignment horizontal="center"/>
    </xf>
    <xf numFmtId="38" fontId="6" fillId="0" borderId="0" xfId="0" applyNumberFormat="1" applyFont="1" applyFill="1" applyBorder="1"/>
    <xf numFmtId="38" fontId="3" fillId="5" borderId="0" xfId="0" applyNumberFormat="1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69" fontId="1" fillId="0" borderId="0" xfId="2" applyNumberFormat="1"/>
    <xf numFmtId="169" fontId="5" fillId="0" borderId="0" xfId="2" applyNumberFormat="1" applyFont="1"/>
    <xf numFmtId="169" fontId="5" fillId="0" borderId="0" xfId="2" applyNumberFormat="1" applyFont="1" applyAlignment="1" applyProtection="1">
      <alignment horizontal="center"/>
    </xf>
    <xf numFmtId="169" fontId="5" fillId="0" borderId="0" xfId="2" quotePrefix="1" applyNumberFormat="1" applyFont="1" applyAlignment="1">
      <alignment horizontal="center"/>
    </xf>
    <xf numFmtId="169" fontId="5" fillId="0" borderId="0" xfId="2" quotePrefix="1" applyNumberFormat="1" applyFont="1" applyAlignment="1" applyProtection="1">
      <alignment horizontal="center"/>
    </xf>
    <xf numFmtId="169" fontId="5" fillId="0" borderId="0" xfId="2" applyNumberFormat="1" applyFont="1" applyAlignment="1" applyProtection="1">
      <alignment horizontal="left"/>
    </xf>
    <xf numFmtId="169" fontId="5" fillId="0" borderId="0" xfId="2" quotePrefix="1" applyNumberFormat="1" applyFont="1" applyProtection="1"/>
    <xf numFmtId="169" fontId="5" fillId="0" borderId="0" xfId="2" applyNumberFormat="1" applyFont="1" applyProtection="1"/>
    <xf numFmtId="169" fontId="5" fillId="0" borderId="0" xfId="2" quotePrefix="1" applyNumberFormat="1" applyFont="1" applyAlignment="1" applyProtection="1">
      <alignment horizontal="left"/>
    </xf>
    <xf numFmtId="169" fontId="5" fillId="0" borderId="48" xfId="2" quotePrefix="1" applyNumberFormat="1" applyFont="1" applyBorder="1" applyProtection="1"/>
    <xf numFmtId="169" fontId="5" fillId="0" borderId="0" xfId="2" quotePrefix="1" applyNumberFormat="1" applyFont="1" applyBorder="1" applyProtection="1"/>
    <xf numFmtId="169" fontId="5" fillId="0" borderId="44" xfId="2" quotePrefix="1" applyNumberFormat="1" applyFont="1" applyBorder="1" applyProtection="1"/>
    <xf numFmtId="169" fontId="5" fillId="0" borderId="44" xfId="2" applyNumberFormat="1" applyFont="1" applyBorder="1"/>
    <xf numFmtId="169" fontId="1" fillId="0" borderId="44" xfId="2" applyNumberFormat="1" applyBorder="1"/>
    <xf numFmtId="169" fontId="5" fillId="0" borderId="48" xfId="2" applyNumberFormat="1" applyFont="1" applyBorder="1" applyProtection="1"/>
    <xf numFmtId="169" fontId="5" fillId="0" borderId="33" xfId="2" applyNumberFormat="1" applyFont="1" applyBorder="1" applyProtection="1"/>
    <xf numFmtId="169" fontId="5" fillId="0" borderId="0" xfId="2" quotePrefix="1" applyNumberFormat="1" applyFont="1" applyAlignment="1">
      <alignment horizontal="left"/>
    </xf>
    <xf numFmtId="169" fontId="1" fillId="0" borderId="48" xfId="2" applyNumberFormat="1" applyBorder="1"/>
    <xf numFmtId="169" fontId="17" fillId="0" borderId="0" xfId="2" applyNumberFormat="1" applyFont="1"/>
    <xf numFmtId="169" fontId="1" fillId="0" borderId="0" xfId="2" applyNumberFormat="1" applyFont="1"/>
    <xf numFmtId="169" fontId="18" fillId="0" borderId="0" xfId="2" applyNumberFormat="1" applyFont="1"/>
    <xf numFmtId="0" fontId="18" fillId="0" borderId="0" xfId="2" applyNumberFormat="1" applyFont="1"/>
    <xf numFmtId="43" fontId="1" fillId="0" borderId="0" xfId="2" applyNumberFormat="1"/>
    <xf numFmtId="169" fontId="9" fillId="0" borderId="0" xfId="2" applyNumberFormat="1" applyFont="1"/>
    <xf numFmtId="3" fontId="0" fillId="0" borderId="0" xfId="0" applyNumberFormat="1" applyFill="1"/>
    <xf numFmtId="38" fontId="2" fillId="0" borderId="0" xfId="0" applyNumberFormat="1" applyFont="1" applyFill="1" applyAlignment="1">
      <alignment horizontal="left"/>
    </xf>
    <xf numFmtId="38" fontId="2" fillId="0" borderId="0" xfId="2" applyNumberFormat="1" applyFont="1" applyFill="1"/>
    <xf numFmtId="38" fontId="2" fillId="0" borderId="44" xfId="0" applyNumberFormat="1" applyFont="1" applyFill="1" applyBorder="1" applyAlignment="1">
      <alignment horizontal="left"/>
    </xf>
    <xf numFmtId="38" fontId="2" fillId="0" borderId="44" xfId="2" applyNumberFormat="1" applyFont="1" applyFill="1" applyBorder="1"/>
    <xf numFmtId="38" fontId="3" fillId="0" borderId="0" xfId="0" applyNumberFormat="1" applyFont="1" applyFill="1" applyAlignment="1">
      <alignment horizontal="left"/>
    </xf>
    <xf numFmtId="38" fontId="3" fillId="0" borderId="0" xfId="0" applyNumberFormat="1" applyFont="1" applyFill="1"/>
    <xf numFmtId="38" fontId="2" fillId="0" borderId="0" xfId="2" applyNumberFormat="1" applyFont="1" applyFill="1" applyBorder="1"/>
    <xf numFmtId="38" fontId="3" fillId="0" borderId="0" xfId="2" applyNumberFormat="1" applyFont="1" applyFill="1"/>
    <xf numFmtId="38" fontId="3" fillId="0" borderId="0" xfId="2" applyNumberFormat="1" applyFont="1" applyFill="1" applyBorder="1"/>
    <xf numFmtId="38" fontId="3" fillId="0" borderId="0" xfId="0" applyNumberFormat="1" applyFont="1" applyFill="1" applyBorder="1" applyAlignment="1">
      <alignment horizontal="left"/>
    </xf>
    <xf numFmtId="38" fontId="7" fillId="0" borderId="0" xfId="0" applyNumberFormat="1" applyFont="1" applyFill="1"/>
    <xf numFmtId="38" fontId="6" fillId="0" borderId="0" xfId="0" applyNumberFormat="1" applyFont="1" applyFill="1" applyBorder="1" applyAlignment="1">
      <alignment horizontal="left"/>
    </xf>
    <xf numFmtId="38" fontId="9" fillId="0" borderId="0" xfId="0" applyNumberFormat="1" applyFont="1" applyFill="1"/>
    <xf numFmtId="38" fontId="3" fillId="0" borderId="44" xfId="0" applyNumberFormat="1" applyFont="1" applyFill="1" applyBorder="1" applyAlignment="1">
      <alignment horizontal="left"/>
    </xf>
    <xf numFmtId="38" fontId="2" fillId="0" borderId="0" xfId="0" applyNumberFormat="1" applyFont="1" applyFill="1" applyBorder="1" applyAlignment="1">
      <alignment horizontal="center"/>
    </xf>
    <xf numFmtId="38" fontId="6" fillId="0" borderId="44" xfId="4" applyNumberFormat="1" applyFont="1" applyFill="1" applyBorder="1" applyAlignment="1">
      <alignment horizontal="left"/>
    </xf>
    <xf numFmtId="38" fontId="6" fillId="0" borderId="0" xfId="3" applyNumberFormat="1" applyFont="1" applyFill="1" applyBorder="1"/>
    <xf numFmtId="38" fontId="2" fillId="0" borderId="21" xfId="0" applyNumberFormat="1" applyFont="1" applyFill="1" applyBorder="1" applyAlignment="1">
      <alignment horizontal="left"/>
    </xf>
    <xf numFmtId="38" fontId="2" fillId="0" borderId="21" xfId="2" applyNumberFormat="1" applyFont="1" applyFill="1" applyBorder="1"/>
    <xf numFmtId="38" fontId="3" fillId="0" borderId="48" xfId="0" applyNumberFormat="1" applyFont="1" applyFill="1" applyBorder="1" applyAlignment="1">
      <alignment horizontal="left"/>
    </xf>
    <xf numFmtId="38" fontId="3" fillId="0" borderId="48" xfId="2" applyNumberFormat="1" applyFont="1" applyFill="1" applyBorder="1"/>
    <xf numFmtId="38" fontId="2" fillId="0" borderId="48" xfId="0" applyNumberFormat="1" applyFont="1" applyFill="1" applyBorder="1" applyAlignment="1">
      <alignment horizontal="left"/>
    </xf>
    <xf numFmtId="38" fontId="2" fillId="0" borderId="48" xfId="2" applyNumberFormat="1" applyFont="1" applyFill="1" applyBorder="1"/>
    <xf numFmtId="38" fontId="9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38" fontId="5" fillId="0" borderId="0" xfId="0" applyNumberFormat="1" applyFont="1" applyFill="1"/>
    <xf numFmtId="44" fontId="3" fillId="0" borderId="0" xfId="3" applyFont="1" applyFill="1"/>
    <xf numFmtId="183" fontId="0" fillId="0" borderId="0" xfId="3" applyNumberFormat="1" applyFont="1" applyFill="1"/>
    <xf numFmtId="183" fontId="3" fillId="0" borderId="0" xfId="3" applyNumberFormat="1" applyFont="1" applyFill="1" applyBorder="1"/>
    <xf numFmtId="183" fontId="3" fillId="0" borderId="0" xfId="3" applyNumberFormat="1" applyFont="1" applyFill="1" applyBorder="1" applyAlignment="1"/>
    <xf numFmtId="183" fontId="3" fillId="0" borderId="44" xfId="3" applyNumberFormat="1" applyFont="1" applyFill="1" applyBorder="1" applyAlignment="1"/>
    <xf numFmtId="183" fontId="6" fillId="0" borderId="0" xfId="3" applyNumberFormat="1" applyFont="1" applyFill="1"/>
    <xf numFmtId="0" fontId="4" fillId="0" borderId="0" xfId="0" applyNumberFormat="1" applyFont="1" applyFill="1" applyAlignment="1">
      <alignment horizontal="center"/>
    </xf>
    <xf numFmtId="183" fontId="6" fillId="0" borderId="0" xfId="3" applyNumberFormat="1" applyFont="1" applyFill="1" applyBorder="1" applyAlignment="1"/>
    <xf numFmtId="42" fontId="2" fillId="0" borderId="0" xfId="2" applyNumberFormat="1" applyFont="1" applyFill="1"/>
    <xf numFmtId="42" fontId="2" fillId="0" borderId="44" xfId="2" applyNumberFormat="1" applyFont="1" applyFill="1" applyBorder="1"/>
    <xf numFmtId="42" fontId="3" fillId="0" borderId="0" xfId="0" applyNumberFormat="1" applyFont="1" applyFill="1"/>
    <xf numFmtId="42" fontId="3" fillId="0" borderId="0" xfId="2" applyNumberFormat="1" applyFont="1" applyFill="1"/>
    <xf numFmtId="42" fontId="0" fillId="0" borderId="0" xfId="0" applyNumberFormat="1" applyFill="1"/>
    <xf numFmtId="42" fontId="2" fillId="0" borderId="0" xfId="2" applyNumberFormat="1" applyFont="1" applyFill="1" applyAlignment="1">
      <alignment horizontal="left"/>
    </xf>
    <xf numFmtId="42" fontId="2" fillId="0" borderId="44" xfId="2" applyNumberFormat="1" applyFont="1" applyFill="1" applyBorder="1" applyAlignment="1">
      <alignment horizontal="left"/>
    </xf>
    <xf numFmtId="42" fontId="3" fillId="0" borderId="0" xfId="0" applyNumberFormat="1" applyFont="1" applyFill="1" applyAlignment="1">
      <alignment horizontal="left"/>
    </xf>
    <xf numFmtId="42" fontId="3" fillId="0" borderId="0" xfId="2" applyNumberFormat="1" applyFont="1" applyFill="1" applyAlignment="1">
      <alignment horizontal="left"/>
    </xf>
    <xf numFmtId="42" fontId="0" fillId="0" borderId="0" xfId="0" applyNumberFormat="1" applyFill="1" applyAlignment="1">
      <alignment horizontal="left"/>
    </xf>
    <xf numFmtId="10" fontId="6" fillId="0" borderId="0" xfId="5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0" fontId="9" fillId="0" borderId="0" xfId="0" applyFont="1"/>
    <xf numFmtId="169" fontId="0" fillId="0" borderId="0" xfId="2" applyNumberFormat="1" applyFont="1"/>
    <xf numFmtId="169" fontId="0" fillId="0" borderId="0" xfId="2" applyNumberFormat="1" applyFont="1" applyFill="1"/>
    <xf numFmtId="0" fontId="0" fillId="0" borderId="8" xfId="0" applyFill="1" applyBorder="1"/>
    <xf numFmtId="3" fontId="2" fillId="0" borderId="8" xfId="0" applyNumberFormat="1" applyFont="1" applyFill="1" applyBorder="1"/>
    <xf numFmtId="0" fontId="0" fillId="4" borderId="1" xfId="0" applyFill="1" applyBorder="1"/>
    <xf numFmtId="0" fontId="0" fillId="4" borderId="43" xfId="0" applyFill="1" applyBorder="1"/>
    <xf numFmtId="0" fontId="4" fillId="0" borderId="10" xfId="0" applyFont="1" applyBorder="1"/>
    <xf numFmtId="0" fontId="4" fillId="0" borderId="0" xfId="0" applyFont="1" applyFill="1" applyBorder="1" applyAlignment="1"/>
    <xf numFmtId="0" fontId="4" fillId="0" borderId="0" xfId="0" quotePrefix="1" applyFont="1" applyFill="1" applyBorder="1"/>
    <xf numFmtId="0" fontId="4" fillId="5" borderId="8" xfId="0" applyFont="1" applyFill="1" applyBorder="1"/>
    <xf numFmtId="169" fontId="16" fillId="5" borderId="8" xfId="2" applyNumberFormat="1" applyFont="1" applyFill="1" applyBorder="1" applyAlignment="1">
      <alignment horizontal="center"/>
    </xf>
    <xf numFmtId="1" fontId="4" fillId="5" borderId="8" xfId="0" applyNumberFormat="1" applyFont="1" applyFill="1" applyBorder="1" applyAlignment="1">
      <alignment horizontal="center"/>
    </xf>
    <xf numFmtId="0" fontId="0" fillId="5" borderId="8" xfId="0" applyFill="1" applyBorder="1"/>
    <xf numFmtId="3" fontId="2" fillId="2" borderId="7" xfId="0" applyNumberFormat="1" applyFont="1" applyFill="1" applyBorder="1"/>
    <xf numFmtId="2" fontId="2" fillId="0" borderId="0" xfId="0" applyNumberFormat="1" applyFont="1" applyFill="1"/>
    <xf numFmtId="167" fontId="0" fillId="0" borderId="0" xfId="0" applyNumberFormat="1"/>
    <xf numFmtId="167" fontId="6" fillId="0" borderId="0" xfId="0" applyNumberFormat="1" applyFont="1" applyAlignment="1">
      <alignment horizontal="center"/>
    </xf>
    <xf numFmtId="189" fontId="6" fillId="0" borderId="0" xfId="2" applyNumberFormat="1" applyFont="1" applyAlignment="1">
      <alignment horizontal="center"/>
    </xf>
    <xf numFmtId="14" fontId="0" fillId="0" borderId="0" xfId="0" applyNumberFormat="1" applyFill="1"/>
    <xf numFmtId="172" fontId="0" fillId="0" borderId="0" xfId="0" applyNumberFormat="1"/>
    <xf numFmtId="43" fontId="2" fillId="0" borderId="0" xfId="2" applyFont="1" applyAlignment="1">
      <alignment horizontal="center"/>
    </xf>
    <xf numFmtId="170" fontId="2" fillId="4" borderId="37" xfId="5" applyNumberFormat="1" applyFont="1" applyFill="1" applyBorder="1" applyAlignment="1">
      <alignment horizontal="center"/>
    </xf>
    <xf numFmtId="43" fontId="2" fillId="4" borderId="37" xfId="2" applyFont="1" applyFill="1" applyBorder="1" applyAlignment="1">
      <alignment horizontal="center"/>
    </xf>
    <xf numFmtId="0" fontId="4" fillId="0" borderId="0" xfId="0" applyFont="1" applyFill="1"/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0" xfId="0" applyFont="1" applyFill="1" applyBorder="1"/>
    <xf numFmtId="0" fontId="3" fillId="0" borderId="0" xfId="0" applyFont="1" applyAlignment="1">
      <alignment horizontal="center"/>
    </xf>
  </cellXfs>
  <cellStyles count="6">
    <cellStyle name="Comma" xfId="2" builtinId="3"/>
    <cellStyle name="Currency" xfId="3" builtinId="4"/>
    <cellStyle name="Normal" xfId="0" builtinId="0"/>
    <cellStyle name="Normal_CRH giant OLD" xfId="4"/>
    <cellStyle name="Percent" xfId="5" builtinId="5"/>
    <cellStyle name="Style 1" xfId="1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Lines="32" dropStyle="combo" dx="22" fmlaLink="$C$2237" fmlaRange="'All Inc.'!$B$2237:$B$2269" noThreeD="1" sel="2" val="0"/>
</file>

<file path=xl/ctrlProps/ctrlProp36.xml><?xml version="1.0" encoding="utf-8"?>
<formControlPr xmlns="http://schemas.microsoft.com/office/spreadsheetml/2009/9/main" objectType="Drop" dropLines="42" dropStyle="combo" dx="22" fmlaLink="$C$18" fmlaRange="$B$781:$B$813" noThreeD="1" sel="11" val="0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</xdr:row>
          <xdr:rowOff>9525</xdr:rowOff>
        </xdr:from>
        <xdr:to>
          <xdr:col>7</xdr:col>
          <xdr:colOff>495300</xdr:colOff>
          <xdr:row>8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1118</xdr:row>
          <xdr:rowOff>66675</xdr:rowOff>
        </xdr:from>
        <xdr:to>
          <xdr:col>0</xdr:col>
          <xdr:colOff>733425</xdr:colOff>
          <xdr:row>1119</xdr:row>
          <xdr:rowOff>114300</xdr:rowOff>
        </xdr:to>
        <xdr:sp macro="" textlink="">
          <xdr:nvSpPr>
            <xdr:cNvPr id="20537" name="Button 57" hidden="1">
              <a:extLst>
                <a:ext uri="{63B3BB69-23CF-44E3-9099-C40C66FF867C}">
                  <a14:compatExt spid="_x0000_s20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66675</xdr:rowOff>
        </xdr:from>
        <xdr:to>
          <xdr:col>0</xdr:col>
          <xdr:colOff>685800</xdr:colOff>
          <xdr:row>70</xdr:row>
          <xdr:rowOff>114300</xdr:rowOff>
        </xdr:to>
        <xdr:sp macro="" textlink="">
          <xdr:nvSpPr>
            <xdr:cNvPr id="20569" name="Button 89" hidden="1">
              <a:extLst>
                <a:ext uri="{63B3BB69-23CF-44E3-9099-C40C66FF867C}">
                  <a14:compatExt spid="_x0000_s20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128</xdr:row>
          <xdr:rowOff>66675</xdr:rowOff>
        </xdr:from>
        <xdr:to>
          <xdr:col>0</xdr:col>
          <xdr:colOff>685800</xdr:colOff>
          <xdr:row>129</xdr:row>
          <xdr:rowOff>114300</xdr:rowOff>
        </xdr:to>
        <xdr:sp macro="" textlink="">
          <xdr:nvSpPr>
            <xdr:cNvPr id="20570" name="Button 90" hidden="1">
              <a:extLst>
                <a:ext uri="{63B3BB69-23CF-44E3-9099-C40C66FF867C}">
                  <a14:compatExt spid="_x0000_s20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194</xdr:row>
          <xdr:rowOff>9525</xdr:rowOff>
        </xdr:from>
        <xdr:to>
          <xdr:col>0</xdr:col>
          <xdr:colOff>657225</xdr:colOff>
          <xdr:row>195</xdr:row>
          <xdr:rowOff>66675</xdr:rowOff>
        </xdr:to>
        <xdr:sp macro="" textlink="">
          <xdr:nvSpPr>
            <xdr:cNvPr id="20571" name="Button 91" hidden="1">
              <a:extLst>
                <a:ext uri="{63B3BB69-23CF-44E3-9099-C40C66FF867C}">
                  <a14:compatExt spid="_x0000_s20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261</xdr:row>
          <xdr:rowOff>152400</xdr:rowOff>
        </xdr:from>
        <xdr:to>
          <xdr:col>0</xdr:col>
          <xdr:colOff>676275</xdr:colOff>
          <xdr:row>263</xdr:row>
          <xdr:rowOff>38100</xdr:rowOff>
        </xdr:to>
        <xdr:sp macro="" textlink="">
          <xdr:nvSpPr>
            <xdr:cNvPr id="20572" name="Button 92" hidden="1">
              <a:extLst>
                <a:ext uri="{63B3BB69-23CF-44E3-9099-C40C66FF867C}">
                  <a14:compatExt spid="_x0000_s20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327</xdr:row>
          <xdr:rowOff>19050</xdr:rowOff>
        </xdr:from>
        <xdr:to>
          <xdr:col>0</xdr:col>
          <xdr:colOff>695325</xdr:colOff>
          <xdr:row>328</xdr:row>
          <xdr:rowOff>66675</xdr:rowOff>
        </xdr:to>
        <xdr:sp macro="" textlink="">
          <xdr:nvSpPr>
            <xdr:cNvPr id="20573" name="Button 93" hidden="1">
              <a:extLst>
                <a:ext uri="{63B3BB69-23CF-44E3-9099-C40C66FF867C}">
                  <a14:compatExt spid="_x0000_s20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393</xdr:row>
          <xdr:rowOff>19050</xdr:rowOff>
        </xdr:from>
        <xdr:to>
          <xdr:col>0</xdr:col>
          <xdr:colOff>771525</xdr:colOff>
          <xdr:row>394</xdr:row>
          <xdr:rowOff>66675</xdr:rowOff>
        </xdr:to>
        <xdr:sp macro="" textlink="">
          <xdr:nvSpPr>
            <xdr:cNvPr id="20574" name="Button 94" hidden="1">
              <a:extLst>
                <a:ext uri="{63B3BB69-23CF-44E3-9099-C40C66FF867C}">
                  <a14:compatExt spid="_x0000_s20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459</xdr:row>
          <xdr:rowOff>76200</xdr:rowOff>
        </xdr:from>
        <xdr:to>
          <xdr:col>0</xdr:col>
          <xdr:colOff>657225</xdr:colOff>
          <xdr:row>460</xdr:row>
          <xdr:rowOff>123825</xdr:rowOff>
        </xdr:to>
        <xdr:sp macro="" textlink="">
          <xdr:nvSpPr>
            <xdr:cNvPr id="20575" name="Button 95" hidden="1">
              <a:extLst>
                <a:ext uri="{63B3BB69-23CF-44E3-9099-C40C66FF867C}">
                  <a14:compatExt spid="_x0000_s20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525</xdr:row>
          <xdr:rowOff>142875</xdr:rowOff>
        </xdr:from>
        <xdr:to>
          <xdr:col>0</xdr:col>
          <xdr:colOff>733425</xdr:colOff>
          <xdr:row>527</xdr:row>
          <xdr:rowOff>28575</xdr:rowOff>
        </xdr:to>
        <xdr:sp macro="" textlink="">
          <xdr:nvSpPr>
            <xdr:cNvPr id="20576" name="Button 96" hidden="1">
              <a:extLst>
                <a:ext uri="{63B3BB69-23CF-44E3-9099-C40C66FF867C}">
                  <a14:compatExt spid="_x0000_s20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591</xdr:row>
          <xdr:rowOff>9525</xdr:rowOff>
        </xdr:from>
        <xdr:to>
          <xdr:col>0</xdr:col>
          <xdr:colOff>647700</xdr:colOff>
          <xdr:row>592</xdr:row>
          <xdr:rowOff>66675</xdr:rowOff>
        </xdr:to>
        <xdr:sp macro="" textlink="">
          <xdr:nvSpPr>
            <xdr:cNvPr id="20577" name="Button 97" hidden="1">
              <a:extLst>
                <a:ext uri="{63B3BB69-23CF-44E3-9099-C40C66FF867C}">
                  <a14:compatExt spid="_x0000_s20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657</xdr:row>
          <xdr:rowOff>104775</xdr:rowOff>
        </xdr:from>
        <xdr:to>
          <xdr:col>0</xdr:col>
          <xdr:colOff>695325</xdr:colOff>
          <xdr:row>658</xdr:row>
          <xdr:rowOff>152400</xdr:rowOff>
        </xdr:to>
        <xdr:sp macro="" textlink="">
          <xdr:nvSpPr>
            <xdr:cNvPr id="20578" name="Button 98" hidden="1">
              <a:extLst>
                <a:ext uri="{63B3BB69-23CF-44E3-9099-C40C66FF867C}">
                  <a14:compatExt spid="_x0000_s20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723</xdr:row>
          <xdr:rowOff>28575</xdr:rowOff>
        </xdr:from>
        <xdr:to>
          <xdr:col>0</xdr:col>
          <xdr:colOff>714375</xdr:colOff>
          <xdr:row>724</xdr:row>
          <xdr:rowOff>76200</xdr:rowOff>
        </xdr:to>
        <xdr:sp macro="" textlink="">
          <xdr:nvSpPr>
            <xdr:cNvPr id="20579" name="Button 99" hidden="1">
              <a:extLst>
                <a:ext uri="{63B3BB69-23CF-44E3-9099-C40C66FF867C}">
                  <a14:compatExt spid="_x0000_s20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789</xdr:row>
          <xdr:rowOff>57150</xdr:rowOff>
        </xdr:from>
        <xdr:to>
          <xdr:col>0</xdr:col>
          <xdr:colOff>676275</xdr:colOff>
          <xdr:row>790</xdr:row>
          <xdr:rowOff>104775</xdr:rowOff>
        </xdr:to>
        <xdr:sp macro="" textlink="">
          <xdr:nvSpPr>
            <xdr:cNvPr id="20580" name="Button 100" hidden="1">
              <a:extLst>
                <a:ext uri="{63B3BB69-23CF-44E3-9099-C40C66FF867C}">
                  <a14:compatExt spid="_x0000_s20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855</xdr:row>
          <xdr:rowOff>142875</xdr:rowOff>
        </xdr:from>
        <xdr:to>
          <xdr:col>0</xdr:col>
          <xdr:colOff>714375</xdr:colOff>
          <xdr:row>857</xdr:row>
          <xdr:rowOff>28575</xdr:rowOff>
        </xdr:to>
        <xdr:sp macro="" textlink="">
          <xdr:nvSpPr>
            <xdr:cNvPr id="20581" name="Button 101" hidden="1">
              <a:extLst>
                <a:ext uri="{63B3BB69-23CF-44E3-9099-C40C66FF867C}">
                  <a14:compatExt spid="_x0000_s20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921</xdr:row>
          <xdr:rowOff>28575</xdr:rowOff>
        </xdr:from>
        <xdr:to>
          <xdr:col>0</xdr:col>
          <xdr:colOff>790575</xdr:colOff>
          <xdr:row>922</xdr:row>
          <xdr:rowOff>76200</xdr:rowOff>
        </xdr:to>
        <xdr:sp macro="" textlink="">
          <xdr:nvSpPr>
            <xdr:cNvPr id="20582" name="Button 102" hidden="1">
              <a:extLst>
                <a:ext uri="{63B3BB69-23CF-44E3-9099-C40C66FF867C}">
                  <a14:compatExt spid="_x0000_s20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987</xdr:row>
          <xdr:rowOff>0</xdr:rowOff>
        </xdr:from>
        <xdr:to>
          <xdr:col>0</xdr:col>
          <xdr:colOff>742950</xdr:colOff>
          <xdr:row>988</xdr:row>
          <xdr:rowOff>47625</xdr:rowOff>
        </xdr:to>
        <xdr:sp macro="" textlink="">
          <xdr:nvSpPr>
            <xdr:cNvPr id="20583" name="Button 103" hidden="1">
              <a:extLst>
                <a:ext uri="{63B3BB69-23CF-44E3-9099-C40C66FF867C}">
                  <a14:compatExt spid="_x0000_s20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1053</xdr:row>
          <xdr:rowOff>142875</xdr:rowOff>
        </xdr:from>
        <xdr:to>
          <xdr:col>0</xdr:col>
          <xdr:colOff>723900</xdr:colOff>
          <xdr:row>1055</xdr:row>
          <xdr:rowOff>28575</xdr:rowOff>
        </xdr:to>
        <xdr:sp macro="" textlink="">
          <xdr:nvSpPr>
            <xdr:cNvPr id="20584" name="Button 104" hidden="1">
              <a:extLst>
                <a:ext uri="{63B3BB69-23CF-44E3-9099-C40C66FF867C}">
                  <a14:compatExt spid="_x0000_s20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1185</xdr:row>
          <xdr:rowOff>66675</xdr:rowOff>
        </xdr:from>
        <xdr:to>
          <xdr:col>0</xdr:col>
          <xdr:colOff>733425</xdr:colOff>
          <xdr:row>1186</xdr:row>
          <xdr:rowOff>114300</xdr:rowOff>
        </xdr:to>
        <xdr:sp macro="" textlink="">
          <xdr:nvSpPr>
            <xdr:cNvPr id="20585" name="Button 105" hidden="1">
              <a:extLst>
                <a:ext uri="{63B3BB69-23CF-44E3-9099-C40C66FF867C}">
                  <a14:compatExt spid="_x0000_s20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1251</xdr:row>
          <xdr:rowOff>66675</xdr:rowOff>
        </xdr:from>
        <xdr:to>
          <xdr:col>0</xdr:col>
          <xdr:colOff>733425</xdr:colOff>
          <xdr:row>1252</xdr:row>
          <xdr:rowOff>114300</xdr:rowOff>
        </xdr:to>
        <xdr:sp macro="" textlink="">
          <xdr:nvSpPr>
            <xdr:cNvPr id="20586" name="Button 106" hidden="1">
              <a:extLst>
                <a:ext uri="{63B3BB69-23CF-44E3-9099-C40C66FF867C}">
                  <a14:compatExt spid="_x0000_s20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1317</xdr:row>
          <xdr:rowOff>66675</xdr:rowOff>
        </xdr:from>
        <xdr:to>
          <xdr:col>0</xdr:col>
          <xdr:colOff>733425</xdr:colOff>
          <xdr:row>1318</xdr:row>
          <xdr:rowOff>114300</xdr:rowOff>
        </xdr:to>
        <xdr:sp macro="" textlink="">
          <xdr:nvSpPr>
            <xdr:cNvPr id="20587" name="Button 107" hidden="1">
              <a:extLst>
                <a:ext uri="{63B3BB69-23CF-44E3-9099-C40C66FF867C}">
                  <a14:compatExt spid="_x0000_s20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1383</xdr:row>
          <xdr:rowOff>66675</xdr:rowOff>
        </xdr:from>
        <xdr:to>
          <xdr:col>0</xdr:col>
          <xdr:colOff>733425</xdr:colOff>
          <xdr:row>1384</xdr:row>
          <xdr:rowOff>114300</xdr:rowOff>
        </xdr:to>
        <xdr:sp macro="" textlink="">
          <xdr:nvSpPr>
            <xdr:cNvPr id="20588" name="Button 108" hidden="1">
              <a:extLst>
                <a:ext uri="{63B3BB69-23CF-44E3-9099-C40C66FF867C}">
                  <a14:compatExt spid="_x0000_s20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1449</xdr:row>
          <xdr:rowOff>66675</xdr:rowOff>
        </xdr:from>
        <xdr:to>
          <xdr:col>0</xdr:col>
          <xdr:colOff>733425</xdr:colOff>
          <xdr:row>1450</xdr:row>
          <xdr:rowOff>114300</xdr:rowOff>
        </xdr:to>
        <xdr:sp macro="" textlink="">
          <xdr:nvSpPr>
            <xdr:cNvPr id="20589" name="Button 109" hidden="1">
              <a:extLst>
                <a:ext uri="{63B3BB69-23CF-44E3-9099-C40C66FF867C}">
                  <a14:compatExt spid="_x0000_s20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1515</xdr:row>
          <xdr:rowOff>66675</xdr:rowOff>
        </xdr:from>
        <xdr:to>
          <xdr:col>0</xdr:col>
          <xdr:colOff>733425</xdr:colOff>
          <xdr:row>1516</xdr:row>
          <xdr:rowOff>114300</xdr:rowOff>
        </xdr:to>
        <xdr:sp macro="" textlink="">
          <xdr:nvSpPr>
            <xdr:cNvPr id="20590" name="Button 110" hidden="1">
              <a:extLst>
                <a:ext uri="{63B3BB69-23CF-44E3-9099-C40C66FF867C}">
                  <a14:compatExt spid="_x0000_s20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1581</xdr:row>
          <xdr:rowOff>66675</xdr:rowOff>
        </xdr:from>
        <xdr:to>
          <xdr:col>0</xdr:col>
          <xdr:colOff>733425</xdr:colOff>
          <xdr:row>1582</xdr:row>
          <xdr:rowOff>114300</xdr:rowOff>
        </xdr:to>
        <xdr:sp macro="" textlink="">
          <xdr:nvSpPr>
            <xdr:cNvPr id="20591" name="Button 111" hidden="1">
              <a:extLst>
                <a:ext uri="{63B3BB69-23CF-44E3-9099-C40C66FF867C}">
                  <a14:compatExt spid="_x0000_s20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1647</xdr:row>
          <xdr:rowOff>66675</xdr:rowOff>
        </xdr:from>
        <xdr:to>
          <xdr:col>0</xdr:col>
          <xdr:colOff>733425</xdr:colOff>
          <xdr:row>1648</xdr:row>
          <xdr:rowOff>114300</xdr:rowOff>
        </xdr:to>
        <xdr:sp macro="" textlink="">
          <xdr:nvSpPr>
            <xdr:cNvPr id="20592" name="Button 112" hidden="1">
              <a:extLst>
                <a:ext uri="{63B3BB69-23CF-44E3-9099-C40C66FF867C}">
                  <a14:compatExt spid="_x0000_s20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1713</xdr:row>
          <xdr:rowOff>66675</xdr:rowOff>
        </xdr:from>
        <xdr:to>
          <xdr:col>0</xdr:col>
          <xdr:colOff>733425</xdr:colOff>
          <xdr:row>1714</xdr:row>
          <xdr:rowOff>114300</xdr:rowOff>
        </xdr:to>
        <xdr:sp macro="" textlink="">
          <xdr:nvSpPr>
            <xdr:cNvPr id="20593" name="Button 113" hidden="1">
              <a:extLst>
                <a:ext uri="{63B3BB69-23CF-44E3-9099-C40C66FF867C}">
                  <a14:compatExt spid="_x0000_s20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1779</xdr:row>
          <xdr:rowOff>66675</xdr:rowOff>
        </xdr:from>
        <xdr:to>
          <xdr:col>0</xdr:col>
          <xdr:colOff>733425</xdr:colOff>
          <xdr:row>1780</xdr:row>
          <xdr:rowOff>114300</xdr:rowOff>
        </xdr:to>
        <xdr:sp macro="" textlink="">
          <xdr:nvSpPr>
            <xdr:cNvPr id="20594" name="Button 114" hidden="1">
              <a:extLst>
                <a:ext uri="{63B3BB69-23CF-44E3-9099-C40C66FF867C}">
                  <a14:compatExt spid="_x0000_s20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1845</xdr:row>
          <xdr:rowOff>66675</xdr:rowOff>
        </xdr:from>
        <xdr:to>
          <xdr:col>0</xdr:col>
          <xdr:colOff>733425</xdr:colOff>
          <xdr:row>1846</xdr:row>
          <xdr:rowOff>114300</xdr:rowOff>
        </xdr:to>
        <xdr:sp macro="" textlink="">
          <xdr:nvSpPr>
            <xdr:cNvPr id="20595" name="Button 115" hidden="1">
              <a:extLst>
                <a:ext uri="{63B3BB69-23CF-44E3-9099-C40C66FF867C}">
                  <a14:compatExt spid="_x0000_s20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1911</xdr:row>
          <xdr:rowOff>66675</xdr:rowOff>
        </xdr:from>
        <xdr:to>
          <xdr:col>0</xdr:col>
          <xdr:colOff>733425</xdr:colOff>
          <xdr:row>1912</xdr:row>
          <xdr:rowOff>114300</xdr:rowOff>
        </xdr:to>
        <xdr:sp macro="" textlink="">
          <xdr:nvSpPr>
            <xdr:cNvPr id="20596" name="Button 116" hidden="1">
              <a:extLst>
                <a:ext uri="{63B3BB69-23CF-44E3-9099-C40C66FF867C}">
                  <a14:compatExt spid="_x0000_s20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1977</xdr:row>
          <xdr:rowOff>66675</xdr:rowOff>
        </xdr:from>
        <xdr:to>
          <xdr:col>0</xdr:col>
          <xdr:colOff>733425</xdr:colOff>
          <xdr:row>1978</xdr:row>
          <xdr:rowOff>114300</xdr:rowOff>
        </xdr:to>
        <xdr:sp macro="" textlink="">
          <xdr:nvSpPr>
            <xdr:cNvPr id="20597" name="Button 117" hidden="1">
              <a:extLst>
                <a:ext uri="{63B3BB69-23CF-44E3-9099-C40C66FF867C}">
                  <a14:compatExt spid="_x0000_s20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2043</xdr:row>
          <xdr:rowOff>66675</xdr:rowOff>
        </xdr:from>
        <xdr:to>
          <xdr:col>0</xdr:col>
          <xdr:colOff>733425</xdr:colOff>
          <xdr:row>2044</xdr:row>
          <xdr:rowOff>114300</xdr:rowOff>
        </xdr:to>
        <xdr:sp macro="" textlink="">
          <xdr:nvSpPr>
            <xdr:cNvPr id="20598" name="Button 118" hidden="1">
              <a:extLst>
                <a:ext uri="{63B3BB69-23CF-44E3-9099-C40C66FF867C}">
                  <a14:compatExt spid="_x0000_s20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2108</xdr:row>
          <xdr:rowOff>66675</xdr:rowOff>
        </xdr:from>
        <xdr:to>
          <xdr:col>0</xdr:col>
          <xdr:colOff>733425</xdr:colOff>
          <xdr:row>2109</xdr:row>
          <xdr:rowOff>114300</xdr:rowOff>
        </xdr:to>
        <xdr:sp macro="" textlink="">
          <xdr:nvSpPr>
            <xdr:cNvPr id="20599" name="Button 119" hidden="1">
              <a:extLst>
                <a:ext uri="{63B3BB69-23CF-44E3-9099-C40C66FF867C}">
                  <a14:compatExt spid="_x0000_s20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2175</xdr:row>
          <xdr:rowOff>66675</xdr:rowOff>
        </xdr:from>
        <xdr:to>
          <xdr:col>0</xdr:col>
          <xdr:colOff>733425</xdr:colOff>
          <xdr:row>2176</xdr:row>
          <xdr:rowOff>114300</xdr:rowOff>
        </xdr:to>
        <xdr:sp macro="" textlink="">
          <xdr:nvSpPr>
            <xdr:cNvPr id="20600" name="Button 120" hidden="1">
              <a:extLst>
                <a:ext uri="{63B3BB69-23CF-44E3-9099-C40C66FF867C}">
                  <a14:compatExt spid="_x0000_s20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</xdr:row>
          <xdr:rowOff>66675</xdr:rowOff>
        </xdr:from>
        <xdr:to>
          <xdr:col>3</xdr:col>
          <xdr:colOff>609600</xdr:colOff>
          <xdr:row>2</xdr:row>
          <xdr:rowOff>104775</xdr:rowOff>
        </xdr:to>
        <xdr:sp macro="" textlink="">
          <xdr:nvSpPr>
            <xdr:cNvPr id="20603" name="Drop Down 123" hidden="1">
              <a:extLst>
                <a:ext uri="{63B3BB69-23CF-44E3-9099-C40C66FF867C}">
                  <a14:compatExt spid="_x0000_s20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0604" name="Rectangle 124"/>
        <xdr:cNvSpPr>
          <a:spLocks noChangeArrowheads="1"/>
        </xdr:cNvSpPr>
      </xdr:nvSpPr>
      <xdr:spPr bwMode="auto">
        <a:xfrm>
          <a:off x="0" y="161925"/>
          <a:ext cx="62103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7188" name="Rectangle 20"/>
        <xdr:cNvSpPr>
          <a:spLocks noChangeArrowheads="1"/>
        </xdr:cNvSpPr>
      </xdr:nvSpPr>
      <xdr:spPr bwMode="auto">
        <a:xfrm>
          <a:off x="0" y="0"/>
          <a:ext cx="36957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152400</xdr:rowOff>
        </xdr:from>
        <xdr:to>
          <xdr:col>3</xdr:col>
          <xdr:colOff>1019175</xdr:colOff>
          <xdr:row>17</xdr:row>
          <xdr:rowOff>28575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0</xdr:row>
          <xdr:rowOff>19050</xdr:rowOff>
        </xdr:from>
        <xdr:to>
          <xdr:col>2</xdr:col>
          <xdr:colOff>590550</xdr:colOff>
          <xdr:row>1</xdr:row>
          <xdr:rowOff>28575</xdr:rowOff>
        </xdr:to>
        <xdr:sp macro="" textlink="">
          <xdr:nvSpPr>
            <xdr:cNvPr id="2094" name="Butto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43</xdr:row>
          <xdr:rowOff>95250</xdr:rowOff>
        </xdr:from>
        <xdr:to>
          <xdr:col>1</xdr:col>
          <xdr:colOff>142875</xdr:colOff>
          <xdr:row>44</xdr:row>
          <xdr:rowOff>142875</xdr:rowOff>
        </xdr:to>
        <xdr:sp macro="" textlink="">
          <xdr:nvSpPr>
            <xdr:cNvPr id="2097" name="Butto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66</xdr:row>
          <xdr:rowOff>85725</xdr:rowOff>
        </xdr:from>
        <xdr:to>
          <xdr:col>1</xdr:col>
          <xdr:colOff>161925</xdr:colOff>
          <xdr:row>67</xdr:row>
          <xdr:rowOff>133350</xdr:rowOff>
        </xdr:to>
        <xdr:sp macro="" textlink="">
          <xdr:nvSpPr>
            <xdr:cNvPr id="2098" name="Butto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89</xdr:row>
          <xdr:rowOff>85725</xdr:rowOff>
        </xdr:from>
        <xdr:to>
          <xdr:col>1</xdr:col>
          <xdr:colOff>161925</xdr:colOff>
          <xdr:row>90</xdr:row>
          <xdr:rowOff>133350</xdr:rowOff>
        </xdr:to>
        <xdr:sp macro="" textlink="">
          <xdr:nvSpPr>
            <xdr:cNvPr id="2099" name="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112</xdr:row>
          <xdr:rowOff>85725</xdr:rowOff>
        </xdr:from>
        <xdr:to>
          <xdr:col>1</xdr:col>
          <xdr:colOff>161925</xdr:colOff>
          <xdr:row>113</xdr:row>
          <xdr:rowOff>133350</xdr:rowOff>
        </xdr:to>
        <xdr:sp macro="" textlink="">
          <xdr:nvSpPr>
            <xdr:cNvPr id="2100" name="Butto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135</xdr:row>
          <xdr:rowOff>95250</xdr:rowOff>
        </xdr:from>
        <xdr:to>
          <xdr:col>1</xdr:col>
          <xdr:colOff>133350</xdr:colOff>
          <xdr:row>136</xdr:row>
          <xdr:rowOff>142875</xdr:rowOff>
        </xdr:to>
        <xdr:sp macro="" textlink="">
          <xdr:nvSpPr>
            <xdr:cNvPr id="2101" name="Button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158</xdr:row>
          <xdr:rowOff>76200</xdr:rowOff>
        </xdr:from>
        <xdr:to>
          <xdr:col>1</xdr:col>
          <xdr:colOff>123825</xdr:colOff>
          <xdr:row>159</xdr:row>
          <xdr:rowOff>123825</xdr:rowOff>
        </xdr:to>
        <xdr:sp macro="" textlink="">
          <xdr:nvSpPr>
            <xdr:cNvPr id="2102" name="Butto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181</xdr:row>
          <xdr:rowOff>76200</xdr:rowOff>
        </xdr:from>
        <xdr:to>
          <xdr:col>1</xdr:col>
          <xdr:colOff>123825</xdr:colOff>
          <xdr:row>182</xdr:row>
          <xdr:rowOff>123825</xdr:rowOff>
        </xdr:to>
        <xdr:sp macro="" textlink="">
          <xdr:nvSpPr>
            <xdr:cNvPr id="2103" name="Butto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204</xdr:row>
          <xdr:rowOff>76200</xdr:rowOff>
        </xdr:from>
        <xdr:to>
          <xdr:col>1</xdr:col>
          <xdr:colOff>123825</xdr:colOff>
          <xdr:row>205</xdr:row>
          <xdr:rowOff>123825</xdr:rowOff>
        </xdr:to>
        <xdr:sp macro="" textlink="">
          <xdr:nvSpPr>
            <xdr:cNvPr id="2104" name="Butto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227</xdr:row>
          <xdr:rowOff>76200</xdr:rowOff>
        </xdr:from>
        <xdr:to>
          <xdr:col>1</xdr:col>
          <xdr:colOff>123825</xdr:colOff>
          <xdr:row>228</xdr:row>
          <xdr:rowOff>123825</xdr:rowOff>
        </xdr:to>
        <xdr:sp macro="" textlink="">
          <xdr:nvSpPr>
            <xdr:cNvPr id="2105" name="Butto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249</xdr:row>
          <xdr:rowOff>95250</xdr:rowOff>
        </xdr:from>
        <xdr:to>
          <xdr:col>1</xdr:col>
          <xdr:colOff>142875</xdr:colOff>
          <xdr:row>250</xdr:row>
          <xdr:rowOff>142875</xdr:rowOff>
        </xdr:to>
        <xdr:sp macro="" textlink="">
          <xdr:nvSpPr>
            <xdr:cNvPr id="2106" name="Butto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273</xdr:row>
          <xdr:rowOff>95250</xdr:rowOff>
        </xdr:from>
        <xdr:to>
          <xdr:col>1</xdr:col>
          <xdr:colOff>142875</xdr:colOff>
          <xdr:row>274</xdr:row>
          <xdr:rowOff>142875</xdr:rowOff>
        </xdr:to>
        <xdr:sp macro="" textlink="">
          <xdr:nvSpPr>
            <xdr:cNvPr id="2107" name="Butto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296</xdr:row>
          <xdr:rowOff>95250</xdr:rowOff>
        </xdr:from>
        <xdr:to>
          <xdr:col>1</xdr:col>
          <xdr:colOff>142875</xdr:colOff>
          <xdr:row>297</xdr:row>
          <xdr:rowOff>142875</xdr:rowOff>
        </xdr:to>
        <xdr:sp macro="" textlink="">
          <xdr:nvSpPr>
            <xdr:cNvPr id="2108" name="Button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319</xdr:row>
          <xdr:rowOff>95250</xdr:rowOff>
        </xdr:from>
        <xdr:to>
          <xdr:col>1</xdr:col>
          <xdr:colOff>142875</xdr:colOff>
          <xdr:row>320</xdr:row>
          <xdr:rowOff>142875</xdr:rowOff>
        </xdr:to>
        <xdr:sp macro="" textlink="">
          <xdr:nvSpPr>
            <xdr:cNvPr id="2109" name="Butto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342</xdr:row>
          <xdr:rowOff>95250</xdr:rowOff>
        </xdr:from>
        <xdr:to>
          <xdr:col>1</xdr:col>
          <xdr:colOff>142875</xdr:colOff>
          <xdr:row>343</xdr:row>
          <xdr:rowOff>142875</xdr:rowOff>
        </xdr:to>
        <xdr:sp macro="" textlink="">
          <xdr:nvSpPr>
            <xdr:cNvPr id="2110" name="Butto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365</xdr:row>
          <xdr:rowOff>95250</xdr:rowOff>
        </xdr:from>
        <xdr:to>
          <xdr:col>1</xdr:col>
          <xdr:colOff>142875</xdr:colOff>
          <xdr:row>366</xdr:row>
          <xdr:rowOff>142875</xdr:rowOff>
        </xdr:to>
        <xdr:sp macro="" textlink="">
          <xdr:nvSpPr>
            <xdr:cNvPr id="2111" name="Butto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388</xdr:row>
          <xdr:rowOff>95250</xdr:rowOff>
        </xdr:from>
        <xdr:to>
          <xdr:col>1</xdr:col>
          <xdr:colOff>142875</xdr:colOff>
          <xdr:row>389</xdr:row>
          <xdr:rowOff>142875</xdr:rowOff>
        </xdr:to>
        <xdr:sp macro="" textlink="">
          <xdr:nvSpPr>
            <xdr:cNvPr id="2112" name="Butto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411</xdr:row>
          <xdr:rowOff>95250</xdr:rowOff>
        </xdr:from>
        <xdr:to>
          <xdr:col>1</xdr:col>
          <xdr:colOff>142875</xdr:colOff>
          <xdr:row>412</xdr:row>
          <xdr:rowOff>142875</xdr:rowOff>
        </xdr:to>
        <xdr:sp macro="" textlink="">
          <xdr:nvSpPr>
            <xdr:cNvPr id="2113" name="Button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434</xdr:row>
          <xdr:rowOff>95250</xdr:rowOff>
        </xdr:from>
        <xdr:to>
          <xdr:col>1</xdr:col>
          <xdr:colOff>142875</xdr:colOff>
          <xdr:row>435</xdr:row>
          <xdr:rowOff>142875</xdr:rowOff>
        </xdr:to>
        <xdr:sp macro="" textlink="">
          <xdr:nvSpPr>
            <xdr:cNvPr id="2114" name="Button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457</xdr:row>
          <xdr:rowOff>95250</xdr:rowOff>
        </xdr:from>
        <xdr:to>
          <xdr:col>1</xdr:col>
          <xdr:colOff>142875</xdr:colOff>
          <xdr:row>458</xdr:row>
          <xdr:rowOff>142875</xdr:rowOff>
        </xdr:to>
        <xdr:sp macro="" textlink="">
          <xdr:nvSpPr>
            <xdr:cNvPr id="2115" name="Button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480</xdr:row>
          <xdr:rowOff>95250</xdr:rowOff>
        </xdr:from>
        <xdr:to>
          <xdr:col>1</xdr:col>
          <xdr:colOff>142875</xdr:colOff>
          <xdr:row>481</xdr:row>
          <xdr:rowOff>142875</xdr:rowOff>
        </xdr:to>
        <xdr:sp macro="" textlink="">
          <xdr:nvSpPr>
            <xdr:cNvPr id="2116" name="Button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503</xdr:row>
          <xdr:rowOff>95250</xdr:rowOff>
        </xdr:from>
        <xdr:to>
          <xdr:col>1</xdr:col>
          <xdr:colOff>142875</xdr:colOff>
          <xdr:row>504</xdr:row>
          <xdr:rowOff>142875</xdr:rowOff>
        </xdr:to>
        <xdr:sp macro="" textlink="">
          <xdr:nvSpPr>
            <xdr:cNvPr id="2117" name="Button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526</xdr:row>
          <xdr:rowOff>95250</xdr:rowOff>
        </xdr:from>
        <xdr:to>
          <xdr:col>1</xdr:col>
          <xdr:colOff>142875</xdr:colOff>
          <xdr:row>527</xdr:row>
          <xdr:rowOff>142875</xdr:rowOff>
        </xdr:to>
        <xdr:sp macro="" textlink="">
          <xdr:nvSpPr>
            <xdr:cNvPr id="2118" name="Button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549</xdr:row>
          <xdr:rowOff>95250</xdr:rowOff>
        </xdr:from>
        <xdr:to>
          <xdr:col>1</xdr:col>
          <xdr:colOff>142875</xdr:colOff>
          <xdr:row>550</xdr:row>
          <xdr:rowOff>142875</xdr:rowOff>
        </xdr:to>
        <xdr:sp macro="" textlink="">
          <xdr:nvSpPr>
            <xdr:cNvPr id="2119" name="Button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572</xdr:row>
          <xdr:rowOff>95250</xdr:rowOff>
        </xdr:from>
        <xdr:to>
          <xdr:col>1</xdr:col>
          <xdr:colOff>142875</xdr:colOff>
          <xdr:row>573</xdr:row>
          <xdr:rowOff>142875</xdr:rowOff>
        </xdr:to>
        <xdr:sp macro="" textlink="">
          <xdr:nvSpPr>
            <xdr:cNvPr id="2120" name="Button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595</xdr:row>
          <xdr:rowOff>95250</xdr:rowOff>
        </xdr:from>
        <xdr:to>
          <xdr:col>1</xdr:col>
          <xdr:colOff>142875</xdr:colOff>
          <xdr:row>596</xdr:row>
          <xdr:rowOff>142875</xdr:rowOff>
        </xdr:to>
        <xdr:sp macro="" textlink="">
          <xdr:nvSpPr>
            <xdr:cNvPr id="2121" name="Button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618</xdr:row>
          <xdr:rowOff>95250</xdr:rowOff>
        </xdr:from>
        <xdr:to>
          <xdr:col>1</xdr:col>
          <xdr:colOff>142875</xdr:colOff>
          <xdr:row>619</xdr:row>
          <xdr:rowOff>142875</xdr:rowOff>
        </xdr:to>
        <xdr:sp macro="" textlink="">
          <xdr:nvSpPr>
            <xdr:cNvPr id="2122" name="Button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641</xdr:row>
          <xdr:rowOff>95250</xdr:rowOff>
        </xdr:from>
        <xdr:to>
          <xdr:col>1</xdr:col>
          <xdr:colOff>142875</xdr:colOff>
          <xdr:row>642</xdr:row>
          <xdr:rowOff>142875</xdr:rowOff>
        </xdr:to>
        <xdr:sp macro="" textlink="">
          <xdr:nvSpPr>
            <xdr:cNvPr id="2123" name="Button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664</xdr:row>
          <xdr:rowOff>95250</xdr:rowOff>
        </xdr:from>
        <xdr:to>
          <xdr:col>1</xdr:col>
          <xdr:colOff>142875</xdr:colOff>
          <xdr:row>665</xdr:row>
          <xdr:rowOff>142875</xdr:rowOff>
        </xdr:to>
        <xdr:sp macro="" textlink="">
          <xdr:nvSpPr>
            <xdr:cNvPr id="2124" name="Button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687</xdr:row>
          <xdr:rowOff>95250</xdr:rowOff>
        </xdr:from>
        <xdr:to>
          <xdr:col>1</xdr:col>
          <xdr:colOff>142875</xdr:colOff>
          <xdr:row>688</xdr:row>
          <xdr:rowOff>142875</xdr:rowOff>
        </xdr:to>
        <xdr:sp macro="" textlink="">
          <xdr:nvSpPr>
            <xdr:cNvPr id="2125" name="Button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710</xdr:row>
          <xdr:rowOff>95250</xdr:rowOff>
        </xdr:from>
        <xdr:to>
          <xdr:col>1</xdr:col>
          <xdr:colOff>142875</xdr:colOff>
          <xdr:row>711</xdr:row>
          <xdr:rowOff>142875</xdr:rowOff>
        </xdr:to>
        <xdr:sp macro="" textlink="">
          <xdr:nvSpPr>
            <xdr:cNvPr id="2126" name="Button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733</xdr:row>
          <xdr:rowOff>95250</xdr:rowOff>
        </xdr:from>
        <xdr:to>
          <xdr:col>1</xdr:col>
          <xdr:colOff>142875</xdr:colOff>
          <xdr:row>734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756</xdr:row>
          <xdr:rowOff>95250</xdr:rowOff>
        </xdr:from>
        <xdr:to>
          <xdr:col>1</xdr:col>
          <xdr:colOff>142875</xdr:colOff>
          <xdr:row>757</xdr:row>
          <xdr:rowOff>142875</xdr:rowOff>
        </xdr:to>
        <xdr:sp macro="" textlink="">
          <xdr:nvSpPr>
            <xdr:cNvPr id="2128" name="Button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ildwood\abc\plants\assetvalu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ami"/>
      <sheetName val="Input-Output"/>
      <sheetName val="Detailed"/>
      <sheetName val="Assumptions"/>
      <sheetName val="Summary"/>
      <sheetName val="Cayuga"/>
      <sheetName val="Conesville"/>
      <sheetName val="EastBend"/>
      <sheetName val="Edwardsport"/>
      <sheetName val="Gallagher"/>
      <sheetName val="Gibson"/>
      <sheetName val="Sheet1"/>
      <sheetName val="Miami Fort"/>
      <sheetName val="Stuart"/>
      <sheetName val="Killen"/>
      <sheetName val="Noblesville"/>
      <sheetName val="Wabash River"/>
      <sheetName val="Zimmer"/>
      <sheetName val="Beckjord"/>
      <sheetName val="Markland"/>
      <sheetName val="Peakers"/>
      <sheetName val="Unit Data"/>
      <sheetName val="Tech Decisions"/>
      <sheetName val="IP-Annual MWh"/>
      <sheetName val="IP-MMBtus"/>
      <sheetName val="IP-NOx MMBtus"/>
      <sheetName val="IP-SO2"/>
      <sheetName val="IP-NOx"/>
      <sheetName val="IP-CO2"/>
      <sheetName val="IP-Total Revenues"/>
      <sheetName val="IP-Fuel Costs"/>
      <sheetName val="IP-VOM"/>
      <sheetName val="IP-SO2 Costs"/>
      <sheetName val="IP-NOx Costs"/>
      <sheetName val="IP-CO2 Costs"/>
      <sheetName val="IP-Fixed Costs"/>
      <sheetName val="IP-Valuation"/>
      <sheetName val="IP-Tech Decisions"/>
      <sheetName val="Asset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CK2" t="str">
            <v>Cayuga 1</v>
          </cell>
          <cell r="CL2" t="str">
            <v>Cap Ads exc Env Cap Adds</v>
          </cell>
          <cell r="CM2">
            <v>3002733.3900243151</v>
          </cell>
          <cell r="CN2">
            <v>3061867.6874048808</v>
          </cell>
          <cell r="CO2">
            <v>3126473.095609141</v>
          </cell>
          <cell r="CP2">
            <v>3194942.8564029844</v>
          </cell>
          <cell r="CQ2">
            <v>3267148.5649576681</v>
          </cell>
          <cell r="CR2">
            <v>3344906.7008036673</v>
          </cell>
          <cell r="CS2">
            <v>3428730.3989952905</v>
          </cell>
          <cell r="CT2">
            <v>3513772.4648931907</v>
          </cell>
          <cell r="CU2">
            <v>3602713.3074511765</v>
          </cell>
          <cell r="CV2">
            <v>3691700.3261452252</v>
          </cell>
          <cell r="CW2">
            <v>3782885.3242010172</v>
          </cell>
          <cell r="CX2">
            <v>3879348.8999681291</v>
          </cell>
          <cell r="CY2">
            <v>3978272.2969173016</v>
          </cell>
          <cell r="CZ2">
            <v>4079718.2404886778</v>
          </cell>
          <cell r="DA2">
            <v>4183751.0556211234</v>
          </cell>
          <cell r="DB2">
            <v>4290436.7075394467</v>
          </cell>
          <cell r="DC2">
            <v>4399842.8435816858</v>
          </cell>
          <cell r="DD2">
            <v>4512038.836093002</v>
          </cell>
          <cell r="DE2">
            <v>4627095.8264133567</v>
          </cell>
          <cell r="DF2">
            <v>4745086.76998688</v>
          </cell>
        </row>
        <row r="3">
          <cell r="CK3" t="str">
            <v>Cayuga 2</v>
          </cell>
          <cell r="CL3" t="str">
            <v>Cap Ads exc Env Cap Adds</v>
          </cell>
          <cell r="CM3">
            <v>2973003.3564597177</v>
          </cell>
          <cell r="CN3">
            <v>3031552.1657474064</v>
          </cell>
          <cell r="CO3">
            <v>3095517.9164446937</v>
          </cell>
          <cell r="CP3">
            <v>3163309.7588148359</v>
          </cell>
          <cell r="CQ3">
            <v>3234800.5593640278</v>
          </cell>
          <cell r="CR3">
            <v>3311788.8126768982</v>
          </cell>
          <cell r="CS3">
            <v>3394782.5732626636</v>
          </cell>
          <cell r="CT3">
            <v>3478982.6385081094</v>
          </cell>
          <cell r="CU3">
            <v>3567042.8786645308</v>
          </cell>
          <cell r="CV3">
            <v>3655148.8377675498</v>
          </cell>
          <cell r="CW3">
            <v>3745431.014060413</v>
          </cell>
          <cell r="CX3">
            <v>3840939.5049189394</v>
          </cell>
          <cell r="CY3">
            <v>3938883.4622943583</v>
          </cell>
          <cell r="CZ3">
            <v>4039324.9905828494</v>
          </cell>
          <cell r="DA3">
            <v>4142327.7778426968</v>
          </cell>
          <cell r="DB3">
            <v>4247957.1361776693</v>
          </cell>
          <cell r="DC3">
            <v>4356280.0431501837</v>
          </cell>
          <cell r="DD3">
            <v>4467365.1842504973</v>
          </cell>
          <cell r="DE3">
            <v>4581282.996448868</v>
          </cell>
          <cell r="DF3">
            <v>4698105.7128582969</v>
          </cell>
        </row>
        <row r="4">
          <cell r="CK4" t="str">
            <v>Conesville 4</v>
          </cell>
          <cell r="CL4" t="str">
            <v>Cap Ads exc Env Cap Adds</v>
          </cell>
          <cell r="CM4">
            <v>742314.30799127719</v>
          </cell>
          <cell r="CN4">
            <v>756933.06674769474</v>
          </cell>
          <cell r="CO4">
            <v>772904.35445607523</v>
          </cell>
          <cell r="CP4">
            <v>789830.95981866412</v>
          </cell>
          <cell r="CQ4">
            <v>807681.13951056008</v>
          </cell>
          <cell r="CR4">
            <v>826903.95063091314</v>
          </cell>
          <cell r="CS4">
            <v>847626.2467638643</v>
          </cell>
          <cell r="CT4">
            <v>868649.73906153953</v>
          </cell>
          <cell r="CU4">
            <v>890637.05908633128</v>
          </cell>
          <cell r="CV4">
            <v>912635.79444576486</v>
          </cell>
          <cell r="CW4">
            <v>935177.89856857632</v>
          </cell>
          <cell r="CX4">
            <v>959024.93498207151</v>
          </cell>
          <cell r="CY4">
            <v>983480.07082411065</v>
          </cell>
          <cell r="CZ4">
            <v>1008558.8126301217</v>
          </cell>
          <cell r="DA4">
            <v>1034277.0623521861</v>
          </cell>
          <cell r="DB4">
            <v>1060651.1274421629</v>
          </cell>
          <cell r="DC4">
            <v>1087697.7311919341</v>
          </cell>
          <cell r="DD4">
            <v>1115434.0233373244</v>
          </cell>
          <cell r="DE4">
            <v>1143877.5909324219</v>
          </cell>
          <cell r="DF4">
            <v>1173046.4695011943</v>
          </cell>
        </row>
        <row r="5">
          <cell r="CK5" t="str">
            <v>East Bend 2</v>
          </cell>
          <cell r="CL5" t="str">
            <v>Cap Ads exc Env Cap Adds</v>
          </cell>
          <cell r="CM5">
            <v>2351936.5720304069</v>
          </cell>
          <cell r="CN5">
            <v>2398254.4093491402</v>
          </cell>
          <cell r="CO5">
            <v>2448857.5773864207</v>
          </cell>
          <cell r="CP5">
            <v>2502487.558331186</v>
          </cell>
          <cell r="CQ5">
            <v>2559043.7771494524</v>
          </cell>
          <cell r="CR5">
            <v>2619949.0190456142</v>
          </cell>
          <cell r="CS5">
            <v>2685605.2048510816</v>
          </cell>
          <cell r="CT5">
            <v>2752215.6956827943</v>
          </cell>
          <cell r="CU5">
            <v>2821879.9625984896</v>
          </cell>
          <cell r="CV5">
            <v>2891580.397674676</v>
          </cell>
          <cell r="CW5">
            <v>2963002.433497244</v>
          </cell>
          <cell r="CX5">
            <v>3038558.9955514125</v>
          </cell>
          <cell r="CY5">
            <v>3116042.2499379618</v>
          </cell>
          <cell r="CZ5">
            <v>3195501.3273113682</v>
          </cell>
          <cell r="DA5">
            <v>3276986.6111577959</v>
          </cell>
          <cell r="DB5">
            <v>3360549.7697423077</v>
          </cell>
          <cell r="DC5">
            <v>3446243.7888707239</v>
          </cell>
          <cell r="DD5">
            <v>3534123.0054869144</v>
          </cell>
          <cell r="DE5">
            <v>3624243.1421268173</v>
          </cell>
          <cell r="DF5">
            <v>3716661.3422510372</v>
          </cell>
        </row>
        <row r="6">
          <cell r="CK6" t="str">
            <v>Edwardsport 6</v>
          </cell>
          <cell r="CL6" t="str">
            <v>Cap Ads exc Env Cap Adds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</row>
        <row r="7">
          <cell r="CK7" t="str">
            <v>Edwardsport 7</v>
          </cell>
          <cell r="CL7" t="str">
            <v>Cap Ads exc Env Cap Adds</v>
          </cell>
          <cell r="CM7">
            <v>329698.92632780888</v>
          </cell>
          <cell r="CN7">
            <v>336191.84855003923</v>
          </cell>
          <cell r="CO7">
            <v>343285.49655444693</v>
          </cell>
          <cell r="CP7">
            <v>350803.4489289897</v>
          </cell>
          <cell r="CQ7">
            <v>358731.6068747823</v>
          </cell>
          <cell r="CR7">
            <v>367269.41911840282</v>
          </cell>
          <cell r="CS7">
            <v>376473.22768376488</v>
          </cell>
          <cell r="CT7">
            <v>385810.81253641454</v>
          </cell>
          <cell r="CU7">
            <v>395576.48150838452</v>
          </cell>
          <cell r="CV7">
            <v>405347.2206016421</v>
          </cell>
          <cell r="CW7">
            <v>415359.29695050319</v>
          </cell>
          <cell r="CX7">
            <v>425950.95902273949</v>
          </cell>
          <cell r="CY7">
            <v>436812.70847781771</v>
          </cell>
          <cell r="CZ7">
            <v>447951.43254400045</v>
          </cell>
          <cell r="DA7">
            <v>459374.19407387078</v>
          </cell>
          <cell r="DB7">
            <v>471088.23602275277</v>
          </cell>
          <cell r="DC7">
            <v>483100.9860413312</v>
          </cell>
          <cell r="DD7">
            <v>495420.0611853833</v>
          </cell>
          <cell r="DE7">
            <v>508053.27274560876</v>
          </cell>
          <cell r="DF7">
            <v>521008.63120061992</v>
          </cell>
        </row>
        <row r="8">
          <cell r="CK8" t="str">
            <v>Edwardsport 8</v>
          </cell>
          <cell r="CL8" t="str">
            <v>Cap Ads exc Env Cap Adds</v>
          </cell>
          <cell r="CM8">
            <v>549498.21054634824</v>
          </cell>
          <cell r="CN8">
            <v>560319.74758339871</v>
          </cell>
          <cell r="CO8">
            <v>572142.49425741157</v>
          </cell>
          <cell r="CP8">
            <v>584672.41488164954</v>
          </cell>
          <cell r="CQ8">
            <v>597886.01145797048</v>
          </cell>
          <cell r="CR8">
            <v>612115.69853067142</v>
          </cell>
          <cell r="CS8">
            <v>627455.37947294151</v>
          </cell>
          <cell r="CT8">
            <v>643018.02089402429</v>
          </cell>
          <cell r="CU8">
            <v>659294.13584730751</v>
          </cell>
          <cell r="CV8">
            <v>675578.70100273693</v>
          </cell>
          <cell r="CW8">
            <v>692265.49491750542</v>
          </cell>
          <cell r="CX8">
            <v>709918.26503789925</v>
          </cell>
          <cell r="CY8">
            <v>728021.18079636304</v>
          </cell>
          <cell r="CZ8">
            <v>746585.72090666753</v>
          </cell>
          <cell r="DA8">
            <v>765623.65678978467</v>
          </cell>
          <cell r="DB8">
            <v>785147.0600379213</v>
          </cell>
          <cell r="DC8">
            <v>805168.31006888533</v>
          </cell>
          <cell r="DD8">
            <v>825700.10197563889</v>
          </cell>
          <cell r="DE8">
            <v>846755.45457601454</v>
          </cell>
          <cell r="DF8">
            <v>868347.71866769984</v>
          </cell>
        </row>
        <row r="9">
          <cell r="CK9" t="str">
            <v>Gallagher 1</v>
          </cell>
          <cell r="CL9" t="str">
            <v>Cap Ads exc Env Cap Adds</v>
          </cell>
          <cell r="CM9">
            <v>1425188.7424897016</v>
          </cell>
          <cell r="CN9">
            <v>1453255.6814999406</v>
          </cell>
          <cell r="CO9">
            <v>1483919.3763795975</v>
          </cell>
          <cell r="CP9">
            <v>1516417.2107223123</v>
          </cell>
          <cell r="CQ9">
            <v>1550688.2396846253</v>
          </cell>
          <cell r="CR9">
            <v>1587594.6197891226</v>
          </cell>
          <cell r="CS9">
            <v>1627379.9005647788</v>
          </cell>
          <cell r="CT9">
            <v>1667743.4557703156</v>
          </cell>
          <cell r="CU9">
            <v>1709957.489151469</v>
          </cell>
          <cell r="CV9">
            <v>1752193.4391335123</v>
          </cell>
          <cell r="CW9">
            <v>1795472.6170801125</v>
          </cell>
          <cell r="CX9">
            <v>1841257.1688156486</v>
          </cell>
          <cell r="CY9">
            <v>1888209.2266204408</v>
          </cell>
          <cell r="CZ9">
            <v>1936358.561899255</v>
          </cell>
          <cell r="DA9">
            <v>1985735.7052276789</v>
          </cell>
          <cell r="DB9">
            <v>2036371.9657109773</v>
          </cell>
          <cell r="DC9">
            <v>2088299.4508365996</v>
          </cell>
          <cell r="DD9">
            <v>2141551.0868329247</v>
          </cell>
          <cell r="DE9">
            <v>2196160.6395471562</v>
          </cell>
          <cell r="DF9">
            <v>2252162.7358556003</v>
          </cell>
        </row>
        <row r="10">
          <cell r="CK10" t="str">
            <v>Gallagher 2</v>
          </cell>
          <cell r="CL10" t="str">
            <v>Cap Ads exc Env Cap Adds</v>
          </cell>
          <cell r="CM10">
            <v>1425188.7424897016</v>
          </cell>
          <cell r="CN10">
            <v>1453255.6814999406</v>
          </cell>
          <cell r="CO10">
            <v>1483919.3763795975</v>
          </cell>
          <cell r="CP10">
            <v>1516417.2107223123</v>
          </cell>
          <cell r="CQ10">
            <v>1550688.2396846253</v>
          </cell>
          <cell r="CR10">
            <v>1587594.6197891226</v>
          </cell>
          <cell r="CS10">
            <v>1627379.9005647788</v>
          </cell>
          <cell r="CT10">
            <v>1667743.4557703156</v>
          </cell>
          <cell r="CU10">
            <v>1709957.489151469</v>
          </cell>
          <cell r="CV10">
            <v>1752193.4391335123</v>
          </cell>
          <cell r="CW10">
            <v>1795472.6170801125</v>
          </cell>
          <cell r="CX10">
            <v>1841257.1688156486</v>
          </cell>
          <cell r="CY10">
            <v>1888209.2266204408</v>
          </cell>
          <cell r="CZ10">
            <v>1936358.561899255</v>
          </cell>
          <cell r="DA10">
            <v>1985735.7052276789</v>
          </cell>
          <cell r="DB10">
            <v>2036371.9657109773</v>
          </cell>
          <cell r="DC10">
            <v>2088299.4508365996</v>
          </cell>
          <cell r="DD10">
            <v>2141551.0868329247</v>
          </cell>
          <cell r="DE10">
            <v>2196160.6395471562</v>
          </cell>
          <cell r="DF10">
            <v>2252162.7358556003</v>
          </cell>
        </row>
        <row r="11">
          <cell r="CK11" t="str">
            <v>Gallagher 3</v>
          </cell>
          <cell r="CL11" t="str">
            <v>Cap Ads exc Env Cap Adds</v>
          </cell>
          <cell r="CM11">
            <v>1425188.7424897016</v>
          </cell>
          <cell r="CN11">
            <v>1453255.6814999406</v>
          </cell>
          <cell r="CO11">
            <v>1483919.3763795975</v>
          </cell>
          <cell r="CP11">
            <v>1516417.2107223123</v>
          </cell>
          <cell r="CQ11">
            <v>1550688.2396846253</v>
          </cell>
          <cell r="CR11">
            <v>1587594.6197891226</v>
          </cell>
          <cell r="CS11">
            <v>1627379.9005647788</v>
          </cell>
          <cell r="CT11">
            <v>1667743.4557703156</v>
          </cell>
          <cell r="CU11">
            <v>1709957.489151469</v>
          </cell>
          <cell r="CV11">
            <v>1752193.4391335123</v>
          </cell>
          <cell r="CW11">
            <v>1795472.6170801125</v>
          </cell>
          <cell r="CX11">
            <v>1841257.1688156486</v>
          </cell>
          <cell r="CY11">
            <v>1888209.2266204408</v>
          </cell>
          <cell r="CZ11">
            <v>1936358.561899255</v>
          </cell>
          <cell r="DA11">
            <v>1985735.7052276789</v>
          </cell>
          <cell r="DB11">
            <v>2036371.9657109773</v>
          </cell>
          <cell r="DC11">
            <v>2088299.4508365996</v>
          </cell>
          <cell r="DD11">
            <v>2141551.0868329247</v>
          </cell>
          <cell r="DE11">
            <v>2196160.6395471562</v>
          </cell>
          <cell r="DF11">
            <v>2252162.7358556003</v>
          </cell>
        </row>
        <row r="12">
          <cell r="CK12" t="str">
            <v>Gallagher 4</v>
          </cell>
          <cell r="CL12" t="str">
            <v>Cap Ads exc Env Cap Adds</v>
          </cell>
          <cell r="CM12">
            <v>1425188.7424897016</v>
          </cell>
          <cell r="CN12">
            <v>1453255.6814999406</v>
          </cell>
          <cell r="CO12">
            <v>1483919.3763795975</v>
          </cell>
          <cell r="CP12">
            <v>1516417.2107223123</v>
          </cell>
          <cell r="CQ12">
            <v>1550688.2396846253</v>
          </cell>
          <cell r="CR12">
            <v>1587594.6197891226</v>
          </cell>
          <cell r="CS12">
            <v>1627379.9005647788</v>
          </cell>
          <cell r="CT12">
            <v>1667743.4557703156</v>
          </cell>
          <cell r="CU12">
            <v>1709957.489151469</v>
          </cell>
          <cell r="CV12">
            <v>1752193.4391335123</v>
          </cell>
          <cell r="CW12">
            <v>1795472.6170801125</v>
          </cell>
          <cell r="CX12">
            <v>1841257.1688156486</v>
          </cell>
          <cell r="CY12">
            <v>1888209.2266204408</v>
          </cell>
          <cell r="CZ12">
            <v>1936358.561899255</v>
          </cell>
          <cell r="DA12">
            <v>1985735.7052276789</v>
          </cell>
          <cell r="DB12">
            <v>2036371.9657109773</v>
          </cell>
          <cell r="DC12">
            <v>2088299.4508365996</v>
          </cell>
          <cell r="DD12">
            <v>2141551.0868329247</v>
          </cell>
          <cell r="DE12">
            <v>2196160.6395471562</v>
          </cell>
          <cell r="DF12">
            <v>2252162.7358556003</v>
          </cell>
        </row>
        <row r="13">
          <cell r="CK13" t="str">
            <v>Gibson 1</v>
          </cell>
          <cell r="CL13" t="str">
            <v>Cap Ads exc Env Cap Adds</v>
          </cell>
          <cell r="CM13">
            <v>2726005.6318568364</v>
          </cell>
          <cell r="CN13">
            <v>2779690.1941396086</v>
          </cell>
          <cell r="CO13">
            <v>2838341.6572359698</v>
          </cell>
          <cell r="CP13">
            <v>2900501.3395294403</v>
          </cell>
          <cell r="CQ13">
            <v>2966052.6698027845</v>
          </cell>
          <cell r="CR13">
            <v>3036644.7233440969</v>
          </cell>
          <cell r="CS13">
            <v>3112743.3453904521</v>
          </cell>
          <cell r="CT13">
            <v>3189948.0520595778</v>
          </cell>
          <cell r="CU13">
            <v>3270692.2295215661</v>
          </cell>
          <cell r="CV13">
            <v>3351478.3275907533</v>
          </cell>
          <cell r="CW13">
            <v>3434259.8422822491</v>
          </cell>
          <cell r="CX13">
            <v>3521833.468260434</v>
          </cell>
          <cell r="CY13">
            <v>3611640.2217010618</v>
          </cell>
          <cell r="CZ13">
            <v>3703737.0473544258</v>
          </cell>
          <cell r="DA13">
            <v>3798182.3420619494</v>
          </cell>
          <cell r="DB13">
            <v>3895035.9917845144</v>
          </cell>
          <cell r="DC13">
            <v>3994359.4095750046</v>
          </cell>
          <cell r="DD13">
            <v>4096215.5745191518</v>
          </cell>
          <cell r="DE13">
            <v>4200669.0716693746</v>
          </cell>
          <cell r="DF13">
            <v>4307786.1329969279</v>
          </cell>
        </row>
        <row r="14">
          <cell r="CK14" t="str">
            <v>Gibson 2</v>
          </cell>
          <cell r="CL14" t="str">
            <v>Cap Ads exc Env Cap Adds</v>
          </cell>
          <cell r="CM14">
            <v>2726005.6318568364</v>
          </cell>
          <cell r="CN14">
            <v>2779690.1941396086</v>
          </cell>
          <cell r="CO14">
            <v>2838341.6572359698</v>
          </cell>
          <cell r="CP14">
            <v>2900501.3395294403</v>
          </cell>
          <cell r="CQ14">
            <v>2966052.6698027845</v>
          </cell>
          <cell r="CR14">
            <v>3036644.7233440969</v>
          </cell>
          <cell r="CS14">
            <v>3112743.3453904521</v>
          </cell>
          <cell r="CT14">
            <v>3189948.0520595778</v>
          </cell>
          <cell r="CU14">
            <v>3270692.2295215661</v>
          </cell>
          <cell r="CV14">
            <v>3351478.3275907533</v>
          </cell>
          <cell r="CW14">
            <v>3434259.8422822491</v>
          </cell>
          <cell r="CX14">
            <v>3521833.468260434</v>
          </cell>
          <cell r="CY14">
            <v>3611640.2217010618</v>
          </cell>
          <cell r="CZ14">
            <v>3703737.0473544258</v>
          </cell>
          <cell r="DA14">
            <v>3798182.3420619494</v>
          </cell>
          <cell r="DB14">
            <v>3895035.9917845144</v>
          </cell>
          <cell r="DC14">
            <v>3994359.4095750046</v>
          </cell>
          <cell r="DD14">
            <v>4096215.5745191518</v>
          </cell>
          <cell r="DE14">
            <v>4200669.0716693746</v>
          </cell>
          <cell r="DF14">
            <v>4307786.1329969279</v>
          </cell>
        </row>
        <row r="15">
          <cell r="CK15" t="str">
            <v>Gibson 3</v>
          </cell>
          <cell r="CL15" t="str">
            <v>Cap Ads exc Env Cap Adds</v>
          </cell>
          <cell r="CM15">
            <v>2726005.6318568364</v>
          </cell>
          <cell r="CN15">
            <v>2779690.1941396086</v>
          </cell>
          <cell r="CO15">
            <v>2838341.6572359698</v>
          </cell>
          <cell r="CP15">
            <v>2900501.3395294403</v>
          </cell>
          <cell r="CQ15">
            <v>2966052.6698027845</v>
          </cell>
          <cell r="CR15">
            <v>3036644.7233440969</v>
          </cell>
          <cell r="CS15">
            <v>3112743.3453904521</v>
          </cell>
          <cell r="CT15">
            <v>3189948.0520595778</v>
          </cell>
          <cell r="CU15">
            <v>3270692.2295215661</v>
          </cell>
          <cell r="CV15">
            <v>3351478.3275907533</v>
          </cell>
          <cell r="CW15">
            <v>3434259.8422822491</v>
          </cell>
          <cell r="CX15">
            <v>3521833.468260434</v>
          </cell>
          <cell r="CY15">
            <v>3611640.2217010618</v>
          </cell>
          <cell r="CZ15">
            <v>3703737.0473544258</v>
          </cell>
          <cell r="DA15">
            <v>3798182.3420619494</v>
          </cell>
          <cell r="DB15">
            <v>3895035.9917845144</v>
          </cell>
          <cell r="DC15">
            <v>3994359.4095750046</v>
          </cell>
          <cell r="DD15">
            <v>4096215.5745191518</v>
          </cell>
          <cell r="DE15">
            <v>4200669.0716693746</v>
          </cell>
          <cell r="DF15">
            <v>4307786.1329969279</v>
          </cell>
        </row>
        <row r="16">
          <cell r="CK16" t="str">
            <v>Gibson 4</v>
          </cell>
          <cell r="CL16" t="str">
            <v>Cap Ads exc Env Cap Adds</v>
          </cell>
          <cell r="CM16">
            <v>2691662.2538176957</v>
          </cell>
          <cell r="CN16">
            <v>2744670.4751583221</v>
          </cell>
          <cell r="CO16">
            <v>2802583.0221841782</v>
          </cell>
          <cell r="CP16">
            <v>2863959.5903700148</v>
          </cell>
          <cell r="CQ16">
            <v>2928685.0771123557</v>
          </cell>
          <cell r="CR16">
            <v>2998387.781947636</v>
          </cell>
          <cell r="CS16">
            <v>3073527.6811965569</v>
          </cell>
          <cell r="CT16">
            <v>3149759.730143867</v>
          </cell>
          <cell r="CU16">
            <v>3229486.6581260194</v>
          </cell>
          <cell r="CV16">
            <v>3309254.9785817363</v>
          </cell>
          <cell r="CW16">
            <v>3390993.57655271</v>
          </cell>
          <cell r="CX16">
            <v>3477463.9127547909</v>
          </cell>
          <cell r="CY16">
            <v>3566139.2425300246</v>
          </cell>
          <cell r="CZ16">
            <v>3657075.7932145265</v>
          </cell>
          <cell r="DA16">
            <v>3750331.2259414829</v>
          </cell>
          <cell r="DB16">
            <v>3845964.6722029764</v>
          </cell>
          <cell r="DC16">
            <v>3944036.7713441378</v>
          </cell>
          <cell r="DD16">
            <v>4044609.7090133987</v>
          </cell>
          <cell r="DE16">
            <v>4147747.2565932251</v>
          </cell>
          <cell r="DF16">
            <v>4253514.8116363371</v>
          </cell>
        </row>
        <row r="17">
          <cell r="CK17" t="str">
            <v>Gibson 5</v>
          </cell>
          <cell r="CL17" t="str">
            <v>Cap Ads exc Env Cap Adds</v>
          </cell>
          <cell r="CM17">
            <v>1342879.7428586092</v>
          </cell>
          <cell r="CN17">
            <v>1369325.7304792069</v>
          </cell>
          <cell r="CO17">
            <v>1398218.5033923259</v>
          </cell>
          <cell r="CP17">
            <v>1428839.4886166193</v>
          </cell>
          <cell r="CQ17">
            <v>1461131.2610593443</v>
          </cell>
          <cell r="CR17">
            <v>1495906.1850725596</v>
          </cell>
          <cell r="CS17">
            <v>1533393.7444566158</v>
          </cell>
          <cell r="CT17">
            <v>1571426.1811573021</v>
          </cell>
          <cell r="CU17">
            <v>1611202.225271205</v>
          </cell>
          <cell r="CV17">
            <v>1650998.9202354057</v>
          </cell>
          <cell r="CW17">
            <v>1691778.5935652226</v>
          </cell>
          <cell r="CX17">
            <v>1734918.9477011294</v>
          </cell>
          <cell r="CY17">
            <v>1779159.3808675017</v>
          </cell>
          <cell r="CZ17">
            <v>1824527.9450796163</v>
          </cell>
          <cell r="DA17">
            <v>1871053.4076791396</v>
          </cell>
          <cell r="DB17">
            <v>1918765.2695749507</v>
          </cell>
          <cell r="DC17">
            <v>1967693.7839491046</v>
          </cell>
          <cell r="DD17">
            <v>2017869.9754397993</v>
          </cell>
          <cell r="DE17">
            <v>2069325.6598135065</v>
          </cell>
          <cell r="DF17">
            <v>2122093.464138743</v>
          </cell>
        </row>
        <row r="18">
          <cell r="CK18" t="str">
            <v>J.M. Stuart 1</v>
          </cell>
          <cell r="CL18" t="str">
            <v>Cap Ads exc Env Cap Adds</v>
          </cell>
          <cell r="CM18">
            <v>1109097.4200410084</v>
          </cell>
          <cell r="CN18">
            <v>1130939.418028113</v>
          </cell>
          <cell r="CO18">
            <v>1154802.2397485126</v>
          </cell>
          <cell r="CP18">
            <v>1180092.4087990061</v>
          </cell>
          <cell r="CQ18">
            <v>1206762.4972378551</v>
          </cell>
          <cell r="CR18">
            <v>1235483.4446721184</v>
          </cell>
          <cell r="CS18">
            <v>1266444.7840009732</v>
          </cell>
          <cell r="CT18">
            <v>1297856.1427968184</v>
          </cell>
          <cell r="CU18">
            <v>1330707.5638870329</v>
          </cell>
          <cell r="CV18">
            <v>1363576.0407150444</v>
          </cell>
          <cell r="CW18">
            <v>1397256.3689207076</v>
          </cell>
          <cell r="CX18">
            <v>1432886.4063281803</v>
          </cell>
          <cell r="CY18">
            <v>1469425.0096895436</v>
          </cell>
          <cell r="CZ18">
            <v>1506895.3474366213</v>
          </cell>
          <cell r="DA18">
            <v>1545321.1787962494</v>
          </cell>
          <cell r="DB18">
            <v>1584726.8688555481</v>
          </cell>
          <cell r="DC18">
            <v>1625137.4040113585</v>
          </cell>
          <cell r="DD18">
            <v>1666578.4078136419</v>
          </cell>
          <cell r="DE18">
            <v>1709076.1572128835</v>
          </cell>
          <cell r="DF18">
            <v>1752657.5992218056</v>
          </cell>
        </row>
        <row r="19">
          <cell r="CK19" t="str">
            <v>J.M. Stuart 2</v>
          </cell>
          <cell r="CL19" t="str">
            <v>Cap Ads exc Env Cap Adds</v>
          </cell>
          <cell r="CM19">
            <v>1109097.4200410084</v>
          </cell>
          <cell r="CN19">
            <v>1130939.418028113</v>
          </cell>
          <cell r="CO19">
            <v>1154802.2397485126</v>
          </cell>
          <cell r="CP19">
            <v>1180092.4087990061</v>
          </cell>
          <cell r="CQ19">
            <v>1206762.4972378551</v>
          </cell>
          <cell r="CR19">
            <v>1235483.4446721184</v>
          </cell>
          <cell r="CS19">
            <v>1266444.7840009732</v>
          </cell>
          <cell r="CT19">
            <v>1297856.1427968184</v>
          </cell>
          <cell r="CU19">
            <v>1330707.5638870329</v>
          </cell>
          <cell r="CV19">
            <v>1363576.0407150444</v>
          </cell>
          <cell r="CW19">
            <v>1397256.3689207076</v>
          </cell>
          <cell r="CX19">
            <v>1432886.4063281803</v>
          </cell>
          <cell r="CY19">
            <v>1469425.0096895436</v>
          </cell>
          <cell r="CZ19">
            <v>1506895.3474366213</v>
          </cell>
          <cell r="DA19">
            <v>1545321.1787962494</v>
          </cell>
          <cell r="DB19">
            <v>1584726.8688555481</v>
          </cell>
          <cell r="DC19">
            <v>1625137.4040113585</v>
          </cell>
          <cell r="DD19">
            <v>1666578.4078136419</v>
          </cell>
          <cell r="DE19">
            <v>1709076.1572128835</v>
          </cell>
          <cell r="DF19">
            <v>1752657.5992218056</v>
          </cell>
        </row>
        <row r="20">
          <cell r="CK20" t="str">
            <v>J.M. Stuart 3</v>
          </cell>
          <cell r="CL20" t="str">
            <v>Cap Ads exc Env Cap Adds</v>
          </cell>
          <cell r="CM20">
            <v>1109097.4200410084</v>
          </cell>
          <cell r="CN20">
            <v>1130939.418028113</v>
          </cell>
          <cell r="CO20">
            <v>1154802.2397485126</v>
          </cell>
          <cell r="CP20">
            <v>1180092.4087990061</v>
          </cell>
          <cell r="CQ20">
            <v>1206762.4972378551</v>
          </cell>
          <cell r="CR20">
            <v>1235483.4446721184</v>
          </cell>
          <cell r="CS20">
            <v>1266444.7840009732</v>
          </cell>
          <cell r="CT20">
            <v>1297856.1427968184</v>
          </cell>
          <cell r="CU20">
            <v>1330707.5638870329</v>
          </cell>
          <cell r="CV20">
            <v>1363576.0407150444</v>
          </cell>
          <cell r="CW20">
            <v>1397256.3689207076</v>
          </cell>
          <cell r="CX20">
            <v>1432886.4063281803</v>
          </cell>
          <cell r="CY20">
            <v>1469425.0096895436</v>
          </cell>
          <cell r="CZ20">
            <v>1506895.3474366213</v>
          </cell>
          <cell r="DA20">
            <v>1545321.1787962494</v>
          </cell>
          <cell r="DB20">
            <v>1584726.8688555481</v>
          </cell>
          <cell r="DC20">
            <v>1625137.4040113585</v>
          </cell>
          <cell r="DD20">
            <v>1666578.4078136419</v>
          </cell>
          <cell r="DE20">
            <v>1709076.1572128835</v>
          </cell>
          <cell r="DF20">
            <v>1752657.5992218056</v>
          </cell>
        </row>
        <row r="21">
          <cell r="CK21" t="str">
            <v>J.M. Stuart 4</v>
          </cell>
          <cell r="CL21" t="str">
            <v>Cap Ads exc Env Cap Adds</v>
          </cell>
          <cell r="CM21">
            <v>1109097.4200410084</v>
          </cell>
          <cell r="CN21">
            <v>1130939.418028113</v>
          </cell>
          <cell r="CO21">
            <v>1154802.2397485126</v>
          </cell>
          <cell r="CP21">
            <v>1180092.4087990061</v>
          </cell>
          <cell r="CQ21">
            <v>1206762.4972378551</v>
          </cell>
          <cell r="CR21">
            <v>1235483.4446721184</v>
          </cell>
          <cell r="CS21">
            <v>1266444.7840009732</v>
          </cell>
          <cell r="CT21">
            <v>1297856.1427968184</v>
          </cell>
          <cell r="CU21">
            <v>1330707.5638870329</v>
          </cell>
          <cell r="CV21">
            <v>1363576.0407150444</v>
          </cell>
          <cell r="CW21">
            <v>1397256.3689207076</v>
          </cell>
          <cell r="CX21">
            <v>1432886.4063281803</v>
          </cell>
          <cell r="CY21">
            <v>1469425.0096895436</v>
          </cell>
          <cell r="CZ21">
            <v>1506895.3474366213</v>
          </cell>
          <cell r="DA21">
            <v>1545321.1787962494</v>
          </cell>
          <cell r="DB21">
            <v>1584726.8688555481</v>
          </cell>
          <cell r="DC21">
            <v>1625137.4040113585</v>
          </cell>
          <cell r="DD21">
            <v>1666578.4078136419</v>
          </cell>
          <cell r="DE21">
            <v>1709076.1572128835</v>
          </cell>
          <cell r="DF21">
            <v>1752657.5992218056</v>
          </cell>
        </row>
        <row r="22">
          <cell r="CK22" t="str">
            <v>Killen 2</v>
          </cell>
          <cell r="CL22" t="str">
            <v>Cap Ads exc Env Cap Adds</v>
          </cell>
          <cell r="CM22">
            <v>204998.95838507841</v>
          </cell>
          <cell r="CN22">
            <v>209036.10314395803</v>
          </cell>
          <cell r="CO22">
            <v>213446.7649202967</v>
          </cell>
          <cell r="CP22">
            <v>218121.24907205143</v>
          </cell>
          <cell r="CQ22">
            <v>223050.78930107818</v>
          </cell>
          <cell r="CR22">
            <v>228359.3980864443</v>
          </cell>
          <cell r="CS22">
            <v>234082.10755987134</v>
          </cell>
          <cell r="CT22">
            <v>239887.9959500636</v>
          </cell>
          <cell r="CU22">
            <v>245960.05687390428</v>
          </cell>
          <cell r="CV22">
            <v>252035.27027869003</v>
          </cell>
          <cell r="CW22">
            <v>258260.54145457404</v>
          </cell>
          <cell r="CX22">
            <v>264846.18526166468</v>
          </cell>
          <cell r="CY22">
            <v>271599.76298583613</v>
          </cell>
          <cell r="CZ22">
            <v>278525.55694197392</v>
          </cell>
          <cell r="DA22">
            <v>285627.95864399319</v>
          </cell>
          <cell r="DB22">
            <v>292911.47158941394</v>
          </cell>
          <cell r="DC22">
            <v>300380.71411494288</v>
          </cell>
          <cell r="DD22">
            <v>308040.42232487281</v>
          </cell>
          <cell r="DE22">
            <v>315895.45309415594</v>
          </cell>
          <cell r="DF22">
            <v>323950.78714805574</v>
          </cell>
        </row>
        <row r="23">
          <cell r="CK23" t="str">
            <v>Miami Fort 5</v>
          </cell>
          <cell r="CL23" t="str">
            <v>Cap Ads exc Env Cap Adds</v>
          </cell>
          <cell r="CM23">
            <v>846388.176841537</v>
          </cell>
          <cell r="CN23">
            <v>863056.51320300705</v>
          </cell>
          <cell r="CO23">
            <v>881267.00563159527</v>
          </cell>
          <cell r="CP23">
            <v>900566.75305492815</v>
          </cell>
          <cell r="CQ23">
            <v>920919.56167396298</v>
          </cell>
          <cell r="CR23">
            <v>942837.44724180514</v>
          </cell>
          <cell r="CS23">
            <v>966465.04845482809</v>
          </cell>
          <cell r="CT23">
            <v>990436.07410408789</v>
          </cell>
          <cell r="CU23">
            <v>1015506.057949305</v>
          </cell>
          <cell r="CV23">
            <v>1040589.0575806542</v>
          </cell>
          <cell r="CW23">
            <v>1066291.6073028976</v>
          </cell>
          <cell r="CX23">
            <v>1093482.0432891175</v>
          </cell>
          <cell r="CY23">
            <v>1121365.8353929857</v>
          </cell>
          <cell r="CZ23">
            <v>1149960.6641955026</v>
          </cell>
          <cell r="DA23">
            <v>1179284.6611324835</v>
          </cell>
          <cell r="DB23">
            <v>1209356.4199913575</v>
          </cell>
          <cell r="DC23">
            <v>1240195.0087011324</v>
          </cell>
          <cell r="DD23">
            <v>1271819.9814230066</v>
          </cell>
          <cell r="DE23">
            <v>1304251.3909492886</v>
          </cell>
          <cell r="DF23">
            <v>1337509.8014184905</v>
          </cell>
        </row>
        <row r="24">
          <cell r="CK24" t="str">
            <v>Miami Fort 6</v>
          </cell>
          <cell r="CL24" t="str">
            <v>Cap Ads exc Env Cap Adds</v>
          </cell>
          <cell r="CM24">
            <v>1724515.9103146316</v>
          </cell>
          <cell r="CN24">
            <v>1758477.6456511267</v>
          </cell>
          <cell r="CO24">
            <v>1795581.5239743753</v>
          </cell>
          <cell r="CP24">
            <v>1834904.759349416</v>
          </cell>
          <cell r="CQ24">
            <v>1876373.6069106993</v>
          </cell>
          <cell r="CR24">
            <v>1921031.2987551778</v>
          </cell>
          <cell r="CS24">
            <v>1969172.5362267119</v>
          </cell>
          <cell r="CT24">
            <v>2018013.5009870788</v>
          </cell>
          <cell r="CU24">
            <v>2069093.5930717089</v>
          </cell>
          <cell r="CV24">
            <v>2120200.2048205826</v>
          </cell>
          <cell r="CW24">
            <v>2172569.1498796539</v>
          </cell>
          <cell r="CX24">
            <v>2227969.6632015766</v>
          </cell>
          <cell r="CY24">
            <v>2284782.8896132084</v>
          </cell>
          <cell r="CZ24">
            <v>2343044.8532983367</v>
          </cell>
          <cell r="DA24">
            <v>2402792.4970574356</v>
          </cell>
          <cell r="DB24">
            <v>2464063.7057323912</v>
          </cell>
          <cell r="DC24">
            <v>2526897.3302285578</v>
          </cell>
          <cell r="DD24">
            <v>2591333.2121493765</v>
          </cell>
          <cell r="DE24">
            <v>2657412.2090591756</v>
          </cell>
          <cell r="DF24">
            <v>2725176.2203901745</v>
          </cell>
        </row>
        <row r="25">
          <cell r="CK25" t="str">
            <v>Miami Fort 7</v>
          </cell>
          <cell r="CL25" t="str">
            <v>Cap Ads exc Env Cap Adds</v>
          </cell>
          <cell r="CM25">
            <v>2565289.1752530267</v>
          </cell>
          <cell r="CN25">
            <v>2615808.6697444539</v>
          </cell>
          <cell r="CO25">
            <v>2671002.2326760767</v>
          </cell>
          <cell r="CP25">
            <v>2729497.1815716857</v>
          </cell>
          <cell r="CQ25">
            <v>2791183.8178751855</v>
          </cell>
          <cell r="CR25">
            <v>2857613.9927406204</v>
          </cell>
          <cell r="CS25">
            <v>2929226.0866797715</v>
          </cell>
          <cell r="CT25">
            <v>3001879.054077344</v>
          </cell>
          <cell r="CU25">
            <v>3077862.8165418622</v>
          </cell>
          <cell r="CV25">
            <v>3153886.0281104501</v>
          </cell>
          <cell r="CW25">
            <v>3231787.0130047821</v>
          </cell>
          <cell r="CX25">
            <v>3314197.5818363917</v>
          </cell>
          <cell r="CY25">
            <v>3398709.6201732075</v>
          </cell>
          <cell r="CZ25">
            <v>3485376.7154876115</v>
          </cell>
          <cell r="DA25">
            <v>3574253.8217325322</v>
          </cell>
          <cell r="DB25">
            <v>3665397.2941866983</v>
          </cell>
          <cell r="DC25">
            <v>3758864.925188445</v>
          </cell>
          <cell r="DD25">
            <v>3854715.9807807365</v>
          </cell>
          <cell r="DE25">
            <v>3953011.2382906307</v>
          </cell>
          <cell r="DF25">
            <v>4053813.0248670266</v>
          </cell>
        </row>
        <row r="26">
          <cell r="CK26" t="str">
            <v>Miami Fort 8</v>
          </cell>
          <cell r="CL26" t="str">
            <v>Cap Ads exc Env Cap Adds</v>
          </cell>
          <cell r="CM26">
            <v>2565289.1752530267</v>
          </cell>
          <cell r="CN26">
            <v>2615808.6697444539</v>
          </cell>
          <cell r="CO26">
            <v>2671002.2326760767</v>
          </cell>
          <cell r="CP26">
            <v>2729497.1815716857</v>
          </cell>
          <cell r="CQ26">
            <v>2791183.8178751855</v>
          </cell>
          <cell r="CR26">
            <v>2857613.9927406204</v>
          </cell>
          <cell r="CS26">
            <v>2929226.0866797715</v>
          </cell>
          <cell r="CT26">
            <v>3001879.054077344</v>
          </cell>
          <cell r="CU26">
            <v>3077862.8165418622</v>
          </cell>
          <cell r="CV26">
            <v>3153886.0281104501</v>
          </cell>
          <cell r="CW26">
            <v>3231787.0130047821</v>
          </cell>
          <cell r="CX26">
            <v>3314197.5818363917</v>
          </cell>
          <cell r="CY26">
            <v>3398709.6201732075</v>
          </cell>
          <cell r="CZ26">
            <v>3485376.7154876115</v>
          </cell>
          <cell r="DA26">
            <v>3574253.8217325322</v>
          </cell>
          <cell r="DB26">
            <v>3665397.2941866983</v>
          </cell>
          <cell r="DC26">
            <v>3758864.925188445</v>
          </cell>
          <cell r="DD26">
            <v>3854715.9807807365</v>
          </cell>
          <cell r="DE26">
            <v>3953011.2382906307</v>
          </cell>
          <cell r="DF26">
            <v>4053813.0248670266</v>
          </cell>
        </row>
        <row r="27">
          <cell r="CK27" t="str">
            <v>Noblesville 1</v>
          </cell>
          <cell r="CL27" t="str">
            <v>Cap Ads exc Env Cap Adds</v>
          </cell>
          <cell r="CM27">
            <v>346554.91605881072</v>
          </cell>
          <cell r="CN27">
            <v>353379.79153160547</v>
          </cell>
          <cell r="CO27">
            <v>360836.10513292433</v>
          </cell>
          <cell r="CP27">
            <v>368738.41583533573</v>
          </cell>
          <cell r="CQ27">
            <v>377071.90403321158</v>
          </cell>
          <cell r="CR27">
            <v>386046.2153492028</v>
          </cell>
          <cell r="CS27">
            <v>395720.57231577375</v>
          </cell>
          <cell r="CT27">
            <v>405535.54493592907</v>
          </cell>
          <cell r="CU27">
            <v>415800.48764755391</v>
          </cell>
          <cell r="CV27">
            <v>426070.75969244901</v>
          </cell>
          <cell r="CW27">
            <v>436594.70745685307</v>
          </cell>
          <cell r="CX27">
            <v>447727.87249700114</v>
          </cell>
          <cell r="CY27">
            <v>459144.93324567296</v>
          </cell>
          <cell r="CZ27">
            <v>470853.12904343591</v>
          </cell>
          <cell r="DA27">
            <v>482859.88383404177</v>
          </cell>
          <cell r="DB27">
            <v>495172.81087180797</v>
          </cell>
          <cell r="DC27">
            <v>507799.71754903719</v>
          </cell>
          <cell r="DD27">
            <v>520748.61034653574</v>
          </cell>
          <cell r="DE27">
            <v>534027.6999103704</v>
          </cell>
          <cell r="DF27">
            <v>547645.40625808283</v>
          </cell>
        </row>
        <row r="28">
          <cell r="CK28" t="str">
            <v>Noblesville 2</v>
          </cell>
          <cell r="CL28" t="str">
            <v>Cap Ads exc Env Cap Adds</v>
          </cell>
          <cell r="CM28">
            <v>346554.91605881072</v>
          </cell>
          <cell r="CN28">
            <v>353379.79153160547</v>
          </cell>
          <cell r="CO28">
            <v>360836.10513292433</v>
          </cell>
          <cell r="CP28">
            <v>368738.41583533573</v>
          </cell>
          <cell r="CQ28">
            <v>377071.90403321158</v>
          </cell>
          <cell r="CR28">
            <v>386046.2153492028</v>
          </cell>
          <cell r="CS28">
            <v>395720.57231577375</v>
          </cell>
          <cell r="CT28">
            <v>405535.54493592907</v>
          </cell>
          <cell r="CU28">
            <v>415800.48764755391</v>
          </cell>
          <cell r="CV28">
            <v>426070.75969244901</v>
          </cell>
          <cell r="CW28">
            <v>436594.70745685307</v>
          </cell>
          <cell r="CX28">
            <v>447727.87249700114</v>
          </cell>
          <cell r="CY28">
            <v>459144.93324567296</v>
          </cell>
          <cell r="CZ28">
            <v>470853.12904343591</v>
          </cell>
          <cell r="DA28">
            <v>482859.88383404177</v>
          </cell>
          <cell r="DB28">
            <v>495172.81087180797</v>
          </cell>
          <cell r="DC28">
            <v>507799.71754903719</v>
          </cell>
          <cell r="DD28">
            <v>520748.61034653574</v>
          </cell>
          <cell r="DE28">
            <v>534027.6999103704</v>
          </cell>
          <cell r="DF28">
            <v>547645.40625808283</v>
          </cell>
        </row>
        <row r="29">
          <cell r="CK29" t="str">
            <v>Wabash River 1</v>
          </cell>
          <cell r="CL29" t="str">
            <v>Cap Ads exc Env Cap Adds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</row>
        <row r="30">
          <cell r="CK30" t="str">
            <v>Wabash River 2</v>
          </cell>
          <cell r="CL30" t="str">
            <v>Cap Ads exc Env Cap Adds</v>
          </cell>
          <cell r="CM30">
            <v>1015141.0623946253</v>
          </cell>
          <cell r="CN30">
            <v>1035132.7318736066</v>
          </cell>
          <cell r="CO30">
            <v>1056974.0325161454</v>
          </cell>
          <cell r="CP30">
            <v>1080121.7638282501</v>
          </cell>
          <cell r="CQ30">
            <v>1104532.5156907607</v>
          </cell>
          <cell r="CR30">
            <v>1130820.3895642031</v>
          </cell>
          <cell r="CS30">
            <v>1159158.8622100884</v>
          </cell>
          <cell r="CT30">
            <v>1187909.2312607116</v>
          </cell>
          <cell r="CU30">
            <v>1217977.6688064958</v>
          </cell>
          <cell r="CV30">
            <v>1248061.7172260177</v>
          </cell>
          <cell r="CW30">
            <v>1278888.841641502</v>
          </cell>
          <cell r="CX30">
            <v>1311500.5071033556</v>
          </cell>
          <cell r="CY30">
            <v>1344943.7700344862</v>
          </cell>
          <cell r="CZ30">
            <v>1379239.8361703604</v>
          </cell>
          <cell r="DA30">
            <v>1414410.4519926994</v>
          </cell>
          <cell r="DB30">
            <v>1450477.9185185079</v>
          </cell>
          <cell r="DC30">
            <v>1487465.1054407242</v>
          </cell>
          <cell r="DD30">
            <v>1525395.465629457</v>
          </cell>
          <cell r="DE30">
            <v>1564293.0500030024</v>
          </cell>
          <cell r="DF30">
            <v>1604182.5227780731</v>
          </cell>
        </row>
        <row r="31">
          <cell r="CK31" t="str">
            <v>Wabash River 3</v>
          </cell>
          <cell r="CL31" t="str">
            <v>Cap Ads exc Env Cap Adds</v>
          </cell>
          <cell r="CM31">
            <v>1015141.0623946253</v>
          </cell>
          <cell r="CN31">
            <v>1035132.7318736066</v>
          </cell>
          <cell r="CO31">
            <v>1056974.0325161454</v>
          </cell>
          <cell r="CP31">
            <v>1080121.7638282501</v>
          </cell>
          <cell r="CQ31">
            <v>1104532.5156907607</v>
          </cell>
          <cell r="CR31">
            <v>1130820.3895642031</v>
          </cell>
          <cell r="CS31">
            <v>1159158.8622100884</v>
          </cell>
          <cell r="CT31">
            <v>1187909.2312607116</v>
          </cell>
          <cell r="CU31">
            <v>1217977.6688064958</v>
          </cell>
          <cell r="CV31">
            <v>1248061.7172260177</v>
          </cell>
          <cell r="CW31">
            <v>1278888.841641502</v>
          </cell>
          <cell r="CX31">
            <v>1311500.5071033556</v>
          </cell>
          <cell r="CY31">
            <v>1344943.7700344862</v>
          </cell>
          <cell r="CZ31">
            <v>1379239.8361703604</v>
          </cell>
          <cell r="DA31">
            <v>1414410.4519926994</v>
          </cell>
          <cell r="DB31">
            <v>1450477.9185185079</v>
          </cell>
          <cell r="DC31">
            <v>1487465.1054407242</v>
          </cell>
          <cell r="DD31">
            <v>1525395.465629457</v>
          </cell>
          <cell r="DE31">
            <v>1564293.0500030024</v>
          </cell>
          <cell r="DF31">
            <v>1604182.5227780731</v>
          </cell>
        </row>
        <row r="32">
          <cell r="CK32" t="str">
            <v>Wabash River 4</v>
          </cell>
          <cell r="CL32" t="str">
            <v>Cap Ads exc Env Cap Adds</v>
          </cell>
          <cell r="CM32">
            <v>1015141.0623946253</v>
          </cell>
          <cell r="CN32">
            <v>1035132.7318736066</v>
          </cell>
          <cell r="CO32">
            <v>1056974.0325161454</v>
          </cell>
          <cell r="CP32">
            <v>1080121.7638282501</v>
          </cell>
          <cell r="CQ32">
            <v>1104532.5156907607</v>
          </cell>
          <cell r="CR32">
            <v>1130820.3895642031</v>
          </cell>
          <cell r="CS32">
            <v>1159158.8622100884</v>
          </cell>
          <cell r="CT32">
            <v>1187909.2312607116</v>
          </cell>
          <cell r="CU32">
            <v>1217977.6688064958</v>
          </cell>
          <cell r="CV32">
            <v>1248061.7172260177</v>
          </cell>
          <cell r="CW32">
            <v>1278888.841641502</v>
          </cell>
          <cell r="CX32">
            <v>1311500.5071033556</v>
          </cell>
          <cell r="CY32">
            <v>1344943.7700344862</v>
          </cell>
          <cell r="CZ32">
            <v>1379239.8361703604</v>
          </cell>
          <cell r="DA32">
            <v>1414410.4519926994</v>
          </cell>
          <cell r="DB32">
            <v>1450477.9185185079</v>
          </cell>
          <cell r="DC32">
            <v>1487465.1054407242</v>
          </cell>
          <cell r="DD32">
            <v>1525395.465629457</v>
          </cell>
          <cell r="DE32">
            <v>1564293.0500030024</v>
          </cell>
          <cell r="DF32">
            <v>1604182.5227780731</v>
          </cell>
        </row>
        <row r="33">
          <cell r="CK33" t="str">
            <v>Wabash River 5</v>
          </cell>
          <cell r="CL33" t="str">
            <v>Cap Ads exc Env Cap Adds</v>
          </cell>
          <cell r="CM33">
            <v>1134569.422676346</v>
          </cell>
          <cell r="CN33">
            <v>1156913.0532705016</v>
          </cell>
          <cell r="CO33">
            <v>1181323.9186945157</v>
          </cell>
          <cell r="CP33">
            <v>1207194.9125139269</v>
          </cell>
          <cell r="CQ33">
            <v>1234477.5175367326</v>
          </cell>
          <cell r="CR33">
            <v>1263858.0824541093</v>
          </cell>
          <cell r="CS33">
            <v>1295530.4930583341</v>
          </cell>
          <cell r="CT33">
            <v>1327663.2584678545</v>
          </cell>
          <cell r="CU33">
            <v>1361269.159254319</v>
          </cell>
          <cell r="CV33">
            <v>1394892.5074879024</v>
          </cell>
          <cell r="CW33">
            <v>1429346.3524228553</v>
          </cell>
          <cell r="CX33">
            <v>1465794.6844096328</v>
          </cell>
          <cell r="CY33">
            <v>1503172.448862073</v>
          </cell>
          <cell r="CZ33">
            <v>1541503.3463080502</v>
          </cell>
          <cell r="DA33">
            <v>1580811.6816388997</v>
          </cell>
          <cell r="DB33">
            <v>1621122.3795206856</v>
          </cell>
          <cell r="DC33">
            <v>1662461.0001984572</v>
          </cell>
          <cell r="DD33">
            <v>1704853.7557035116</v>
          </cell>
          <cell r="DE33">
            <v>1748327.526473945</v>
          </cell>
          <cell r="DF33">
            <v>1792909.8783990243</v>
          </cell>
        </row>
        <row r="34">
          <cell r="CK34" t="str">
            <v>Wabash River 6</v>
          </cell>
          <cell r="CL34" t="str">
            <v>Cap Ads exc Env Cap Adds</v>
          </cell>
          <cell r="CM34">
            <v>3797821.8569587152</v>
          </cell>
          <cell r="CN34">
            <v>3872614.2204212574</v>
          </cell>
          <cell r="CO34">
            <v>3954326.3804721674</v>
          </cell>
          <cell r="CP34">
            <v>4040926.1282045119</v>
          </cell>
          <cell r="CQ34">
            <v>4132251.0587019045</v>
          </cell>
          <cell r="CR34">
            <v>4230598.6338990182</v>
          </cell>
          <cell r="CS34">
            <v>4336617.8609742122</v>
          </cell>
          <cell r="CT34">
            <v>4444178.0651871329</v>
          </cell>
          <cell r="CU34">
            <v>4556669.3962407717</v>
          </cell>
          <cell r="CV34">
            <v>4669219.1303279251</v>
          </cell>
          <cell r="CW34">
            <v>4784548.8428470306</v>
          </cell>
          <cell r="CX34">
            <v>4906554.8383396119</v>
          </cell>
          <cell r="CY34">
            <v>5031671.986717253</v>
          </cell>
          <cell r="CZ34">
            <v>5159979.6223785235</v>
          </cell>
          <cell r="DA34">
            <v>5291559.1027491568</v>
          </cell>
          <cell r="DB34">
            <v>5426493.8598692399</v>
          </cell>
          <cell r="DC34">
            <v>5564869.4532958847</v>
          </cell>
          <cell r="DD34">
            <v>5706773.6243549092</v>
          </cell>
          <cell r="DE34">
            <v>5852296.3517759377</v>
          </cell>
          <cell r="DF34">
            <v>6001529.9087462015</v>
          </cell>
        </row>
        <row r="35">
          <cell r="CK35" t="str">
            <v>W.C. Beckjord 1</v>
          </cell>
          <cell r="CL35" t="str">
            <v>Cap Ads exc Env Cap Adds</v>
          </cell>
          <cell r="CM35">
            <v>779083.37676346616</v>
          </cell>
          <cell r="CN35">
            <v>794426.24677611596</v>
          </cell>
          <cell r="CO35">
            <v>811188.64058309642</v>
          </cell>
          <cell r="CP35">
            <v>828953.67181186704</v>
          </cell>
          <cell r="CQ35">
            <v>847688.02479480917</v>
          </cell>
          <cell r="CR35">
            <v>867862.99978492735</v>
          </cell>
          <cell r="CS35">
            <v>889611.73380736494</v>
          </cell>
          <cell r="CT35">
            <v>911676.58314989705</v>
          </cell>
          <cell r="CU35">
            <v>934753.00151673122</v>
          </cell>
          <cell r="CV35">
            <v>957841.40065419581</v>
          </cell>
          <cell r="CW35">
            <v>981500.08325035567</v>
          </cell>
          <cell r="CX35">
            <v>1006528.3353732361</v>
          </cell>
          <cell r="CY35">
            <v>1032194.8079252497</v>
          </cell>
          <cell r="CZ35">
            <v>1058515.7755273397</v>
          </cell>
          <cell r="DA35">
            <v>1085507.9278032829</v>
          </cell>
          <cell r="DB35">
            <v>1113188.3799622625</v>
          </cell>
          <cell r="DC35">
            <v>1141574.683651296</v>
          </cell>
          <cell r="DD35">
            <v>1170684.8380843997</v>
          </cell>
          <cell r="DE35">
            <v>1200537.3014555473</v>
          </cell>
          <cell r="DF35">
            <v>1231151.0026426592</v>
          </cell>
        </row>
        <row r="36">
          <cell r="CK36" t="str">
            <v>W.C. Beckjord 2</v>
          </cell>
          <cell r="CL36" t="str">
            <v>Cap Ads exc Env Cap Adds</v>
          </cell>
          <cell r="CM36">
            <v>779083.37676346616</v>
          </cell>
          <cell r="CN36">
            <v>794426.24677611596</v>
          </cell>
          <cell r="CO36">
            <v>811188.64058309642</v>
          </cell>
          <cell r="CP36">
            <v>828953.67181186704</v>
          </cell>
          <cell r="CQ36">
            <v>847688.02479480917</v>
          </cell>
          <cell r="CR36">
            <v>867862.99978492735</v>
          </cell>
          <cell r="CS36">
            <v>889611.73380736494</v>
          </cell>
          <cell r="CT36">
            <v>911676.58314989705</v>
          </cell>
          <cell r="CU36">
            <v>934753.00151673122</v>
          </cell>
          <cell r="CV36">
            <v>957841.40065419581</v>
          </cell>
          <cell r="CW36">
            <v>981500.08325035567</v>
          </cell>
          <cell r="CX36">
            <v>1006528.3353732361</v>
          </cell>
          <cell r="CY36">
            <v>1032194.8079252497</v>
          </cell>
          <cell r="CZ36">
            <v>1058515.7755273397</v>
          </cell>
          <cell r="DA36">
            <v>1085507.9278032829</v>
          </cell>
          <cell r="DB36">
            <v>1113188.3799622625</v>
          </cell>
          <cell r="DC36">
            <v>1141574.683651296</v>
          </cell>
          <cell r="DD36">
            <v>1170684.8380843997</v>
          </cell>
          <cell r="DE36">
            <v>1200537.3014555473</v>
          </cell>
          <cell r="DF36">
            <v>1231151.0026426592</v>
          </cell>
        </row>
        <row r="37">
          <cell r="CK37" t="str">
            <v>W.C. Beckjord 3</v>
          </cell>
          <cell r="CL37" t="str">
            <v>Cap Ads exc Env Cap Adds</v>
          </cell>
          <cell r="CM37">
            <v>1060879.4917630178</v>
          </cell>
          <cell r="CN37">
            <v>1081771.9105036473</v>
          </cell>
          <cell r="CO37">
            <v>1104597.2978152803</v>
          </cell>
          <cell r="CP37">
            <v>1128787.9786374359</v>
          </cell>
          <cell r="CQ37">
            <v>1154298.5869546337</v>
          </cell>
          <cell r="CR37">
            <v>1181770.8933241563</v>
          </cell>
          <cell r="CS37">
            <v>1211386.1907164119</v>
          </cell>
          <cell r="CT37">
            <v>1241431.9430126259</v>
          </cell>
          <cell r="CU37">
            <v>1272855.1510015065</v>
          </cell>
          <cell r="CV37">
            <v>1304294.6732312453</v>
          </cell>
          <cell r="CW37">
            <v>1336510.7516600587</v>
          </cell>
          <cell r="CX37">
            <v>1370591.775827385</v>
          </cell>
          <cell r="CY37">
            <v>1405541.8661109782</v>
          </cell>
          <cell r="CZ37">
            <v>1441383.1836968029</v>
          </cell>
          <cell r="DA37">
            <v>1478138.454881066</v>
          </cell>
          <cell r="DB37">
            <v>1515830.9854805276</v>
          </cell>
          <cell r="DC37">
            <v>1554484.6756102755</v>
          </cell>
          <cell r="DD37">
            <v>1594124.0348383316</v>
          </cell>
          <cell r="DE37">
            <v>1634774.197726703</v>
          </cell>
          <cell r="DF37">
            <v>1676460.9397687279</v>
          </cell>
        </row>
        <row r="38">
          <cell r="CK38" t="str">
            <v>W.C. Beckjord 4</v>
          </cell>
          <cell r="CL38" t="str">
            <v>Cap Ads exc Env Cap Adds</v>
          </cell>
          <cell r="CM38">
            <v>1243218.1544097867</v>
          </cell>
          <cell r="CN38">
            <v>1267701.4576214617</v>
          </cell>
          <cell r="CO38">
            <v>1294449.9583772817</v>
          </cell>
          <cell r="CP38">
            <v>1322798.4124657456</v>
          </cell>
          <cell r="CQ38">
            <v>1352693.6565874615</v>
          </cell>
          <cell r="CR38">
            <v>1384887.765614246</v>
          </cell>
          <cell r="CS38">
            <v>1419593.1922457954</v>
          </cell>
          <cell r="CT38">
            <v>1454803.0582179211</v>
          </cell>
          <cell r="CU38">
            <v>1491627.1300798906</v>
          </cell>
          <cell r="CV38">
            <v>1528470.3201928658</v>
          </cell>
          <cell r="CW38">
            <v>1566223.5371016318</v>
          </cell>
          <cell r="CX38">
            <v>1606162.2372977172</v>
          </cell>
          <cell r="CY38">
            <v>1647119.374348803</v>
          </cell>
          <cell r="CZ38">
            <v>1689120.9183946913</v>
          </cell>
          <cell r="DA38">
            <v>1732193.5018137495</v>
          </cell>
          <cell r="DB38">
            <v>1776364.4361099936</v>
          </cell>
          <cell r="DC38">
            <v>1821661.7292307918</v>
          </cell>
          <cell r="DD38">
            <v>1868114.10332617</v>
          </cell>
          <cell r="DE38">
            <v>1915751.0129609804</v>
          </cell>
          <cell r="DF38">
            <v>1964602.6637914781</v>
          </cell>
        </row>
        <row r="39">
          <cell r="CK39" t="str">
            <v>W.C. Beckjord 5</v>
          </cell>
          <cell r="CL39" t="str">
            <v>Cap Ads exc Env Cap Adds</v>
          </cell>
          <cell r="CM39">
            <v>1972572.8049968614</v>
          </cell>
          <cell r="CN39">
            <v>2011419.6460927192</v>
          </cell>
          <cell r="CO39">
            <v>2053860.6006252868</v>
          </cell>
          <cell r="CP39">
            <v>2098840.1477789828</v>
          </cell>
          <cell r="CQ39">
            <v>2146273.9351187721</v>
          </cell>
          <cell r="CR39">
            <v>2197355.2547746035</v>
          </cell>
          <cell r="CS39">
            <v>2252421.1983633284</v>
          </cell>
          <cell r="CT39">
            <v>2308287.5190391014</v>
          </cell>
          <cell r="CU39">
            <v>2366715.0463934261</v>
          </cell>
          <cell r="CV39">
            <v>2425172.9080393468</v>
          </cell>
          <cell r="CW39">
            <v>2485074.6788679217</v>
          </cell>
          <cell r="CX39">
            <v>2548444.0831790441</v>
          </cell>
          <cell r="CY39">
            <v>2613429.4073001002</v>
          </cell>
          <cell r="CZ39">
            <v>2680071.8571862429</v>
          </cell>
          <cell r="DA39">
            <v>2748413.6895444817</v>
          </cell>
          <cell r="DB39">
            <v>2818498.2386278557</v>
          </cell>
          <cell r="DC39">
            <v>2890369.9437128552</v>
          </cell>
          <cell r="DD39">
            <v>2964074.3772775219</v>
          </cell>
          <cell r="DE39">
            <v>3039658.2738980874</v>
          </cell>
          <cell r="DF39">
            <v>3117169.5598824774</v>
          </cell>
        </row>
        <row r="40">
          <cell r="CK40" t="str">
            <v>W.C. Beckjord 6</v>
          </cell>
          <cell r="CL40" t="str">
            <v>Cap Ads exc Env Cap Adds</v>
          </cell>
          <cell r="CM40">
            <v>1129692.2124471192</v>
          </cell>
          <cell r="CN40">
            <v>1151939.7937546344</v>
          </cell>
          <cell r="CO40">
            <v>1176245.7234028636</v>
          </cell>
          <cell r="CP40">
            <v>1202005.5047453877</v>
          </cell>
          <cell r="CQ40">
            <v>1229170.8291526246</v>
          </cell>
          <cell r="CR40">
            <v>1258425.0948864594</v>
          </cell>
          <cell r="CS40">
            <v>1289961.354276051</v>
          </cell>
          <cell r="CT40">
            <v>1321955.9895288646</v>
          </cell>
          <cell r="CU40">
            <v>1355417.4275439887</v>
          </cell>
          <cell r="CV40">
            <v>1388896.2380043271</v>
          </cell>
          <cell r="CW40">
            <v>1423201.9750830359</v>
          </cell>
          <cell r="CX40">
            <v>1459493.6254476479</v>
          </cell>
          <cell r="CY40">
            <v>1496710.7128965573</v>
          </cell>
          <cell r="CZ40">
            <v>1534876.836075414</v>
          </cell>
          <cell r="DA40">
            <v>1574016.1953953311</v>
          </cell>
          <cell r="DB40">
            <v>1614153.608377906</v>
          </cell>
          <cell r="DC40">
            <v>1655314.5253915365</v>
          </cell>
          <cell r="DD40">
            <v>1697525.0457890143</v>
          </cell>
          <cell r="DE40">
            <v>1740811.9344566278</v>
          </cell>
          <cell r="DF40">
            <v>1785202.6387852654</v>
          </cell>
        </row>
        <row r="41">
          <cell r="CK41" t="str">
            <v>W.H. Zimmer 1</v>
          </cell>
          <cell r="CL41" t="str">
            <v>Cap Ads exc Env Cap Adds</v>
          </cell>
          <cell r="CM41">
            <v>2668048.7458062181</v>
          </cell>
          <cell r="CN41">
            <v>2720591.9347834694</v>
          </cell>
          <cell r="CO41">
            <v>2777996.4246074157</v>
          </cell>
          <cell r="CP41">
            <v>2838834.5463063214</v>
          </cell>
          <cell r="CQ41">
            <v>2902992.2070528232</v>
          </cell>
          <cell r="CR41">
            <v>2972083.4215806862</v>
          </cell>
          <cell r="CS41">
            <v>3046564.1309143868</v>
          </cell>
          <cell r="CT41">
            <v>3122127.4086977085</v>
          </cell>
          <cell r="CU41">
            <v>3201154.9055198161</v>
          </cell>
          <cell r="CV41">
            <v>3280223.4316861597</v>
          </cell>
          <cell r="CW41">
            <v>3361244.9504488125</v>
          </cell>
          <cell r="CX41">
            <v>3446956.6966852443</v>
          </cell>
          <cell r="CY41">
            <v>3534854.0924507049</v>
          </cell>
          <cell r="CZ41">
            <v>3624992.8718081848</v>
          </cell>
          <cell r="DA41">
            <v>3717430.1900392799</v>
          </cell>
          <cell r="DB41">
            <v>3812224.6598852677</v>
          </cell>
          <cell r="DC41">
            <v>3909436.3887123279</v>
          </cell>
          <cell r="DD41">
            <v>4009127.0166244772</v>
          </cell>
          <cell r="DE41">
            <v>4111359.7555483864</v>
          </cell>
          <cell r="DF41">
            <v>4216199.4293148546</v>
          </cell>
        </row>
        <row r="42">
          <cell r="CK42" t="str">
            <v>Cayuga Diesel 3A-D</v>
          </cell>
          <cell r="CL42" t="str">
            <v>Cap Ads exc Env Cap Adds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</row>
        <row r="43">
          <cell r="CK43" t="str">
            <v>Cayuga CT 4</v>
          </cell>
          <cell r="CL43" t="str">
            <v>Cap Ads exc Env Cap Adds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</row>
        <row r="44">
          <cell r="CK44" t="str">
            <v>Connersville CT 1</v>
          </cell>
          <cell r="CL44" t="str">
            <v>Cap Ads exc Env Cap Adds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</row>
        <row r="45">
          <cell r="CK45" t="str">
            <v>Connersville CT 2</v>
          </cell>
          <cell r="CL45" t="str">
            <v>Cap Ads exc Env Cap Adds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</row>
        <row r="46">
          <cell r="CK46" t="str">
            <v>Dicks Creek CT 1</v>
          </cell>
          <cell r="CL46" t="str">
            <v>Cap Ads exc Env Cap Adds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</row>
        <row r="47">
          <cell r="CK47" t="str">
            <v>Dicks Creek CT 3</v>
          </cell>
          <cell r="CL47" t="str">
            <v>Cap Ads exc Env Cap Adds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</row>
        <row r="48">
          <cell r="CK48" t="str">
            <v>Dicks Creek CT 4-5</v>
          </cell>
          <cell r="CL48" t="str">
            <v>Cap Ads exc Env Cap Adds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</row>
        <row r="49">
          <cell r="CK49" t="str">
            <v>Miami Fort CT 3-6</v>
          </cell>
          <cell r="CL49" t="str">
            <v>Cap Ads exc Env Cap Adds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</row>
        <row r="50">
          <cell r="CK50" t="str">
            <v>Miami-Wabash CT 1-6</v>
          </cell>
          <cell r="CL50" t="str">
            <v>Cap Ads exc Env Cap Adds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</row>
        <row r="51">
          <cell r="CK51" t="str">
            <v>Wabash Diesel 7A-B</v>
          </cell>
          <cell r="CL51" t="str">
            <v>Cap Ads exc Env Cap Adds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</row>
        <row r="52">
          <cell r="CK52" t="str">
            <v>W.C. Beckjord CT 1</v>
          </cell>
          <cell r="CL52" t="str">
            <v>Cap Ads exc Env Cap Adds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</row>
        <row r="53">
          <cell r="CK53" t="str">
            <v>W.C. Beckjord CT 2</v>
          </cell>
          <cell r="CL53" t="str">
            <v>Cap Ads exc Env Cap Adds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</row>
        <row r="54">
          <cell r="CK54" t="str">
            <v>W.C. Beckjord CT 3</v>
          </cell>
          <cell r="CL54" t="str">
            <v>Cap Ads exc Env Cap Adds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</row>
        <row r="55">
          <cell r="CK55" t="str">
            <v>W.C. Beckjord CT 4</v>
          </cell>
          <cell r="CL55" t="str">
            <v>Cap Ads exc Env Cap Adds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</row>
        <row r="56">
          <cell r="CK56" t="str">
            <v>Woodsdale CT 1</v>
          </cell>
          <cell r="CL56" t="str">
            <v>Cap Ads exc Env Cap Adds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</row>
        <row r="57">
          <cell r="CK57" t="str">
            <v>Woodsdale CT 2</v>
          </cell>
          <cell r="CL57" t="str">
            <v>Cap Ads exc Env Cap Adds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</row>
        <row r="58">
          <cell r="CK58" t="str">
            <v>Woodsdale CT 3</v>
          </cell>
          <cell r="CL58" t="str">
            <v>Cap Ads exc Env Cap Adds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</row>
        <row r="59">
          <cell r="CK59" t="str">
            <v>Woodsdale CT 4</v>
          </cell>
          <cell r="CL59" t="str">
            <v>Cap Ads exc Env Cap Adds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</row>
        <row r="60">
          <cell r="CK60" t="str">
            <v>Woodsdale CT 5</v>
          </cell>
          <cell r="CL60" t="str">
            <v>Cap Ads exc Env Cap Adds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</row>
        <row r="61">
          <cell r="CK61" t="str">
            <v>Woodsdale CT 6</v>
          </cell>
          <cell r="CL61" t="str">
            <v>Cap Ads exc Env Cap Adds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</row>
        <row r="62">
          <cell r="CK62" t="str">
            <v>Markland 1 -3</v>
          </cell>
          <cell r="CL62" t="str">
            <v>Cap Ads exc Env Cap Adds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</row>
      </sheetData>
      <sheetData sheetId="36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7" Type="http://schemas.openxmlformats.org/officeDocument/2006/relationships/ctrlProp" Target="../ctrlProps/ctrlProp39.x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8.x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5" Type="http://schemas.openxmlformats.org/officeDocument/2006/relationships/ctrlProp" Target="../ctrlProps/ctrlProp37.xml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79"/>
  <sheetViews>
    <sheetView tabSelected="1" workbookViewId="0"/>
  </sheetViews>
  <sheetFormatPr defaultColWidth="7.5703125" defaultRowHeight="12.75" x14ac:dyDescent="0.2"/>
  <cols>
    <col min="1" max="1" width="7.5703125" style="4" customWidth="1"/>
    <col min="2" max="2" width="16.28515625" customWidth="1"/>
    <col min="3" max="3" width="10" bestFit="1" customWidth="1"/>
    <col min="4" max="4" width="14.5703125" bestFit="1" customWidth="1"/>
    <col min="5" max="6" width="15" bestFit="1" customWidth="1"/>
    <col min="7" max="7" width="10.85546875" hidden="1" customWidth="1"/>
    <col min="8" max="8" width="15" bestFit="1" customWidth="1"/>
    <col min="9" max="9" width="7.42578125" bestFit="1" customWidth="1"/>
    <col min="10" max="16384" width="7.5703125" style="9"/>
  </cols>
  <sheetData>
    <row r="1" spans="1:9" x14ac:dyDescent="0.2">
      <c r="D1" s="26">
        <v>0</v>
      </c>
      <c r="E1" s="26">
        <v>0</v>
      </c>
      <c r="F1" s="26">
        <v>0</v>
      </c>
      <c r="G1" s="26">
        <v>0</v>
      </c>
      <c r="H1" s="68"/>
    </row>
    <row r="2" spans="1:9" ht="13.5" thickBot="1" x14ac:dyDescent="0.25">
      <c r="D2" s="26">
        <f>IS!C27</f>
        <v>151522921.55412644</v>
      </c>
      <c r="E2" s="26">
        <f>IS!C28</f>
        <v>184239025.68653578</v>
      </c>
      <c r="F2" s="26">
        <f>IS!C29</f>
        <v>36678180.134599566</v>
      </c>
      <c r="G2" s="26">
        <f>IS!C30</f>
        <v>372440127.37526184</v>
      </c>
      <c r="H2" s="68"/>
    </row>
    <row r="3" spans="1:9" ht="13.5" thickBot="1" x14ac:dyDescent="0.25">
      <c r="A3" s="84" t="s">
        <v>155</v>
      </c>
      <c r="B3" s="85"/>
      <c r="C3" s="86"/>
      <c r="D3" s="465"/>
      <c r="E3" s="6"/>
      <c r="F3" s="6"/>
      <c r="G3" s="6"/>
      <c r="H3" s="6"/>
    </row>
    <row r="4" spans="1:9" x14ac:dyDescent="0.2">
      <c r="D4" s="6"/>
      <c r="E4" s="6"/>
      <c r="F4" s="6"/>
      <c r="G4" s="6"/>
      <c r="H4" s="6"/>
    </row>
    <row r="5" spans="1:9" x14ac:dyDescent="0.2">
      <c r="A5" s="66" t="s">
        <v>132</v>
      </c>
      <c r="C5" s="24"/>
      <c r="D5" s="83"/>
      <c r="E5" s="6"/>
      <c r="F5" s="6"/>
      <c r="G5" s="6"/>
      <c r="H5" s="6"/>
    </row>
    <row r="6" spans="1:9" x14ac:dyDescent="0.2">
      <c r="A6" s="66"/>
      <c r="C6" s="24"/>
      <c r="D6" s="83"/>
      <c r="E6" s="6"/>
      <c r="F6" s="6"/>
      <c r="G6" s="6"/>
      <c r="H6" s="6"/>
    </row>
    <row r="7" spans="1:9" x14ac:dyDescent="0.2">
      <c r="A7" s="66"/>
      <c r="C7" s="24"/>
      <c r="D7" s="83"/>
      <c r="E7" s="6"/>
      <c r="F7" s="6"/>
      <c r="G7" s="6"/>
      <c r="H7" s="6"/>
    </row>
    <row r="8" spans="1:9" ht="13.5" thickBot="1" x14ac:dyDescent="0.25">
      <c r="A8" s="66"/>
      <c r="C8" s="454"/>
      <c r="D8" s="455"/>
      <c r="E8" s="6"/>
      <c r="F8" s="6"/>
      <c r="G8" s="6"/>
      <c r="H8" s="6"/>
    </row>
    <row r="9" spans="1:9" ht="13.5" thickBot="1" x14ac:dyDescent="0.25">
      <c r="A9" s="66"/>
      <c r="B9" s="187"/>
      <c r="C9" s="189"/>
      <c r="D9" s="189" t="s">
        <v>89</v>
      </c>
      <c r="E9" s="189" t="s">
        <v>89</v>
      </c>
      <c r="F9" s="189" t="s">
        <v>89</v>
      </c>
      <c r="G9" s="25"/>
      <c r="H9" s="189" t="s">
        <v>135</v>
      </c>
      <c r="I9" s="189"/>
    </row>
    <row r="10" spans="1:9" ht="13.5" thickBot="1" x14ac:dyDescent="0.25">
      <c r="A10" s="66"/>
      <c r="B10" s="188" t="s">
        <v>88</v>
      </c>
      <c r="C10" s="25" t="s">
        <v>26</v>
      </c>
      <c r="D10" s="192" t="s">
        <v>169</v>
      </c>
      <c r="E10" s="192" t="s">
        <v>173</v>
      </c>
      <c r="F10" s="192" t="s">
        <v>106</v>
      </c>
      <c r="G10" s="276"/>
      <c r="H10" s="25" t="s">
        <v>89</v>
      </c>
      <c r="I10" s="25" t="s">
        <v>90</v>
      </c>
    </row>
    <row r="11" spans="1:9" x14ac:dyDescent="0.2">
      <c r="A11" s="66"/>
      <c r="B11" s="456" t="s">
        <v>175</v>
      </c>
      <c r="C11" s="193">
        <f>SUM(Summary!C17:C34)</f>
        <v>4183.3500000000004</v>
      </c>
      <c r="D11" s="194">
        <f>SUM(Summary!D17:D34)</f>
        <v>1402358035.5222194</v>
      </c>
      <c r="E11" s="194">
        <f>SUM(Summary!E17:E34)</f>
        <v>2159330843.7350569</v>
      </c>
      <c r="F11" s="194">
        <f>SUM(Summary!F17:F34)</f>
        <v>467211036.69673729</v>
      </c>
      <c r="G11" s="194"/>
      <c r="H11" s="194">
        <f>SUM(Summary!H17:H34)</f>
        <v>4028899915.9540138</v>
      </c>
      <c r="I11" s="194">
        <f>H11/C11/1000</f>
        <v>963.07980827662357</v>
      </c>
    </row>
    <row r="12" spans="1:9" ht="13.5" thickBot="1" x14ac:dyDescent="0.25">
      <c r="A12" s="66"/>
      <c r="B12" s="457" t="s">
        <v>176</v>
      </c>
      <c r="C12" s="191">
        <f>SUM(C35:C49)</f>
        <v>1648.498</v>
      </c>
      <c r="D12" s="196">
        <f t="shared" ref="D12:H12" si="0">SUM(D35:D49)</f>
        <v>249748936.04182199</v>
      </c>
      <c r="E12" s="196">
        <f t="shared" si="0"/>
        <v>262246336.47481301</v>
      </c>
      <c r="F12" s="196">
        <f t="shared" si="0"/>
        <v>51922010.390927635</v>
      </c>
      <c r="G12" s="196"/>
      <c r="H12" s="196">
        <f t="shared" si="0"/>
        <v>563917282.90756261</v>
      </c>
      <c r="I12" s="196">
        <f>H12/C12/1000</f>
        <v>342.07944620349105</v>
      </c>
    </row>
    <row r="13" spans="1:9" ht="14.25" thickTop="1" thickBot="1" x14ac:dyDescent="0.25">
      <c r="B13" s="458" t="s">
        <v>134</v>
      </c>
      <c r="C13" s="190">
        <f t="shared" ref="C13:H13" si="1">SUM(C17:C49)</f>
        <v>5831.8480000000018</v>
      </c>
      <c r="D13" s="195">
        <f t="shared" si="1"/>
        <v>1652106971.5640409</v>
      </c>
      <c r="E13" s="195">
        <f t="shared" si="1"/>
        <v>2421577180.2098694</v>
      </c>
      <c r="F13" s="195">
        <f t="shared" si="1"/>
        <v>519133047.08766496</v>
      </c>
      <c r="G13" s="195"/>
      <c r="H13" s="195">
        <f t="shared" si="1"/>
        <v>4592817198.861578</v>
      </c>
      <c r="I13" s="195">
        <f>H13/C13/1000</f>
        <v>787.54062157682722</v>
      </c>
    </row>
    <row r="14" spans="1:9" ht="13.5" thickBot="1" x14ac:dyDescent="0.25">
      <c r="B14" s="186"/>
      <c r="C14" s="185"/>
      <c r="D14" s="185"/>
      <c r="E14" s="185"/>
      <c r="F14" s="185"/>
      <c r="G14" s="185"/>
      <c r="H14" s="185"/>
      <c r="I14" s="185"/>
    </row>
    <row r="15" spans="1:9" x14ac:dyDescent="0.2">
      <c r="B15" s="25"/>
      <c r="C15" s="25"/>
      <c r="D15" s="25" t="s">
        <v>174</v>
      </c>
      <c r="E15" s="25" t="s">
        <v>89</v>
      </c>
      <c r="F15" s="25" t="s">
        <v>89</v>
      </c>
      <c r="G15" s="25"/>
      <c r="H15" s="25" t="s">
        <v>135</v>
      </c>
      <c r="I15" s="25"/>
    </row>
    <row r="16" spans="1:9" ht="13.5" thickBot="1" x14ac:dyDescent="0.25">
      <c r="A16" s="69"/>
      <c r="B16" s="70" t="s">
        <v>88</v>
      </c>
      <c r="C16" s="70" t="s">
        <v>26</v>
      </c>
      <c r="D16" s="71" t="s">
        <v>169</v>
      </c>
      <c r="E16" s="71" t="s">
        <v>173</v>
      </c>
      <c r="F16" s="71" t="s">
        <v>106</v>
      </c>
      <c r="G16" s="70"/>
      <c r="H16" s="70" t="s">
        <v>89</v>
      </c>
      <c r="I16" s="70" t="s">
        <v>90</v>
      </c>
    </row>
    <row r="17" spans="1:9" x14ac:dyDescent="0.2">
      <c r="A17" s="92">
        <v>1</v>
      </c>
      <c r="B17" s="297" t="str">
        <f t="shared" ref="B17:B48" si="2">VLOOKUP(A17,UnitData,2)</f>
        <v>Conesville 4</v>
      </c>
      <c r="C17" s="377">
        <f t="shared" ref="C17:C48" si="3">VLOOKUP(A17,UnitData,3)</f>
        <v>312</v>
      </c>
      <c r="D17" s="26">
        <v>107783523.71258108</v>
      </c>
      <c r="E17" s="26">
        <v>169183002.40701869</v>
      </c>
      <c r="F17" s="26">
        <v>35638283.540787622</v>
      </c>
      <c r="G17" s="452"/>
      <c r="H17" s="94">
        <f t="shared" ref="H17:H49" si="4">SUM(D17:G17)</f>
        <v>312604809.6603874</v>
      </c>
      <c r="I17" s="95">
        <f t="shared" ref="I17:I49" si="5">H17/(C17*1000)</f>
        <v>1001.9384925012416</v>
      </c>
    </row>
    <row r="18" spans="1:9" x14ac:dyDescent="0.2">
      <c r="A18" s="92">
        <v>2</v>
      </c>
      <c r="B18" s="297" t="str">
        <f t="shared" si="2"/>
        <v>East Bend 2</v>
      </c>
      <c r="C18" s="377">
        <f t="shared" si="3"/>
        <v>414</v>
      </c>
      <c r="D18" s="26">
        <v>149589011.11520946</v>
      </c>
      <c r="E18" s="26">
        <v>258782362.68251947</v>
      </c>
      <c r="F18" s="26">
        <v>56382647.147935279</v>
      </c>
      <c r="G18" s="453"/>
      <c r="H18" s="94">
        <f t="shared" si="4"/>
        <v>464754020.94566417</v>
      </c>
      <c r="I18" s="95">
        <f t="shared" si="5"/>
        <v>1122.5942534919425</v>
      </c>
    </row>
    <row r="19" spans="1:9" x14ac:dyDescent="0.2">
      <c r="A19" s="92">
        <v>3</v>
      </c>
      <c r="B19" s="297" t="str">
        <f t="shared" si="2"/>
        <v>JM Stuart 1</v>
      </c>
      <c r="C19" s="377">
        <f t="shared" si="3"/>
        <v>228.15</v>
      </c>
      <c r="D19" s="26">
        <v>74719425.611276194</v>
      </c>
      <c r="E19" s="26">
        <v>120709445.28348713</v>
      </c>
      <c r="F19" s="26">
        <v>26144863.619648419</v>
      </c>
      <c r="G19" s="453"/>
      <c r="H19" s="94">
        <f t="shared" si="4"/>
        <v>221573734.51441175</v>
      </c>
      <c r="I19" s="95">
        <f t="shared" si="5"/>
        <v>971.17569368578461</v>
      </c>
    </row>
    <row r="20" spans="1:9" x14ac:dyDescent="0.2">
      <c r="A20" s="92">
        <v>4</v>
      </c>
      <c r="B20" s="297" t="str">
        <f t="shared" si="2"/>
        <v>JM Stuart 2</v>
      </c>
      <c r="C20" s="377">
        <f t="shared" si="3"/>
        <v>228.15</v>
      </c>
      <c r="D20" s="26">
        <v>72098806.15781717</v>
      </c>
      <c r="E20" s="26">
        <v>118465728.86472617</v>
      </c>
      <c r="F20" s="26">
        <v>25661806.855150238</v>
      </c>
      <c r="G20" s="453"/>
      <c r="H20" s="94">
        <f t="shared" si="4"/>
        <v>216226341.87769359</v>
      </c>
      <c r="I20" s="95">
        <f t="shared" si="5"/>
        <v>947.7376369830971</v>
      </c>
    </row>
    <row r="21" spans="1:9" x14ac:dyDescent="0.2">
      <c r="A21" s="92">
        <v>5</v>
      </c>
      <c r="B21" s="297" t="str">
        <f t="shared" si="2"/>
        <v>JM Stuart 3</v>
      </c>
      <c r="C21" s="377">
        <f t="shared" si="3"/>
        <v>228.15</v>
      </c>
      <c r="D21" s="26">
        <v>73783798.914328396</v>
      </c>
      <c r="E21" s="26">
        <v>116778749.48665716</v>
      </c>
      <c r="F21" s="26">
        <v>25281208.264838308</v>
      </c>
      <c r="G21" s="453"/>
      <c r="H21" s="94">
        <f t="shared" si="4"/>
        <v>215843756.66582385</v>
      </c>
      <c r="I21" s="95">
        <f t="shared" si="5"/>
        <v>946.06073489293817</v>
      </c>
    </row>
    <row r="22" spans="1:9" x14ac:dyDescent="0.2">
      <c r="A22" s="92">
        <v>6</v>
      </c>
      <c r="B22" s="297" t="str">
        <f t="shared" si="2"/>
        <v>JM Stuart 4</v>
      </c>
      <c r="C22" s="377">
        <f t="shared" si="3"/>
        <v>228.15</v>
      </c>
      <c r="D22" s="26">
        <v>74828326.82357125</v>
      </c>
      <c r="E22" s="26">
        <v>118643446.34393473</v>
      </c>
      <c r="F22" s="26">
        <v>25725795.779941186</v>
      </c>
      <c r="G22" s="453"/>
      <c r="H22" s="94">
        <f t="shared" si="4"/>
        <v>219197568.94744718</v>
      </c>
      <c r="I22" s="95">
        <f t="shared" si="5"/>
        <v>960.76076680888525</v>
      </c>
    </row>
    <row r="23" spans="1:9" x14ac:dyDescent="0.2">
      <c r="A23" s="92">
        <v>7</v>
      </c>
      <c r="B23" s="297" t="str">
        <f t="shared" si="2"/>
        <v>Killen 2</v>
      </c>
      <c r="C23" s="377">
        <f t="shared" si="3"/>
        <v>198</v>
      </c>
      <c r="D23" s="26">
        <v>69302142.647407666</v>
      </c>
      <c r="E23" s="26">
        <v>110875262.62930071</v>
      </c>
      <c r="F23" s="26">
        <v>23927760.53979462</v>
      </c>
      <c r="G23" s="453"/>
      <c r="H23" s="94">
        <f t="shared" si="4"/>
        <v>204105165.81650299</v>
      </c>
      <c r="I23" s="95">
        <f t="shared" si="5"/>
        <v>1030.8341707904192</v>
      </c>
    </row>
    <row r="24" spans="1:9" x14ac:dyDescent="0.2">
      <c r="A24" s="92">
        <v>8</v>
      </c>
      <c r="B24" s="297" t="str">
        <f t="shared" si="2"/>
        <v>Miami Fort 5</v>
      </c>
      <c r="C24" s="377">
        <f t="shared" si="3"/>
        <v>80</v>
      </c>
      <c r="D24" s="26">
        <v>14786498.461166803</v>
      </c>
      <c r="E24" s="26">
        <v>13373881.318440353</v>
      </c>
      <c r="F24" s="26">
        <v>2837000.6220114096</v>
      </c>
      <c r="G24" s="453"/>
      <c r="H24" s="94">
        <f t="shared" si="4"/>
        <v>30997380.401618563</v>
      </c>
      <c r="I24" s="95">
        <f t="shared" si="5"/>
        <v>387.46725502023202</v>
      </c>
    </row>
    <row r="25" spans="1:9" x14ac:dyDescent="0.2">
      <c r="A25" s="92">
        <v>9</v>
      </c>
      <c r="B25" s="297" t="str">
        <f t="shared" si="2"/>
        <v>Miami Fort 6</v>
      </c>
      <c r="C25" s="377">
        <f t="shared" si="3"/>
        <v>163</v>
      </c>
      <c r="D25" s="26">
        <v>50707812.020183764</v>
      </c>
      <c r="E25" s="26">
        <v>75215232.267508596</v>
      </c>
      <c r="F25" s="26">
        <v>16240077.010690456</v>
      </c>
      <c r="G25" s="453"/>
      <c r="H25" s="94">
        <f t="shared" si="4"/>
        <v>142163121.29838282</v>
      </c>
      <c r="I25" s="95">
        <f t="shared" si="5"/>
        <v>872.16638833363697</v>
      </c>
    </row>
    <row r="26" spans="1:9" x14ac:dyDescent="0.2">
      <c r="A26" s="92">
        <v>10</v>
      </c>
      <c r="B26" s="297" t="str">
        <f t="shared" si="2"/>
        <v>Miami Fort 7</v>
      </c>
      <c r="C26" s="377">
        <f t="shared" si="3"/>
        <v>320</v>
      </c>
      <c r="D26" s="26">
        <v>93301607.676897511</v>
      </c>
      <c r="E26" s="26">
        <v>170813250.17719311</v>
      </c>
      <c r="F26" s="26">
        <v>36982003.567215189</v>
      </c>
      <c r="G26" s="453"/>
      <c r="H26" s="94">
        <f t="shared" si="4"/>
        <v>301096861.42130584</v>
      </c>
      <c r="I26" s="95">
        <f t="shared" si="5"/>
        <v>940.92769194158075</v>
      </c>
    </row>
    <row r="27" spans="1:9" x14ac:dyDescent="0.2">
      <c r="A27" s="92">
        <v>11</v>
      </c>
      <c r="B27" s="297" t="str">
        <f t="shared" si="2"/>
        <v>Miami Fort 8</v>
      </c>
      <c r="C27" s="377">
        <f t="shared" si="3"/>
        <v>320</v>
      </c>
      <c r="D27" s="26">
        <v>101357072.28058515</v>
      </c>
      <c r="E27" s="26">
        <v>175634597.9168494</v>
      </c>
      <c r="F27" s="26">
        <v>38203712.710249148</v>
      </c>
      <c r="G27" s="453"/>
      <c r="H27" s="94">
        <f t="shared" si="4"/>
        <v>315195382.90768367</v>
      </c>
      <c r="I27" s="95">
        <f t="shared" si="5"/>
        <v>984.98557158651147</v>
      </c>
    </row>
    <row r="28" spans="1:9" x14ac:dyDescent="0.2">
      <c r="A28" s="92">
        <v>12</v>
      </c>
      <c r="B28" s="297" t="str">
        <f t="shared" si="2"/>
        <v>WC Beckjord 1</v>
      </c>
      <c r="C28" s="377">
        <f t="shared" si="3"/>
        <v>94</v>
      </c>
      <c r="D28" s="26">
        <v>23730630.850761451</v>
      </c>
      <c r="E28" s="26">
        <v>31980239.213241659</v>
      </c>
      <c r="F28" s="26">
        <v>6977691.1975122038</v>
      </c>
      <c r="G28" s="453"/>
      <c r="H28" s="94">
        <f t="shared" si="4"/>
        <v>62688561.261515312</v>
      </c>
      <c r="I28" s="95">
        <f t="shared" si="5"/>
        <v>666.89958788846081</v>
      </c>
    </row>
    <row r="29" spans="1:9" x14ac:dyDescent="0.2">
      <c r="A29" s="92">
        <v>13</v>
      </c>
      <c r="B29" s="297" t="str">
        <f t="shared" si="2"/>
        <v>WC Beckjord 2</v>
      </c>
      <c r="C29" s="377">
        <f t="shared" si="3"/>
        <v>94</v>
      </c>
      <c r="D29" s="26">
        <v>23128886.43393182</v>
      </c>
      <c r="E29" s="26">
        <v>31284472.654538948</v>
      </c>
      <c r="F29" s="26">
        <v>6829348.5182516212</v>
      </c>
      <c r="G29" s="453"/>
      <c r="H29" s="94">
        <f t="shared" si="4"/>
        <v>61242707.606722392</v>
      </c>
      <c r="I29" s="95">
        <f t="shared" si="5"/>
        <v>651.51816602896167</v>
      </c>
    </row>
    <row r="30" spans="1:9" x14ac:dyDescent="0.2">
      <c r="A30" s="92">
        <v>14</v>
      </c>
      <c r="B30" s="297" t="str">
        <f t="shared" si="2"/>
        <v>WC Beckjord 3</v>
      </c>
      <c r="C30" s="377">
        <f t="shared" si="3"/>
        <v>128</v>
      </c>
      <c r="D30" s="26">
        <v>36467024.971316494</v>
      </c>
      <c r="E30" s="26">
        <v>51128149.666607596</v>
      </c>
      <c r="F30" s="26">
        <v>11123907.264541682</v>
      </c>
      <c r="G30" s="453"/>
      <c r="H30" s="94">
        <f t="shared" si="4"/>
        <v>98719081.902465776</v>
      </c>
      <c r="I30" s="95">
        <f t="shared" si="5"/>
        <v>771.24282736301382</v>
      </c>
    </row>
    <row r="31" spans="1:9" x14ac:dyDescent="0.2">
      <c r="A31" s="92">
        <v>15</v>
      </c>
      <c r="B31" s="297" t="str">
        <f t="shared" si="2"/>
        <v>WC Beckjord 4</v>
      </c>
      <c r="C31" s="377">
        <f t="shared" si="3"/>
        <v>150</v>
      </c>
      <c r="D31" s="26">
        <v>44209553.177085191</v>
      </c>
      <c r="E31" s="26">
        <v>63356847.685263939</v>
      </c>
      <c r="F31" s="26">
        <v>13704749.411785467</v>
      </c>
      <c r="G31" s="453"/>
      <c r="H31" s="94">
        <f t="shared" si="4"/>
        <v>121271150.27413459</v>
      </c>
      <c r="I31" s="95">
        <f t="shared" si="5"/>
        <v>808.47433516089723</v>
      </c>
    </row>
    <row r="32" spans="1:9" x14ac:dyDescent="0.2">
      <c r="A32" s="92">
        <v>16</v>
      </c>
      <c r="B32" s="297" t="str">
        <f t="shared" si="2"/>
        <v>WC Beckjord 5</v>
      </c>
      <c r="C32" s="377">
        <f t="shared" si="3"/>
        <v>238</v>
      </c>
      <c r="D32" s="26">
        <v>74414111.861029968</v>
      </c>
      <c r="E32" s="26">
        <v>99685656.127152741</v>
      </c>
      <c r="F32" s="26">
        <v>21697798.943250954</v>
      </c>
      <c r="G32" s="453"/>
      <c r="H32" s="94">
        <f t="shared" si="4"/>
        <v>195797566.93143368</v>
      </c>
      <c r="I32" s="95">
        <f t="shared" si="5"/>
        <v>822.67885265308269</v>
      </c>
    </row>
    <row r="33" spans="1:9" x14ac:dyDescent="0.2">
      <c r="A33" s="92">
        <v>17</v>
      </c>
      <c r="B33" s="297" t="str">
        <f t="shared" si="2"/>
        <v>WC Beckjord 6</v>
      </c>
      <c r="C33" s="377">
        <f t="shared" si="3"/>
        <v>155.25</v>
      </c>
      <c r="D33" s="26">
        <v>46265138.272614241</v>
      </c>
      <c r="E33" s="26">
        <v>64729986.165709436</v>
      </c>
      <c r="F33" s="26">
        <v>14197788.600573229</v>
      </c>
      <c r="G33" s="453"/>
      <c r="H33" s="94">
        <f t="shared" si="4"/>
        <v>125192913.0388969</v>
      </c>
      <c r="I33" s="95">
        <f t="shared" si="5"/>
        <v>806.39557512977069</v>
      </c>
    </row>
    <row r="34" spans="1:9" x14ac:dyDescent="0.2">
      <c r="A34" s="92">
        <v>18</v>
      </c>
      <c r="B34" s="297" t="str">
        <f t="shared" si="2"/>
        <v>WH Zimmer 1</v>
      </c>
      <c r="C34" s="377">
        <f t="shared" si="3"/>
        <v>604.5</v>
      </c>
      <c r="D34" s="26">
        <v>271884664.53445572</v>
      </c>
      <c r="E34" s="26">
        <v>368690532.8449074</v>
      </c>
      <c r="F34" s="26">
        <v>79654593.102560252</v>
      </c>
      <c r="G34" s="453"/>
      <c r="H34" s="94">
        <f t="shared" si="4"/>
        <v>720229790.48192334</v>
      </c>
      <c r="I34" s="95">
        <f t="shared" si="5"/>
        <v>1191.4471306566143</v>
      </c>
    </row>
    <row r="35" spans="1:9" x14ac:dyDescent="0.2">
      <c r="A35" s="92">
        <v>19</v>
      </c>
      <c r="B35" s="297" t="str">
        <f t="shared" si="2"/>
        <v>Dicks Creek 1</v>
      </c>
      <c r="C35" s="377">
        <f t="shared" si="3"/>
        <v>92</v>
      </c>
      <c r="D35" s="26">
        <v>6911270.4351809639</v>
      </c>
      <c r="E35" s="26">
        <v>3763504.9061761247</v>
      </c>
      <c r="F35" s="26">
        <v>727088.28882377187</v>
      </c>
      <c r="G35" s="453"/>
      <c r="H35" s="94">
        <f t="shared" si="4"/>
        <v>11401863.630180862</v>
      </c>
      <c r="I35" s="95">
        <f t="shared" si="5"/>
        <v>123.93330032805285</v>
      </c>
    </row>
    <row r="36" spans="1:9" x14ac:dyDescent="0.2">
      <c r="A36" s="92">
        <v>20</v>
      </c>
      <c r="B36" s="297" t="str">
        <f t="shared" si="2"/>
        <v>Dicks Creek 3</v>
      </c>
      <c r="C36" s="377">
        <f t="shared" si="3"/>
        <v>14.2</v>
      </c>
      <c r="D36" s="26">
        <v>1079519.9650002273</v>
      </c>
      <c r="E36" s="26">
        <v>390723.29041685897</v>
      </c>
      <c r="F36" s="26">
        <v>72346.522543235158</v>
      </c>
      <c r="G36" s="453"/>
      <c r="H36" s="94">
        <f t="shared" si="4"/>
        <v>1542589.7779603214</v>
      </c>
      <c r="I36" s="95">
        <f t="shared" si="5"/>
        <v>108.63308295495222</v>
      </c>
    </row>
    <row r="37" spans="1:9" x14ac:dyDescent="0.2">
      <c r="A37" s="92">
        <v>21</v>
      </c>
      <c r="B37" s="297" t="str">
        <f t="shared" si="2"/>
        <v>Dicks Creek 4&amp;5</v>
      </c>
      <c r="C37" s="377">
        <f t="shared" si="3"/>
        <v>30</v>
      </c>
      <c r="D37" s="26">
        <v>2432619.715890951</v>
      </c>
      <c r="E37" s="26">
        <v>935246.39774975192</v>
      </c>
      <c r="F37" s="26">
        <v>174085.63773923673</v>
      </c>
      <c r="G37" s="453"/>
      <c r="H37" s="94">
        <f t="shared" si="4"/>
        <v>3541951.7513799397</v>
      </c>
      <c r="I37" s="95">
        <f t="shared" si="5"/>
        <v>118.06505837933132</v>
      </c>
    </row>
    <row r="38" spans="1:9" x14ac:dyDescent="0.2">
      <c r="A38" s="92">
        <v>22</v>
      </c>
      <c r="B38" s="297" t="str">
        <f t="shared" si="2"/>
        <v>Miami Fort 3-6</v>
      </c>
      <c r="C38" s="377">
        <f t="shared" si="3"/>
        <v>56.8</v>
      </c>
      <c r="D38" s="26">
        <v>4418856.9296885449</v>
      </c>
      <c r="E38" s="26">
        <v>2051323.5839760797</v>
      </c>
      <c r="F38" s="26">
        <v>414601.82485104958</v>
      </c>
      <c r="G38" s="453"/>
      <c r="H38" s="94">
        <f t="shared" si="4"/>
        <v>6884782.3385156747</v>
      </c>
      <c r="I38" s="95">
        <f t="shared" si="5"/>
        <v>121.21095666400836</v>
      </c>
    </row>
    <row r="39" spans="1:9" x14ac:dyDescent="0.2">
      <c r="A39" s="92">
        <v>23</v>
      </c>
      <c r="B39" s="297" t="str">
        <f t="shared" si="2"/>
        <v>Beckjord CT1</v>
      </c>
      <c r="C39" s="377">
        <f t="shared" si="3"/>
        <v>51.225000000000001</v>
      </c>
      <c r="D39" s="26">
        <v>4650269.6764958296</v>
      </c>
      <c r="E39" s="26">
        <v>3703529.0668251244</v>
      </c>
      <c r="F39" s="26">
        <v>768760.15586463385</v>
      </c>
      <c r="G39" s="453"/>
      <c r="H39" s="94">
        <f t="shared" si="4"/>
        <v>9122558.8991855886</v>
      </c>
      <c r="I39" s="95">
        <f t="shared" si="5"/>
        <v>178.088021457991</v>
      </c>
    </row>
    <row r="40" spans="1:9" x14ac:dyDescent="0.2">
      <c r="A40" s="92">
        <v>24</v>
      </c>
      <c r="B40" s="297" t="str">
        <f t="shared" si="2"/>
        <v>Beckjord CT2</v>
      </c>
      <c r="C40" s="377">
        <f t="shared" si="3"/>
        <v>51.225000000000001</v>
      </c>
      <c r="D40" s="26">
        <v>4650269.6764958296</v>
      </c>
      <c r="E40" s="26">
        <v>3703529.0668251244</v>
      </c>
      <c r="F40" s="26">
        <v>768760.15586463385</v>
      </c>
      <c r="G40" s="453"/>
      <c r="H40" s="94">
        <f t="shared" si="4"/>
        <v>9122558.8991855886</v>
      </c>
      <c r="I40" s="95">
        <f t="shared" si="5"/>
        <v>178.088021457991</v>
      </c>
    </row>
    <row r="41" spans="1:9" x14ac:dyDescent="0.2">
      <c r="A41" s="92">
        <v>25</v>
      </c>
      <c r="B41" s="297" t="str">
        <f t="shared" si="2"/>
        <v>Beckjord CT3</v>
      </c>
      <c r="C41" s="377">
        <f t="shared" si="3"/>
        <v>51.225000000000001</v>
      </c>
      <c r="D41" s="26">
        <v>4650269.6764958296</v>
      </c>
      <c r="E41" s="26">
        <v>3703529.0668251244</v>
      </c>
      <c r="F41" s="26">
        <v>768760.15586463385</v>
      </c>
      <c r="G41" s="453"/>
      <c r="H41" s="94">
        <f t="shared" si="4"/>
        <v>9122558.8991855886</v>
      </c>
      <c r="I41" s="95">
        <f t="shared" si="5"/>
        <v>178.088021457991</v>
      </c>
    </row>
    <row r="42" spans="1:9" x14ac:dyDescent="0.2">
      <c r="A42" s="92">
        <v>26</v>
      </c>
      <c r="B42" s="297" t="str">
        <f t="shared" si="2"/>
        <v>Beckjord CT4</v>
      </c>
      <c r="C42" s="377">
        <f t="shared" si="3"/>
        <v>51.225000000000001</v>
      </c>
      <c r="D42" s="26">
        <v>4650269.6764958296</v>
      </c>
      <c r="E42" s="26">
        <v>3703529.0668251244</v>
      </c>
      <c r="F42" s="26">
        <v>768760.15586463385</v>
      </c>
      <c r="G42" s="453"/>
      <c r="H42" s="94">
        <f t="shared" si="4"/>
        <v>9122558.8991855886</v>
      </c>
      <c r="I42" s="95">
        <f t="shared" si="5"/>
        <v>178.088021457991</v>
      </c>
    </row>
    <row r="43" spans="1:9" x14ac:dyDescent="0.2">
      <c r="A43" s="92">
        <v>27</v>
      </c>
      <c r="B43" s="297" t="str">
        <f t="shared" si="2"/>
        <v>Woodsdale 1</v>
      </c>
      <c r="C43" s="377">
        <f t="shared" si="3"/>
        <v>83.433000000000007</v>
      </c>
      <c r="D43" s="26">
        <v>10811128.686094137</v>
      </c>
      <c r="E43" s="26">
        <v>9336883.4789562132</v>
      </c>
      <c r="F43" s="26">
        <v>1795459.2608849164</v>
      </c>
      <c r="G43" s="453"/>
      <c r="H43" s="94">
        <f t="shared" si="4"/>
        <v>21943471.425935268</v>
      </c>
      <c r="I43" s="95">
        <f t="shared" si="5"/>
        <v>263.00710061888304</v>
      </c>
    </row>
    <row r="44" spans="1:9" x14ac:dyDescent="0.2">
      <c r="A44" s="92">
        <v>28</v>
      </c>
      <c r="B44" s="297" t="str">
        <f t="shared" si="2"/>
        <v>Woodsdale 2</v>
      </c>
      <c r="C44" s="377">
        <f t="shared" si="3"/>
        <v>83.433000000000007</v>
      </c>
      <c r="D44" s="26">
        <v>10811577.484896399</v>
      </c>
      <c r="E44" s="26">
        <v>9336883.5696371086</v>
      </c>
      <c r="F44" s="26">
        <v>1795461.7237690135</v>
      </c>
      <c r="G44" s="453"/>
      <c r="H44" s="94">
        <f t="shared" si="4"/>
        <v>21943922.778302521</v>
      </c>
      <c r="I44" s="95">
        <f t="shared" si="5"/>
        <v>263.01251037721909</v>
      </c>
    </row>
    <row r="45" spans="1:9" x14ac:dyDescent="0.2">
      <c r="A45" s="92">
        <v>29</v>
      </c>
      <c r="B45" s="297" t="str">
        <f t="shared" si="2"/>
        <v>Woodsdale 3</v>
      </c>
      <c r="C45" s="377">
        <f t="shared" si="3"/>
        <v>83.433000000000007</v>
      </c>
      <c r="D45" s="26">
        <v>10796453.404054895</v>
      </c>
      <c r="E45" s="26">
        <v>9340644.3956188671</v>
      </c>
      <c r="F45" s="26">
        <v>1796501.5333682555</v>
      </c>
      <c r="G45" s="453"/>
      <c r="H45" s="94">
        <f t="shared" si="4"/>
        <v>21933599.333042018</v>
      </c>
      <c r="I45" s="95">
        <f t="shared" si="5"/>
        <v>262.88877701918926</v>
      </c>
    </row>
    <row r="46" spans="1:9" x14ac:dyDescent="0.2">
      <c r="A46" s="92">
        <v>30</v>
      </c>
      <c r="B46" s="297" t="str">
        <f t="shared" si="2"/>
        <v>Woodsdale 4</v>
      </c>
      <c r="C46" s="377">
        <f t="shared" si="3"/>
        <v>83.433000000000007</v>
      </c>
      <c r="D46" s="26">
        <v>10796453.404054895</v>
      </c>
      <c r="E46" s="26">
        <v>9340644.3956188671</v>
      </c>
      <c r="F46" s="26">
        <v>1796501.5333682555</v>
      </c>
      <c r="G46" s="453"/>
      <c r="H46" s="94">
        <f t="shared" si="4"/>
        <v>21933599.333042018</v>
      </c>
      <c r="I46" s="95">
        <f t="shared" si="5"/>
        <v>262.88877701918926</v>
      </c>
    </row>
    <row r="47" spans="1:9" x14ac:dyDescent="0.2">
      <c r="A47" s="92">
        <v>31</v>
      </c>
      <c r="B47" s="297" t="str">
        <f t="shared" si="2"/>
        <v>Woodsdale 5</v>
      </c>
      <c r="C47" s="377">
        <f t="shared" si="3"/>
        <v>83.433000000000007</v>
      </c>
      <c r="D47" s="26">
        <v>10782420.540431323</v>
      </c>
      <c r="E47" s="26">
        <v>9347298.4979695641</v>
      </c>
      <c r="F47" s="26">
        <v>1798084.6769361631</v>
      </c>
      <c r="G47" s="453"/>
      <c r="H47" s="94">
        <f t="shared" si="4"/>
        <v>21927803.715337053</v>
      </c>
      <c r="I47" s="95">
        <f t="shared" si="5"/>
        <v>262.81931268607207</v>
      </c>
    </row>
    <row r="48" spans="1:9" x14ac:dyDescent="0.2">
      <c r="A48" s="92">
        <v>32</v>
      </c>
      <c r="B48" s="297" t="str">
        <f t="shared" si="2"/>
        <v>Woodsdale 6</v>
      </c>
      <c r="C48" s="377">
        <f t="shared" si="3"/>
        <v>83.433000000000007</v>
      </c>
      <c r="D48" s="26">
        <v>10784635.216419905</v>
      </c>
      <c r="E48" s="26">
        <v>9350042.0048572831</v>
      </c>
      <c r="F48" s="26">
        <v>1798658.6305856367</v>
      </c>
      <c r="G48" s="453"/>
      <c r="H48" s="94">
        <f t="shared" si="4"/>
        <v>21933335.851862825</v>
      </c>
      <c r="I48" s="95">
        <f t="shared" si="5"/>
        <v>262.8856190220036</v>
      </c>
    </row>
    <row r="49" spans="1:9" x14ac:dyDescent="0.2">
      <c r="A49" s="92">
        <v>33</v>
      </c>
      <c r="B49" s="298" t="s">
        <v>181</v>
      </c>
      <c r="C49" s="377">
        <v>750</v>
      </c>
      <c r="D49" s="26">
        <v>151522921.55412644</v>
      </c>
      <c r="E49" s="26">
        <v>184239025.68653578</v>
      </c>
      <c r="F49" s="26">
        <v>36678180.134599566</v>
      </c>
      <c r="G49" s="453"/>
      <c r="H49" s="94">
        <f t="shared" si="4"/>
        <v>372440127.37526178</v>
      </c>
      <c r="I49" s="95">
        <f t="shared" si="5"/>
        <v>496.58683650034902</v>
      </c>
    </row>
    <row r="50" spans="1:9" x14ac:dyDescent="0.2">
      <c r="A50" s="92"/>
      <c r="B50" s="72"/>
      <c r="C50" s="93"/>
      <c r="D50" s="26"/>
      <c r="E50" s="26"/>
      <c r="F50" s="26"/>
      <c r="G50" s="26"/>
      <c r="H50" s="94"/>
      <c r="I50" s="95"/>
    </row>
    <row r="51" spans="1:9" ht="13.5" thickBot="1" x14ac:dyDescent="0.25">
      <c r="A51" s="96"/>
      <c r="B51" s="97"/>
      <c r="C51" s="98">
        <f>SUM(C17:C49)</f>
        <v>5831.8480000000018</v>
      </c>
      <c r="D51" s="98">
        <f>SUM(D17:D49)</f>
        <v>1652106971.5640409</v>
      </c>
      <c r="E51" s="98">
        <f>SUM(E17:E49)</f>
        <v>2421577180.2098694</v>
      </c>
      <c r="F51" s="98">
        <f>SUM(F17:F49)</f>
        <v>519133047.08766496</v>
      </c>
      <c r="G51" s="99"/>
      <c r="H51" s="100">
        <f>SUM(H17:H49)</f>
        <v>4592817198.861578</v>
      </c>
      <c r="I51" s="101">
        <f>H51/(C51*1000)</f>
        <v>787.54062157682722</v>
      </c>
    </row>
    <row r="79" spans="1:9" x14ac:dyDescent="0.2">
      <c r="A79" s="69"/>
      <c r="B79" s="9"/>
      <c r="C79" s="9"/>
      <c r="D79" s="9"/>
      <c r="E79" s="9"/>
      <c r="F79" s="9"/>
      <c r="G79" s="9"/>
      <c r="H79" s="9"/>
      <c r="I79" s="9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UpdateVals">
                <anchor moveWithCells="1">
                  <from>
                    <xdr:col>5</xdr:col>
                    <xdr:colOff>9525</xdr:colOff>
                    <xdr:row>5</xdr:row>
                    <xdr:rowOff>9525</xdr:rowOff>
                  </from>
                  <to>
                    <xdr:col>7</xdr:col>
                    <xdr:colOff>495300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44"/>
  <sheetViews>
    <sheetView workbookViewId="0"/>
  </sheetViews>
  <sheetFormatPr defaultRowHeight="12.75" x14ac:dyDescent="0.2"/>
  <cols>
    <col min="1" max="1" width="3.42578125" customWidth="1"/>
    <col min="2" max="2" width="15.42578125" customWidth="1"/>
    <col min="3" max="3" width="6.7109375" bestFit="1" customWidth="1"/>
    <col min="4" max="4" width="8.7109375" bestFit="1" customWidth="1"/>
    <col min="5" max="12" width="9.7109375" bestFit="1" customWidth="1"/>
    <col min="13" max="13" width="11.85546875" bestFit="1" customWidth="1"/>
    <col min="14" max="21" width="9.7109375" bestFit="1" customWidth="1"/>
    <col min="22" max="22" width="8.7109375" bestFit="1" customWidth="1"/>
  </cols>
  <sheetData>
    <row r="1" spans="1:22" x14ac:dyDescent="0.2">
      <c r="A1" s="137" t="s">
        <v>50</v>
      </c>
      <c r="B1" s="139"/>
    </row>
    <row r="2" spans="1:22" x14ac:dyDescent="0.2">
      <c r="A2" s="13"/>
    </row>
    <row r="3" spans="1:22" x14ac:dyDescent="0.2">
      <c r="A3" s="13"/>
    </row>
    <row r="4" spans="1:22" x14ac:dyDescent="0.2">
      <c r="A4" s="13"/>
    </row>
    <row r="5" spans="1:22" x14ac:dyDescent="0.2">
      <c r="A5" s="13"/>
    </row>
    <row r="6" spans="1:22" x14ac:dyDescent="0.2">
      <c r="A6" s="13"/>
      <c r="L6" t="s">
        <v>303</v>
      </c>
    </row>
    <row r="7" spans="1:22" x14ac:dyDescent="0.2">
      <c r="A7" s="13"/>
    </row>
    <row r="9" spans="1:22" x14ac:dyDescent="0.2">
      <c r="C9" s="133">
        <v>2000</v>
      </c>
      <c r="D9" s="135">
        <v>2001</v>
      </c>
      <c r="E9" s="135">
        <v>2002</v>
      </c>
      <c r="F9" s="135">
        <v>2003</v>
      </c>
      <c r="G9" s="135">
        <v>2004</v>
      </c>
      <c r="H9" s="135">
        <v>2005</v>
      </c>
      <c r="I9" s="135">
        <v>2006</v>
      </c>
      <c r="J9" s="135">
        <v>2007</v>
      </c>
      <c r="K9" s="135">
        <v>2008</v>
      </c>
      <c r="L9" s="135">
        <v>2009</v>
      </c>
      <c r="M9" s="135">
        <v>2010</v>
      </c>
      <c r="N9" s="135">
        <v>2011</v>
      </c>
      <c r="O9" s="135">
        <v>2012</v>
      </c>
      <c r="P9" s="135">
        <v>2013</v>
      </c>
      <c r="Q9" s="135">
        <v>2014</v>
      </c>
      <c r="R9" s="135">
        <v>2015</v>
      </c>
      <c r="S9" s="135">
        <v>2016</v>
      </c>
      <c r="T9" s="135">
        <v>2017</v>
      </c>
      <c r="U9" s="135">
        <v>2018</v>
      </c>
      <c r="V9" s="135">
        <v>2019</v>
      </c>
    </row>
    <row r="10" spans="1:22" x14ac:dyDescent="0.2">
      <c r="C10" s="134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s="9" customFormat="1" x14ac:dyDescent="0.2">
      <c r="A11" s="9">
        <f>Summary!A17</f>
        <v>1</v>
      </c>
      <c r="B11" s="9" t="s">
        <v>55</v>
      </c>
      <c r="C11" s="211">
        <v>0</v>
      </c>
      <c r="D11" s="212">
        <v>526501.97323171305</v>
      </c>
      <c r="E11" s="212">
        <v>537611.16486690496</v>
      </c>
      <c r="F11" s="212">
        <v>549384.84937749105</v>
      </c>
      <c r="G11" s="212">
        <v>561800.946973418</v>
      </c>
      <c r="H11" s="212">
        <v>575171.80951138702</v>
      </c>
      <c r="I11" s="212">
        <v>589585.672880798</v>
      </c>
      <c r="J11" s="212">
        <v>604209.04007825395</v>
      </c>
      <c r="K11" s="212">
        <v>619502.81952545105</v>
      </c>
      <c r="L11" s="212">
        <v>634804.53916773095</v>
      </c>
      <c r="M11" s="212">
        <v>650992.054916505</v>
      </c>
      <c r="N11" s="212">
        <v>666746.06264548795</v>
      </c>
      <c r="O11" s="212">
        <v>683548.06342415197</v>
      </c>
      <c r="P11" s="212">
        <v>700910.18423512403</v>
      </c>
      <c r="Q11" s="212">
        <v>718432.93884100195</v>
      </c>
      <c r="R11" s="212">
        <v>736465.605605911</v>
      </c>
      <c r="S11" s="212">
        <v>754877.24574606004</v>
      </c>
      <c r="T11" s="212">
        <v>773598.20144056203</v>
      </c>
      <c r="U11" s="212">
        <v>793015.51629672095</v>
      </c>
      <c r="V11" s="212">
        <v>812920.20575576904</v>
      </c>
    </row>
    <row r="12" spans="1:22" s="9" customFormat="1" x14ac:dyDescent="0.2">
      <c r="A12" s="9">
        <f>Summary!A18</f>
        <v>2</v>
      </c>
      <c r="B12" s="9" t="s">
        <v>56</v>
      </c>
      <c r="C12" s="211">
        <v>0</v>
      </c>
      <c r="D12" s="213">
        <v>972786.00031529705</v>
      </c>
      <c r="E12" s="213">
        <v>993311.78492195602</v>
      </c>
      <c r="F12" s="213">
        <v>1015065.31301175</v>
      </c>
      <c r="G12" s="213">
        <v>1038005.78908581</v>
      </c>
      <c r="H12" s="213">
        <v>1062710.32686605</v>
      </c>
      <c r="I12" s="213">
        <v>1089341.95449349</v>
      </c>
      <c r="J12" s="213">
        <v>1116360.6697318</v>
      </c>
      <c r="K12" s="213">
        <v>1144618.0653248799</v>
      </c>
      <c r="L12" s="213">
        <v>1172890.1315384</v>
      </c>
      <c r="M12" s="213">
        <v>1202798.82989263</v>
      </c>
      <c r="N12" s="213">
        <v>1231906.56157603</v>
      </c>
      <c r="O12" s="213">
        <v>1262950.6069277499</v>
      </c>
      <c r="P12" s="213">
        <v>1295029.5523437101</v>
      </c>
      <c r="Q12" s="213">
        <v>1327405.2911523001</v>
      </c>
      <c r="R12" s="213">
        <v>1360723.1639602201</v>
      </c>
      <c r="S12" s="213">
        <v>1394741.24305923</v>
      </c>
      <c r="T12" s="213">
        <v>1429330.8258871001</v>
      </c>
      <c r="U12" s="213">
        <v>1465207.02961687</v>
      </c>
      <c r="V12" s="213">
        <v>1501983.7260602501</v>
      </c>
    </row>
    <row r="13" spans="1:22" s="9" customFormat="1" x14ac:dyDescent="0.2">
      <c r="A13" s="9">
        <f>Summary!A19</f>
        <v>3</v>
      </c>
      <c r="B13" s="9" t="s">
        <v>57</v>
      </c>
      <c r="C13" s="211">
        <v>0</v>
      </c>
      <c r="D13" s="213">
        <v>535405.353751207</v>
      </c>
      <c r="E13" s="213">
        <v>546702.40671536105</v>
      </c>
      <c r="F13" s="213">
        <v>558675.18942242803</v>
      </c>
      <c r="G13" s="213">
        <v>571301.24870336999</v>
      </c>
      <c r="H13" s="213">
        <v>584898.21842251206</v>
      </c>
      <c r="I13" s="213">
        <v>599555.82657704898</v>
      </c>
      <c r="J13" s="213">
        <v>614426.48136174004</v>
      </c>
      <c r="K13" s="213">
        <v>629978.88536292303</v>
      </c>
      <c r="L13" s="213">
        <v>645539.36383138795</v>
      </c>
      <c r="M13" s="213">
        <v>662000.61760908598</v>
      </c>
      <c r="N13" s="213">
        <v>678021.03255522903</v>
      </c>
      <c r="O13" s="213">
        <v>695107.16257561895</v>
      </c>
      <c r="P13" s="213">
        <v>712762.88450503803</v>
      </c>
      <c r="Q13" s="213">
        <v>730581.95661766396</v>
      </c>
      <c r="R13" s="213">
        <v>748919.56372876698</v>
      </c>
      <c r="S13" s="213">
        <v>767642.55282198801</v>
      </c>
      <c r="T13" s="213">
        <v>786680.08813197201</v>
      </c>
      <c r="U13" s="213">
        <v>806425.758344086</v>
      </c>
      <c r="V13" s="213">
        <v>826667.04487852298</v>
      </c>
    </row>
    <row r="14" spans="1:22" s="9" customFormat="1" x14ac:dyDescent="0.2">
      <c r="A14" s="9">
        <f>Summary!A20</f>
        <v>4</v>
      </c>
      <c r="B14" s="9" t="s">
        <v>58</v>
      </c>
      <c r="C14" s="211">
        <v>0</v>
      </c>
      <c r="D14" s="213">
        <v>535405.353751207</v>
      </c>
      <c r="E14" s="213">
        <v>546702.40671536105</v>
      </c>
      <c r="F14" s="213">
        <v>558675.18942242803</v>
      </c>
      <c r="G14" s="213">
        <v>571301.24870336999</v>
      </c>
      <c r="H14" s="213">
        <v>584898.21842251206</v>
      </c>
      <c r="I14" s="213">
        <v>599555.82657704898</v>
      </c>
      <c r="J14" s="213">
        <v>614426.48136174004</v>
      </c>
      <c r="K14" s="213">
        <v>629978.88536292303</v>
      </c>
      <c r="L14" s="213">
        <v>645539.36383138795</v>
      </c>
      <c r="M14" s="213">
        <v>662000.61760908598</v>
      </c>
      <c r="N14" s="213">
        <v>678021.03255522903</v>
      </c>
      <c r="O14" s="213">
        <v>695107.16257561895</v>
      </c>
      <c r="P14" s="213">
        <v>712762.88450503803</v>
      </c>
      <c r="Q14" s="213">
        <v>730581.95661766396</v>
      </c>
      <c r="R14" s="213">
        <v>748919.56372876698</v>
      </c>
      <c r="S14" s="213">
        <v>767642.55282198801</v>
      </c>
      <c r="T14" s="213">
        <v>786680.08813197201</v>
      </c>
      <c r="U14" s="213">
        <v>806425.758344086</v>
      </c>
      <c r="V14" s="213">
        <v>826667.04487852298</v>
      </c>
    </row>
    <row r="15" spans="1:22" s="9" customFormat="1" x14ac:dyDescent="0.2">
      <c r="A15" s="9">
        <f>Summary!A21</f>
        <v>5</v>
      </c>
      <c r="B15" s="9" t="s">
        <v>59</v>
      </c>
      <c r="C15" s="211">
        <v>0</v>
      </c>
      <c r="D15" s="213">
        <v>535405.353751207</v>
      </c>
      <c r="E15" s="213">
        <v>546702.40671536105</v>
      </c>
      <c r="F15" s="213">
        <v>558675.18942242803</v>
      </c>
      <c r="G15" s="213">
        <v>571301.24870336999</v>
      </c>
      <c r="H15" s="213">
        <v>584898.21842251206</v>
      </c>
      <c r="I15" s="213">
        <v>599555.82657704898</v>
      </c>
      <c r="J15" s="213">
        <v>614426.48136174004</v>
      </c>
      <c r="K15" s="213">
        <v>629978.88536292303</v>
      </c>
      <c r="L15" s="213">
        <v>645539.36383138795</v>
      </c>
      <c r="M15" s="213">
        <v>662000.61760908598</v>
      </c>
      <c r="N15" s="213">
        <v>678021.03255522903</v>
      </c>
      <c r="O15" s="213">
        <v>695107.16257561895</v>
      </c>
      <c r="P15" s="213">
        <v>712762.88450503803</v>
      </c>
      <c r="Q15" s="213">
        <v>730581.95661766396</v>
      </c>
      <c r="R15" s="213">
        <v>748919.56372876698</v>
      </c>
      <c r="S15" s="213">
        <v>767642.55282198801</v>
      </c>
      <c r="T15" s="213">
        <v>786680.08813197201</v>
      </c>
      <c r="U15" s="213">
        <v>806425.758344086</v>
      </c>
      <c r="V15" s="213">
        <v>826667.04487852298</v>
      </c>
    </row>
    <row r="16" spans="1:22" s="9" customFormat="1" x14ac:dyDescent="0.2">
      <c r="A16" s="9">
        <f>Summary!A22</f>
        <v>6</v>
      </c>
      <c r="B16" s="9" t="s">
        <v>60</v>
      </c>
      <c r="C16" s="211">
        <v>0</v>
      </c>
      <c r="D16" s="213">
        <v>535405.353751207</v>
      </c>
      <c r="E16" s="213">
        <v>546702.40671536105</v>
      </c>
      <c r="F16" s="213">
        <v>558675.18942242803</v>
      </c>
      <c r="G16" s="213">
        <v>571301.24870336999</v>
      </c>
      <c r="H16" s="213">
        <v>584898.21842251206</v>
      </c>
      <c r="I16" s="213">
        <v>599555.82657704898</v>
      </c>
      <c r="J16" s="213">
        <v>614426.48136174004</v>
      </c>
      <c r="K16" s="213">
        <v>629978.88536292303</v>
      </c>
      <c r="L16" s="213">
        <v>645539.36383138795</v>
      </c>
      <c r="M16" s="213">
        <v>662000.61760908598</v>
      </c>
      <c r="N16" s="213">
        <v>678021.03255522903</v>
      </c>
      <c r="O16" s="213">
        <v>695107.16257561895</v>
      </c>
      <c r="P16" s="213">
        <v>712762.88450503803</v>
      </c>
      <c r="Q16" s="213">
        <v>730581.95661766396</v>
      </c>
      <c r="R16" s="213">
        <v>748919.56372876698</v>
      </c>
      <c r="S16" s="213">
        <v>767642.55282198801</v>
      </c>
      <c r="T16" s="213">
        <v>786680.08813197201</v>
      </c>
      <c r="U16" s="213">
        <v>806425.758344086</v>
      </c>
      <c r="V16" s="213">
        <v>826667.04487852298</v>
      </c>
    </row>
    <row r="17" spans="1:22" s="9" customFormat="1" x14ac:dyDescent="0.2">
      <c r="A17" s="9">
        <f>Summary!A23</f>
        <v>7</v>
      </c>
      <c r="B17" s="9" t="s">
        <v>61</v>
      </c>
      <c r="C17" s="211">
        <v>0</v>
      </c>
      <c r="D17" s="213">
        <v>467999.200989959</v>
      </c>
      <c r="E17" s="213">
        <v>477873.98413085</v>
      </c>
      <c r="F17" s="213">
        <v>488339.42438331601</v>
      </c>
      <c r="G17" s="213">
        <v>499375.89537437499</v>
      </c>
      <c r="H17" s="213">
        <v>511261.04168428603</v>
      </c>
      <c r="I17" s="213">
        <v>524073.29478688602</v>
      </c>
      <c r="J17" s="213">
        <v>537071.77249853604</v>
      </c>
      <c r="K17" s="213">
        <v>550666.16895914497</v>
      </c>
      <c r="L17" s="213">
        <v>564267.62333243701</v>
      </c>
      <c r="M17" s="213">
        <v>578656.44772741199</v>
      </c>
      <c r="N17" s="213">
        <v>592659.93376241799</v>
      </c>
      <c r="O17" s="213">
        <v>607594.96409322903</v>
      </c>
      <c r="P17" s="213">
        <v>623027.87618119596</v>
      </c>
      <c r="Q17" s="213">
        <v>638603.57308572496</v>
      </c>
      <c r="R17" s="213">
        <v>654632.52277017699</v>
      </c>
      <c r="S17" s="213">
        <v>670998.33583943301</v>
      </c>
      <c r="T17" s="213">
        <v>687639.09456825</v>
      </c>
      <c r="U17" s="213">
        <v>704898.83584191406</v>
      </c>
      <c r="V17" s="213">
        <v>722591.79662154603</v>
      </c>
    </row>
    <row r="18" spans="1:22" s="9" customFormat="1" x14ac:dyDescent="0.2">
      <c r="A18" s="9">
        <f>Summary!A24</f>
        <v>8</v>
      </c>
      <c r="B18" s="9" t="s">
        <v>62</v>
      </c>
      <c r="C18" s="211">
        <v>0</v>
      </c>
      <c r="D18" s="213">
        <v>224390.18479580799</v>
      </c>
      <c r="E18" s="213">
        <v>229124.81769500099</v>
      </c>
      <c r="F18" s="213">
        <v>234142.65120252201</v>
      </c>
      <c r="G18" s="213">
        <v>239434.27511969701</v>
      </c>
      <c r="H18" s="213">
        <v>245132.810867547</v>
      </c>
      <c r="I18" s="213">
        <v>251275.86375152899</v>
      </c>
      <c r="J18" s="213">
        <v>257508.20519487301</v>
      </c>
      <c r="K18" s="213">
        <v>264026.27002816898</v>
      </c>
      <c r="L18" s="213">
        <v>270547.71889786603</v>
      </c>
      <c r="M18" s="213">
        <v>277446.68572975998</v>
      </c>
      <c r="N18" s="213">
        <v>284160.895524422</v>
      </c>
      <c r="O18" s="213">
        <v>291321.75009163597</v>
      </c>
      <c r="P18" s="213">
        <v>298721.32254396298</v>
      </c>
      <c r="Q18" s="213">
        <v>306189.355607562</v>
      </c>
      <c r="R18" s="213">
        <v>313874.70843331201</v>
      </c>
      <c r="S18" s="213">
        <v>321721.57614414499</v>
      </c>
      <c r="T18" s="213">
        <v>329700.27123252</v>
      </c>
      <c r="U18" s="213">
        <v>337975.74804045598</v>
      </c>
      <c r="V18" s="213">
        <v>346458.93931627198</v>
      </c>
    </row>
    <row r="19" spans="1:22" s="9" customFormat="1" x14ac:dyDescent="0.2">
      <c r="A19" s="9">
        <f>Summary!A25</f>
        <v>9</v>
      </c>
      <c r="B19" s="9" t="s">
        <v>63</v>
      </c>
      <c r="C19" s="211">
        <v>0</v>
      </c>
      <c r="D19" s="213">
        <v>457195.00152146001</v>
      </c>
      <c r="E19" s="213">
        <v>466841.81605356501</v>
      </c>
      <c r="F19" s="213">
        <v>477065.65182513901</v>
      </c>
      <c r="G19" s="213">
        <v>487847.33555638301</v>
      </c>
      <c r="H19" s="213">
        <v>499458.10214262601</v>
      </c>
      <c r="I19" s="213">
        <v>511974.57239374099</v>
      </c>
      <c r="J19" s="213">
        <v>524672.96808455302</v>
      </c>
      <c r="K19" s="213">
        <v>537953.52518239501</v>
      </c>
      <c r="L19" s="213">
        <v>551240.97725440096</v>
      </c>
      <c r="M19" s="213">
        <v>565297.62217438605</v>
      </c>
      <c r="N19" s="213">
        <v>578977.82463100902</v>
      </c>
      <c r="O19" s="213">
        <v>593568.06581170904</v>
      </c>
      <c r="P19" s="213">
        <v>608644.69468332501</v>
      </c>
      <c r="Q19" s="213">
        <v>623860.81205040799</v>
      </c>
      <c r="R19" s="213">
        <v>639519.71843287302</v>
      </c>
      <c r="S19" s="213">
        <v>655507.71139369602</v>
      </c>
      <c r="T19" s="213">
        <v>671764.302636259</v>
      </c>
      <c r="U19" s="213">
        <v>688625.58663242997</v>
      </c>
      <c r="V19" s="213">
        <v>705910.08885690395</v>
      </c>
    </row>
    <row r="20" spans="1:22" s="9" customFormat="1" x14ac:dyDescent="0.2">
      <c r="A20" s="9">
        <f>Summary!A26</f>
        <v>10</v>
      </c>
      <c r="B20" s="9" t="s">
        <v>64</v>
      </c>
      <c r="C20" s="211">
        <v>0</v>
      </c>
      <c r="D20" s="213">
        <v>657011.69461646595</v>
      </c>
      <c r="E20" s="213">
        <v>670874.64137287706</v>
      </c>
      <c r="F20" s="213">
        <v>685566.79601894401</v>
      </c>
      <c r="G20" s="213">
        <v>701060.60560896702</v>
      </c>
      <c r="H20" s="213">
        <v>717745.84802246199</v>
      </c>
      <c r="I20" s="213">
        <v>735732.63113018498</v>
      </c>
      <c r="J20" s="213">
        <v>753980.85003889306</v>
      </c>
      <c r="K20" s="213">
        <v>773065.66351075401</v>
      </c>
      <c r="L20" s="213">
        <v>792160.38539946999</v>
      </c>
      <c r="M20" s="213">
        <v>812360.47522715398</v>
      </c>
      <c r="N20" s="213">
        <v>832019.59872765501</v>
      </c>
      <c r="O20" s="213">
        <v>852986.49261558906</v>
      </c>
      <c r="P20" s="213">
        <v>874652.34952802304</v>
      </c>
      <c r="Q20" s="213">
        <v>896518.65826622397</v>
      </c>
      <c r="R20" s="213">
        <v>919021.27658870595</v>
      </c>
      <c r="S20" s="213">
        <v>941996.80850342498</v>
      </c>
      <c r="T20" s="213">
        <v>965358.32935430901</v>
      </c>
      <c r="U20" s="213">
        <v>989588.823421104</v>
      </c>
      <c r="V20" s="213">
        <v>1014427.50288897</v>
      </c>
    </row>
    <row r="21" spans="1:22" s="9" customFormat="1" x14ac:dyDescent="0.2">
      <c r="A21" s="9">
        <f>Summary!A27</f>
        <v>11</v>
      </c>
      <c r="B21" s="9" t="s">
        <v>65</v>
      </c>
      <c r="C21" s="211">
        <v>0</v>
      </c>
      <c r="D21" s="213">
        <v>657011.69461646595</v>
      </c>
      <c r="E21" s="213">
        <v>670874.64137287706</v>
      </c>
      <c r="F21" s="213">
        <v>685566.79601894401</v>
      </c>
      <c r="G21" s="213">
        <v>701060.60560896702</v>
      </c>
      <c r="H21" s="213">
        <v>717745.84802246199</v>
      </c>
      <c r="I21" s="213">
        <v>735732.63113018498</v>
      </c>
      <c r="J21" s="213">
        <v>753980.85003889306</v>
      </c>
      <c r="K21" s="213">
        <v>773065.66351075401</v>
      </c>
      <c r="L21" s="213">
        <v>792160.38539946999</v>
      </c>
      <c r="M21" s="213">
        <v>812360.47522715398</v>
      </c>
      <c r="N21" s="213">
        <v>832019.59872765501</v>
      </c>
      <c r="O21" s="213">
        <v>852986.49261558906</v>
      </c>
      <c r="P21" s="213">
        <v>874652.34952802304</v>
      </c>
      <c r="Q21" s="213">
        <v>896518.65826622397</v>
      </c>
      <c r="R21" s="213">
        <v>919021.27658870595</v>
      </c>
      <c r="S21" s="213">
        <v>941996.80850342498</v>
      </c>
      <c r="T21" s="213">
        <v>965358.32935430901</v>
      </c>
      <c r="U21" s="213">
        <v>989588.823421104</v>
      </c>
      <c r="V21" s="213">
        <v>1014427.50288897</v>
      </c>
    </row>
    <row r="22" spans="1:22" s="9" customFormat="1" x14ac:dyDescent="0.2">
      <c r="A22" s="9">
        <f>Summary!A28</f>
        <v>12</v>
      </c>
      <c r="B22" s="9" t="s">
        <v>66</v>
      </c>
      <c r="C22" s="211">
        <v>0</v>
      </c>
      <c r="D22" s="213">
        <v>307061.97203451901</v>
      </c>
      <c r="E22" s="213">
        <v>313540.97964444902</v>
      </c>
      <c r="F22" s="213">
        <v>320407.52709866298</v>
      </c>
      <c r="G22" s="213">
        <v>327648.73721109098</v>
      </c>
      <c r="H22" s="213">
        <v>335446.77715671499</v>
      </c>
      <c r="I22" s="213">
        <v>343853.10711533</v>
      </c>
      <c r="J22" s="213">
        <v>352381.62210241298</v>
      </c>
      <c r="K22" s="213">
        <v>361301.12918059598</v>
      </c>
      <c r="L22" s="213">
        <v>370225.267071357</v>
      </c>
      <c r="M22" s="213">
        <v>379666.01138167601</v>
      </c>
      <c r="N22" s="213">
        <v>388853.92885711399</v>
      </c>
      <c r="O22" s="213">
        <v>398653.04786431202</v>
      </c>
      <c r="P22" s="213">
        <v>408778.83528006502</v>
      </c>
      <c r="Q22" s="213">
        <v>418998.306162066</v>
      </c>
      <c r="R22" s="213">
        <v>429515.16364673403</v>
      </c>
      <c r="S22" s="213">
        <v>440253.04273790302</v>
      </c>
      <c r="T22" s="213">
        <v>451171.318197802</v>
      </c>
      <c r="U22" s="213">
        <v>462495.71828456799</v>
      </c>
      <c r="V22" s="213">
        <v>474104.36081351101</v>
      </c>
    </row>
    <row r="23" spans="1:22" s="9" customFormat="1" x14ac:dyDescent="0.2">
      <c r="A23" s="9">
        <f>Summary!A29</f>
        <v>13</v>
      </c>
      <c r="B23" t="s">
        <v>67</v>
      </c>
      <c r="C23" s="211">
        <v>0</v>
      </c>
      <c r="D23" s="213">
        <v>307061.97203451901</v>
      </c>
      <c r="E23" s="213">
        <v>313540.97964444902</v>
      </c>
      <c r="F23" s="213">
        <v>320407.52709866298</v>
      </c>
      <c r="G23" s="213">
        <v>327648.73721109098</v>
      </c>
      <c r="H23" s="213">
        <v>335446.77715671499</v>
      </c>
      <c r="I23" s="213">
        <v>343853.10711533</v>
      </c>
      <c r="J23" s="213">
        <v>352381.62210241298</v>
      </c>
      <c r="K23" s="213">
        <v>361301.12918059598</v>
      </c>
      <c r="L23" s="213">
        <v>370225.267071357</v>
      </c>
      <c r="M23" s="213">
        <v>379666.01138167601</v>
      </c>
      <c r="N23" s="213">
        <v>388853.92885711399</v>
      </c>
      <c r="O23" s="213">
        <v>398653.04786431202</v>
      </c>
      <c r="P23" s="213">
        <v>408778.83528006502</v>
      </c>
      <c r="Q23" s="213">
        <v>418998.306162066</v>
      </c>
      <c r="R23" s="213">
        <v>429515.16364673403</v>
      </c>
      <c r="S23" s="213">
        <v>440253.04273790302</v>
      </c>
      <c r="T23" s="213">
        <v>451171.318197802</v>
      </c>
      <c r="U23" s="213">
        <v>462495.71828456799</v>
      </c>
      <c r="V23" s="213">
        <v>474104.36081351101</v>
      </c>
    </row>
    <row r="24" spans="1:22" s="9" customFormat="1" x14ac:dyDescent="0.2">
      <c r="A24" s="9">
        <f>Summary!A30</f>
        <v>14</v>
      </c>
      <c r="B24" s="9" t="s">
        <v>70</v>
      </c>
      <c r="C24" s="211">
        <v>0</v>
      </c>
      <c r="D24" s="213">
        <v>418126.94064275001</v>
      </c>
      <c r="E24" s="213">
        <v>426949.41909031401</v>
      </c>
      <c r="F24" s="213">
        <v>436299.611368393</v>
      </c>
      <c r="G24" s="213">
        <v>446159.98258531501</v>
      </c>
      <c r="H24" s="213">
        <v>456778.59017084597</v>
      </c>
      <c r="I24" s="213">
        <v>468225.507561301</v>
      </c>
      <c r="J24" s="213">
        <v>479838.804564989</v>
      </c>
      <c r="K24" s="213">
        <v>491984.51633102499</v>
      </c>
      <c r="L24" s="213">
        <v>504136.53388440202</v>
      </c>
      <c r="M24" s="213">
        <v>516992.015498452</v>
      </c>
      <c r="N24" s="213">
        <v>529503.22227351705</v>
      </c>
      <c r="O24" s="213">
        <v>542846.70347480802</v>
      </c>
      <c r="P24" s="213">
        <v>556635.00974306697</v>
      </c>
      <c r="Q24" s="213">
        <v>570550.88498664298</v>
      </c>
      <c r="R24" s="213">
        <v>584871.71219980798</v>
      </c>
      <c r="S24" s="213">
        <v>599493.505004804</v>
      </c>
      <c r="T24" s="213">
        <v>614360.94392892299</v>
      </c>
      <c r="U24" s="213">
        <v>629781.40362154006</v>
      </c>
      <c r="V24" s="213">
        <v>645588.91685243999</v>
      </c>
    </row>
    <row r="25" spans="1:22" s="9" customFormat="1" x14ac:dyDescent="0.2">
      <c r="A25" s="9">
        <f>Summary!A31</f>
        <v>15</v>
      </c>
      <c r="B25" s="9" t="s">
        <v>68</v>
      </c>
      <c r="C25" s="211">
        <v>0</v>
      </c>
      <c r="D25" s="213">
        <v>489992.50856572198</v>
      </c>
      <c r="E25" s="213">
        <v>500331.35049646202</v>
      </c>
      <c r="F25" s="213">
        <v>511288.60707233503</v>
      </c>
      <c r="G25" s="213">
        <v>522843.72959216603</v>
      </c>
      <c r="H25" s="213">
        <v>535287.41035646095</v>
      </c>
      <c r="I25" s="213">
        <v>548701.76667339902</v>
      </c>
      <c r="J25" s="213">
        <v>562311.09909959603</v>
      </c>
      <c r="K25" s="213">
        <v>576544.35507542</v>
      </c>
      <c r="L25" s="213">
        <v>590785.00064578303</v>
      </c>
      <c r="M25" s="213">
        <v>605850.01816224796</v>
      </c>
      <c r="N25" s="213">
        <v>620511.58860177803</v>
      </c>
      <c r="O25" s="213">
        <v>636148.48063454102</v>
      </c>
      <c r="P25" s="213">
        <v>652306.65204265702</v>
      </c>
      <c r="Q25" s="213">
        <v>668614.31834372296</v>
      </c>
      <c r="R25" s="213">
        <v>685396.53773414996</v>
      </c>
      <c r="S25" s="213">
        <v>702531.45117750496</v>
      </c>
      <c r="T25" s="213">
        <v>719954.23116670595</v>
      </c>
      <c r="U25" s="213">
        <v>738025.08236899204</v>
      </c>
      <c r="V25" s="213">
        <v>756549.51193645305</v>
      </c>
    </row>
    <row r="26" spans="1:22" s="9" customFormat="1" x14ac:dyDescent="0.2">
      <c r="A26" s="9">
        <f>Summary!A32</f>
        <v>16</v>
      </c>
      <c r="B26" s="9" t="s">
        <v>69</v>
      </c>
      <c r="C26" s="211">
        <v>0</v>
      </c>
      <c r="D26" s="213">
        <v>777454.78025761305</v>
      </c>
      <c r="E26" s="213">
        <v>793859.07612105296</v>
      </c>
      <c r="F26" s="213">
        <v>811244.58988810505</v>
      </c>
      <c r="G26" s="213">
        <v>829578.71761956997</v>
      </c>
      <c r="H26" s="213">
        <v>849322.69109891704</v>
      </c>
      <c r="I26" s="213">
        <v>870606.80312179297</v>
      </c>
      <c r="J26" s="213">
        <v>892200.27723802498</v>
      </c>
      <c r="K26" s="213">
        <v>914783.71005299897</v>
      </c>
      <c r="L26" s="213">
        <v>937378.86769130896</v>
      </c>
      <c r="M26" s="213">
        <v>961282.02881743398</v>
      </c>
      <c r="N26" s="213">
        <v>984545.05391482101</v>
      </c>
      <c r="O26" s="213">
        <v>1009355.58927347</v>
      </c>
      <c r="P26" s="213">
        <v>1034993.22124101</v>
      </c>
      <c r="Q26" s="213">
        <v>1060868.0517720401</v>
      </c>
      <c r="R26" s="213">
        <v>1087495.8398715199</v>
      </c>
      <c r="S26" s="213">
        <v>1114683.2358683101</v>
      </c>
      <c r="T26" s="213">
        <v>1142327.3801178399</v>
      </c>
      <c r="U26" s="213">
        <v>1170999.7973588</v>
      </c>
      <c r="V26" s="213">
        <v>1200391.8922725101</v>
      </c>
    </row>
    <row r="27" spans="1:22" s="9" customFormat="1" x14ac:dyDescent="0.2">
      <c r="A27" s="9">
        <f>Summary!A33</f>
        <v>17</v>
      </c>
      <c r="B27" s="9" t="s">
        <v>71</v>
      </c>
      <c r="C27" s="211">
        <v>0</v>
      </c>
      <c r="D27" s="213">
        <v>358876.37349059602</v>
      </c>
      <c r="E27" s="213">
        <v>366448.664971249</v>
      </c>
      <c r="F27" s="213">
        <v>374473.89073411998</v>
      </c>
      <c r="G27" s="213">
        <v>382937.00066470797</v>
      </c>
      <c r="H27" s="213">
        <v>392050.90128052898</v>
      </c>
      <c r="I27" s="213">
        <v>401875.736280201</v>
      </c>
      <c r="J27" s="213">
        <v>411843.37411417102</v>
      </c>
      <c r="K27" s="213">
        <v>422267.981017894</v>
      </c>
      <c r="L27" s="213">
        <v>432698.00014903699</v>
      </c>
      <c r="M27" s="213">
        <v>443731.79915283603</v>
      </c>
      <c r="N27" s="213">
        <v>454470.10869233601</v>
      </c>
      <c r="O27" s="213">
        <v>465922.75543138199</v>
      </c>
      <c r="P27" s="213">
        <v>477757.19341933797</v>
      </c>
      <c r="Q27" s="213">
        <v>489701.123254821</v>
      </c>
      <c r="R27" s="213">
        <v>501992.62144851702</v>
      </c>
      <c r="S27" s="213">
        <v>514542.436984731</v>
      </c>
      <c r="T27" s="213">
        <v>527303.08942195203</v>
      </c>
      <c r="U27" s="213">
        <v>540538.39696644398</v>
      </c>
      <c r="V27" s="213">
        <v>554105.91073030105</v>
      </c>
    </row>
    <row r="28" spans="1:22" s="9" customFormat="1" x14ac:dyDescent="0.2">
      <c r="A28" s="9">
        <f>Summary!A34</f>
        <v>18</v>
      </c>
      <c r="B28" s="9" t="s">
        <v>72</v>
      </c>
      <c r="C28" s="211">
        <v>0</v>
      </c>
      <c r="D28" s="213">
        <v>1314527.41905882</v>
      </c>
      <c r="E28" s="213">
        <v>1342263.94760097</v>
      </c>
      <c r="F28" s="213">
        <v>1371659.5280534399</v>
      </c>
      <c r="G28" s="213">
        <v>1402659.03338743</v>
      </c>
      <c r="H28" s="213">
        <v>1436042.3183820599</v>
      </c>
      <c r="I28" s="213">
        <v>1472029.68324863</v>
      </c>
      <c r="J28" s="213">
        <v>1508540.1202789601</v>
      </c>
      <c r="K28" s="213">
        <v>1546724.3882333201</v>
      </c>
      <c r="L28" s="213">
        <v>1584928.4806226799</v>
      </c>
      <c r="M28" s="213">
        <v>1625344.1568785501</v>
      </c>
      <c r="N28" s="213">
        <v>1664677.48547502</v>
      </c>
      <c r="O28" s="213">
        <v>1706627.3581089899</v>
      </c>
      <c r="P28" s="213">
        <v>1749975.6930049499</v>
      </c>
      <c r="Q28" s="213">
        <v>1793725.08533008</v>
      </c>
      <c r="R28" s="213">
        <v>1838747.5849718601</v>
      </c>
      <c r="S28" s="213">
        <v>1884716.27459616</v>
      </c>
      <c r="T28" s="213">
        <v>1931457.23820614</v>
      </c>
      <c r="U28" s="213">
        <v>1979936.8148851199</v>
      </c>
      <c r="V28" s="213">
        <v>2029633.22893874</v>
      </c>
    </row>
    <row r="29" spans="1:22" s="9" customFormat="1" x14ac:dyDescent="0.2">
      <c r="A29" s="9">
        <f>Summary!A35</f>
        <v>19</v>
      </c>
      <c r="B29" t="s">
        <v>73</v>
      </c>
      <c r="C29" s="211">
        <v>0</v>
      </c>
      <c r="D29" s="213">
        <v>11201.203682604</v>
      </c>
      <c r="E29" s="213">
        <v>11437.549080307001</v>
      </c>
      <c r="F29" s="213">
        <v>11688.031405165701</v>
      </c>
      <c r="G29" s="213">
        <v>11952.180914922399</v>
      </c>
      <c r="H29" s="213">
        <v>12236.6428206976</v>
      </c>
      <c r="I29" s="213">
        <v>12543.294319955899</v>
      </c>
      <c r="J29" s="213">
        <v>12854.402963098901</v>
      </c>
      <c r="K29" s="213">
        <v>13179.774466672499</v>
      </c>
      <c r="L29" s="213">
        <v>13505.3148959993</v>
      </c>
      <c r="M29" s="213">
        <v>13849.700425847301</v>
      </c>
      <c r="N29" s="213">
        <v>14184.8631761529</v>
      </c>
      <c r="O29" s="213">
        <v>14542.321728191901</v>
      </c>
      <c r="P29" s="213">
        <v>14911.696700087899</v>
      </c>
      <c r="Q29" s="213">
        <v>15284.489117590099</v>
      </c>
      <c r="R29" s="213">
        <v>15668.1297944416</v>
      </c>
      <c r="S29" s="213">
        <v>16059.833039302701</v>
      </c>
      <c r="T29" s="213">
        <v>16458.116898677399</v>
      </c>
      <c r="U29" s="213">
        <v>16871.215632834199</v>
      </c>
      <c r="V29" s="213">
        <v>17294.6831452183</v>
      </c>
    </row>
    <row r="30" spans="1:22" s="9" customFormat="1" x14ac:dyDescent="0.2">
      <c r="A30" s="9">
        <f>Summary!A36</f>
        <v>20</v>
      </c>
      <c r="B30" s="9" t="s">
        <v>74</v>
      </c>
      <c r="C30" s="211">
        <v>0</v>
      </c>
      <c r="D30" s="213">
        <v>1728.8814379671401</v>
      </c>
      <c r="E30" s="213">
        <v>1765.3608363082501</v>
      </c>
      <c r="F30" s="213">
        <v>1804.02223862341</v>
      </c>
      <c r="G30" s="213">
        <v>1844.79314121628</v>
      </c>
      <c r="H30" s="213">
        <v>1888.6992179772301</v>
      </c>
      <c r="I30" s="213">
        <v>1936.03021025407</v>
      </c>
      <c r="J30" s="213">
        <v>1984.04915300005</v>
      </c>
      <c r="K30" s="213">
        <v>2034.2695372472799</v>
      </c>
      <c r="L30" s="213">
        <v>2084.51599481729</v>
      </c>
      <c r="M30" s="213">
        <v>2137.67115268512</v>
      </c>
      <c r="N30" s="213">
        <v>2189.4027945801099</v>
      </c>
      <c r="O30" s="213">
        <v>2244.5757450035298</v>
      </c>
      <c r="P30" s="213">
        <v>2301.5879689266098</v>
      </c>
      <c r="Q30" s="213">
        <v>2359.1276681497802</v>
      </c>
      <c r="R30" s="213">
        <v>2418.3417726203402</v>
      </c>
      <c r="S30" s="213">
        <v>2478.8003169358499</v>
      </c>
      <c r="T30" s="213">
        <v>2540.27456479585</v>
      </c>
      <c r="U30" s="213">
        <v>2604.0354563722299</v>
      </c>
      <c r="V30" s="213">
        <v>2669.3967463271802</v>
      </c>
    </row>
    <row r="31" spans="1:22" s="9" customFormat="1" x14ac:dyDescent="0.2">
      <c r="A31" s="9">
        <f>Summary!A37</f>
        <v>21</v>
      </c>
      <c r="B31" s="9" t="s">
        <v>75</v>
      </c>
      <c r="C31" s="211">
        <v>0</v>
      </c>
      <c r="D31" s="213">
        <v>3652.5664182404298</v>
      </c>
      <c r="E31" s="213">
        <v>3729.63556966532</v>
      </c>
      <c r="F31" s="213">
        <v>3811.3145886409998</v>
      </c>
      <c r="G31" s="213">
        <v>3897.4502983442499</v>
      </c>
      <c r="H31" s="213">
        <v>3990.20961544486</v>
      </c>
      <c r="I31" s="213">
        <v>4090.2046695508502</v>
      </c>
      <c r="J31" s="213">
        <v>4191.6531401409502</v>
      </c>
      <c r="K31" s="213">
        <v>4297.7525434801701</v>
      </c>
      <c r="L31" s="213">
        <v>4403.9070313041402</v>
      </c>
      <c r="M31" s="213">
        <v>4516.20666060238</v>
      </c>
      <c r="N31" s="213">
        <v>4625.4988617889703</v>
      </c>
      <c r="O31" s="213">
        <v>4742.0614331060397</v>
      </c>
      <c r="P31" s="213">
        <v>4862.5097935069298</v>
      </c>
      <c r="Q31" s="213">
        <v>4984.0725383445997</v>
      </c>
      <c r="R31" s="213">
        <v>5109.1727590570499</v>
      </c>
      <c r="S31" s="213">
        <v>5236.9020780334804</v>
      </c>
      <c r="T31" s="213">
        <v>5366.7772495687004</v>
      </c>
      <c r="U31" s="213">
        <v>5501.4833585328897</v>
      </c>
      <c r="V31" s="213">
        <v>5639.5705908320597</v>
      </c>
    </row>
    <row r="32" spans="1:22" s="9" customFormat="1" x14ac:dyDescent="0.2">
      <c r="A32" s="9">
        <f>Summary!A38</f>
        <v>22</v>
      </c>
      <c r="B32" s="9" t="s">
        <v>86</v>
      </c>
      <c r="C32" s="211">
        <v>0</v>
      </c>
      <c r="D32" s="213">
        <v>5527.5505129371804</v>
      </c>
      <c r="E32" s="213">
        <v>5644.18182876019</v>
      </c>
      <c r="F32" s="213">
        <v>5767.78941081004</v>
      </c>
      <c r="G32" s="213">
        <v>5898.1414514943099</v>
      </c>
      <c r="H32" s="213">
        <v>6038.5172180398804</v>
      </c>
      <c r="I32" s="213">
        <v>6189.84306658695</v>
      </c>
      <c r="J32" s="213">
        <v>6343.3684187466297</v>
      </c>
      <c r="K32" s="213">
        <v>6503.9321824666604</v>
      </c>
      <c r="L32" s="213">
        <v>6664.5793073735904</v>
      </c>
      <c r="M32" s="213">
        <v>6834.5260797115898</v>
      </c>
      <c r="N32" s="213">
        <v>6999.9216108406499</v>
      </c>
      <c r="O32" s="213">
        <v>7176.3196354338097</v>
      </c>
      <c r="P32" s="213">
        <v>7358.5981541738101</v>
      </c>
      <c r="Q32" s="213">
        <v>7542.5631080281501</v>
      </c>
      <c r="R32" s="213">
        <v>7731.8814420396602</v>
      </c>
      <c r="S32" s="213">
        <v>7925.1784780906701</v>
      </c>
      <c r="T32" s="213">
        <v>8121.7229043472998</v>
      </c>
      <c r="U32" s="213">
        <v>8325.5781492464394</v>
      </c>
      <c r="V32" s="213">
        <v>8534.5501607925198</v>
      </c>
    </row>
    <row r="33" spans="1:22" s="9" customFormat="1" x14ac:dyDescent="0.2">
      <c r="A33" s="9">
        <f>Summary!A39</f>
        <v>23</v>
      </c>
      <c r="B33" t="s">
        <v>76</v>
      </c>
      <c r="C33" s="211">
        <v>0</v>
      </c>
      <c r="D33" s="213">
        <v>4145.6628847028896</v>
      </c>
      <c r="E33" s="213">
        <v>4233.13637157014</v>
      </c>
      <c r="F33" s="213">
        <v>4325.8420581075297</v>
      </c>
      <c r="G33" s="213">
        <v>4423.6060886207297</v>
      </c>
      <c r="H33" s="213">
        <v>4528.8879135299103</v>
      </c>
      <c r="I33" s="213">
        <v>4642.38229994021</v>
      </c>
      <c r="J33" s="213">
        <v>4757.52631405997</v>
      </c>
      <c r="K33" s="213">
        <v>4877.9491368499903</v>
      </c>
      <c r="L33" s="213">
        <v>4998.4344805301898</v>
      </c>
      <c r="M33" s="213">
        <v>5125.8945597837001</v>
      </c>
      <c r="N33" s="213">
        <v>5249.9412081304899</v>
      </c>
      <c r="O33" s="213">
        <v>5382.2397265753598</v>
      </c>
      <c r="P33" s="213">
        <v>5518.9486156303601</v>
      </c>
      <c r="Q33" s="213">
        <v>5656.92233102112</v>
      </c>
      <c r="R33" s="213">
        <v>5798.9110815297499</v>
      </c>
      <c r="S33" s="213">
        <v>5943.8838585679996</v>
      </c>
      <c r="T33" s="213">
        <v>6091.2921782604799</v>
      </c>
      <c r="U33" s="213">
        <v>6244.18361193483</v>
      </c>
      <c r="V33" s="213">
        <v>6400.9126205943903</v>
      </c>
    </row>
    <row r="34" spans="1:22" s="9" customFormat="1" x14ac:dyDescent="0.2">
      <c r="A34" s="9">
        <f>Summary!A40</f>
        <v>24</v>
      </c>
      <c r="B34" s="9" t="s">
        <v>77</v>
      </c>
      <c r="C34" s="211">
        <v>0</v>
      </c>
      <c r="D34" s="213">
        <v>4145.6628847028896</v>
      </c>
      <c r="E34" s="213">
        <v>4233.13637157014</v>
      </c>
      <c r="F34" s="213">
        <v>4325.8420581075297</v>
      </c>
      <c r="G34" s="213">
        <v>4423.6060886207297</v>
      </c>
      <c r="H34" s="213">
        <v>4528.8879135299103</v>
      </c>
      <c r="I34" s="213">
        <v>4642.38229994021</v>
      </c>
      <c r="J34" s="213">
        <v>4757.52631405997</v>
      </c>
      <c r="K34" s="213">
        <v>4877.9491368499903</v>
      </c>
      <c r="L34" s="213">
        <v>4998.4344805301898</v>
      </c>
      <c r="M34" s="213">
        <v>5125.8945597837001</v>
      </c>
      <c r="N34" s="213">
        <v>5249.9412081304899</v>
      </c>
      <c r="O34" s="213">
        <v>5382.2397265753598</v>
      </c>
      <c r="P34" s="213">
        <v>5518.9486156303601</v>
      </c>
      <c r="Q34" s="213">
        <v>5656.92233102112</v>
      </c>
      <c r="R34" s="213">
        <v>5798.9110815297499</v>
      </c>
      <c r="S34" s="213">
        <v>5943.8838585679996</v>
      </c>
      <c r="T34" s="213">
        <v>6091.2921782604799</v>
      </c>
      <c r="U34" s="213">
        <v>6244.18361193483</v>
      </c>
      <c r="V34" s="213">
        <v>6400.9126205943903</v>
      </c>
    </row>
    <row r="35" spans="1:22" s="9" customFormat="1" x14ac:dyDescent="0.2">
      <c r="A35" s="9">
        <f>Summary!A41</f>
        <v>25</v>
      </c>
      <c r="B35" s="9" t="s">
        <v>78</v>
      </c>
      <c r="C35" s="211">
        <v>0</v>
      </c>
      <c r="D35" s="213">
        <v>4145.6628847028896</v>
      </c>
      <c r="E35" s="213">
        <v>4233.13637157014</v>
      </c>
      <c r="F35" s="213">
        <v>4325.8420581075297</v>
      </c>
      <c r="G35" s="213">
        <v>4423.6060886207297</v>
      </c>
      <c r="H35" s="213">
        <v>4528.8879135299103</v>
      </c>
      <c r="I35" s="213">
        <v>4642.38229994021</v>
      </c>
      <c r="J35" s="213">
        <v>4757.52631405997</v>
      </c>
      <c r="K35" s="213">
        <v>4877.9491368499903</v>
      </c>
      <c r="L35" s="213">
        <v>4998.4344805301898</v>
      </c>
      <c r="M35" s="213">
        <v>5125.8945597837001</v>
      </c>
      <c r="N35" s="213">
        <v>5249.9412081304899</v>
      </c>
      <c r="O35" s="213">
        <v>5382.2397265753598</v>
      </c>
      <c r="P35" s="213">
        <v>5518.9486156303601</v>
      </c>
      <c r="Q35" s="213">
        <v>5656.92233102112</v>
      </c>
      <c r="R35" s="213">
        <v>5798.9110815297499</v>
      </c>
      <c r="S35" s="213">
        <v>5943.8838585679996</v>
      </c>
      <c r="T35" s="213">
        <v>6091.2921782604799</v>
      </c>
      <c r="U35" s="213">
        <v>6244.18361193483</v>
      </c>
      <c r="V35" s="213">
        <v>6400.9126205943903</v>
      </c>
    </row>
    <row r="36" spans="1:22" s="9" customFormat="1" x14ac:dyDescent="0.2">
      <c r="A36" s="9">
        <f>Summary!A42</f>
        <v>26</v>
      </c>
      <c r="B36" s="9" t="s">
        <v>79</v>
      </c>
      <c r="C36" s="211">
        <v>0</v>
      </c>
      <c r="D36" s="213">
        <v>4145.6628847028896</v>
      </c>
      <c r="E36" s="213">
        <v>4233.13637157014</v>
      </c>
      <c r="F36" s="213">
        <v>4325.8420581075297</v>
      </c>
      <c r="G36" s="213">
        <v>4423.6060886207297</v>
      </c>
      <c r="H36" s="213">
        <v>4528.8879135299103</v>
      </c>
      <c r="I36" s="213">
        <v>4642.38229994021</v>
      </c>
      <c r="J36" s="213">
        <v>4757.52631405997</v>
      </c>
      <c r="K36" s="213">
        <v>4877.9491368499903</v>
      </c>
      <c r="L36" s="213">
        <v>4998.4344805301898</v>
      </c>
      <c r="M36" s="213">
        <v>5125.8945597837001</v>
      </c>
      <c r="N36" s="213">
        <v>5249.9412081304899</v>
      </c>
      <c r="O36" s="213">
        <v>5382.2397265753598</v>
      </c>
      <c r="P36" s="213">
        <v>5518.9486156303601</v>
      </c>
      <c r="Q36" s="213">
        <v>5656.92233102112</v>
      </c>
      <c r="R36" s="213">
        <v>5798.9110815297499</v>
      </c>
      <c r="S36" s="213">
        <v>5943.8838585679996</v>
      </c>
      <c r="T36" s="213">
        <v>6091.2921782604799</v>
      </c>
      <c r="U36" s="213">
        <v>6244.18361193483</v>
      </c>
      <c r="V36" s="213">
        <v>6400.9126205943903</v>
      </c>
    </row>
    <row r="37" spans="1:22" s="9" customFormat="1" x14ac:dyDescent="0.2">
      <c r="A37" s="9">
        <f>Summary!A43</f>
        <v>27</v>
      </c>
      <c r="B37" t="s">
        <v>80</v>
      </c>
      <c r="C37" s="211">
        <v>0</v>
      </c>
      <c r="D37" s="213">
        <v>34547.1907058574</v>
      </c>
      <c r="E37" s="213">
        <v>35276.136429751197</v>
      </c>
      <c r="F37" s="213">
        <v>36048.6838175628</v>
      </c>
      <c r="G37" s="213">
        <v>36863.384071839399</v>
      </c>
      <c r="H37" s="213">
        <v>37740.7326127493</v>
      </c>
      <c r="I37" s="213">
        <v>38686.5191661684</v>
      </c>
      <c r="J37" s="213">
        <v>39646.052617166402</v>
      </c>
      <c r="K37" s="213">
        <v>40649.576140416597</v>
      </c>
      <c r="L37" s="213">
        <v>41653.6206710849</v>
      </c>
      <c r="M37" s="213">
        <v>42715.787998197498</v>
      </c>
      <c r="N37" s="213">
        <v>43749.510067754003</v>
      </c>
      <c r="O37" s="213">
        <v>44851.997721461303</v>
      </c>
      <c r="P37" s="213">
        <v>45991.238463586298</v>
      </c>
      <c r="Q37" s="213">
        <v>47141.019425175997</v>
      </c>
      <c r="R37" s="213">
        <v>48324.259012747898</v>
      </c>
      <c r="S37" s="213">
        <v>49532.365488066702</v>
      </c>
      <c r="T37" s="213">
        <v>50760.768152170604</v>
      </c>
      <c r="U37" s="213">
        <v>52034.863432790196</v>
      </c>
      <c r="V37" s="213">
        <v>53340.938504953301</v>
      </c>
    </row>
    <row r="38" spans="1:22" s="9" customFormat="1" x14ac:dyDescent="0.2">
      <c r="A38" s="9">
        <f>Summary!A44</f>
        <v>28</v>
      </c>
      <c r="B38" s="9" t="s">
        <v>81</v>
      </c>
      <c r="C38" s="211">
        <v>0</v>
      </c>
      <c r="D38" s="213">
        <v>34547.1907058574</v>
      </c>
      <c r="E38" s="213">
        <v>35276.136429751197</v>
      </c>
      <c r="F38" s="213">
        <v>36048.6838175628</v>
      </c>
      <c r="G38" s="213">
        <v>36863.384071839399</v>
      </c>
      <c r="H38" s="213">
        <v>37740.7326127493</v>
      </c>
      <c r="I38" s="213">
        <v>38686.5191661684</v>
      </c>
      <c r="J38" s="213">
        <v>39646.052617166402</v>
      </c>
      <c r="K38" s="213">
        <v>40649.576140416597</v>
      </c>
      <c r="L38" s="213">
        <v>41653.6206710849</v>
      </c>
      <c r="M38" s="213">
        <v>42715.787998197498</v>
      </c>
      <c r="N38" s="213">
        <v>43749.510067754003</v>
      </c>
      <c r="O38" s="213">
        <v>44851.997721461303</v>
      </c>
      <c r="P38" s="213">
        <v>45991.238463586298</v>
      </c>
      <c r="Q38" s="213">
        <v>47141.019425175997</v>
      </c>
      <c r="R38" s="213">
        <v>48324.259012747898</v>
      </c>
      <c r="S38" s="213">
        <v>49532.365488066702</v>
      </c>
      <c r="T38" s="213">
        <v>50760.768152170604</v>
      </c>
      <c r="U38" s="213">
        <v>52034.863432790196</v>
      </c>
      <c r="V38" s="213">
        <v>53340.938504953301</v>
      </c>
    </row>
    <row r="39" spans="1:22" s="9" customFormat="1" x14ac:dyDescent="0.2">
      <c r="A39" s="9">
        <f>Summary!A45</f>
        <v>29</v>
      </c>
      <c r="B39" s="9" t="s">
        <v>82</v>
      </c>
      <c r="C39" s="211">
        <v>0</v>
      </c>
      <c r="D39" s="213">
        <v>34547.1907058574</v>
      </c>
      <c r="E39" s="213">
        <v>35276.136429751197</v>
      </c>
      <c r="F39" s="213">
        <v>36048.6838175628</v>
      </c>
      <c r="G39" s="213">
        <v>36863.384071839399</v>
      </c>
      <c r="H39" s="213">
        <v>37740.7326127493</v>
      </c>
      <c r="I39" s="213">
        <v>38686.5191661684</v>
      </c>
      <c r="J39" s="213">
        <v>39646.052617166402</v>
      </c>
      <c r="K39" s="213">
        <v>40649.576140416597</v>
      </c>
      <c r="L39" s="213">
        <v>41653.6206710849</v>
      </c>
      <c r="M39" s="213">
        <v>42715.787998197498</v>
      </c>
      <c r="N39" s="213">
        <v>43749.510067754003</v>
      </c>
      <c r="O39" s="213">
        <v>44851.997721461303</v>
      </c>
      <c r="P39" s="213">
        <v>45991.238463586298</v>
      </c>
      <c r="Q39" s="213">
        <v>47141.019425175997</v>
      </c>
      <c r="R39" s="213">
        <v>48324.259012747898</v>
      </c>
      <c r="S39" s="213">
        <v>49532.365488066702</v>
      </c>
      <c r="T39" s="213">
        <v>50760.768152170604</v>
      </c>
      <c r="U39" s="213">
        <v>52034.863432790196</v>
      </c>
      <c r="V39" s="213">
        <v>53340.938504953301</v>
      </c>
    </row>
    <row r="40" spans="1:22" s="9" customFormat="1" x14ac:dyDescent="0.2">
      <c r="A40" s="9">
        <f>Summary!A46</f>
        <v>30</v>
      </c>
      <c r="B40" s="9" t="s">
        <v>83</v>
      </c>
      <c r="C40" s="211">
        <v>0</v>
      </c>
      <c r="D40" s="213">
        <v>34547.1907058574</v>
      </c>
      <c r="E40" s="213">
        <v>35276.136429751197</v>
      </c>
      <c r="F40" s="213">
        <v>36048.6838175628</v>
      </c>
      <c r="G40" s="213">
        <v>36863.384071839399</v>
      </c>
      <c r="H40" s="213">
        <v>37740.7326127493</v>
      </c>
      <c r="I40" s="213">
        <v>38686.5191661684</v>
      </c>
      <c r="J40" s="213">
        <v>39646.052617166402</v>
      </c>
      <c r="K40" s="213">
        <v>40649.576140416597</v>
      </c>
      <c r="L40" s="213">
        <v>41653.6206710849</v>
      </c>
      <c r="M40" s="213">
        <v>42715.787998197498</v>
      </c>
      <c r="N40" s="213">
        <v>43749.510067754003</v>
      </c>
      <c r="O40" s="213">
        <v>44851.997721461303</v>
      </c>
      <c r="P40" s="213">
        <v>45991.238463586298</v>
      </c>
      <c r="Q40" s="213">
        <v>47141.019425175997</v>
      </c>
      <c r="R40" s="213">
        <v>48324.259012747898</v>
      </c>
      <c r="S40" s="213">
        <v>49532.365488066702</v>
      </c>
      <c r="T40" s="213">
        <v>50760.768152170604</v>
      </c>
      <c r="U40" s="213">
        <v>52034.863432790196</v>
      </c>
      <c r="V40" s="213">
        <v>53340.938504953301</v>
      </c>
    </row>
    <row r="41" spans="1:22" s="9" customFormat="1" x14ac:dyDescent="0.2">
      <c r="A41" s="9">
        <f>Summary!A47</f>
        <v>31</v>
      </c>
      <c r="B41" s="9" t="s">
        <v>84</v>
      </c>
      <c r="C41" s="211">
        <v>0</v>
      </c>
      <c r="D41" s="213">
        <v>34547.1907058574</v>
      </c>
      <c r="E41" s="213">
        <v>35276.136429751197</v>
      </c>
      <c r="F41" s="213">
        <v>36048.6838175628</v>
      </c>
      <c r="G41" s="213">
        <v>36863.384071839399</v>
      </c>
      <c r="H41" s="213">
        <v>37740.7326127493</v>
      </c>
      <c r="I41" s="213">
        <v>38686.5191661684</v>
      </c>
      <c r="J41" s="213">
        <v>39646.052617166402</v>
      </c>
      <c r="K41" s="213">
        <v>40649.576140416597</v>
      </c>
      <c r="L41" s="213">
        <v>41653.6206710849</v>
      </c>
      <c r="M41" s="213">
        <v>42715.787998197498</v>
      </c>
      <c r="N41" s="213">
        <v>43749.510067754003</v>
      </c>
      <c r="O41" s="213">
        <v>44851.997721461303</v>
      </c>
      <c r="P41" s="213">
        <v>45991.238463586298</v>
      </c>
      <c r="Q41" s="213">
        <v>47141.019425175997</v>
      </c>
      <c r="R41" s="213">
        <v>48324.259012747898</v>
      </c>
      <c r="S41" s="213">
        <v>49532.365488066702</v>
      </c>
      <c r="T41" s="213">
        <v>50760.768152170604</v>
      </c>
      <c r="U41" s="213">
        <v>52034.863432790196</v>
      </c>
      <c r="V41" s="213">
        <v>53340.938504953301</v>
      </c>
    </row>
    <row r="42" spans="1:22" s="24" customFormat="1" x14ac:dyDescent="0.2">
      <c r="A42" s="24">
        <f>Summary!A48</f>
        <v>32</v>
      </c>
      <c r="B42" s="24" t="s">
        <v>85</v>
      </c>
      <c r="C42" s="211">
        <v>0</v>
      </c>
      <c r="D42" s="213">
        <v>34547.1907058574</v>
      </c>
      <c r="E42" s="213">
        <v>35276.136429751197</v>
      </c>
      <c r="F42" s="213">
        <v>36048.6838175628</v>
      </c>
      <c r="G42" s="213">
        <v>36863.384071839399</v>
      </c>
      <c r="H42" s="213">
        <v>37740.7326127493</v>
      </c>
      <c r="I42" s="213">
        <v>38686.5191661684</v>
      </c>
      <c r="J42" s="213">
        <v>39646.052617166402</v>
      </c>
      <c r="K42" s="213">
        <v>40649.576140416597</v>
      </c>
      <c r="L42" s="213">
        <v>41653.6206710849</v>
      </c>
      <c r="M42" s="213">
        <v>42715.787998197498</v>
      </c>
      <c r="N42" s="213">
        <v>43749.510067754003</v>
      </c>
      <c r="O42" s="213">
        <v>44851.997721461303</v>
      </c>
      <c r="P42" s="213">
        <v>45991.238463586298</v>
      </c>
      <c r="Q42" s="213">
        <v>47141.019425175997</v>
      </c>
      <c r="R42" s="213">
        <v>48324.259012747898</v>
      </c>
      <c r="S42" s="213">
        <v>49532.365488066702</v>
      </c>
      <c r="T42" s="213">
        <v>50760.768152170604</v>
      </c>
      <c r="U42" s="213">
        <v>52034.863432790196</v>
      </c>
      <c r="V42" s="213">
        <v>53340.938504953301</v>
      </c>
    </row>
    <row r="43" spans="1:22" s="9" customFormat="1" ht="13.5" thickBot="1" x14ac:dyDescent="0.25">
      <c r="A43" s="9">
        <f>Summary!A49</f>
        <v>33</v>
      </c>
      <c r="B43" s="216" t="s">
        <v>181</v>
      </c>
      <c r="C43" s="225">
        <v>0</v>
      </c>
      <c r="D43" s="226">
        <v>374900</v>
      </c>
      <c r="E43" s="226">
        <v>383147.8</v>
      </c>
      <c r="F43" s="226">
        <v>391577.05160000001</v>
      </c>
      <c r="G43" s="226">
        <v>400191.74673519999</v>
      </c>
      <c r="H43" s="226">
        <v>408995.96516337403</v>
      </c>
      <c r="I43" s="226">
        <v>417993.87639696902</v>
      </c>
      <c r="J43" s="226">
        <v>427189.741677702</v>
      </c>
      <c r="K43" s="226">
        <v>436587.91599461099</v>
      </c>
      <c r="L43" s="226">
        <v>446192.850146493</v>
      </c>
      <c r="M43" s="226">
        <v>456009.09284971602</v>
      </c>
      <c r="N43" s="226">
        <v>466041.29289240902</v>
      </c>
      <c r="O43" s="226">
        <v>476294.20133604301</v>
      </c>
      <c r="P43" s="226">
        <v>486772.673765435</v>
      </c>
      <c r="Q43" s="226">
        <v>497481.67258827499</v>
      </c>
      <c r="R43" s="226">
        <v>508426.26938521699</v>
      </c>
      <c r="S43" s="226">
        <v>519611.64731169201</v>
      </c>
      <c r="T43" s="226">
        <v>531043.10355254903</v>
      </c>
      <c r="U43" s="226">
        <v>542726.05183070502</v>
      </c>
      <c r="V43" s="215">
        <v>554666.02497098094</v>
      </c>
    </row>
    <row r="44" spans="1:22" ht="13.5" thickTop="1" x14ac:dyDescent="0.2">
      <c r="C44" s="6">
        <f>SUM(C11:C43)</f>
        <v>0</v>
      </c>
      <c r="D44" s="6">
        <f>SUM(D11:D43)</f>
        <v>10698495.129002243</v>
      </c>
      <c r="E44" s="6">
        <f t="shared" ref="E44:V44" si="0">SUM(E11:E43)</f>
        <v>10924570.78622425</v>
      </c>
      <c r="F44" s="6">
        <f t="shared" si="0"/>
        <v>11163857.201222589</v>
      </c>
      <c r="G44" s="6">
        <f t="shared" si="0"/>
        <v>11415925.427739171</v>
      </c>
      <c r="H44" s="6">
        <f t="shared" si="0"/>
        <v>11686904.107775267</v>
      </c>
      <c r="I44" s="6">
        <f t="shared" si="0"/>
        <v>11978527.530851079</v>
      </c>
      <c r="J44" s="6">
        <f t="shared" si="0"/>
        <v>12274456.836925253</v>
      </c>
      <c r="K44" s="6">
        <f t="shared" si="0"/>
        <v>12583733.824679468</v>
      </c>
      <c r="L44" s="6">
        <f t="shared" si="0"/>
        <v>12893373.262775861</v>
      </c>
      <c r="M44" s="6">
        <f t="shared" si="0"/>
        <v>13220592.606001101</v>
      </c>
      <c r="N44" s="6">
        <f t="shared" si="0"/>
        <v>13539527.727062106</v>
      </c>
      <c r="O44" s="6">
        <f t="shared" si="0"/>
        <v>13879232.493646793</v>
      </c>
      <c r="P44" s="6">
        <f t="shared" si="0"/>
        <v>14230145.59870084</v>
      </c>
      <c r="Q44" s="6">
        <f t="shared" si="0"/>
        <v>14584438.920647066</v>
      </c>
      <c r="R44" s="6">
        <f t="shared" si="0"/>
        <v>14948966.144370275</v>
      </c>
      <c r="S44" s="6">
        <f t="shared" si="0"/>
        <v>15321165.019171411</v>
      </c>
      <c r="T44" s="6">
        <f t="shared" si="0"/>
        <v>15699674.999034358</v>
      </c>
      <c r="U44" s="6">
        <f t="shared" si="0"/>
        <v>16092090.607889149</v>
      </c>
      <c r="V44" s="6">
        <f t="shared" si="0"/>
        <v>16494319.631386483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3"/>
  <sheetViews>
    <sheetView workbookViewId="0"/>
  </sheetViews>
  <sheetFormatPr defaultRowHeight="12.75" x14ac:dyDescent="0.2"/>
  <cols>
    <col min="1" max="1" width="5.5703125" customWidth="1"/>
    <col min="2" max="2" width="15.42578125" bestFit="1" customWidth="1"/>
    <col min="3" max="4" width="8.7109375" bestFit="1" customWidth="1"/>
    <col min="6" max="6" width="8.7109375" bestFit="1" customWidth="1"/>
    <col min="8" max="8" width="9.28515625" bestFit="1" customWidth="1"/>
    <col min="9" max="9" width="9.42578125" bestFit="1" customWidth="1"/>
    <col min="10" max="10" width="8.7109375" bestFit="1" customWidth="1"/>
    <col min="14" max="14" width="9.28515625" bestFit="1" customWidth="1"/>
    <col min="15" max="16" width="9.7109375" bestFit="1" customWidth="1"/>
    <col min="18" max="18" width="9.7109375" bestFit="1" customWidth="1"/>
    <col min="19" max="21" width="9.5703125" bestFit="1" customWidth="1"/>
    <col min="22" max="22" width="8.7109375" bestFit="1" customWidth="1"/>
  </cols>
  <sheetData>
    <row r="1" spans="1:22" x14ac:dyDescent="0.2">
      <c r="A1" s="138" t="s">
        <v>49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138"/>
    </row>
    <row r="8" spans="1:22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22" s="9" customFormat="1" x14ac:dyDescent="0.2">
      <c r="A10" s="9">
        <f>Summary!A17</f>
        <v>1</v>
      </c>
      <c r="B10" s="9" t="s">
        <v>55</v>
      </c>
      <c r="C10" s="211">
        <f>UnitData!H10*UnitData!F10*1000</f>
        <v>4132625.8511486067</v>
      </c>
      <c r="D10" s="212">
        <f>C10*(1+Assumptions!$L$14)</f>
        <v>4215278.3681715792</v>
      </c>
      <c r="E10" s="212">
        <f>D10*(1+Assumptions!$L$14)</f>
        <v>4299583.9355350109</v>
      </c>
      <c r="F10" s="212">
        <f>E10*(1+Assumptions!$L$14)</f>
        <v>4385575.6142457109</v>
      </c>
      <c r="G10" s="212">
        <f>F10*(1+Assumptions!$L$14)</f>
        <v>4473287.1265306249</v>
      </c>
      <c r="H10" s="212">
        <f>G10*(1+Assumptions!$L$14)</f>
        <v>4562752.8690612372</v>
      </c>
      <c r="I10" s="212">
        <f>H10*(1+Assumptions!$L$14)</f>
        <v>4654007.926442462</v>
      </c>
      <c r="J10" s="212">
        <f>I10*(1+Assumptions!$L$14)</f>
        <v>4747088.0849713115</v>
      </c>
      <c r="K10" s="212">
        <f>J10*(1+Assumptions!$L$14)</f>
        <v>4842029.8466707375</v>
      </c>
      <c r="L10" s="212">
        <f>K10*(1+Assumptions!$L$14)</f>
        <v>4938870.4436041526</v>
      </c>
      <c r="M10" s="212">
        <f>L10*(1+Assumptions!$L$14)</f>
        <v>5037647.8524762355</v>
      </c>
      <c r="N10" s="212">
        <f>M10*(1+Assumptions!$L$14)</f>
        <v>5138400.8095257599</v>
      </c>
      <c r="O10" s="212">
        <f>N10*(1+Assumptions!$L$14)</f>
        <v>5241168.8257162748</v>
      </c>
      <c r="P10" s="212">
        <f>O10*(1+Assumptions!$L$14)</f>
        <v>5345992.2022306006</v>
      </c>
      <c r="Q10" s="212">
        <f>P10*(1+Assumptions!$L$14)</f>
        <v>5452912.0462752124</v>
      </c>
      <c r="R10" s="212">
        <f>Q10*(1+Assumptions!$L$14)</f>
        <v>5561970.2872007163</v>
      </c>
      <c r="S10" s="212">
        <f>R10*(1+Assumptions!$L$14)</f>
        <v>5673209.6929447306</v>
      </c>
      <c r="T10" s="212">
        <f>S10*(1+Assumptions!$L$14)</f>
        <v>5786673.8868036252</v>
      </c>
      <c r="U10" s="212">
        <f>T10*(1+Assumptions!$L$14)</f>
        <v>5902407.3645396978</v>
      </c>
      <c r="V10" s="212">
        <f>U10*(1+Assumptions!$L$14)</f>
        <v>6020455.5118304919</v>
      </c>
    </row>
    <row r="11" spans="1:22" s="9" customFormat="1" x14ac:dyDescent="0.2">
      <c r="A11" s="9">
        <f>Summary!A18</f>
        <v>2</v>
      </c>
      <c r="B11" s="9" t="s">
        <v>56</v>
      </c>
      <c r="C11" s="211">
        <f>UnitData!H11*UnitData!F11*1000</f>
        <v>2359857.1433218</v>
      </c>
      <c r="D11" s="213">
        <f>C11*(1+Assumptions!$L$14)</f>
        <v>2407054.286188236</v>
      </c>
      <c r="E11" s="213">
        <f>D11*(1+Assumptions!$L$14)</f>
        <v>2455195.3719120007</v>
      </c>
      <c r="F11" s="213">
        <f>E11*(1+Assumptions!$L$14)</f>
        <v>2504299.2793502407</v>
      </c>
      <c r="G11" s="213">
        <f>F11*(1+Assumptions!$L$14)</f>
        <v>2554385.2649372458</v>
      </c>
      <c r="H11" s="213">
        <f>G11*(1+Assumptions!$L$14)</f>
        <v>2605472.9702359908</v>
      </c>
      <c r="I11" s="213">
        <f>H11*(1+Assumptions!$L$14)</f>
        <v>2657582.4296407108</v>
      </c>
      <c r="J11" s="213">
        <f>I11*(1+Assumptions!$L$14)</f>
        <v>2710734.0782335252</v>
      </c>
      <c r="K11" s="213">
        <f>J11*(1+Assumptions!$L$14)</f>
        <v>2764948.7597981957</v>
      </c>
      <c r="L11" s="213">
        <f>K11*(1+Assumptions!$L$14)</f>
        <v>2820247.7349941595</v>
      </c>
      <c r="M11" s="213">
        <f>L11*(1+Assumptions!$L$14)</f>
        <v>2876652.6896940428</v>
      </c>
      <c r="N11" s="213">
        <f>M11*(1+Assumptions!$L$14)</f>
        <v>2934185.7434879239</v>
      </c>
      <c r="O11" s="213">
        <f>N11*(1+Assumptions!$L$14)</f>
        <v>2992869.4583576825</v>
      </c>
      <c r="P11" s="213">
        <f>O11*(1+Assumptions!$L$14)</f>
        <v>3052726.8475248362</v>
      </c>
      <c r="Q11" s="213">
        <f>P11*(1+Assumptions!$L$14)</f>
        <v>3113781.3844753332</v>
      </c>
      <c r="R11" s="213">
        <f>Q11*(1+Assumptions!$L$14)</f>
        <v>3176057.01216484</v>
      </c>
      <c r="S11" s="213">
        <f>R11*(1+Assumptions!$L$14)</f>
        <v>3239578.152408137</v>
      </c>
      <c r="T11" s="213">
        <f>S11*(1+Assumptions!$L$14)</f>
        <v>3304369.7154562999</v>
      </c>
      <c r="U11" s="213">
        <f>T11*(1+Assumptions!$L$14)</f>
        <v>3370457.1097654258</v>
      </c>
      <c r="V11" s="213">
        <f>U11*(1+Assumptions!$L$14)</f>
        <v>3437866.2519607344</v>
      </c>
    </row>
    <row r="12" spans="1:22" s="9" customFormat="1" x14ac:dyDescent="0.2">
      <c r="A12" s="9">
        <f>Summary!A19</f>
        <v>3</v>
      </c>
      <c r="B12" s="9" t="s">
        <v>57</v>
      </c>
      <c r="C12" s="211">
        <f>UnitData!H12*UnitData!F12*1000</f>
        <v>2710448.7761894143</v>
      </c>
      <c r="D12" s="213">
        <f>C12*(1+Assumptions!$L$14)</f>
        <v>2764657.7517132028</v>
      </c>
      <c r="E12" s="213">
        <f>D12*(1+Assumptions!$L$14)</f>
        <v>2819950.9067474669</v>
      </c>
      <c r="F12" s="213">
        <f>E12*(1+Assumptions!$L$14)</f>
        <v>2876349.9248824161</v>
      </c>
      <c r="G12" s="213">
        <f>F12*(1+Assumptions!$L$14)</f>
        <v>2933876.9233800643</v>
      </c>
      <c r="H12" s="213">
        <f>G12*(1+Assumptions!$L$14)</f>
        <v>2992554.4618476657</v>
      </c>
      <c r="I12" s="213">
        <f>H12*(1+Assumptions!$L$14)</f>
        <v>3052405.551084619</v>
      </c>
      <c r="J12" s="213">
        <f>I12*(1+Assumptions!$L$14)</f>
        <v>3113453.6621063114</v>
      </c>
      <c r="K12" s="213">
        <f>J12*(1+Assumptions!$L$14)</f>
        <v>3175722.7353484379</v>
      </c>
      <c r="L12" s="213">
        <f>K12*(1+Assumptions!$L$14)</f>
        <v>3239237.1900554067</v>
      </c>
      <c r="M12" s="213">
        <f>L12*(1+Assumptions!$L$14)</f>
        <v>3304021.9338565147</v>
      </c>
      <c r="N12" s="213">
        <f>M12*(1+Assumptions!$L$14)</f>
        <v>3370102.372533645</v>
      </c>
      <c r="O12" s="213">
        <f>N12*(1+Assumptions!$L$14)</f>
        <v>3437504.4199843179</v>
      </c>
      <c r="P12" s="213">
        <f>O12*(1+Assumptions!$L$14)</f>
        <v>3506254.5083840042</v>
      </c>
      <c r="Q12" s="213">
        <f>P12*(1+Assumptions!$L$14)</f>
        <v>3576379.5985516845</v>
      </c>
      <c r="R12" s="213">
        <f>Q12*(1+Assumptions!$L$14)</f>
        <v>3647907.1905227182</v>
      </c>
      <c r="S12" s="213">
        <f>R12*(1+Assumptions!$L$14)</f>
        <v>3720865.3343331725</v>
      </c>
      <c r="T12" s="213">
        <f>S12*(1+Assumptions!$L$14)</f>
        <v>3795282.6410198361</v>
      </c>
      <c r="U12" s="213">
        <f>T12*(1+Assumptions!$L$14)</f>
        <v>3871188.2938402328</v>
      </c>
      <c r="V12" s="213">
        <f>U12*(1+Assumptions!$L$14)</f>
        <v>3948612.0597170377</v>
      </c>
    </row>
    <row r="13" spans="1:22" s="9" customFormat="1" x14ac:dyDescent="0.2">
      <c r="A13" s="9">
        <f>Summary!A20</f>
        <v>4</v>
      </c>
      <c r="B13" s="9" t="s">
        <v>58</v>
      </c>
      <c r="C13" s="211">
        <f>UnitData!H13*UnitData!F13*1000</f>
        <v>2754682.588275013</v>
      </c>
      <c r="D13" s="213">
        <f>C13*(1+Assumptions!$L$14)</f>
        <v>2809776.2400405132</v>
      </c>
      <c r="E13" s="213">
        <f>D13*(1+Assumptions!$L$14)</f>
        <v>2865971.7648413237</v>
      </c>
      <c r="F13" s="213">
        <f>E13*(1+Assumptions!$L$14)</f>
        <v>2923291.2001381502</v>
      </c>
      <c r="G13" s="213">
        <f>F13*(1+Assumptions!$L$14)</f>
        <v>2981757.0241409135</v>
      </c>
      <c r="H13" s="213">
        <f>G13*(1+Assumptions!$L$14)</f>
        <v>3041392.1646237317</v>
      </c>
      <c r="I13" s="213">
        <f>H13*(1+Assumptions!$L$14)</f>
        <v>3102220.0079162065</v>
      </c>
      <c r="J13" s="213">
        <f>I13*(1+Assumptions!$L$14)</f>
        <v>3164264.4080745308</v>
      </c>
      <c r="K13" s="213">
        <f>J13*(1+Assumptions!$L$14)</f>
        <v>3227549.6962360214</v>
      </c>
      <c r="L13" s="213">
        <f>K13*(1+Assumptions!$L$14)</f>
        <v>3292100.690160742</v>
      </c>
      <c r="M13" s="213">
        <f>L13*(1+Assumptions!$L$14)</f>
        <v>3357942.7039639568</v>
      </c>
      <c r="N13" s="213">
        <f>M13*(1+Assumptions!$L$14)</f>
        <v>3425101.5580432359</v>
      </c>
      <c r="O13" s="213">
        <f>N13*(1+Assumptions!$L$14)</f>
        <v>3493603.5892041009</v>
      </c>
      <c r="P13" s="213">
        <f>O13*(1+Assumptions!$L$14)</f>
        <v>3563475.6609881828</v>
      </c>
      <c r="Q13" s="213">
        <f>P13*(1+Assumptions!$L$14)</f>
        <v>3634745.1742079463</v>
      </c>
      <c r="R13" s="213">
        <f>Q13*(1+Assumptions!$L$14)</f>
        <v>3707440.0776921054</v>
      </c>
      <c r="S13" s="213">
        <f>R13*(1+Assumptions!$L$14)</f>
        <v>3781588.8792459476</v>
      </c>
      <c r="T13" s="213">
        <f>S13*(1+Assumptions!$L$14)</f>
        <v>3857220.6568308668</v>
      </c>
      <c r="U13" s="213">
        <f>T13*(1+Assumptions!$L$14)</f>
        <v>3934365.0699674841</v>
      </c>
      <c r="V13" s="213">
        <f>U13*(1+Assumptions!$L$14)</f>
        <v>4013052.3713668338</v>
      </c>
    </row>
    <row r="14" spans="1:22" s="9" customFormat="1" x14ac:dyDescent="0.2">
      <c r="A14" s="9">
        <f>Summary!A21</f>
        <v>5</v>
      </c>
      <c r="B14" s="9" t="s">
        <v>59</v>
      </c>
      <c r="C14" s="211">
        <f>UnitData!H14*UnitData!F14*1000</f>
        <v>2739937.9842464775</v>
      </c>
      <c r="D14" s="213">
        <f>C14*(1+Assumptions!$L$14)</f>
        <v>2794736.7439314071</v>
      </c>
      <c r="E14" s="213">
        <f>D14*(1+Assumptions!$L$14)</f>
        <v>2850631.4788100352</v>
      </c>
      <c r="F14" s="213">
        <f>E14*(1+Assumptions!$L$14)</f>
        <v>2907644.1083862358</v>
      </c>
      <c r="G14" s="213">
        <f>F14*(1+Assumptions!$L$14)</f>
        <v>2965796.9905539607</v>
      </c>
      <c r="H14" s="213">
        <f>G14*(1+Assumptions!$L$14)</f>
        <v>3025112.93036504</v>
      </c>
      <c r="I14" s="213">
        <f>H14*(1+Assumptions!$L$14)</f>
        <v>3085615.1889723409</v>
      </c>
      <c r="J14" s="213">
        <f>I14*(1+Assumptions!$L$14)</f>
        <v>3147327.4927517879</v>
      </c>
      <c r="K14" s="213">
        <f>J14*(1+Assumptions!$L$14)</f>
        <v>3210274.0426068236</v>
      </c>
      <c r="L14" s="213">
        <f>K14*(1+Assumptions!$L$14)</f>
        <v>3274479.52345896</v>
      </c>
      <c r="M14" s="213">
        <f>L14*(1+Assumptions!$L$14)</f>
        <v>3339969.1139281392</v>
      </c>
      <c r="N14" s="213">
        <f>M14*(1+Assumptions!$L$14)</f>
        <v>3406768.4962067022</v>
      </c>
      <c r="O14" s="213">
        <f>N14*(1+Assumptions!$L$14)</f>
        <v>3474903.8661308363</v>
      </c>
      <c r="P14" s="213">
        <f>O14*(1+Assumptions!$L$14)</f>
        <v>3544401.943453453</v>
      </c>
      <c r="Q14" s="213">
        <f>P14*(1+Assumptions!$L$14)</f>
        <v>3615289.982322522</v>
      </c>
      <c r="R14" s="213">
        <f>Q14*(1+Assumptions!$L$14)</f>
        <v>3687595.7819689726</v>
      </c>
      <c r="S14" s="213">
        <f>R14*(1+Assumptions!$L$14)</f>
        <v>3761347.6976083522</v>
      </c>
      <c r="T14" s="213">
        <f>S14*(1+Assumptions!$L$14)</f>
        <v>3836574.6515605194</v>
      </c>
      <c r="U14" s="213">
        <f>T14*(1+Assumptions!$L$14)</f>
        <v>3913306.1445917296</v>
      </c>
      <c r="V14" s="213">
        <f>U14*(1+Assumptions!$L$14)</f>
        <v>3991572.2674835641</v>
      </c>
    </row>
    <row r="15" spans="1:22" s="9" customFormat="1" x14ac:dyDescent="0.2">
      <c r="A15" s="9">
        <f>Summary!A22</f>
        <v>6</v>
      </c>
      <c r="B15" s="9" t="s">
        <v>60</v>
      </c>
      <c r="C15" s="211">
        <f>UnitData!H15*UnitData!F15*1000</f>
        <v>2739937.9842464775</v>
      </c>
      <c r="D15" s="213">
        <f>C15*(1+Assumptions!$L$14)</f>
        <v>2794736.7439314071</v>
      </c>
      <c r="E15" s="213">
        <f>D15*(1+Assumptions!$L$14)</f>
        <v>2850631.4788100352</v>
      </c>
      <c r="F15" s="213">
        <f>E15*(1+Assumptions!$L$14)</f>
        <v>2907644.1083862358</v>
      </c>
      <c r="G15" s="213">
        <f>F15*(1+Assumptions!$L$14)</f>
        <v>2965796.9905539607</v>
      </c>
      <c r="H15" s="213">
        <f>G15*(1+Assumptions!$L$14)</f>
        <v>3025112.93036504</v>
      </c>
      <c r="I15" s="213">
        <f>H15*(1+Assumptions!$L$14)</f>
        <v>3085615.1889723409</v>
      </c>
      <c r="J15" s="213">
        <f>I15*(1+Assumptions!$L$14)</f>
        <v>3147327.4927517879</v>
      </c>
      <c r="K15" s="213">
        <f>J15*(1+Assumptions!$L$14)</f>
        <v>3210274.0426068236</v>
      </c>
      <c r="L15" s="213">
        <f>K15*(1+Assumptions!$L$14)</f>
        <v>3274479.52345896</v>
      </c>
      <c r="M15" s="213">
        <f>L15*(1+Assumptions!$L$14)</f>
        <v>3339969.1139281392</v>
      </c>
      <c r="N15" s="213">
        <f>M15*(1+Assumptions!$L$14)</f>
        <v>3406768.4962067022</v>
      </c>
      <c r="O15" s="213">
        <f>N15*(1+Assumptions!$L$14)</f>
        <v>3474903.8661308363</v>
      </c>
      <c r="P15" s="213">
        <f>O15*(1+Assumptions!$L$14)</f>
        <v>3544401.943453453</v>
      </c>
      <c r="Q15" s="213">
        <f>P15*(1+Assumptions!$L$14)</f>
        <v>3615289.982322522</v>
      </c>
      <c r="R15" s="213">
        <f>Q15*(1+Assumptions!$L$14)</f>
        <v>3687595.7819689726</v>
      </c>
      <c r="S15" s="213">
        <f>R15*(1+Assumptions!$L$14)</f>
        <v>3761347.6976083522</v>
      </c>
      <c r="T15" s="213">
        <f>S15*(1+Assumptions!$L$14)</f>
        <v>3836574.6515605194</v>
      </c>
      <c r="U15" s="213">
        <f>T15*(1+Assumptions!$L$14)</f>
        <v>3913306.1445917296</v>
      </c>
      <c r="V15" s="213">
        <f>U15*(1+Assumptions!$L$14)</f>
        <v>3991572.2674835641</v>
      </c>
    </row>
    <row r="16" spans="1:22" s="9" customFormat="1" x14ac:dyDescent="0.2">
      <c r="A16" s="9">
        <f>Summary!A23</f>
        <v>7</v>
      </c>
      <c r="B16" s="9" t="s">
        <v>61</v>
      </c>
      <c r="C16" s="211">
        <f>UnitData!H16*UnitData!F16*1000</f>
        <v>2277244.0585083333</v>
      </c>
      <c r="D16" s="213">
        <f>C16*(1+Assumptions!$L$14)</f>
        <v>2322788.9396784999</v>
      </c>
      <c r="E16" s="213">
        <f>D16*(1+Assumptions!$L$14)</f>
        <v>2369244.7184720701</v>
      </c>
      <c r="F16" s="213">
        <f>E16*(1+Assumptions!$L$14)</f>
        <v>2416629.6128415116</v>
      </c>
      <c r="G16" s="213">
        <f>F16*(1+Assumptions!$L$14)</f>
        <v>2464962.2050983417</v>
      </c>
      <c r="H16" s="213">
        <f>G16*(1+Assumptions!$L$14)</f>
        <v>2514261.4492003084</v>
      </c>
      <c r="I16" s="213">
        <f>H16*(1+Assumptions!$L$14)</f>
        <v>2564546.6781843146</v>
      </c>
      <c r="J16" s="213">
        <f>I16*(1+Assumptions!$L$14)</f>
        <v>2615837.6117480011</v>
      </c>
      <c r="K16" s="213">
        <f>J16*(1+Assumptions!$L$14)</f>
        <v>2668154.363982961</v>
      </c>
      <c r="L16" s="213">
        <f>K16*(1+Assumptions!$L$14)</f>
        <v>2721517.4512626203</v>
      </c>
      <c r="M16" s="213">
        <f>L16*(1+Assumptions!$L$14)</f>
        <v>2775947.8002878726</v>
      </c>
      <c r="N16" s="213">
        <f>M16*(1+Assumptions!$L$14)</f>
        <v>2831466.7562936302</v>
      </c>
      <c r="O16" s="213">
        <f>N16*(1+Assumptions!$L$14)</f>
        <v>2888096.0914195031</v>
      </c>
      <c r="P16" s="213">
        <f>O16*(1+Assumptions!$L$14)</f>
        <v>2945858.0132478932</v>
      </c>
      <c r="Q16" s="213">
        <f>P16*(1+Assumptions!$L$14)</f>
        <v>3004775.1735128509</v>
      </c>
      <c r="R16" s="213">
        <f>Q16*(1+Assumptions!$L$14)</f>
        <v>3064870.6769831078</v>
      </c>
      <c r="S16" s="213">
        <f>R16*(1+Assumptions!$L$14)</f>
        <v>3126168.0905227698</v>
      </c>
      <c r="T16" s="213">
        <f>S16*(1+Assumptions!$L$14)</f>
        <v>3188691.4523332254</v>
      </c>
      <c r="U16" s="213">
        <f>T16*(1+Assumptions!$L$14)</f>
        <v>3252465.2813798902</v>
      </c>
      <c r="V16" s="213">
        <f>U16*(1+Assumptions!$L$14)</f>
        <v>3317514.5870074881</v>
      </c>
    </row>
    <row r="17" spans="1:22" s="9" customFormat="1" x14ac:dyDescent="0.2">
      <c r="A17" s="9">
        <f>Summary!A24</f>
        <v>8</v>
      </c>
      <c r="B17" s="9" t="s">
        <v>62</v>
      </c>
      <c r="C17" s="211">
        <f>UnitData!H17*UnitData!F17*1000</f>
        <v>913359.47822515084</v>
      </c>
      <c r="D17" s="213">
        <f>C17*(1+Assumptions!$L$14)</f>
        <v>931626.66778965387</v>
      </c>
      <c r="E17" s="213">
        <f>D17*(1+Assumptions!$L$14)</f>
        <v>950259.20114544698</v>
      </c>
      <c r="F17" s="213">
        <f>E17*(1+Assumptions!$L$14)</f>
        <v>969264.38516835589</v>
      </c>
      <c r="G17" s="213">
        <f>F17*(1+Assumptions!$L$14)</f>
        <v>988649.67287172307</v>
      </c>
      <c r="H17" s="213">
        <f>G17*(1+Assumptions!$L$14)</f>
        <v>1008422.6663291575</v>
      </c>
      <c r="I17" s="213">
        <f>H17*(1+Assumptions!$L$14)</f>
        <v>1028591.1196557407</v>
      </c>
      <c r="J17" s="213">
        <f>I17*(1+Assumptions!$L$14)</f>
        <v>1049162.9420488556</v>
      </c>
      <c r="K17" s="213">
        <f>J17*(1+Assumptions!$L$14)</f>
        <v>1070146.2008898328</v>
      </c>
      <c r="L17" s="213">
        <f>K17*(1+Assumptions!$L$14)</f>
        <v>1091549.1249076296</v>
      </c>
      <c r="M17" s="213">
        <f>L17*(1+Assumptions!$L$14)</f>
        <v>1113380.1074057822</v>
      </c>
      <c r="N17" s="213">
        <f>M17*(1+Assumptions!$L$14)</f>
        <v>1135647.7095538978</v>
      </c>
      <c r="O17" s="213">
        <f>N17*(1+Assumptions!$L$14)</f>
        <v>1158360.6637449758</v>
      </c>
      <c r="P17" s="213">
        <f>O17*(1+Assumptions!$L$14)</f>
        <v>1181527.8770198755</v>
      </c>
      <c r="Q17" s="213">
        <f>P17*(1+Assumptions!$L$14)</f>
        <v>1205158.4345602731</v>
      </c>
      <c r="R17" s="213">
        <f>Q17*(1+Assumptions!$L$14)</f>
        <v>1229261.6032514786</v>
      </c>
      <c r="S17" s="213">
        <f>R17*(1+Assumptions!$L$14)</f>
        <v>1253846.8353165083</v>
      </c>
      <c r="T17" s="213">
        <f>S17*(1+Assumptions!$L$14)</f>
        <v>1278923.7720228385</v>
      </c>
      <c r="U17" s="213">
        <f>T17*(1+Assumptions!$L$14)</f>
        <v>1304502.2474632952</v>
      </c>
      <c r="V17" s="213">
        <f>U17*(1+Assumptions!$L$14)</f>
        <v>1330592.2924125611</v>
      </c>
    </row>
    <row r="18" spans="1:22" s="9" customFormat="1" x14ac:dyDescent="0.2">
      <c r="A18" s="9">
        <f>Summary!A25</f>
        <v>9</v>
      </c>
      <c r="B18" s="9" t="s">
        <v>63</v>
      </c>
      <c r="C18" s="211">
        <f>UnitData!H18*UnitData!F18*1000</f>
        <v>2666460.3272471912</v>
      </c>
      <c r="D18" s="213">
        <f>C18*(1+Assumptions!$L$14)</f>
        <v>2719789.5337921353</v>
      </c>
      <c r="E18" s="213">
        <f>D18*(1+Assumptions!$L$14)</f>
        <v>2774185.324467978</v>
      </c>
      <c r="F18" s="213">
        <f>E18*(1+Assumptions!$L$14)</f>
        <v>2829669.0309573375</v>
      </c>
      <c r="G18" s="213">
        <f>F18*(1+Assumptions!$L$14)</f>
        <v>2886262.4115764843</v>
      </c>
      <c r="H18" s="213">
        <f>G18*(1+Assumptions!$L$14)</f>
        <v>2943987.6598080141</v>
      </c>
      <c r="I18" s="213">
        <f>H18*(1+Assumptions!$L$14)</f>
        <v>3002867.4130041744</v>
      </c>
      <c r="J18" s="213">
        <f>I18*(1+Assumptions!$L$14)</f>
        <v>3062924.7612642581</v>
      </c>
      <c r="K18" s="213">
        <f>J18*(1+Assumptions!$L$14)</f>
        <v>3124183.2564895432</v>
      </c>
      <c r="L18" s="213">
        <f>K18*(1+Assumptions!$L$14)</f>
        <v>3186666.9216193343</v>
      </c>
      <c r="M18" s="213">
        <f>L18*(1+Assumptions!$L$14)</f>
        <v>3250400.2600517208</v>
      </c>
      <c r="N18" s="213">
        <f>M18*(1+Assumptions!$L$14)</f>
        <v>3315408.265252755</v>
      </c>
      <c r="O18" s="213">
        <f>N18*(1+Assumptions!$L$14)</f>
        <v>3381716.4305578102</v>
      </c>
      <c r="P18" s="213">
        <f>O18*(1+Assumptions!$L$14)</f>
        <v>3449350.7591689667</v>
      </c>
      <c r="Q18" s="213">
        <f>P18*(1+Assumptions!$L$14)</f>
        <v>3518337.7743523461</v>
      </c>
      <c r="R18" s="213">
        <f>Q18*(1+Assumptions!$L$14)</f>
        <v>3588704.5298393932</v>
      </c>
      <c r="S18" s="213">
        <f>R18*(1+Assumptions!$L$14)</f>
        <v>3660478.6204361813</v>
      </c>
      <c r="T18" s="213">
        <f>S18*(1+Assumptions!$L$14)</f>
        <v>3733688.192844905</v>
      </c>
      <c r="U18" s="213">
        <f>T18*(1+Assumptions!$L$14)</f>
        <v>3808361.956701803</v>
      </c>
      <c r="V18" s="213">
        <f>U18*(1+Assumptions!$L$14)</f>
        <v>3884529.195835839</v>
      </c>
    </row>
    <row r="19" spans="1:22" s="9" customFormat="1" x14ac:dyDescent="0.2">
      <c r="A19" s="9">
        <f>Summary!A26</f>
        <v>10</v>
      </c>
      <c r="B19" s="9" t="s">
        <v>64</v>
      </c>
      <c r="C19" s="211">
        <f>UnitData!H19*UnitData!F19*1000</f>
        <v>3748962.4263841226</v>
      </c>
      <c r="D19" s="213">
        <f>C19*(1+Assumptions!$L$14)</f>
        <v>3823941.674911805</v>
      </c>
      <c r="E19" s="213">
        <f>D19*(1+Assumptions!$L$14)</f>
        <v>3900420.5084100412</v>
      </c>
      <c r="F19" s="213">
        <f>E19*(1+Assumptions!$L$14)</f>
        <v>3978428.918578242</v>
      </c>
      <c r="G19" s="213">
        <f>F19*(1+Assumptions!$L$14)</f>
        <v>4057997.4969498068</v>
      </c>
      <c r="H19" s="213">
        <f>G19*(1+Assumptions!$L$14)</f>
        <v>4139157.446888803</v>
      </c>
      <c r="I19" s="213">
        <f>H19*(1+Assumptions!$L$14)</f>
        <v>4221940.5958265793</v>
      </c>
      <c r="J19" s="213">
        <f>I19*(1+Assumptions!$L$14)</f>
        <v>4306379.4077431113</v>
      </c>
      <c r="K19" s="213">
        <f>J19*(1+Assumptions!$L$14)</f>
        <v>4392506.9958979739</v>
      </c>
      <c r="L19" s="213">
        <f>K19*(1+Assumptions!$L$14)</f>
        <v>4480357.1358159333</v>
      </c>
      <c r="M19" s="213">
        <f>L19*(1+Assumptions!$L$14)</f>
        <v>4569964.2785322517</v>
      </c>
      <c r="N19" s="213">
        <f>M19*(1+Assumptions!$L$14)</f>
        <v>4661363.5641028965</v>
      </c>
      <c r="O19" s="213">
        <f>N19*(1+Assumptions!$L$14)</f>
        <v>4754590.8353849547</v>
      </c>
      <c r="P19" s="213">
        <f>O19*(1+Assumptions!$L$14)</f>
        <v>4849682.6520926543</v>
      </c>
      <c r="Q19" s="213">
        <f>P19*(1+Assumptions!$L$14)</f>
        <v>4946676.3051345078</v>
      </c>
      <c r="R19" s="213">
        <f>Q19*(1+Assumptions!$L$14)</f>
        <v>5045609.8312371979</v>
      </c>
      <c r="S19" s="213">
        <f>R19*(1+Assumptions!$L$14)</f>
        <v>5146522.0278619416</v>
      </c>
      <c r="T19" s="213">
        <f>S19*(1+Assumptions!$L$14)</f>
        <v>5249452.4684191803</v>
      </c>
      <c r="U19" s="213">
        <f>T19*(1+Assumptions!$L$14)</f>
        <v>5354441.5177875636</v>
      </c>
      <c r="V19" s="213">
        <f>U19*(1+Assumptions!$L$14)</f>
        <v>5461530.3481433149</v>
      </c>
    </row>
    <row r="20" spans="1:22" s="9" customFormat="1" x14ac:dyDescent="0.2">
      <c r="A20" s="9">
        <f>Summary!A27</f>
        <v>11</v>
      </c>
      <c r="B20" s="9" t="s">
        <v>65</v>
      </c>
      <c r="C20" s="211">
        <f>UnitData!H20*UnitData!F20*1000</f>
        <v>4620585.2279554242</v>
      </c>
      <c r="D20" s="213">
        <f>C20*(1+Assumptions!$L$14)</f>
        <v>4712996.9325145325</v>
      </c>
      <c r="E20" s="213">
        <f>D20*(1+Assumptions!$L$14)</f>
        <v>4807256.871164823</v>
      </c>
      <c r="F20" s="213">
        <f>E20*(1+Assumptions!$L$14)</f>
        <v>4903402.0085881194</v>
      </c>
      <c r="G20" s="213">
        <f>F20*(1+Assumptions!$L$14)</f>
        <v>5001470.0487598823</v>
      </c>
      <c r="H20" s="213">
        <f>G20*(1+Assumptions!$L$14)</f>
        <v>5101499.4497350799</v>
      </c>
      <c r="I20" s="213">
        <f>H20*(1+Assumptions!$L$14)</f>
        <v>5203529.4387297817</v>
      </c>
      <c r="J20" s="213">
        <f>I20*(1+Assumptions!$L$14)</f>
        <v>5307600.0275043771</v>
      </c>
      <c r="K20" s="213">
        <f>J20*(1+Assumptions!$L$14)</f>
        <v>5413752.0280544646</v>
      </c>
      <c r="L20" s="213">
        <f>K20*(1+Assumptions!$L$14)</f>
        <v>5522027.0686155539</v>
      </c>
      <c r="M20" s="213">
        <f>L20*(1+Assumptions!$L$14)</f>
        <v>5632467.6099878652</v>
      </c>
      <c r="N20" s="213">
        <f>M20*(1+Assumptions!$L$14)</f>
        <v>5745116.9621876227</v>
      </c>
      <c r="O20" s="213">
        <f>N20*(1+Assumptions!$L$14)</f>
        <v>5860019.3014313756</v>
      </c>
      <c r="P20" s="213">
        <f>O20*(1+Assumptions!$L$14)</f>
        <v>5977219.6874600034</v>
      </c>
      <c r="Q20" s="213">
        <f>P20*(1+Assumptions!$L$14)</f>
        <v>6096764.0812092032</v>
      </c>
      <c r="R20" s="213">
        <f>Q20*(1+Assumptions!$L$14)</f>
        <v>6218699.3628333872</v>
      </c>
      <c r="S20" s="213">
        <f>R20*(1+Assumptions!$L$14)</f>
        <v>6343073.3500900548</v>
      </c>
      <c r="T20" s="213">
        <f>S20*(1+Assumptions!$L$14)</f>
        <v>6469934.8170918562</v>
      </c>
      <c r="U20" s="213">
        <f>T20*(1+Assumptions!$L$14)</f>
        <v>6599333.513433693</v>
      </c>
      <c r="V20" s="213">
        <f>U20*(1+Assumptions!$L$14)</f>
        <v>6731320.1837023674</v>
      </c>
    </row>
    <row r="21" spans="1:22" s="9" customFormat="1" x14ac:dyDescent="0.2">
      <c r="A21" s="9">
        <f>Summary!A28</f>
        <v>12</v>
      </c>
      <c r="B21" s="9" t="s">
        <v>66</v>
      </c>
      <c r="C21" s="211">
        <f>UnitData!H21*UnitData!F21*1000</f>
        <v>2826111.1150810458</v>
      </c>
      <c r="D21" s="213">
        <f>C21*(1+Assumptions!$L$14)</f>
        <v>2882633.3373826668</v>
      </c>
      <c r="E21" s="213">
        <f>D21*(1+Assumptions!$L$14)</f>
        <v>2940286.0041303202</v>
      </c>
      <c r="F21" s="213">
        <f>E21*(1+Assumptions!$L$14)</f>
        <v>2999091.7242129268</v>
      </c>
      <c r="G21" s="213">
        <f>F21*(1+Assumptions!$L$14)</f>
        <v>3059073.5586971855</v>
      </c>
      <c r="H21" s="213">
        <f>G21*(1+Assumptions!$L$14)</f>
        <v>3120255.0298711294</v>
      </c>
      <c r="I21" s="213">
        <f>H21*(1+Assumptions!$L$14)</f>
        <v>3182660.130468552</v>
      </c>
      <c r="J21" s="213">
        <f>I21*(1+Assumptions!$L$14)</f>
        <v>3246313.3330779229</v>
      </c>
      <c r="K21" s="213">
        <f>J21*(1+Assumptions!$L$14)</f>
        <v>3311239.5997394812</v>
      </c>
      <c r="L21" s="213">
        <f>K21*(1+Assumptions!$L$14)</f>
        <v>3377464.3917342708</v>
      </c>
      <c r="M21" s="213">
        <f>L21*(1+Assumptions!$L$14)</f>
        <v>3445013.6795689561</v>
      </c>
      <c r="N21" s="213">
        <f>M21*(1+Assumptions!$L$14)</f>
        <v>3513913.9531603353</v>
      </c>
      <c r="O21" s="213">
        <f>N21*(1+Assumptions!$L$14)</f>
        <v>3584192.2322235419</v>
      </c>
      <c r="P21" s="213">
        <f>O21*(1+Assumptions!$L$14)</f>
        <v>3655876.076868013</v>
      </c>
      <c r="Q21" s="213">
        <f>P21*(1+Assumptions!$L$14)</f>
        <v>3728993.5984053733</v>
      </c>
      <c r="R21" s="213">
        <f>Q21*(1+Assumptions!$L$14)</f>
        <v>3803573.470373481</v>
      </c>
      <c r="S21" s="213">
        <f>R21*(1+Assumptions!$L$14)</f>
        <v>3879644.9397809505</v>
      </c>
      <c r="T21" s="213">
        <f>S21*(1+Assumptions!$L$14)</f>
        <v>3957237.8385765697</v>
      </c>
      <c r="U21" s="213">
        <f>T21*(1+Assumptions!$L$14)</f>
        <v>4036382.5953481011</v>
      </c>
      <c r="V21" s="213">
        <f>U21*(1+Assumptions!$L$14)</f>
        <v>4117110.2472550632</v>
      </c>
    </row>
    <row r="22" spans="1:22" s="9" customFormat="1" x14ac:dyDescent="0.2">
      <c r="A22" s="9">
        <f>Summary!A29</f>
        <v>13</v>
      </c>
      <c r="B22" s="9" t="s">
        <v>67</v>
      </c>
      <c r="C22" s="211">
        <f>UnitData!H22*UnitData!F22*1000</f>
        <v>3054335.110741084</v>
      </c>
      <c r="D22" s="213">
        <f>C22*(1+Assumptions!$L$14)</f>
        <v>3115421.8129559057</v>
      </c>
      <c r="E22" s="213">
        <f>D22*(1+Assumptions!$L$14)</f>
        <v>3177730.2492150241</v>
      </c>
      <c r="F22" s="213">
        <f>E22*(1+Assumptions!$L$14)</f>
        <v>3241284.8541993247</v>
      </c>
      <c r="G22" s="213">
        <f>F22*(1+Assumptions!$L$14)</f>
        <v>3306110.5512833111</v>
      </c>
      <c r="H22" s="213">
        <f>G22*(1+Assumptions!$L$14)</f>
        <v>3372232.7623089775</v>
      </c>
      <c r="I22" s="213">
        <f>H22*(1+Assumptions!$L$14)</f>
        <v>3439677.4175551571</v>
      </c>
      <c r="J22" s="213">
        <f>I22*(1+Assumptions!$L$14)</f>
        <v>3508470.9659062601</v>
      </c>
      <c r="K22" s="213">
        <f>J22*(1+Assumptions!$L$14)</f>
        <v>3578640.3852243852</v>
      </c>
      <c r="L22" s="213">
        <f>K22*(1+Assumptions!$L$14)</f>
        <v>3650213.192928873</v>
      </c>
      <c r="M22" s="213">
        <f>L22*(1+Assumptions!$L$14)</f>
        <v>3723217.4567874507</v>
      </c>
      <c r="N22" s="213">
        <f>M22*(1+Assumptions!$L$14)</f>
        <v>3797681.8059231997</v>
      </c>
      <c r="O22" s="213">
        <f>N22*(1+Assumptions!$L$14)</f>
        <v>3873635.4420416639</v>
      </c>
      <c r="P22" s="213">
        <f>O22*(1+Assumptions!$L$14)</f>
        <v>3951108.1508824974</v>
      </c>
      <c r="Q22" s="213">
        <f>P22*(1+Assumptions!$L$14)</f>
        <v>4030130.3139001476</v>
      </c>
      <c r="R22" s="213">
        <f>Q22*(1+Assumptions!$L$14)</f>
        <v>4110732.9201781508</v>
      </c>
      <c r="S22" s="213">
        <f>R22*(1+Assumptions!$L$14)</f>
        <v>4192947.5785817141</v>
      </c>
      <c r="T22" s="213">
        <f>S22*(1+Assumptions!$L$14)</f>
        <v>4276806.5301533481</v>
      </c>
      <c r="U22" s="213">
        <f>T22*(1+Assumptions!$L$14)</f>
        <v>4362342.6607564148</v>
      </c>
      <c r="V22" s="213">
        <f>U22*(1+Assumptions!$L$14)</f>
        <v>4449589.5139715429</v>
      </c>
    </row>
    <row r="23" spans="1:22" s="9" customFormat="1" x14ac:dyDescent="0.2">
      <c r="A23" s="9">
        <f>Summary!A30</f>
        <v>14</v>
      </c>
      <c r="B23" s="9" t="s">
        <v>70</v>
      </c>
      <c r="C23" s="211">
        <f>UnitData!H23*UnitData!F23*1000</f>
        <v>2832481.5437859572</v>
      </c>
      <c r="D23" s="213">
        <f>C23*(1+Assumptions!$L$14)</f>
        <v>2889131.1746616764</v>
      </c>
      <c r="E23" s="213">
        <f>D23*(1+Assumptions!$L$14)</f>
        <v>2946913.7981549101</v>
      </c>
      <c r="F23" s="213">
        <f>E23*(1+Assumptions!$L$14)</f>
        <v>3005852.0741180084</v>
      </c>
      <c r="G23" s="213">
        <f>F23*(1+Assumptions!$L$14)</f>
        <v>3065969.1156003685</v>
      </c>
      <c r="H23" s="213">
        <f>G23*(1+Assumptions!$L$14)</f>
        <v>3127288.4979123757</v>
      </c>
      <c r="I23" s="213">
        <f>H23*(1+Assumptions!$L$14)</f>
        <v>3189834.2678706232</v>
      </c>
      <c r="J23" s="213">
        <f>I23*(1+Assumptions!$L$14)</f>
        <v>3253630.9532280355</v>
      </c>
      <c r="K23" s="213">
        <f>J23*(1+Assumptions!$L$14)</f>
        <v>3318703.5722925961</v>
      </c>
      <c r="L23" s="213">
        <f>K23*(1+Assumptions!$L$14)</f>
        <v>3385077.6437384482</v>
      </c>
      <c r="M23" s="213">
        <f>L23*(1+Assumptions!$L$14)</f>
        <v>3452779.1966132172</v>
      </c>
      <c r="N23" s="213">
        <f>M23*(1+Assumptions!$L$14)</f>
        <v>3521834.7805454815</v>
      </c>
      <c r="O23" s="213">
        <f>N23*(1+Assumptions!$L$14)</f>
        <v>3592271.4761563912</v>
      </c>
      <c r="P23" s="213">
        <f>O23*(1+Assumptions!$L$14)</f>
        <v>3664116.9056795193</v>
      </c>
      <c r="Q23" s="213">
        <f>P23*(1+Assumptions!$L$14)</f>
        <v>3737399.2437931099</v>
      </c>
      <c r="R23" s="213">
        <f>Q23*(1+Assumptions!$L$14)</f>
        <v>3812147.2286689724</v>
      </c>
      <c r="S23" s="213">
        <f>R23*(1+Assumptions!$L$14)</f>
        <v>3888390.173242352</v>
      </c>
      <c r="T23" s="213">
        <f>S23*(1+Assumptions!$L$14)</f>
        <v>3966157.9767071991</v>
      </c>
      <c r="U23" s="213">
        <f>T23*(1+Assumptions!$L$14)</f>
        <v>4045481.1362413433</v>
      </c>
      <c r="V23" s="213">
        <f>U23*(1+Assumptions!$L$14)</f>
        <v>4126390.7589661703</v>
      </c>
    </row>
    <row r="24" spans="1:22" s="9" customFormat="1" x14ac:dyDescent="0.2">
      <c r="A24" s="9">
        <f>Summary!A31</f>
        <v>15</v>
      </c>
      <c r="B24" s="9" t="s">
        <v>68</v>
      </c>
      <c r="C24" s="211">
        <f>UnitData!H24*UnitData!F24*1000</f>
        <v>3592380.5522147156</v>
      </c>
      <c r="D24" s="213">
        <f>C24*(1+Assumptions!$L$14)</f>
        <v>3664228.1632590098</v>
      </c>
      <c r="E24" s="213">
        <f>D24*(1+Assumptions!$L$14)</f>
        <v>3737512.72652419</v>
      </c>
      <c r="F24" s="213">
        <f>E24*(1+Assumptions!$L$14)</f>
        <v>3812262.9810546739</v>
      </c>
      <c r="G24" s="213">
        <f>F24*(1+Assumptions!$L$14)</f>
        <v>3888508.2406757674</v>
      </c>
      <c r="H24" s="213">
        <f>G24*(1+Assumptions!$L$14)</f>
        <v>3966278.4054892827</v>
      </c>
      <c r="I24" s="213">
        <f>H24*(1+Assumptions!$L$14)</f>
        <v>4045603.9735990684</v>
      </c>
      <c r="J24" s="213">
        <f>I24*(1+Assumptions!$L$14)</f>
        <v>4126516.05307105</v>
      </c>
      <c r="K24" s="213">
        <f>J24*(1+Assumptions!$L$14)</f>
        <v>4209046.3741324712</v>
      </c>
      <c r="L24" s="213">
        <f>K24*(1+Assumptions!$L$14)</f>
        <v>4293227.3016151208</v>
      </c>
      <c r="M24" s="213">
        <f>L24*(1+Assumptions!$L$14)</f>
        <v>4379091.8476474229</v>
      </c>
      <c r="N24" s="213">
        <f>M24*(1+Assumptions!$L$14)</f>
        <v>4466673.6846003719</v>
      </c>
      <c r="O24" s="213">
        <f>N24*(1+Assumptions!$L$14)</f>
        <v>4556007.1582923792</v>
      </c>
      <c r="P24" s="213">
        <f>O24*(1+Assumptions!$L$14)</f>
        <v>4647127.3014582265</v>
      </c>
      <c r="Q24" s="213">
        <f>P24*(1+Assumptions!$L$14)</f>
        <v>4740069.847487391</v>
      </c>
      <c r="R24" s="213">
        <f>Q24*(1+Assumptions!$L$14)</f>
        <v>4834871.2444371385</v>
      </c>
      <c r="S24" s="213">
        <f>R24*(1+Assumptions!$L$14)</f>
        <v>4931568.6693258816</v>
      </c>
      <c r="T24" s="213">
        <f>S24*(1+Assumptions!$L$14)</f>
        <v>5030200.0427123997</v>
      </c>
      <c r="U24" s="213">
        <f>T24*(1+Assumptions!$L$14)</f>
        <v>5130804.0435666479</v>
      </c>
      <c r="V24" s="213">
        <f>U24*(1+Assumptions!$L$14)</f>
        <v>5233420.1244379813</v>
      </c>
    </row>
    <row r="25" spans="1:22" s="9" customFormat="1" x14ac:dyDescent="0.2">
      <c r="A25" s="9">
        <f>Summary!A32</f>
        <v>16</v>
      </c>
      <c r="B25" s="9" t="s">
        <v>69</v>
      </c>
      <c r="C25" s="211">
        <f>UnitData!H25*UnitData!F25*1000</f>
        <v>4667110.0368473521</v>
      </c>
      <c r="D25" s="213">
        <f>C25*(1+Assumptions!$L$14)</f>
        <v>4760452.2375842994</v>
      </c>
      <c r="E25" s="213">
        <f>D25*(1+Assumptions!$L$14)</f>
        <v>4855661.2823359855</v>
      </c>
      <c r="F25" s="213">
        <f>E25*(1+Assumptions!$L$14)</f>
        <v>4952774.5079827048</v>
      </c>
      <c r="G25" s="213">
        <f>F25*(1+Assumptions!$L$14)</f>
        <v>5051829.9981423588</v>
      </c>
      <c r="H25" s="213">
        <f>G25*(1+Assumptions!$L$14)</f>
        <v>5152866.5981052062</v>
      </c>
      <c r="I25" s="213">
        <f>H25*(1+Assumptions!$L$14)</f>
        <v>5255923.9300673101</v>
      </c>
      <c r="J25" s="213">
        <f>I25*(1+Assumptions!$L$14)</f>
        <v>5361042.4086686568</v>
      </c>
      <c r="K25" s="213">
        <f>J25*(1+Assumptions!$L$14)</f>
        <v>5468263.2568420302</v>
      </c>
      <c r="L25" s="213">
        <f>K25*(1+Assumptions!$L$14)</f>
        <v>5577628.521978871</v>
      </c>
      <c r="M25" s="213">
        <f>L25*(1+Assumptions!$L$14)</f>
        <v>5689181.0924184481</v>
      </c>
      <c r="N25" s="213">
        <f>M25*(1+Assumptions!$L$14)</f>
        <v>5802964.7142668171</v>
      </c>
      <c r="O25" s="213">
        <f>N25*(1+Assumptions!$L$14)</f>
        <v>5919024.0085521536</v>
      </c>
      <c r="P25" s="213">
        <f>O25*(1+Assumptions!$L$14)</f>
        <v>6037404.488723197</v>
      </c>
      <c r="Q25" s="213">
        <f>P25*(1+Assumptions!$L$14)</f>
        <v>6158152.5784976613</v>
      </c>
      <c r="R25" s="213">
        <f>Q25*(1+Assumptions!$L$14)</f>
        <v>6281315.6300676148</v>
      </c>
      <c r="S25" s="213">
        <f>R25*(1+Assumptions!$L$14)</f>
        <v>6406941.9426689669</v>
      </c>
      <c r="T25" s="213">
        <f>S25*(1+Assumptions!$L$14)</f>
        <v>6535080.7815223467</v>
      </c>
      <c r="U25" s="213">
        <f>T25*(1+Assumptions!$L$14)</f>
        <v>6665782.3971527936</v>
      </c>
      <c r="V25" s="213">
        <f>U25*(1+Assumptions!$L$14)</f>
        <v>6799098.0450958498</v>
      </c>
    </row>
    <row r="26" spans="1:22" s="9" customFormat="1" x14ac:dyDescent="0.2">
      <c r="A26" s="9">
        <f>Summary!A33</f>
        <v>17</v>
      </c>
      <c r="B26" s="9" t="s">
        <v>71</v>
      </c>
      <c r="C26" s="211">
        <f>UnitData!H26*UnitData!F26*1000</f>
        <v>1799946.0099868001</v>
      </c>
      <c r="D26" s="213">
        <f>C26*(1+Assumptions!$L$14)</f>
        <v>1835944.9301865362</v>
      </c>
      <c r="E26" s="213">
        <f>D26*(1+Assumptions!$L$14)</f>
        <v>1872663.828790267</v>
      </c>
      <c r="F26" s="213">
        <f>E26*(1+Assumptions!$L$14)</f>
        <v>1910117.1053660724</v>
      </c>
      <c r="G26" s="213">
        <f>F26*(1+Assumptions!$L$14)</f>
        <v>1948319.4474733938</v>
      </c>
      <c r="H26" s="213">
        <f>G26*(1+Assumptions!$L$14)</f>
        <v>1987285.8364228616</v>
      </c>
      <c r="I26" s="213">
        <f>H26*(1+Assumptions!$L$14)</f>
        <v>2027031.5531513188</v>
      </c>
      <c r="J26" s="213">
        <f>I26*(1+Assumptions!$L$14)</f>
        <v>2067572.1842143452</v>
      </c>
      <c r="K26" s="213">
        <f>J26*(1+Assumptions!$L$14)</f>
        <v>2108923.6278986321</v>
      </c>
      <c r="L26" s="213">
        <f>K26*(1+Assumptions!$L$14)</f>
        <v>2151102.1004566047</v>
      </c>
      <c r="M26" s="213">
        <f>L26*(1+Assumptions!$L$14)</f>
        <v>2194124.1424657367</v>
      </c>
      <c r="N26" s="213">
        <f>M26*(1+Assumptions!$L$14)</f>
        <v>2238006.6253150515</v>
      </c>
      <c r="O26" s="213">
        <f>N26*(1+Assumptions!$L$14)</f>
        <v>2282766.7578213527</v>
      </c>
      <c r="P26" s="213">
        <f>O26*(1+Assumptions!$L$14)</f>
        <v>2328422.0929777799</v>
      </c>
      <c r="Q26" s="213">
        <f>P26*(1+Assumptions!$L$14)</f>
        <v>2374990.5348373353</v>
      </c>
      <c r="R26" s="213">
        <f>Q26*(1+Assumptions!$L$14)</f>
        <v>2422490.345534082</v>
      </c>
      <c r="S26" s="213">
        <f>R26*(1+Assumptions!$L$14)</f>
        <v>2470940.1524447636</v>
      </c>
      <c r="T26" s="213">
        <f>S26*(1+Assumptions!$L$14)</f>
        <v>2520358.9554936588</v>
      </c>
      <c r="U26" s="213">
        <f>T26*(1+Assumptions!$L$14)</f>
        <v>2570766.134603532</v>
      </c>
      <c r="V26" s="213">
        <f>U26*(1+Assumptions!$L$14)</f>
        <v>2622181.4572956027</v>
      </c>
    </row>
    <row r="27" spans="1:22" s="9" customFormat="1" x14ac:dyDescent="0.2">
      <c r="A27" s="9">
        <f>Summary!A34</f>
        <v>18</v>
      </c>
      <c r="B27" s="9" t="s">
        <v>72</v>
      </c>
      <c r="C27" s="211">
        <f>UnitData!H27*UnitData!F27*1000</f>
        <v>10698072.919905817</v>
      </c>
      <c r="D27" s="213">
        <f>C27*(1+Assumptions!$L$14)</f>
        <v>10912034.378303934</v>
      </c>
      <c r="E27" s="213">
        <f>D27*(1+Assumptions!$L$14)</f>
        <v>11130275.065870013</v>
      </c>
      <c r="F27" s="213">
        <f>E27*(1+Assumptions!$L$14)</f>
        <v>11352880.567187414</v>
      </c>
      <c r="G27" s="213">
        <f>F27*(1+Assumptions!$L$14)</f>
        <v>11579938.178531162</v>
      </c>
      <c r="H27" s="213">
        <f>G27*(1+Assumptions!$L$14)</f>
        <v>11811536.942101786</v>
      </c>
      <c r="I27" s="213">
        <f>H27*(1+Assumptions!$L$14)</f>
        <v>12047767.680943822</v>
      </c>
      <c r="J27" s="213">
        <f>I27*(1+Assumptions!$L$14)</f>
        <v>12288723.034562699</v>
      </c>
      <c r="K27" s="213">
        <f>J27*(1+Assumptions!$L$14)</f>
        <v>12534497.495253954</v>
      </c>
      <c r="L27" s="213">
        <f>K27*(1+Assumptions!$L$14)</f>
        <v>12785187.445159033</v>
      </c>
      <c r="M27" s="213">
        <f>L27*(1+Assumptions!$L$14)</f>
        <v>13040891.194062214</v>
      </c>
      <c r="N27" s="213">
        <f>M27*(1+Assumptions!$L$14)</f>
        <v>13301709.017943459</v>
      </c>
      <c r="O27" s="213">
        <f>N27*(1+Assumptions!$L$14)</f>
        <v>13567743.198302329</v>
      </c>
      <c r="P27" s="213">
        <f>O27*(1+Assumptions!$L$14)</f>
        <v>13839098.062268374</v>
      </c>
      <c r="Q27" s="213">
        <f>P27*(1+Assumptions!$L$14)</f>
        <v>14115880.023513742</v>
      </c>
      <c r="R27" s="213">
        <f>Q27*(1+Assumptions!$L$14)</f>
        <v>14398197.623984016</v>
      </c>
      <c r="S27" s="213">
        <f>R27*(1+Assumptions!$L$14)</f>
        <v>14686161.576463697</v>
      </c>
      <c r="T27" s="213">
        <f>S27*(1+Assumptions!$L$14)</f>
        <v>14979884.807992972</v>
      </c>
      <c r="U27" s="213">
        <f>T27*(1+Assumptions!$L$14)</f>
        <v>15279482.504152833</v>
      </c>
      <c r="V27" s="213">
        <f>U27*(1+Assumptions!$L$14)</f>
        <v>15585072.15423589</v>
      </c>
    </row>
    <row r="28" spans="1:22" s="9" customFormat="1" x14ac:dyDescent="0.2">
      <c r="A28" s="9">
        <f>Summary!A35</f>
        <v>19</v>
      </c>
      <c r="B28" s="9" t="s">
        <v>73</v>
      </c>
      <c r="C28" s="211">
        <f>UnitData!H28*UnitData!F28*1000</f>
        <v>264786.62398246111</v>
      </c>
      <c r="D28" s="213">
        <f>C28*(1+Assumptions!$L$14)</f>
        <v>270082.35646211036</v>
      </c>
      <c r="E28" s="213">
        <f>D28*(1+Assumptions!$L$14)</f>
        <v>275484.00359135255</v>
      </c>
      <c r="F28" s="213">
        <f>E28*(1+Assumptions!$L$14)</f>
        <v>280993.68366317963</v>
      </c>
      <c r="G28" s="213">
        <f>F28*(1+Assumptions!$L$14)</f>
        <v>286613.55733644322</v>
      </c>
      <c r="H28" s="213">
        <f>G28*(1+Assumptions!$L$14)</f>
        <v>292345.82848317211</v>
      </c>
      <c r="I28" s="213">
        <f>H28*(1+Assumptions!$L$14)</f>
        <v>298192.74505283555</v>
      </c>
      <c r="J28" s="213">
        <f>I28*(1+Assumptions!$L$14)</f>
        <v>304156.59995389229</v>
      </c>
      <c r="K28" s="213">
        <f>J28*(1+Assumptions!$L$14)</f>
        <v>310239.73195297015</v>
      </c>
      <c r="L28" s="213">
        <f>K28*(1+Assumptions!$L$14)</f>
        <v>316444.52659202955</v>
      </c>
      <c r="M28" s="213">
        <f>L28*(1+Assumptions!$L$14)</f>
        <v>322773.41712387017</v>
      </c>
      <c r="N28" s="213">
        <f>M28*(1+Assumptions!$L$14)</f>
        <v>329228.88546634756</v>
      </c>
      <c r="O28" s="213">
        <f>N28*(1+Assumptions!$L$14)</f>
        <v>335813.46317567455</v>
      </c>
      <c r="P28" s="213">
        <f>O28*(1+Assumptions!$L$14)</f>
        <v>342529.73243918805</v>
      </c>
      <c r="Q28" s="213">
        <f>P28*(1+Assumptions!$L$14)</f>
        <v>349380.32708797185</v>
      </c>
      <c r="R28" s="213">
        <f>Q28*(1+Assumptions!$L$14)</f>
        <v>356367.9336297313</v>
      </c>
      <c r="S28" s="213">
        <f>R28*(1+Assumptions!$L$14)</f>
        <v>363495.29230232595</v>
      </c>
      <c r="T28" s="213">
        <f>S28*(1+Assumptions!$L$14)</f>
        <v>370765.19814837247</v>
      </c>
      <c r="U28" s="213">
        <f>T28*(1+Assumptions!$L$14)</f>
        <v>378180.50211133994</v>
      </c>
      <c r="V28" s="213">
        <f>U28*(1+Assumptions!$L$14)</f>
        <v>385744.11215356673</v>
      </c>
    </row>
    <row r="29" spans="1:22" s="9" customFormat="1" x14ac:dyDescent="0.2">
      <c r="A29" s="9">
        <f>Summary!A36</f>
        <v>20</v>
      </c>
      <c r="B29" s="9" t="s">
        <v>74</v>
      </c>
      <c r="C29" s="211">
        <f>UnitData!H29*UnitData!F29*1000</f>
        <v>42776.584963503214</v>
      </c>
      <c r="D29" s="213">
        <f>C29*(1+Assumptions!$L$14)</f>
        <v>43632.116662773282</v>
      </c>
      <c r="E29" s="213">
        <f>D29*(1+Assumptions!$L$14)</f>
        <v>44504.758996028751</v>
      </c>
      <c r="F29" s="213">
        <f>E29*(1+Assumptions!$L$14)</f>
        <v>45394.854175949324</v>
      </c>
      <c r="G29" s="213">
        <f>F29*(1+Assumptions!$L$14)</f>
        <v>46302.751259468314</v>
      </c>
      <c r="H29" s="213">
        <f>G29*(1+Assumptions!$L$14)</f>
        <v>47228.806284657679</v>
      </c>
      <c r="I29" s="213">
        <f>H29*(1+Assumptions!$L$14)</f>
        <v>48173.38241035083</v>
      </c>
      <c r="J29" s="213">
        <f>I29*(1+Assumptions!$L$14)</f>
        <v>49136.850058557851</v>
      </c>
      <c r="K29" s="213">
        <f>J29*(1+Assumptions!$L$14)</f>
        <v>50119.587059729012</v>
      </c>
      <c r="L29" s="213">
        <f>K29*(1+Assumptions!$L$14)</f>
        <v>51121.978800923593</v>
      </c>
      <c r="M29" s="213">
        <f>L29*(1+Assumptions!$L$14)</f>
        <v>52144.418376942063</v>
      </c>
      <c r="N29" s="213">
        <f>M29*(1+Assumptions!$L$14)</f>
        <v>53187.306744480906</v>
      </c>
      <c r="O29" s="213">
        <f>N29*(1+Assumptions!$L$14)</f>
        <v>54251.052879370523</v>
      </c>
      <c r="P29" s="213">
        <f>O29*(1+Assumptions!$L$14)</f>
        <v>55336.073936957931</v>
      </c>
      <c r="Q29" s="213">
        <f>P29*(1+Assumptions!$L$14)</f>
        <v>56442.795415697088</v>
      </c>
      <c r="R29" s="213">
        <f>Q29*(1+Assumptions!$L$14)</f>
        <v>57571.651324011029</v>
      </c>
      <c r="S29" s="213">
        <f>R29*(1+Assumptions!$L$14)</f>
        <v>58723.084350491248</v>
      </c>
      <c r="T29" s="213">
        <f>S29*(1+Assumptions!$L$14)</f>
        <v>59897.546037501073</v>
      </c>
      <c r="U29" s="213">
        <f>T29*(1+Assumptions!$L$14)</f>
        <v>61095.496958251097</v>
      </c>
      <c r="V29" s="213">
        <f>U29*(1+Assumptions!$L$14)</f>
        <v>62317.40689741612</v>
      </c>
    </row>
    <row r="30" spans="1:22" s="9" customFormat="1" x14ac:dyDescent="0.2">
      <c r="A30" s="9">
        <f>Summary!A37</f>
        <v>21</v>
      </c>
      <c r="B30" s="9" t="s">
        <v>75</v>
      </c>
      <c r="C30" s="211">
        <f>UnitData!H30*UnitData!F30*1000</f>
        <v>94001.390946720625</v>
      </c>
      <c r="D30" s="213">
        <f>C30*(1+Assumptions!$L$14)</f>
        <v>95881.418765655035</v>
      </c>
      <c r="E30" s="213">
        <f>D30*(1+Assumptions!$L$14)</f>
        <v>97799.047140968134</v>
      </c>
      <c r="F30" s="213">
        <f>E30*(1+Assumptions!$L$14)</f>
        <v>99755.028083787503</v>
      </c>
      <c r="G30" s="213">
        <f>F30*(1+Assumptions!$L$14)</f>
        <v>101750.12864546325</v>
      </c>
      <c r="H30" s="213">
        <f>G30*(1+Assumptions!$L$14)</f>
        <v>103785.13121837252</v>
      </c>
      <c r="I30" s="213">
        <f>H30*(1+Assumptions!$L$14)</f>
        <v>105860.83384273997</v>
      </c>
      <c r="J30" s="213">
        <f>I30*(1+Assumptions!$L$14)</f>
        <v>107978.05051959478</v>
      </c>
      <c r="K30" s="213">
        <f>J30*(1+Assumptions!$L$14)</f>
        <v>110137.61152998668</v>
      </c>
      <c r="L30" s="213">
        <f>K30*(1+Assumptions!$L$14)</f>
        <v>112340.36376058642</v>
      </c>
      <c r="M30" s="213">
        <f>L30*(1+Assumptions!$L$14)</f>
        <v>114587.17103579815</v>
      </c>
      <c r="N30" s="213">
        <f>M30*(1+Assumptions!$L$14)</f>
        <v>116878.91445651412</v>
      </c>
      <c r="O30" s="213">
        <f>N30*(1+Assumptions!$L$14)</f>
        <v>119216.4927456444</v>
      </c>
      <c r="P30" s="213">
        <f>O30*(1+Assumptions!$L$14)</f>
        <v>121600.82260055729</v>
      </c>
      <c r="Q30" s="213">
        <f>P30*(1+Assumptions!$L$14)</f>
        <v>124032.83905256844</v>
      </c>
      <c r="R30" s="213">
        <f>Q30*(1+Assumptions!$L$14)</f>
        <v>126513.4958336198</v>
      </c>
      <c r="S30" s="213">
        <f>R30*(1+Assumptions!$L$14)</f>
        <v>129043.76575029221</v>
      </c>
      <c r="T30" s="213">
        <f>S30*(1+Assumptions!$L$14)</f>
        <v>131624.64106529806</v>
      </c>
      <c r="U30" s="213">
        <f>T30*(1+Assumptions!$L$14)</f>
        <v>134257.13388660402</v>
      </c>
      <c r="V30" s="213">
        <f>U30*(1+Assumptions!$L$14)</f>
        <v>136942.27656433609</v>
      </c>
    </row>
    <row r="31" spans="1:22" s="9" customFormat="1" x14ac:dyDescent="0.2">
      <c r="A31" s="9">
        <f>Summary!A38</f>
        <v>22</v>
      </c>
      <c r="B31" s="9" t="s">
        <v>86</v>
      </c>
      <c r="C31" s="211">
        <f>UnitData!H31*UnitData!F31*1000</f>
        <v>188970.50527009956</v>
      </c>
      <c r="D31" s="213">
        <f>C31*(1+Assumptions!$L$14)</f>
        <v>192749.91537550156</v>
      </c>
      <c r="E31" s="213">
        <f>D31*(1+Assumptions!$L$14)</f>
        <v>196604.9136830116</v>
      </c>
      <c r="F31" s="213">
        <f>E31*(1+Assumptions!$L$14)</f>
        <v>200537.01195667183</v>
      </c>
      <c r="G31" s="213">
        <f>F31*(1+Assumptions!$L$14)</f>
        <v>204547.75219580528</v>
      </c>
      <c r="H31" s="213">
        <f>G31*(1+Assumptions!$L$14)</f>
        <v>208638.70723972138</v>
      </c>
      <c r="I31" s="213">
        <f>H31*(1+Assumptions!$L$14)</f>
        <v>212811.48138451582</v>
      </c>
      <c r="J31" s="213">
        <f>I31*(1+Assumptions!$L$14)</f>
        <v>217067.71101220613</v>
      </c>
      <c r="K31" s="213">
        <f>J31*(1+Assumptions!$L$14)</f>
        <v>221409.06523245026</v>
      </c>
      <c r="L31" s="213">
        <f>K31*(1+Assumptions!$L$14)</f>
        <v>225837.24653709927</v>
      </c>
      <c r="M31" s="213">
        <f>L31*(1+Assumptions!$L$14)</f>
        <v>230353.99146784126</v>
      </c>
      <c r="N31" s="213">
        <f>M31*(1+Assumptions!$L$14)</f>
        <v>234961.0712971981</v>
      </c>
      <c r="O31" s="213">
        <f>N31*(1+Assumptions!$L$14)</f>
        <v>239660.29272314208</v>
      </c>
      <c r="P31" s="213">
        <f>O31*(1+Assumptions!$L$14)</f>
        <v>244453.49857760491</v>
      </c>
      <c r="Q31" s="213">
        <f>P31*(1+Assumptions!$L$14)</f>
        <v>249342.568549157</v>
      </c>
      <c r="R31" s="213">
        <f>Q31*(1+Assumptions!$L$14)</f>
        <v>254329.41992014015</v>
      </c>
      <c r="S31" s="213">
        <f>R31*(1+Assumptions!$L$14)</f>
        <v>259416.00831854297</v>
      </c>
      <c r="T31" s="213">
        <f>S31*(1+Assumptions!$L$14)</f>
        <v>264604.32848491386</v>
      </c>
      <c r="U31" s="213">
        <f>T31*(1+Assumptions!$L$14)</f>
        <v>269896.41505461215</v>
      </c>
      <c r="V31" s="213">
        <f>U31*(1+Assumptions!$L$14)</f>
        <v>275294.34335570439</v>
      </c>
    </row>
    <row r="32" spans="1:22" s="9" customFormat="1" x14ac:dyDescent="0.2">
      <c r="A32" s="9">
        <f>Summary!A39</f>
        <v>23</v>
      </c>
      <c r="B32" s="9" t="s">
        <v>76</v>
      </c>
      <c r="C32" s="211">
        <f>UnitData!H32*UnitData!F32*1000</f>
        <v>89770.854293083001</v>
      </c>
      <c r="D32" s="213">
        <f>C32*(1+Assumptions!$L$14)</f>
        <v>91566.271378944657</v>
      </c>
      <c r="E32" s="213">
        <f>D32*(1+Assumptions!$L$14)</f>
        <v>93397.59680652355</v>
      </c>
      <c r="F32" s="213">
        <f>E32*(1+Assumptions!$L$14)</f>
        <v>95265.54874265402</v>
      </c>
      <c r="G32" s="213">
        <f>F32*(1+Assumptions!$L$14)</f>
        <v>97170.859717507105</v>
      </c>
      <c r="H32" s="213">
        <f>G32*(1+Assumptions!$L$14)</f>
        <v>99114.276911857247</v>
      </c>
      <c r="I32" s="213">
        <f>H32*(1+Assumptions!$L$14)</f>
        <v>101096.5624500944</v>
      </c>
      <c r="J32" s="213">
        <f>I32*(1+Assumptions!$L$14)</f>
        <v>103118.49369909629</v>
      </c>
      <c r="K32" s="213">
        <f>J32*(1+Assumptions!$L$14)</f>
        <v>105180.86357307821</v>
      </c>
      <c r="L32" s="213">
        <f>K32*(1+Assumptions!$L$14)</f>
        <v>107284.48084453978</v>
      </c>
      <c r="M32" s="213">
        <f>L32*(1+Assumptions!$L$14)</f>
        <v>109430.17046143058</v>
      </c>
      <c r="N32" s="213">
        <f>M32*(1+Assumptions!$L$14)</f>
        <v>111618.77387065919</v>
      </c>
      <c r="O32" s="213">
        <f>N32*(1+Assumptions!$L$14)</f>
        <v>113851.14934807237</v>
      </c>
      <c r="P32" s="213">
        <f>O32*(1+Assumptions!$L$14)</f>
        <v>116128.17233503383</v>
      </c>
      <c r="Q32" s="213">
        <f>P32*(1+Assumptions!$L$14)</f>
        <v>118450.7357817345</v>
      </c>
      <c r="R32" s="213">
        <f>Q32*(1+Assumptions!$L$14)</f>
        <v>120819.7504973692</v>
      </c>
      <c r="S32" s="213">
        <f>R32*(1+Assumptions!$L$14)</f>
        <v>123236.14550731659</v>
      </c>
      <c r="T32" s="213">
        <f>S32*(1+Assumptions!$L$14)</f>
        <v>125700.86841746292</v>
      </c>
      <c r="U32" s="213">
        <f>T32*(1+Assumptions!$L$14)</f>
        <v>128214.88578581218</v>
      </c>
      <c r="V32" s="213">
        <f>U32*(1+Assumptions!$L$14)</f>
        <v>130779.18350152842</v>
      </c>
    </row>
    <row r="33" spans="1:22" s="9" customFormat="1" x14ac:dyDescent="0.2">
      <c r="A33" s="9">
        <f>Summary!A40</f>
        <v>24</v>
      </c>
      <c r="B33" s="9" t="s">
        <v>77</v>
      </c>
      <c r="C33" s="211">
        <f>UnitData!H33*UnitData!F33*1000</f>
        <v>89770.854293083001</v>
      </c>
      <c r="D33" s="213">
        <f>C33*(1+Assumptions!$L$14)</f>
        <v>91566.271378944657</v>
      </c>
      <c r="E33" s="213">
        <f>D33*(1+Assumptions!$L$14)</f>
        <v>93397.59680652355</v>
      </c>
      <c r="F33" s="213">
        <f>E33*(1+Assumptions!$L$14)</f>
        <v>95265.54874265402</v>
      </c>
      <c r="G33" s="213">
        <f>F33*(1+Assumptions!$L$14)</f>
        <v>97170.859717507105</v>
      </c>
      <c r="H33" s="213">
        <f>G33*(1+Assumptions!$L$14)</f>
        <v>99114.276911857247</v>
      </c>
      <c r="I33" s="213">
        <f>H33*(1+Assumptions!$L$14)</f>
        <v>101096.5624500944</v>
      </c>
      <c r="J33" s="213">
        <f>I33*(1+Assumptions!$L$14)</f>
        <v>103118.49369909629</v>
      </c>
      <c r="K33" s="213">
        <f>J33*(1+Assumptions!$L$14)</f>
        <v>105180.86357307821</v>
      </c>
      <c r="L33" s="213">
        <f>K33*(1+Assumptions!$L$14)</f>
        <v>107284.48084453978</v>
      </c>
      <c r="M33" s="213">
        <f>L33*(1+Assumptions!$L$14)</f>
        <v>109430.17046143058</v>
      </c>
      <c r="N33" s="213">
        <f>M33*(1+Assumptions!$L$14)</f>
        <v>111618.77387065919</v>
      </c>
      <c r="O33" s="213">
        <f>N33*(1+Assumptions!$L$14)</f>
        <v>113851.14934807237</v>
      </c>
      <c r="P33" s="213">
        <f>O33*(1+Assumptions!$L$14)</f>
        <v>116128.17233503383</v>
      </c>
      <c r="Q33" s="213">
        <f>P33*(1+Assumptions!$L$14)</f>
        <v>118450.7357817345</v>
      </c>
      <c r="R33" s="213">
        <f>Q33*(1+Assumptions!$L$14)</f>
        <v>120819.7504973692</v>
      </c>
      <c r="S33" s="213">
        <f>R33*(1+Assumptions!$L$14)</f>
        <v>123236.14550731659</v>
      </c>
      <c r="T33" s="213">
        <f>S33*(1+Assumptions!$L$14)</f>
        <v>125700.86841746292</v>
      </c>
      <c r="U33" s="213">
        <f>T33*(1+Assumptions!$L$14)</f>
        <v>128214.88578581218</v>
      </c>
      <c r="V33" s="213">
        <f>U33*(1+Assumptions!$L$14)</f>
        <v>130779.18350152842</v>
      </c>
    </row>
    <row r="34" spans="1:22" s="9" customFormat="1" x14ac:dyDescent="0.2">
      <c r="A34" s="9">
        <f>Summary!A41</f>
        <v>25</v>
      </c>
      <c r="B34" s="9" t="s">
        <v>78</v>
      </c>
      <c r="C34" s="211">
        <f>UnitData!H34*UnitData!F34*1000</f>
        <v>89770.854293083001</v>
      </c>
      <c r="D34" s="213">
        <f>C34*(1+Assumptions!$L$14)</f>
        <v>91566.271378944657</v>
      </c>
      <c r="E34" s="213">
        <f>D34*(1+Assumptions!$L$14)</f>
        <v>93397.59680652355</v>
      </c>
      <c r="F34" s="213">
        <f>E34*(1+Assumptions!$L$14)</f>
        <v>95265.54874265402</v>
      </c>
      <c r="G34" s="213">
        <f>F34*(1+Assumptions!$L$14)</f>
        <v>97170.859717507105</v>
      </c>
      <c r="H34" s="213">
        <f>G34*(1+Assumptions!$L$14)</f>
        <v>99114.276911857247</v>
      </c>
      <c r="I34" s="213">
        <f>H34*(1+Assumptions!$L$14)</f>
        <v>101096.5624500944</v>
      </c>
      <c r="J34" s="213">
        <f>I34*(1+Assumptions!$L$14)</f>
        <v>103118.49369909629</v>
      </c>
      <c r="K34" s="213">
        <f>J34*(1+Assumptions!$L$14)</f>
        <v>105180.86357307821</v>
      </c>
      <c r="L34" s="213">
        <f>K34*(1+Assumptions!$L$14)</f>
        <v>107284.48084453978</v>
      </c>
      <c r="M34" s="213">
        <f>L34*(1+Assumptions!$L$14)</f>
        <v>109430.17046143058</v>
      </c>
      <c r="N34" s="213">
        <f>M34*(1+Assumptions!$L$14)</f>
        <v>111618.77387065919</v>
      </c>
      <c r="O34" s="213">
        <f>N34*(1+Assumptions!$L$14)</f>
        <v>113851.14934807237</v>
      </c>
      <c r="P34" s="213">
        <f>O34*(1+Assumptions!$L$14)</f>
        <v>116128.17233503383</v>
      </c>
      <c r="Q34" s="213">
        <f>P34*(1+Assumptions!$L$14)</f>
        <v>118450.7357817345</v>
      </c>
      <c r="R34" s="213">
        <f>Q34*(1+Assumptions!$L$14)</f>
        <v>120819.7504973692</v>
      </c>
      <c r="S34" s="213">
        <f>R34*(1+Assumptions!$L$14)</f>
        <v>123236.14550731659</v>
      </c>
      <c r="T34" s="213">
        <f>S34*(1+Assumptions!$L$14)</f>
        <v>125700.86841746292</v>
      </c>
      <c r="U34" s="213">
        <f>T34*(1+Assumptions!$L$14)</f>
        <v>128214.88578581218</v>
      </c>
      <c r="V34" s="213">
        <f>U34*(1+Assumptions!$L$14)</f>
        <v>130779.18350152842</v>
      </c>
    </row>
    <row r="35" spans="1:22" s="9" customFormat="1" x14ac:dyDescent="0.2">
      <c r="A35" s="9">
        <f>Summary!A42</f>
        <v>26</v>
      </c>
      <c r="B35" s="9" t="s">
        <v>79</v>
      </c>
      <c r="C35" s="211">
        <f>UnitData!H35*UnitData!F35*1000</f>
        <v>89770.854293083001</v>
      </c>
      <c r="D35" s="213">
        <f>C35*(1+Assumptions!$L$14)</f>
        <v>91566.271378944657</v>
      </c>
      <c r="E35" s="213">
        <f>D35*(1+Assumptions!$L$14)</f>
        <v>93397.59680652355</v>
      </c>
      <c r="F35" s="213">
        <f>E35*(1+Assumptions!$L$14)</f>
        <v>95265.54874265402</v>
      </c>
      <c r="G35" s="213">
        <f>F35*(1+Assumptions!$L$14)</f>
        <v>97170.859717507105</v>
      </c>
      <c r="H35" s="213">
        <f>G35*(1+Assumptions!$L$14)</f>
        <v>99114.276911857247</v>
      </c>
      <c r="I35" s="213">
        <f>H35*(1+Assumptions!$L$14)</f>
        <v>101096.5624500944</v>
      </c>
      <c r="J35" s="213">
        <f>I35*(1+Assumptions!$L$14)</f>
        <v>103118.49369909629</v>
      </c>
      <c r="K35" s="213">
        <f>J35*(1+Assumptions!$L$14)</f>
        <v>105180.86357307821</v>
      </c>
      <c r="L35" s="213">
        <f>K35*(1+Assumptions!$L$14)</f>
        <v>107284.48084453978</v>
      </c>
      <c r="M35" s="213">
        <f>L35*(1+Assumptions!$L$14)</f>
        <v>109430.17046143058</v>
      </c>
      <c r="N35" s="213">
        <f>M35*(1+Assumptions!$L$14)</f>
        <v>111618.77387065919</v>
      </c>
      <c r="O35" s="213">
        <f>N35*(1+Assumptions!$L$14)</f>
        <v>113851.14934807237</v>
      </c>
      <c r="P35" s="213">
        <f>O35*(1+Assumptions!$L$14)</f>
        <v>116128.17233503383</v>
      </c>
      <c r="Q35" s="213">
        <f>P35*(1+Assumptions!$L$14)</f>
        <v>118450.7357817345</v>
      </c>
      <c r="R35" s="213">
        <f>Q35*(1+Assumptions!$L$14)</f>
        <v>120819.7504973692</v>
      </c>
      <c r="S35" s="213">
        <f>R35*(1+Assumptions!$L$14)</f>
        <v>123236.14550731659</v>
      </c>
      <c r="T35" s="213">
        <f>S35*(1+Assumptions!$L$14)</f>
        <v>125700.86841746292</v>
      </c>
      <c r="U35" s="213">
        <f>T35*(1+Assumptions!$L$14)</f>
        <v>128214.88578581218</v>
      </c>
      <c r="V35" s="213">
        <f>U35*(1+Assumptions!$L$14)</f>
        <v>130779.18350152842</v>
      </c>
    </row>
    <row r="36" spans="1:22" s="9" customFormat="1" x14ac:dyDescent="0.2">
      <c r="A36" s="9">
        <f>Summary!A43</f>
        <v>27</v>
      </c>
      <c r="B36" s="9" t="s">
        <v>80</v>
      </c>
      <c r="C36" s="211">
        <f>UnitData!H36*UnitData!F36*1000</f>
        <v>348563.88506939274</v>
      </c>
      <c r="D36" s="213">
        <f>C36*(1+Assumptions!$L$14)</f>
        <v>355535.16277078062</v>
      </c>
      <c r="E36" s="213">
        <f>D36*(1+Assumptions!$L$14)</f>
        <v>362645.86602619622</v>
      </c>
      <c r="F36" s="213">
        <f>E36*(1+Assumptions!$L$14)</f>
        <v>369898.78334672016</v>
      </c>
      <c r="G36" s="213">
        <f>F36*(1+Assumptions!$L$14)</f>
        <v>377296.75901365455</v>
      </c>
      <c r="H36" s="213">
        <f>G36*(1+Assumptions!$L$14)</f>
        <v>384842.69419392763</v>
      </c>
      <c r="I36" s="213">
        <f>H36*(1+Assumptions!$L$14)</f>
        <v>392539.54807780619</v>
      </c>
      <c r="J36" s="213">
        <f>I36*(1+Assumptions!$L$14)</f>
        <v>400390.33903936233</v>
      </c>
      <c r="K36" s="213">
        <f>J36*(1+Assumptions!$L$14)</f>
        <v>408398.14582014957</v>
      </c>
      <c r="L36" s="213">
        <f>K36*(1+Assumptions!$L$14)</f>
        <v>416566.10873655259</v>
      </c>
      <c r="M36" s="213">
        <f>L36*(1+Assumptions!$L$14)</f>
        <v>424897.43091128365</v>
      </c>
      <c r="N36" s="213">
        <f>M36*(1+Assumptions!$L$14)</f>
        <v>433395.37952950934</v>
      </c>
      <c r="O36" s="213">
        <f>N36*(1+Assumptions!$L$14)</f>
        <v>442063.28712009953</v>
      </c>
      <c r="P36" s="213">
        <f>O36*(1+Assumptions!$L$14)</f>
        <v>450904.55286250153</v>
      </c>
      <c r="Q36" s="213">
        <f>P36*(1+Assumptions!$L$14)</f>
        <v>459922.64391975157</v>
      </c>
      <c r="R36" s="213">
        <f>Q36*(1+Assumptions!$L$14)</f>
        <v>469121.09679814661</v>
      </c>
      <c r="S36" s="213">
        <f>R36*(1+Assumptions!$L$14)</f>
        <v>478503.51873410953</v>
      </c>
      <c r="T36" s="213">
        <f>S36*(1+Assumptions!$L$14)</f>
        <v>488073.58910879173</v>
      </c>
      <c r="U36" s="213">
        <f>T36*(1+Assumptions!$L$14)</f>
        <v>497835.06089096755</v>
      </c>
      <c r="V36" s="213">
        <f>U36*(1+Assumptions!$L$14)</f>
        <v>507791.7621087869</v>
      </c>
    </row>
    <row r="37" spans="1:22" s="9" customFormat="1" x14ac:dyDescent="0.2">
      <c r="A37" s="9">
        <f>Summary!A44</f>
        <v>28</v>
      </c>
      <c r="B37" s="9" t="s">
        <v>81</v>
      </c>
      <c r="C37" s="211">
        <f>UnitData!H37*UnitData!F37*1000</f>
        <v>348563.88506939274</v>
      </c>
      <c r="D37" s="213">
        <f>C37*(1+Assumptions!$L$14)</f>
        <v>355535.16277078062</v>
      </c>
      <c r="E37" s="213">
        <f>D37*(1+Assumptions!$L$14)</f>
        <v>362645.86602619622</v>
      </c>
      <c r="F37" s="213">
        <f>E37*(1+Assumptions!$L$14)</f>
        <v>369898.78334672016</v>
      </c>
      <c r="G37" s="213">
        <f>F37*(1+Assumptions!$L$14)</f>
        <v>377296.75901365455</v>
      </c>
      <c r="H37" s="213">
        <f>G37*(1+Assumptions!$L$14)</f>
        <v>384842.69419392763</v>
      </c>
      <c r="I37" s="213">
        <f>H37*(1+Assumptions!$L$14)</f>
        <v>392539.54807780619</v>
      </c>
      <c r="J37" s="213">
        <f>I37*(1+Assumptions!$L$14)</f>
        <v>400390.33903936233</v>
      </c>
      <c r="K37" s="213">
        <f>J37*(1+Assumptions!$L$14)</f>
        <v>408398.14582014957</v>
      </c>
      <c r="L37" s="213">
        <f>K37*(1+Assumptions!$L$14)</f>
        <v>416566.10873655259</v>
      </c>
      <c r="M37" s="213">
        <f>L37*(1+Assumptions!$L$14)</f>
        <v>424897.43091128365</v>
      </c>
      <c r="N37" s="213">
        <f>M37*(1+Assumptions!$L$14)</f>
        <v>433395.37952950934</v>
      </c>
      <c r="O37" s="213">
        <f>N37*(1+Assumptions!$L$14)</f>
        <v>442063.28712009953</v>
      </c>
      <c r="P37" s="213">
        <f>O37*(1+Assumptions!$L$14)</f>
        <v>450904.55286250153</v>
      </c>
      <c r="Q37" s="213">
        <f>P37*(1+Assumptions!$L$14)</f>
        <v>459922.64391975157</v>
      </c>
      <c r="R37" s="213">
        <f>Q37*(1+Assumptions!$L$14)</f>
        <v>469121.09679814661</v>
      </c>
      <c r="S37" s="213">
        <f>R37*(1+Assumptions!$L$14)</f>
        <v>478503.51873410953</v>
      </c>
      <c r="T37" s="213">
        <f>S37*(1+Assumptions!$L$14)</f>
        <v>488073.58910879173</v>
      </c>
      <c r="U37" s="213">
        <f>T37*(1+Assumptions!$L$14)</f>
        <v>497835.06089096755</v>
      </c>
      <c r="V37" s="213">
        <f>U37*(1+Assumptions!$L$14)</f>
        <v>507791.7621087869</v>
      </c>
    </row>
    <row r="38" spans="1:22" s="9" customFormat="1" x14ac:dyDescent="0.2">
      <c r="A38" s="9">
        <f>Summary!A45</f>
        <v>29</v>
      </c>
      <c r="B38" s="9" t="s">
        <v>82</v>
      </c>
      <c r="C38" s="211">
        <f>UnitData!H38*UnitData!F38*1000</f>
        <v>348563.88506939274</v>
      </c>
      <c r="D38" s="213">
        <f>C38*(1+Assumptions!$L$14)</f>
        <v>355535.16277078062</v>
      </c>
      <c r="E38" s="213">
        <f>D38*(1+Assumptions!$L$14)</f>
        <v>362645.86602619622</v>
      </c>
      <c r="F38" s="213">
        <f>E38*(1+Assumptions!$L$14)</f>
        <v>369898.78334672016</v>
      </c>
      <c r="G38" s="213">
        <f>F38*(1+Assumptions!$L$14)</f>
        <v>377296.75901365455</v>
      </c>
      <c r="H38" s="213">
        <f>G38*(1+Assumptions!$L$14)</f>
        <v>384842.69419392763</v>
      </c>
      <c r="I38" s="213">
        <f>H38*(1+Assumptions!$L$14)</f>
        <v>392539.54807780619</v>
      </c>
      <c r="J38" s="213">
        <f>I38*(1+Assumptions!$L$14)</f>
        <v>400390.33903936233</v>
      </c>
      <c r="K38" s="213">
        <f>J38*(1+Assumptions!$L$14)</f>
        <v>408398.14582014957</v>
      </c>
      <c r="L38" s="213">
        <f>K38*(1+Assumptions!$L$14)</f>
        <v>416566.10873655259</v>
      </c>
      <c r="M38" s="213">
        <f>L38*(1+Assumptions!$L$14)</f>
        <v>424897.43091128365</v>
      </c>
      <c r="N38" s="213">
        <f>M38*(1+Assumptions!$L$14)</f>
        <v>433395.37952950934</v>
      </c>
      <c r="O38" s="213">
        <f>N38*(1+Assumptions!$L$14)</f>
        <v>442063.28712009953</v>
      </c>
      <c r="P38" s="213">
        <f>O38*(1+Assumptions!$L$14)</f>
        <v>450904.55286250153</v>
      </c>
      <c r="Q38" s="213">
        <f>P38*(1+Assumptions!$L$14)</f>
        <v>459922.64391975157</v>
      </c>
      <c r="R38" s="213">
        <f>Q38*(1+Assumptions!$L$14)</f>
        <v>469121.09679814661</v>
      </c>
      <c r="S38" s="213">
        <f>R38*(1+Assumptions!$L$14)</f>
        <v>478503.51873410953</v>
      </c>
      <c r="T38" s="213">
        <f>S38*(1+Assumptions!$L$14)</f>
        <v>488073.58910879173</v>
      </c>
      <c r="U38" s="213">
        <f>T38*(1+Assumptions!$L$14)</f>
        <v>497835.06089096755</v>
      </c>
      <c r="V38" s="213">
        <f>U38*(1+Assumptions!$L$14)</f>
        <v>507791.7621087869</v>
      </c>
    </row>
    <row r="39" spans="1:22" s="9" customFormat="1" x14ac:dyDescent="0.2">
      <c r="A39" s="9">
        <f>Summary!A46</f>
        <v>30</v>
      </c>
      <c r="B39" s="9" t="s">
        <v>83</v>
      </c>
      <c r="C39" s="211">
        <f>UnitData!H39*UnitData!F39*1000</f>
        <v>348563.88506939274</v>
      </c>
      <c r="D39" s="213">
        <f>C39*(1+Assumptions!$L$14)</f>
        <v>355535.16277078062</v>
      </c>
      <c r="E39" s="213">
        <f>D39*(1+Assumptions!$L$14)</f>
        <v>362645.86602619622</v>
      </c>
      <c r="F39" s="213">
        <f>E39*(1+Assumptions!$L$14)</f>
        <v>369898.78334672016</v>
      </c>
      <c r="G39" s="213">
        <f>F39*(1+Assumptions!$L$14)</f>
        <v>377296.75901365455</v>
      </c>
      <c r="H39" s="213">
        <f>G39*(1+Assumptions!$L$14)</f>
        <v>384842.69419392763</v>
      </c>
      <c r="I39" s="213">
        <f>H39*(1+Assumptions!$L$14)</f>
        <v>392539.54807780619</v>
      </c>
      <c r="J39" s="213">
        <f>I39*(1+Assumptions!$L$14)</f>
        <v>400390.33903936233</v>
      </c>
      <c r="K39" s="213">
        <f>J39*(1+Assumptions!$L$14)</f>
        <v>408398.14582014957</v>
      </c>
      <c r="L39" s="213">
        <f>K39*(1+Assumptions!$L$14)</f>
        <v>416566.10873655259</v>
      </c>
      <c r="M39" s="213">
        <f>L39*(1+Assumptions!$L$14)</f>
        <v>424897.43091128365</v>
      </c>
      <c r="N39" s="213">
        <f>M39*(1+Assumptions!$L$14)</f>
        <v>433395.37952950934</v>
      </c>
      <c r="O39" s="213">
        <f>N39*(1+Assumptions!$L$14)</f>
        <v>442063.28712009953</v>
      </c>
      <c r="P39" s="213">
        <f>O39*(1+Assumptions!$L$14)</f>
        <v>450904.55286250153</v>
      </c>
      <c r="Q39" s="213">
        <f>P39*(1+Assumptions!$L$14)</f>
        <v>459922.64391975157</v>
      </c>
      <c r="R39" s="213">
        <f>Q39*(1+Assumptions!$L$14)</f>
        <v>469121.09679814661</v>
      </c>
      <c r="S39" s="213">
        <f>R39*(1+Assumptions!$L$14)</f>
        <v>478503.51873410953</v>
      </c>
      <c r="T39" s="213">
        <f>S39*(1+Assumptions!$L$14)</f>
        <v>488073.58910879173</v>
      </c>
      <c r="U39" s="213">
        <f>T39*(1+Assumptions!$L$14)</f>
        <v>497835.06089096755</v>
      </c>
      <c r="V39" s="213">
        <f>U39*(1+Assumptions!$L$14)</f>
        <v>507791.7621087869</v>
      </c>
    </row>
    <row r="40" spans="1:22" s="9" customFormat="1" x14ac:dyDescent="0.2">
      <c r="A40" s="9">
        <f>Summary!A47</f>
        <v>31</v>
      </c>
      <c r="B40" s="9" t="s">
        <v>84</v>
      </c>
      <c r="C40" s="211">
        <f>UnitData!H40*UnitData!F40*1000</f>
        <v>348563.88506939274</v>
      </c>
      <c r="D40" s="213">
        <f>C40*(1+Assumptions!$L$14)</f>
        <v>355535.16277078062</v>
      </c>
      <c r="E40" s="213">
        <f>D40*(1+Assumptions!$L$14)</f>
        <v>362645.86602619622</v>
      </c>
      <c r="F40" s="213">
        <f>E40*(1+Assumptions!$L$14)</f>
        <v>369898.78334672016</v>
      </c>
      <c r="G40" s="213">
        <f>F40*(1+Assumptions!$L$14)</f>
        <v>377296.75901365455</v>
      </c>
      <c r="H40" s="213">
        <f>G40*(1+Assumptions!$L$14)</f>
        <v>384842.69419392763</v>
      </c>
      <c r="I40" s="213">
        <f>H40*(1+Assumptions!$L$14)</f>
        <v>392539.54807780619</v>
      </c>
      <c r="J40" s="213">
        <f>I40*(1+Assumptions!$L$14)</f>
        <v>400390.33903936233</v>
      </c>
      <c r="K40" s="213">
        <f>J40*(1+Assumptions!$L$14)</f>
        <v>408398.14582014957</v>
      </c>
      <c r="L40" s="213">
        <f>K40*(1+Assumptions!$L$14)</f>
        <v>416566.10873655259</v>
      </c>
      <c r="M40" s="213">
        <f>L40*(1+Assumptions!$L$14)</f>
        <v>424897.43091128365</v>
      </c>
      <c r="N40" s="213">
        <f>M40*(1+Assumptions!$L$14)</f>
        <v>433395.37952950934</v>
      </c>
      <c r="O40" s="213">
        <f>N40*(1+Assumptions!$L$14)</f>
        <v>442063.28712009953</v>
      </c>
      <c r="P40" s="213">
        <f>O40*(1+Assumptions!$L$14)</f>
        <v>450904.55286250153</v>
      </c>
      <c r="Q40" s="213">
        <f>P40*(1+Assumptions!$L$14)</f>
        <v>459922.64391975157</v>
      </c>
      <c r="R40" s="213">
        <f>Q40*(1+Assumptions!$L$14)</f>
        <v>469121.09679814661</v>
      </c>
      <c r="S40" s="213">
        <f>R40*(1+Assumptions!$L$14)</f>
        <v>478503.51873410953</v>
      </c>
      <c r="T40" s="213">
        <f>S40*(1+Assumptions!$L$14)</f>
        <v>488073.58910879173</v>
      </c>
      <c r="U40" s="213">
        <f>T40*(1+Assumptions!$L$14)</f>
        <v>497835.06089096755</v>
      </c>
      <c r="V40" s="213">
        <f>U40*(1+Assumptions!$L$14)</f>
        <v>507791.7621087869</v>
      </c>
    </row>
    <row r="41" spans="1:22" s="9" customFormat="1" x14ac:dyDescent="0.2">
      <c r="A41" s="9">
        <f>Summary!A48</f>
        <v>32</v>
      </c>
      <c r="B41" s="9" t="s">
        <v>85</v>
      </c>
      <c r="C41" s="211">
        <f>UnitData!H41*UnitData!F41*1000</f>
        <v>348563.88506939274</v>
      </c>
      <c r="D41" s="213">
        <f>C41*(1+Assumptions!$L$14)</f>
        <v>355535.16277078062</v>
      </c>
      <c r="E41" s="213">
        <f>D41*(1+Assumptions!$L$14)</f>
        <v>362645.86602619622</v>
      </c>
      <c r="F41" s="213">
        <f>E41*(1+Assumptions!$L$14)</f>
        <v>369898.78334672016</v>
      </c>
      <c r="G41" s="213">
        <f>F41*(1+Assumptions!$L$14)</f>
        <v>377296.75901365455</v>
      </c>
      <c r="H41" s="213">
        <f>G41*(1+Assumptions!$L$14)</f>
        <v>384842.69419392763</v>
      </c>
      <c r="I41" s="213">
        <f>H41*(1+Assumptions!$L$14)</f>
        <v>392539.54807780619</v>
      </c>
      <c r="J41" s="213">
        <f>I41*(1+Assumptions!$L$14)</f>
        <v>400390.33903936233</v>
      </c>
      <c r="K41" s="213">
        <f>J41*(1+Assumptions!$L$14)</f>
        <v>408398.14582014957</v>
      </c>
      <c r="L41" s="213">
        <f>K41*(1+Assumptions!$L$14)</f>
        <v>416566.10873655259</v>
      </c>
      <c r="M41" s="213">
        <f>L41*(1+Assumptions!$L$14)</f>
        <v>424897.43091128365</v>
      </c>
      <c r="N41" s="213">
        <f>M41*(1+Assumptions!$L$14)</f>
        <v>433395.37952950934</v>
      </c>
      <c r="O41" s="213">
        <f>N41*(1+Assumptions!$L$14)</f>
        <v>442063.28712009953</v>
      </c>
      <c r="P41" s="213">
        <f>O41*(1+Assumptions!$L$14)</f>
        <v>450904.55286250153</v>
      </c>
      <c r="Q41" s="213">
        <f>P41*(1+Assumptions!$L$14)</f>
        <v>459922.64391975157</v>
      </c>
      <c r="R41" s="213">
        <f>Q41*(1+Assumptions!$L$14)</f>
        <v>469121.09679814661</v>
      </c>
      <c r="S41" s="213">
        <f>R41*(1+Assumptions!$L$14)</f>
        <v>478503.51873410953</v>
      </c>
      <c r="T41" s="213">
        <f>S41*(1+Assumptions!$L$14)</f>
        <v>488073.58910879173</v>
      </c>
      <c r="U41" s="213">
        <f>T41*(1+Assumptions!$L$14)</f>
        <v>497835.06089096755</v>
      </c>
      <c r="V41" s="213">
        <f>U41*(1+Assumptions!$L$14)</f>
        <v>507791.7621087869</v>
      </c>
    </row>
    <row r="42" spans="1:22" s="9" customFormat="1" ht="13.5" thickBot="1" x14ac:dyDescent="0.25">
      <c r="A42" s="9">
        <f>Summary!A49</f>
        <v>33</v>
      </c>
      <c r="B42" s="216" t="s">
        <v>181</v>
      </c>
      <c r="C42" s="211">
        <f>UnitData!H42*UnitData!F42*1000</f>
        <v>3172500</v>
      </c>
      <c r="D42" s="215">
        <f>C42*(1+Assumptions!$L$14)</f>
        <v>3235950</v>
      </c>
      <c r="E42" s="215">
        <f>D42*(1+Assumptions!$L$14)</f>
        <v>3300669</v>
      </c>
      <c r="F42" s="215">
        <f>E42*(1+Assumptions!$L$14)</f>
        <v>3366682.38</v>
      </c>
      <c r="G42" s="215">
        <f>F42*(1+Assumptions!$L$14)</f>
        <v>3434016.0276000001</v>
      </c>
      <c r="H42" s="215">
        <f>G42*(1+Assumptions!$L$14)</f>
        <v>3502696.348152</v>
      </c>
      <c r="I42" s="215">
        <f>H42*(1+Assumptions!$L$14)</f>
        <v>3572750.2751150401</v>
      </c>
      <c r="J42" s="215">
        <f>I42*(1+Assumptions!$L$14)</f>
        <v>3644205.2806173409</v>
      </c>
      <c r="K42" s="215">
        <f>J42*(1+Assumptions!$L$14)</f>
        <v>3717089.3862296878</v>
      </c>
      <c r="L42" s="215">
        <f>K42*(1+Assumptions!$L$14)</f>
        <v>3791431.1739542815</v>
      </c>
      <c r="M42" s="215">
        <f>L42*(1+Assumptions!$L$14)</f>
        <v>3867259.797433367</v>
      </c>
      <c r="N42" s="215">
        <f>M42*(1+Assumptions!$L$14)</f>
        <v>3944604.9933820344</v>
      </c>
      <c r="O42" s="215">
        <f>N42*(1+Assumptions!$L$14)</f>
        <v>4023497.0932496749</v>
      </c>
      <c r="P42" s="215">
        <f>O42*(1+Assumptions!$L$14)</f>
        <v>4103967.0351146683</v>
      </c>
      <c r="Q42" s="215">
        <f>P42*(1+Assumptions!$L$14)</f>
        <v>4186046.3758169618</v>
      </c>
      <c r="R42" s="215">
        <f>Q42*(1+Assumptions!$L$14)</f>
        <v>4269767.3033333011</v>
      </c>
      <c r="S42" s="215">
        <f>R42*(1+Assumptions!$L$14)</f>
        <v>4355162.6493999669</v>
      </c>
      <c r="T42" s="215">
        <f>S42*(1+Assumptions!$L$14)</f>
        <v>4442265.9023879664</v>
      </c>
      <c r="U42" s="215">
        <f>T42*(1+Assumptions!$L$14)</f>
        <v>4531111.2204357255</v>
      </c>
      <c r="V42" s="215">
        <f>U42*(1+Assumptions!$L$14)</f>
        <v>4621733.4448444406</v>
      </c>
    </row>
    <row r="43" spans="1:22" ht="13.5" thickTop="1" x14ac:dyDescent="0.2">
      <c r="B43" s="9" t="s">
        <v>135</v>
      </c>
      <c r="C43" s="83">
        <f>SUM(C10:C42)</f>
        <v>67348040.967062265</v>
      </c>
      <c r="D43" s="83">
        <f t="shared" ref="D43:V43" si="0">SUM(D10:D42)</f>
        <v>68695001.786403477</v>
      </c>
      <c r="E43" s="83">
        <f t="shared" si="0"/>
        <v>70068901.822131574</v>
      </c>
      <c r="F43" s="83">
        <f t="shared" si="0"/>
        <v>71470279.858574212</v>
      </c>
      <c r="G43" s="83">
        <f t="shared" si="0"/>
        <v>72899685.455745697</v>
      </c>
      <c r="H43" s="83">
        <f t="shared" si="0"/>
        <v>74357679.164860606</v>
      </c>
      <c r="I43" s="83">
        <f t="shared" si="0"/>
        <v>75844832.748157829</v>
      </c>
      <c r="J43" s="83">
        <f t="shared" si="0"/>
        <v>77361729.403120965</v>
      </c>
      <c r="K43" s="83">
        <f t="shared" si="0"/>
        <v>78908963.991183445</v>
      </c>
      <c r="L43" s="83">
        <f t="shared" si="0"/>
        <v>80487143.271007121</v>
      </c>
      <c r="M43" s="83">
        <f t="shared" si="0"/>
        <v>82096886.136427224</v>
      </c>
      <c r="N43" s="83">
        <f t="shared" si="0"/>
        <v>83738823.859155759</v>
      </c>
      <c r="O43" s="83">
        <f t="shared" si="0"/>
        <v>85413600.336338863</v>
      </c>
      <c r="P43" s="83">
        <f t="shared" si="0"/>
        <v>87121872.34306559</v>
      </c>
      <c r="Q43" s="83">
        <f t="shared" si="0"/>
        <v>88864309.789926946</v>
      </c>
      <c r="R43" s="83">
        <f t="shared" si="0"/>
        <v>90641595.985725537</v>
      </c>
      <c r="S43" s="83">
        <f t="shared" si="0"/>
        <v>92454427.905440047</v>
      </c>
      <c r="T43" s="83">
        <f t="shared" si="0"/>
        <v>94303516.463548809</v>
      </c>
      <c r="U43" s="83">
        <f t="shared" si="0"/>
        <v>96189586.792819887</v>
      </c>
      <c r="V43" s="83">
        <f t="shared" si="0"/>
        <v>98113378.528676152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08"/>
  <sheetViews>
    <sheetView workbookViewId="0"/>
  </sheetViews>
  <sheetFormatPr defaultRowHeight="12.75" x14ac:dyDescent="0.2"/>
  <cols>
    <col min="1" max="1" width="3.5703125" customWidth="1"/>
    <col min="2" max="2" width="15.42578125" bestFit="1" customWidth="1"/>
    <col min="3" max="4" width="11.140625" bestFit="1" customWidth="1"/>
    <col min="5" max="5" width="13.42578125" bestFit="1" customWidth="1"/>
    <col min="6" max="6" width="13.28515625" bestFit="1" customWidth="1"/>
    <col min="7" max="7" width="13.42578125" bestFit="1" customWidth="1"/>
    <col min="8" max="11" width="13.7109375" bestFit="1" customWidth="1"/>
    <col min="12" max="12" width="13.42578125" bestFit="1" customWidth="1"/>
    <col min="13" max="13" width="13.85546875" bestFit="1" customWidth="1"/>
    <col min="14" max="14" width="13.7109375" bestFit="1" customWidth="1"/>
    <col min="15" max="15" width="13.85546875" bestFit="1" customWidth="1"/>
    <col min="16" max="16" width="13.7109375" bestFit="1" customWidth="1"/>
    <col min="17" max="17" width="13.85546875" bestFit="1" customWidth="1"/>
    <col min="18" max="18" width="13.85546875" customWidth="1"/>
    <col min="19" max="19" width="15.140625" customWidth="1"/>
    <col min="20" max="20" width="17.7109375" customWidth="1"/>
    <col min="21" max="21" width="12.85546875" customWidth="1"/>
    <col min="22" max="22" width="9.85546875" bestFit="1" customWidth="1"/>
  </cols>
  <sheetData>
    <row r="1" spans="1:22" x14ac:dyDescent="0.2">
      <c r="A1" s="138" t="s">
        <v>206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138"/>
    </row>
    <row r="8" spans="1:22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22" x14ac:dyDescent="0.2">
      <c r="A10">
        <f>Summary!A17</f>
        <v>1</v>
      </c>
      <c r="B10" t="s">
        <v>55</v>
      </c>
      <c r="C10" s="218">
        <v>1296887</v>
      </c>
      <c r="D10" s="219">
        <v>1263820</v>
      </c>
      <c r="E10" s="219">
        <v>1233305</v>
      </c>
      <c r="F10" s="219">
        <v>1223334</v>
      </c>
      <c r="G10" s="219">
        <v>1216952</v>
      </c>
      <c r="H10" s="219">
        <v>1210984</v>
      </c>
      <c r="I10" s="219">
        <v>1205530</v>
      </c>
      <c r="J10" s="219">
        <v>1204607</v>
      </c>
      <c r="K10" s="219">
        <v>892019</v>
      </c>
      <c r="L10" s="219">
        <v>579551</v>
      </c>
      <c r="M10" s="219">
        <v>579421</v>
      </c>
      <c r="N10" s="219">
        <v>432924</v>
      </c>
      <c r="O10" s="219">
        <v>286238</v>
      </c>
      <c r="P10" s="219">
        <v>286302</v>
      </c>
      <c r="Q10" s="219">
        <v>286238</v>
      </c>
      <c r="R10" s="219">
        <v>176547</v>
      </c>
      <c r="S10" s="219">
        <v>66780</v>
      </c>
      <c r="T10" s="219">
        <v>66795</v>
      </c>
      <c r="U10" s="219">
        <v>66780</v>
      </c>
      <c r="V10" s="219">
        <v>33397</v>
      </c>
    </row>
    <row r="11" spans="1:22" x14ac:dyDescent="0.2">
      <c r="A11">
        <f>Summary!A18</f>
        <v>2</v>
      </c>
      <c r="B11" t="s">
        <v>56</v>
      </c>
      <c r="C11" s="220">
        <v>1525702</v>
      </c>
      <c r="D11" s="221">
        <v>1413972</v>
      </c>
      <c r="E11" s="221">
        <v>1334000</v>
      </c>
      <c r="F11" s="221">
        <v>1251360</v>
      </c>
      <c r="G11" s="221">
        <v>1224779</v>
      </c>
      <c r="H11" s="221">
        <v>1200336</v>
      </c>
      <c r="I11" s="221">
        <v>1194913</v>
      </c>
      <c r="J11" s="221">
        <v>1194616</v>
      </c>
      <c r="K11" s="221">
        <v>1194635</v>
      </c>
      <c r="L11" s="221">
        <v>1194616</v>
      </c>
      <c r="M11" s="221">
        <v>1194635</v>
      </c>
      <c r="N11" s="221">
        <v>928375</v>
      </c>
      <c r="O11" s="221">
        <v>662277</v>
      </c>
      <c r="P11" s="221">
        <v>662138</v>
      </c>
      <c r="Q11" s="221">
        <v>479505</v>
      </c>
      <c r="R11" s="221">
        <v>296665</v>
      </c>
      <c r="S11" s="221">
        <v>296722</v>
      </c>
      <c r="T11" s="221">
        <v>296665</v>
      </c>
      <c r="U11" s="221">
        <v>158529</v>
      </c>
      <c r="V11" s="221">
        <v>10170</v>
      </c>
    </row>
    <row r="12" spans="1:22" x14ac:dyDescent="0.2">
      <c r="A12">
        <f>Summary!A19</f>
        <v>3</v>
      </c>
      <c r="B12" s="9" t="s">
        <v>57</v>
      </c>
      <c r="C12" s="220">
        <v>1577681.75</v>
      </c>
      <c r="D12" s="221">
        <v>1448514.75</v>
      </c>
      <c r="E12" s="221">
        <v>1385844</v>
      </c>
      <c r="F12" s="221">
        <v>1191770.25</v>
      </c>
      <c r="G12" s="221">
        <v>1066151</v>
      </c>
      <c r="H12" s="221">
        <v>1032763.5</v>
      </c>
      <c r="I12" s="221">
        <v>1028237.25</v>
      </c>
      <c r="J12" s="221">
        <v>1004065.5</v>
      </c>
      <c r="K12" s="221">
        <v>980752.5</v>
      </c>
      <c r="L12" s="221">
        <v>823280.25</v>
      </c>
      <c r="M12" s="221">
        <v>665987.5</v>
      </c>
      <c r="N12" s="221">
        <v>665863.25</v>
      </c>
      <c r="O12" s="221">
        <v>548538.25</v>
      </c>
      <c r="P12" s="221">
        <v>431016.75</v>
      </c>
      <c r="Q12" s="221">
        <v>362563.5</v>
      </c>
      <c r="R12" s="221">
        <v>293995.25</v>
      </c>
      <c r="S12" s="221">
        <v>174942</v>
      </c>
      <c r="T12" s="221">
        <v>55860.75</v>
      </c>
      <c r="U12" s="221">
        <v>55848.25</v>
      </c>
      <c r="V12" s="221">
        <v>27929.75</v>
      </c>
    </row>
    <row r="13" spans="1:22" x14ac:dyDescent="0.2">
      <c r="A13">
        <f>Summary!A20</f>
        <v>4</v>
      </c>
      <c r="B13" s="9" t="s">
        <v>58</v>
      </c>
      <c r="C13" s="220">
        <v>1577681.75</v>
      </c>
      <c r="D13" s="221">
        <v>1448514.75</v>
      </c>
      <c r="E13" s="221">
        <v>1385844</v>
      </c>
      <c r="F13" s="221">
        <v>1191770.25</v>
      </c>
      <c r="G13" s="221">
        <v>1066151</v>
      </c>
      <c r="H13" s="221">
        <v>1032763.5</v>
      </c>
      <c r="I13" s="221">
        <v>1028237.25</v>
      </c>
      <c r="J13" s="221">
        <v>1004065.5</v>
      </c>
      <c r="K13" s="221">
        <v>980752.5</v>
      </c>
      <c r="L13" s="221">
        <v>823280.25</v>
      </c>
      <c r="M13" s="221">
        <v>665987.5</v>
      </c>
      <c r="N13" s="221">
        <v>665863.25</v>
      </c>
      <c r="O13" s="221">
        <v>548538.25</v>
      </c>
      <c r="P13" s="221">
        <v>431016.75</v>
      </c>
      <c r="Q13" s="221">
        <v>362563.5</v>
      </c>
      <c r="R13" s="221">
        <v>293995.25</v>
      </c>
      <c r="S13" s="221">
        <v>174942</v>
      </c>
      <c r="T13" s="221">
        <v>55860.75</v>
      </c>
      <c r="U13" s="221">
        <v>55848.25</v>
      </c>
      <c r="V13" s="221">
        <v>27929.75</v>
      </c>
    </row>
    <row r="14" spans="1:22" x14ac:dyDescent="0.2">
      <c r="A14">
        <f>Summary!A21</f>
        <v>5</v>
      </c>
      <c r="B14" s="9" t="s">
        <v>59</v>
      </c>
      <c r="C14" s="220">
        <v>1577681.75</v>
      </c>
      <c r="D14" s="221">
        <v>1448514.75</v>
      </c>
      <c r="E14" s="221">
        <v>1385844</v>
      </c>
      <c r="F14" s="221">
        <v>1191770.25</v>
      </c>
      <c r="G14" s="221">
        <v>1066151</v>
      </c>
      <c r="H14" s="221">
        <v>1032763.5</v>
      </c>
      <c r="I14" s="221">
        <v>1028237.25</v>
      </c>
      <c r="J14" s="221">
        <v>1004065.5</v>
      </c>
      <c r="K14" s="221">
        <v>980752.5</v>
      </c>
      <c r="L14" s="221">
        <v>823280.25</v>
      </c>
      <c r="M14" s="221">
        <v>665987.5</v>
      </c>
      <c r="N14" s="221">
        <v>665863.25</v>
      </c>
      <c r="O14" s="221">
        <v>548538.25</v>
      </c>
      <c r="P14" s="221">
        <v>431016.75</v>
      </c>
      <c r="Q14" s="221">
        <v>362563.5</v>
      </c>
      <c r="R14" s="221">
        <v>293995.25</v>
      </c>
      <c r="S14" s="221">
        <v>174942</v>
      </c>
      <c r="T14" s="221">
        <v>55860.75</v>
      </c>
      <c r="U14" s="221">
        <v>55848.25</v>
      </c>
      <c r="V14" s="221">
        <v>27929.75</v>
      </c>
    </row>
    <row r="15" spans="1:22" x14ac:dyDescent="0.2">
      <c r="A15">
        <f>Summary!A22</f>
        <v>6</v>
      </c>
      <c r="B15" s="9" t="s">
        <v>60</v>
      </c>
      <c r="C15" s="220">
        <v>1577681.75</v>
      </c>
      <c r="D15" s="221">
        <v>1448514.75</v>
      </c>
      <c r="E15" s="221">
        <v>1385844</v>
      </c>
      <c r="F15" s="221">
        <v>1191770.25</v>
      </c>
      <c r="G15" s="221">
        <v>1066151</v>
      </c>
      <c r="H15" s="221">
        <v>1032763.5</v>
      </c>
      <c r="I15" s="221">
        <v>1028237.25</v>
      </c>
      <c r="J15" s="221">
        <v>1004065.5</v>
      </c>
      <c r="K15" s="221">
        <v>980752.5</v>
      </c>
      <c r="L15" s="221">
        <v>823280.25</v>
      </c>
      <c r="M15" s="221">
        <v>665987.5</v>
      </c>
      <c r="N15" s="221">
        <v>665863.25</v>
      </c>
      <c r="O15" s="221">
        <v>548538.25</v>
      </c>
      <c r="P15" s="221">
        <v>431016.75</v>
      </c>
      <c r="Q15" s="221">
        <v>362563.5</v>
      </c>
      <c r="R15" s="221">
        <v>293995.25</v>
      </c>
      <c r="S15" s="221">
        <v>174942</v>
      </c>
      <c r="T15" s="221">
        <v>55860.75</v>
      </c>
      <c r="U15" s="221">
        <v>55848.25</v>
      </c>
      <c r="V15" s="221">
        <v>27929.75</v>
      </c>
    </row>
    <row r="16" spans="1:22" x14ac:dyDescent="0.2">
      <c r="A16">
        <f>Summary!A23</f>
        <v>7</v>
      </c>
      <c r="B16" t="s">
        <v>61</v>
      </c>
      <c r="C16" s="220">
        <v>246412</v>
      </c>
      <c r="D16" s="221">
        <v>239171</v>
      </c>
      <c r="E16" s="221">
        <v>232560</v>
      </c>
      <c r="F16" s="221">
        <v>231437</v>
      </c>
      <c r="G16" s="221">
        <v>231452</v>
      </c>
      <c r="H16" s="221">
        <v>231437</v>
      </c>
      <c r="I16" s="221">
        <v>231452</v>
      </c>
      <c r="J16" s="221">
        <v>231437</v>
      </c>
      <c r="K16" s="221">
        <v>231452</v>
      </c>
      <c r="L16" s="221">
        <v>231437</v>
      </c>
      <c r="M16" s="221">
        <v>156221</v>
      </c>
      <c r="N16" s="221">
        <v>81008</v>
      </c>
      <c r="O16" s="221">
        <v>80990</v>
      </c>
      <c r="P16" s="221">
        <v>81008</v>
      </c>
      <c r="Q16" s="221">
        <v>80990</v>
      </c>
      <c r="R16" s="221">
        <v>40508</v>
      </c>
      <c r="S16" s="221">
        <v>0</v>
      </c>
      <c r="T16" s="221">
        <v>0</v>
      </c>
      <c r="U16" s="221">
        <v>0</v>
      </c>
      <c r="V16" s="221">
        <v>0</v>
      </c>
    </row>
    <row r="17" spans="1:22" x14ac:dyDescent="0.2">
      <c r="A17">
        <f>Summary!A24</f>
        <v>8</v>
      </c>
      <c r="B17" t="s">
        <v>62</v>
      </c>
      <c r="C17" s="220">
        <v>777615.14403292176</v>
      </c>
      <c r="D17" s="221">
        <v>689717.86008230457</v>
      </c>
      <c r="E17" s="221">
        <v>667884.4444444445</v>
      </c>
      <c r="F17" s="221">
        <v>663419.58847736625</v>
      </c>
      <c r="G17" s="221">
        <v>661996.37860082299</v>
      </c>
      <c r="H17" s="221">
        <v>660704.19753086416</v>
      </c>
      <c r="I17" s="221">
        <v>659665.18518518517</v>
      </c>
      <c r="J17" s="221">
        <v>659507.81893004116</v>
      </c>
      <c r="K17" s="221">
        <v>659413.99176954734</v>
      </c>
      <c r="L17" s="221">
        <v>659507.81893004116</v>
      </c>
      <c r="M17" s="221">
        <v>598991.60493827157</v>
      </c>
      <c r="N17" s="221">
        <v>538687.73662551446</v>
      </c>
      <c r="O17" s="221">
        <v>538566.91358024697</v>
      </c>
      <c r="P17" s="221">
        <v>385627.65432098764</v>
      </c>
      <c r="Q17" s="221">
        <v>232515.88477366255</v>
      </c>
      <c r="R17" s="221">
        <v>118710.78189300411</v>
      </c>
      <c r="S17" s="221">
        <v>4848.7242798353909</v>
      </c>
      <c r="T17" s="221">
        <v>4850.0411522633749</v>
      </c>
      <c r="U17" s="221">
        <v>4848.7242798353909</v>
      </c>
      <c r="V17" s="221">
        <v>2424.3621399176955</v>
      </c>
    </row>
    <row r="18" spans="1:22" x14ac:dyDescent="0.2">
      <c r="A18">
        <f>Summary!A25</f>
        <v>9</v>
      </c>
      <c r="B18" t="s">
        <v>63</v>
      </c>
      <c r="C18" s="220">
        <v>1584390.8559670784</v>
      </c>
      <c r="D18" s="221">
        <v>1405300.1399176957</v>
      </c>
      <c r="E18" s="221">
        <v>1360814.5555555557</v>
      </c>
      <c r="F18" s="221">
        <v>1351717.4115226339</v>
      </c>
      <c r="G18" s="221">
        <v>1348817.621399177</v>
      </c>
      <c r="H18" s="221">
        <v>1346184.802469136</v>
      </c>
      <c r="I18" s="221">
        <v>1344067.8148148148</v>
      </c>
      <c r="J18" s="221">
        <v>1343747.181069959</v>
      </c>
      <c r="K18" s="221">
        <v>1343556.0082304529</v>
      </c>
      <c r="L18" s="221">
        <v>1343747.181069959</v>
      </c>
      <c r="M18" s="221">
        <v>1220445.3950617285</v>
      </c>
      <c r="N18" s="221">
        <v>1097576.2633744858</v>
      </c>
      <c r="O18" s="221">
        <v>1097330.0864197533</v>
      </c>
      <c r="P18" s="221">
        <v>785716.34567901236</v>
      </c>
      <c r="Q18" s="221">
        <v>473751.11522633751</v>
      </c>
      <c r="R18" s="221">
        <v>241873.21810699592</v>
      </c>
      <c r="S18" s="221">
        <v>9879.2757201646091</v>
      </c>
      <c r="T18" s="221">
        <v>9881.9588477366269</v>
      </c>
      <c r="U18" s="221">
        <v>9879.2757201646091</v>
      </c>
      <c r="V18" s="221">
        <v>4939.6378600823045</v>
      </c>
    </row>
    <row r="19" spans="1:22" x14ac:dyDescent="0.2">
      <c r="A19">
        <f>Summary!A26</f>
        <v>10</v>
      </c>
      <c r="B19" t="s">
        <v>64</v>
      </c>
      <c r="C19" s="220">
        <v>1125172</v>
      </c>
      <c r="D19" s="221">
        <v>964501.5</v>
      </c>
      <c r="E19" s="221">
        <v>932085.5</v>
      </c>
      <c r="F19" s="221">
        <v>906047.5</v>
      </c>
      <c r="G19" s="221">
        <v>882160</v>
      </c>
      <c r="H19" s="221">
        <v>859874</v>
      </c>
      <c r="I19" s="221">
        <v>854973</v>
      </c>
      <c r="J19" s="221">
        <v>854507</v>
      </c>
      <c r="K19" s="221">
        <v>854689</v>
      </c>
      <c r="L19" s="221">
        <v>854507</v>
      </c>
      <c r="M19" s="221">
        <v>725222</v>
      </c>
      <c r="N19" s="221">
        <v>595629</v>
      </c>
      <c r="O19" s="221">
        <v>595753</v>
      </c>
      <c r="P19" s="221">
        <v>595629</v>
      </c>
      <c r="Q19" s="221">
        <v>432041</v>
      </c>
      <c r="R19" s="221">
        <v>268279.5</v>
      </c>
      <c r="S19" s="221">
        <v>268330</v>
      </c>
      <c r="T19" s="221">
        <v>268279.5</v>
      </c>
      <c r="U19" s="221">
        <v>144543</v>
      </c>
      <c r="V19" s="221">
        <v>10384</v>
      </c>
    </row>
    <row r="20" spans="1:22" x14ac:dyDescent="0.2">
      <c r="A20">
        <f>Summary!A27</f>
        <v>11</v>
      </c>
      <c r="B20" t="s">
        <v>65</v>
      </c>
      <c r="C20" s="220">
        <v>1125172</v>
      </c>
      <c r="D20" s="221">
        <v>964501.5</v>
      </c>
      <c r="E20" s="221">
        <v>932085.5</v>
      </c>
      <c r="F20" s="221">
        <v>906047.5</v>
      </c>
      <c r="G20" s="221">
        <v>882160</v>
      </c>
      <c r="H20" s="221">
        <v>859874</v>
      </c>
      <c r="I20" s="221">
        <v>854973</v>
      </c>
      <c r="J20" s="221">
        <v>854507</v>
      </c>
      <c r="K20" s="221">
        <v>854689</v>
      </c>
      <c r="L20" s="221">
        <v>854507</v>
      </c>
      <c r="M20" s="221">
        <v>725222</v>
      </c>
      <c r="N20" s="221">
        <v>595629</v>
      </c>
      <c r="O20" s="221">
        <v>595753</v>
      </c>
      <c r="P20" s="221">
        <v>595629</v>
      </c>
      <c r="Q20" s="221">
        <v>432041</v>
      </c>
      <c r="R20" s="221">
        <v>268279.5</v>
      </c>
      <c r="S20" s="221">
        <v>268330</v>
      </c>
      <c r="T20" s="221">
        <v>268279.5</v>
      </c>
      <c r="U20" s="221">
        <v>144543</v>
      </c>
      <c r="V20" s="221">
        <v>10384</v>
      </c>
    </row>
    <row r="21" spans="1:22" x14ac:dyDescent="0.2">
      <c r="A21">
        <f>Summary!A28</f>
        <v>12</v>
      </c>
      <c r="B21" t="s">
        <v>66</v>
      </c>
      <c r="C21" s="220">
        <v>831295.27556818177</v>
      </c>
      <c r="D21" s="221">
        <v>686122.95738636365</v>
      </c>
      <c r="E21" s="221">
        <v>673172.1875</v>
      </c>
      <c r="F21" s="221">
        <v>660496.34090909082</v>
      </c>
      <c r="G21" s="221">
        <v>657320.50284090906</v>
      </c>
      <c r="H21" s="221">
        <v>654852.86931818177</v>
      </c>
      <c r="I21" s="221">
        <v>653870.00852272729</v>
      </c>
      <c r="J21" s="221">
        <v>592682.28409090906</v>
      </c>
      <c r="K21" s="221">
        <v>465822.20738636359</v>
      </c>
      <c r="L21" s="221">
        <v>349460.75568181818</v>
      </c>
      <c r="M21" s="221">
        <v>299030.28977272724</v>
      </c>
      <c r="N21" s="221">
        <v>265541.32102272724</v>
      </c>
      <c r="O21" s="221">
        <v>204495.26420454544</v>
      </c>
      <c r="P21" s="221">
        <v>176826.68465909091</v>
      </c>
      <c r="Q21" s="221">
        <v>125657.97159090909</v>
      </c>
      <c r="R21" s="221">
        <v>74443.860795454544</v>
      </c>
      <c r="S21" s="221">
        <v>43301.954545454544</v>
      </c>
      <c r="T21" s="221">
        <v>12152.036931818182</v>
      </c>
      <c r="U21" s="221">
        <v>12149.366477272726</v>
      </c>
      <c r="V21" s="221">
        <v>6075.8181818181811</v>
      </c>
    </row>
    <row r="22" spans="1:22" x14ac:dyDescent="0.2">
      <c r="A22">
        <f>Summary!A29</f>
        <v>13</v>
      </c>
      <c r="B22" t="s">
        <v>67</v>
      </c>
      <c r="C22" s="220">
        <v>831295.27556818177</v>
      </c>
      <c r="D22" s="221">
        <v>686122.95738636365</v>
      </c>
      <c r="E22" s="221">
        <v>673172.1875</v>
      </c>
      <c r="F22" s="221">
        <v>660496.34090909082</v>
      </c>
      <c r="G22" s="221">
        <v>657320.50284090906</v>
      </c>
      <c r="H22" s="221">
        <v>654852.86931818177</v>
      </c>
      <c r="I22" s="221">
        <v>653870.00852272729</v>
      </c>
      <c r="J22" s="221">
        <v>592682.28409090906</v>
      </c>
      <c r="K22" s="221">
        <v>465822.20738636359</v>
      </c>
      <c r="L22" s="221">
        <v>349460.75568181818</v>
      </c>
      <c r="M22" s="221">
        <v>299030.28977272724</v>
      </c>
      <c r="N22" s="221">
        <v>265541.32102272724</v>
      </c>
      <c r="O22" s="221">
        <v>204495.26420454544</v>
      </c>
      <c r="P22" s="221">
        <v>176826.68465909091</v>
      </c>
      <c r="Q22" s="221">
        <v>125657.97159090909</v>
      </c>
      <c r="R22" s="221">
        <v>74443.860795454544</v>
      </c>
      <c r="S22" s="221">
        <v>43301.954545454544</v>
      </c>
      <c r="T22" s="221">
        <v>12152.036931818182</v>
      </c>
      <c r="U22" s="221">
        <v>12149.366477272726</v>
      </c>
      <c r="V22" s="221">
        <v>6075.8181818181811</v>
      </c>
    </row>
    <row r="23" spans="1:22" x14ac:dyDescent="0.2">
      <c r="A23">
        <f>Summary!A30</f>
        <v>14</v>
      </c>
      <c r="B23" t="s">
        <v>70</v>
      </c>
      <c r="C23" s="220">
        <v>1131976.5454545454</v>
      </c>
      <c r="D23" s="221">
        <v>934295.09090909094</v>
      </c>
      <c r="E23" s="221">
        <v>916660</v>
      </c>
      <c r="F23" s="221">
        <v>899399.27272727271</v>
      </c>
      <c r="G23" s="221">
        <v>895074.72727272729</v>
      </c>
      <c r="H23" s="221">
        <v>891714.54545454553</v>
      </c>
      <c r="I23" s="221">
        <v>890376.18181818188</v>
      </c>
      <c r="J23" s="221">
        <v>807056.72727272729</v>
      </c>
      <c r="K23" s="221">
        <v>634311.09090909094</v>
      </c>
      <c r="L23" s="221">
        <v>475861.45454545453</v>
      </c>
      <c r="M23" s="221">
        <v>407190.18181818182</v>
      </c>
      <c r="N23" s="221">
        <v>361588.18181818182</v>
      </c>
      <c r="O23" s="221">
        <v>278461.63636363635</v>
      </c>
      <c r="P23" s="221">
        <v>240785.27272727274</v>
      </c>
      <c r="Q23" s="221">
        <v>171108.72727272726</v>
      </c>
      <c r="R23" s="221">
        <v>101370.36363636363</v>
      </c>
      <c r="S23" s="221">
        <v>58964.36363636364</v>
      </c>
      <c r="T23" s="221">
        <v>16547.454545454544</v>
      </c>
      <c r="U23" s="221">
        <v>16543.818181818184</v>
      </c>
      <c r="V23" s="221">
        <v>8273.454545454546</v>
      </c>
    </row>
    <row r="24" spans="1:22" x14ac:dyDescent="0.2">
      <c r="A24">
        <f>Summary!A31</f>
        <v>15</v>
      </c>
      <c r="B24" t="s">
        <v>68</v>
      </c>
      <c r="C24" s="220">
        <v>1326535.0142045454</v>
      </c>
      <c r="D24" s="221">
        <v>1094877.0596590908</v>
      </c>
      <c r="E24" s="221">
        <v>1074210.9375</v>
      </c>
      <c r="F24" s="221">
        <v>1053983.5227272727</v>
      </c>
      <c r="G24" s="221">
        <v>1048915.6960227273</v>
      </c>
      <c r="H24" s="221">
        <v>1044977.9829545455</v>
      </c>
      <c r="I24" s="221">
        <v>1043409.5880681819</v>
      </c>
      <c r="J24" s="221">
        <v>945769.60227272729</v>
      </c>
      <c r="K24" s="221">
        <v>743333.30965909094</v>
      </c>
      <c r="L24" s="221">
        <v>557650.14204545459</v>
      </c>
      <c r="M24" s="221">
        <v>477175.99431818182</v>
      </c>
      <c r="N24" s="221">
        <v>423736.15056818182</v>
      </c>
      <c r="O24" s="221">
        <v>326322.23011363635</v>
      </c>
      <c r="P24" s="221">
        <v>282170.24147727271</v>
      </c>
      <c r="Q24" s="221">
        <v>200518.03977272726</v>
      </c>
      <c r="R24" s="221">
        <v>118793.39488636363</v>
      </c>
      <c r="S24" s="221">
        <v>69098.863636363632</v>
      </c>
      <c r="T24" s="221">
        <v>19391.548295454544</v>
      </c>
      <c r="U24" s="221">
        <v>19387.286931818184</v>
      </c>
      <c r="V24" s="221">
        <v>9695.454545454546</v>
      </c>
    </row>
    <row r="25" spans="1:22" x14ac:dyDescent="0.2">
      <c r="A25">
        <f>Summary!A32</f>
        <v>16</v>
      </c>
      <c r="B25" t="s">
        <v>69</v>
      </c>
      <c r="C25" s="220">
        <v>2104768.8892045454</v>
      </c>
      <c r="D25" s="221">
        <v>1737204.9346590908</v>
      </c>
      <c r="E25" s="221">
        <v>1704414.6875</v>
      </c>
      <c r="F25" s="221">
        <v>1672320.5227272727</v>
      </c>
      <c r="G25" s="221">
        <v>1664279.5710227273</v>
      </c>
      <c r="H25" s="221">
        <v>1658031.7329545454</v>
      </c>
      <c r="I25" s="221">
        <v>1655543.2130681819</v>
      </c>
      <c r="J25" s="221">
        <v>1500621.1022727273</v>
      </c>
      <c r="K25" s="221">
        <v>1179422.1846590908</v>
      </c>
      <c r="L25" s="221">
        <v>884804.89204545459</v>
      </c>
      <c r="M25" s="221">
        <v>757119.24431818188</v>
      </c>
      <c r="N25" s="221">
        <v>672328.02556818188</v>
      </c>
      <c r="O25" s="221">
        <v>517764.60511363635</v>
      </c>
      <c r="P25" s="221">
        <v>447710.11647727271</v>
      </c>
      <c r="Q25" s="221">
        <v>318155.28977272729</v>
      </c>
      <c r="R25" s="221">
        <v>188485.51988636365</v>
      </c>
      <c r="S25" s="221">
        <v>109636.86363636363</v>
      </c>
      <c r="T25" s="221">
        <v>30767.923295454544</v>
      </c>
      <c r="U25" s="221">
        <v>30761.161931818184</v>
      </c>
      <c r="V25" s="221">
        <v>15383.454545454546</v>
      </c>
    </row>
    <row r="26" spans="1:22" x14ac:dyDescent="0.2">
      <c r="A26">
        <f>Summary!A33</f>
        <v>17</v>
      </c>
      <c r="B26" t="s">
        <v>71</v>
      </c>
      <c r="C26" s="220">
        <v>515079</v>
      </c>
      <c r="D26" s="221">
        <v>472129</v>
      </c>
      <c r="E26" s="221">
        <v>467567</v>
      </c>
      <c r="F26" s="221">
        <v>466076</v>
      </c>
      <c r="G26" s="221">
        <v>464694</v>
      </c>
      <c r="H26" s="221">
        <v>463419</v>
      </c>
      <c r="I26" s="221">
        <v>462236</v>
      </c>
      <c r="J26" s="221">
        <v>462047</v>
      </c>
      <c r="K26" s="221">
        <v>462040</v>
      </c>
      <c r="L26" s="221">
        <v>346061</v>
      </c>
      <c r="M26" s="221">
        <v>230119</v>
      </c>
      <c r="N26" s="221">
        <v>230074</v>
      </c>
      <c r="O26" s="221">
        <v>230119</v>
      </c>
      <c r="P26" s="221">
        <v>230074</v>
      </c>
      <c r="Q26" s="221">
        <v>122244</v>
      </c>
      <c r="R26" s="221">
        <v>14371</v>
      </c>
      <c r="S26" s="221">
        <v>14368</v>
      </c>
      <c r="T26" s="221">
        <v>14371</v>
      </c>
      <c r="U26" s="221">
        <v>14368</v>
      </c>
      <c r="V26" s="221">
        <v>7187</v>
      </c>
    </row>
    <row r="27" spans="1:22" x14ac:dyDescent="0.2">
      <c r="A27">
        <f>Summary!A34</f>
        <v>18</v>
      </c>
      <c r="B27" t="s">
        <v>72</v>
      </c>
      <c r="C27" s="220">
        <v>44131884</v>
      </c>
      <c r="D27" s="221">
        <v>44077604</v>
      </c>
      <c r="E27" s="221">
        <v>44031299</v>
      </c>
      <c r="F27" s="221">
        <v>43988620</v>
      </c>
      <c r="G27" s="221">
        <v>43966930</v>
      </c>
      <c r="H27" s="221">
        <v>2134499</v>
      </c>
      <c r="I27" s="221">
        <v>794710</v>
      </c>
      <c r="J27" s="221">
        <v>792227</v>
      </c>
      <c r="K27" s="221">
        <v>792178</v>
      </c>
      <c r="L27" s="221">
        <v>792227</v>
      </c>
      <c r="M27" s="221">
        <v>792178</v>
      </c>
      <c r="N27" s="221">
        <v>792227</v>
      </c>
      <c r="O27" s="221">
        <v>792178</v>
      </c>
      <c r="P27" s="221">
        <v>631869</v>
      </c>
      <c r="Q27" s="221">
        <v>471531</v>
      </c>
      <c r="R27" s="221">
        <v>471508</v>
      </c>
      <c r="S27" s="221">
        <v>328366</v>
      </c>
      <c r="T27" s="221">
        <v>185242</v>
      </c>
      <c r="U27" s="221">
        <v>185201</v>
      </c>
      <c r="V27" s="221">
        <v>92624</v>
      </c>
    </row>
    <row r="28" spans="1:22" x14ac:dyDescent="0.2">
      <c r="A28">
        <f>Summary!A35</f>
        <v>19</v>
      </c>
      <c r="B28" t="s">
        <v>73</v>
      </c>
      <c r="C28" s="220">
        <v>510076.06822057982</v>
      </c>
      <c r="D28" s="221">
        <v>468779.18362706079</v>
      </c>
      <c r="E28" s="221">
        <v>430045.71233655483</v>
      </c>
      <c r="F28" s="221">
        <v>375007.3155201819</v>
      </c>
      <c r="G28" s="221">
        <v>319224.07959067647</v>
      </c>
      <c r="H28" s="221">
        <v>286156.25469016482</v>
      </c>
      <c r="I28" s="221">
        <v>265388.95508811821</v>
      </c>
      <c r="J28" s="221">
        <v>265670.07845366682</v>
      </c>
      <c r="K28" s="221">
        <v>265388.95508811821</v>
      </c>
      <c r="L28" s="221">
        <v>265670.07845366682</v>
      </c>
      <c r="M28" s="221">
        <v>265388.95508811821</v>
      </c>
      <c r="N28" s="221">
        <v>240837.28482092096</v>
      </c>
      <c r="O28" s="221">
        <v>215639.07674815232</v>
      </c>
      <c r="P28" s="221">
        <v>216004.49118817507</v>
      </c>
      <c r="Q28" s="221">
        <v>107819.07902217167</v>
      </c>
      <c r="R28" s="221">
        <v>0</v>
      </c>
      <c r="S28" s="221">
        <v>0</v>
      </c>
      <c r="T28" s="221">
        <v>0</v>
      </c>
      <c r="U28" s="221">
        <v>0</v>
      </c>
      <c r="V28" s="221">
        <v>0</v>
      </c>
    </row>
    <row r="29" spans="1:22" x14ac:dyDescent="0.2">
      <c r="A29">
        <f>Summary!A36</f>
        <v>20</v>
      </c>
      <c r="B29" t="s">
        <v>74</v>
      </c>
      <c r="C29" s="220">
        <v>82403.378017813142</v>
      </c>
      <c r="D29" s="221">
        <v>75731.818609058158</v>
      </c>
      <c r="E29" s="221">
        <v>69474.381580443427</v>
      </c>
      <c r="F29" s="221">
        <v>60582.864999052479</v>
      </c>
      <c r="G29" s="221">
        <v>51571.01879855978</v>
      </c>
      <c r="H29" s="221">
        <v>46228.873488724646</v>
      </c>
      <c r="I29" s="221">
        <v>42873.892249384109</v>
      </c>
      <c r="J29" s="221">
        <v>42919.308053818451</v>
      </c>
      <c r="K29" s="221">
        <v>42873.892249384109</v>
      </c>
      <c r="L29" s="221">
        <v>42919.308053818451</v>
      </c>
      <c r="M29" s="221">
        <v>42873.892249384109</v>
      </c>
      <c r="N29" s="221">
        <v>38907.541557703233</v>
      </c>
      <c r="O29" s="221">
        <v>34836.741936706458</v>
      </c>
      <c r="P29" s="221">
        <v>34895.775061588014</v>
      </c>
      <c r="Q29" s="221">
        <v>17418.296759522451</v>
      </c>
      <c r="R29" s="221">
        <v>0</v>
      </c>
      <c r="S29" s="221">
        <v>0</v>
      </c>
      <c r="T29" s="221">
        <v>0</v>
      </c>
      <c r="U29" s="221">
        <v>0</v>
      </c>
      <c r="V29" s="221">
        <v>0</v>
      </c>
    </row>
    <row r="30" spans="1:22" x14ac:dyDescent="0.2">
      <c r="A30">
        <f>Summary!A37</f>
        <v>21</v>
      </c>
      <c r="B30" t="s">
        <v>75</v>
      </c>
      <c r="C30" s="220">
        <v>183156.02713663061</v>
      </c>
      <c r="D30" s="221">
        <v>168327.31082054193</v>
      </c>
      <c r="E30" s="221">
        <v>154419.0544627629</v>
      </c>
      <c r="F30" s="221">
        <v>134656.09217358346</v>
      </c>
      <c r="G30" s="221">
        <v>114625.67610384685</v>
      </c>
      <c r="H30" s="221">
        <v>102751.81686564334</v>
      </c>
      <c r="I30" s="221">
        <v>95294.779912829239</v>
      </c>
      <c r="J30" s="221">
        <v>95395.72454045857</v>
      </c>
      <c r="K30" s="221">
        <v>95294.779912829239</v>
      </c>
      <c r="L30" s="221">
        <v>95395.72454045857</v>
      </c>
      <c r="M30" s="221">
        <v>95294.779912829239</v>
      </c>
      <c r="N30" s="221">
        <v>86478.866628766322</v>
      </c>
      <c r="O30" s="221">
        <v>77430.797195376144</v>
      </c>
      <c r="P30" s="221">
        <v>77562.008717074074</v>
      </c>
      <c r="Q30" s="221">
        <v>38715.233655486059</v>
      </c>
      <c r="R30" s="221">
        <v>0</v>
      </c>
      <c r="S30" s="221">
        <v>0</v>
      </c>
      <c r="T30" s="221">
        <v>0</v>
      </c>
      <c r="U30" s="221">
        <v>0</v>
      </c>
      <c r="V30" s="221">
        <v>0</v>
      </c>
    </row>
    <row r="31" spans="1:22" x14ac:dyDescent="0.2">
      <c r="A31">
        <f>Summary!A38</f>
        <v>22</v>
      </c>
      <c r="B31" t="s">
        <v>86</v>
      </c>
      <c r="C31" s="220">
        <v>329613.51207125257</v>
      </c>
      <c r="D31" s="221">
        <v>302927.27443623263</v>
      </c>
      <c r="E31" s="221">
        <v>277897.52632177371</v>
      </c>
      <c r="F31" s="221">
        <v>242331.45999620992</v>
      </c>
      <c r="G31" s="221">
        <v>206284.07519423912</v>
      </c>
      <c r="H31" s="221">
        <v>184915.49395489859</v>
      </c>
      <c r="I31" s="221">
        <v>171495.56899753644</v>
      </c>
      <c r="J31" s="221">
        <v>171677.23221527381</v>
      </c>
      <c r="K31" s="221">
        <v>171495.56899753644</v>
      </c>
      <c r="L31" s="221">
        <v>171677.23221527381</v>
      </c>
      <c r="M31" s="221">
        <v>171495.56899753644</v>
      </c>
      <c r="N31" s="221">
        <v>155630.16623081293</v>
      </c>
      <c r="O31" s="221">
        <v>139346.96774682583</v>
      </c>
      <c r="P31" s="221">
        <v>139583.10024635206</v>
      </c>
      <c r="Q31" s="221">
        <v>69673.187038089804</v>
      </c>
      <c r="R31" s="221">
        <v>0</v>
      </c>
      <c r="S31" s="221">
        <v>0</v>
      </c>
      <c r="T31" s="221">
        <v>0</v>
      </c>
      <c r="U31" s="221">
        <v>0</v>
      </c>
      <c r="V31" s="221">
        <v>0</v>
      </c>
    </row>
    <row r="32" spans="1:22" x14ac:dyDescent="0.2">
      <c r="A32">
        <f>Summary!A39</f>
        <v>23</v>
      </c>
      <c r="B32" t="s">
        <v>76</v>
      </c>
      <c r="C32" s="220">
        <v>278900.50363843091</v>
      </c>
      <c r="D32" s="221">
        <v>256320.10312677658</v>
      </c>
      <c r="E32" s="221">
        <v>235141.33132461624</v>
      </c>
      <c r="F32" s="221">
        <v>205047.31682774302</v>
      </c>
      <c r="G32" s="221">
        <v>174546.0375781694</v>
      </c>
      <c r="H32" s="221">
        <v>156465.14025014211</v>
      </c>
      <c r="I32" s="221">
        <v>145109.95093803297</v>
      </c>
      <c r="J32" s="221">
        <v>145263.66418419557</v>
      </c>
      <c r="K32" s="221">
        <v>145109.95093803297</v>
      </c>
      <c r="L32" s="221">
        <v>145263.66418419557</v>
      </c>
      <c r="M32" s="221">
        <v>145109.95093803297</v>
      </c>
      <c r="N32" s="221">
        <v>131685.53519044913</v>
      </c>
      <c r="O32" s="221">
        <v>117907.60409323478</v>
      </c>
      <c r="P32" s="221">
        <v>118107.40619670266</v>
      </c>
      <c r="Q32" s="221">
        <v>58953.550881182491</v>
      </c>
      <c r="R32" s="221">
        <v>0</v>
      </c>
      <c r="S32" s="221">
        <v>0</v>
      </c>
      <c r="T32" s="221">
        <v>0</v>
      </c>
      <c r="U32" s="221">
        <v>0</v>
      </c>
      <c r="V32" s="221">
        <v>0</v>
      </c>
    </row>
    <row r="33" spans="1:22" x14ac:dyDescent="0.2">
      <c r="A33">
        <f>Summary!A40</f>
        <v>24</v>
      </c>
      <c r="B33" t="s">
        <v>77</v>
      </c>
      <c r="C33" s="220">
        <v>278900.50363843091</v>
      </c>
      <c r="D33" s="221">
        <v>256320.10312677658</v>
      </c>
      <c r="E33" s="221">
        <v>235141.33132461624</v>
      </c>
      <c r="F33" s="221">
        <v>205047.31682774302</v>
      </c>
      <c r="G33" s="221">
        <v>174546.0375781694</v>
      </c>
      <c r="H33" s="221">
        <v>156465.14025014211</v>
      </c>
      <c r="I33" s="221">
        <v>145109.95093803297</v>
      </c>
      <c r="J33" s="221">
        <v>145263.66418419557</v>
      </c>
      <c r="K33" s="221">
        <v>145109.95093803297</v>
      </c>
      <c r="L33" s="221">
        <v>145263.66418419557</v>
      </c>
      <c r="M33" s="221">
        <v>145109.95093803297</v>
      </c>
      <c r="N33" s="221">
        <v>131685.53519044913</v>
      </c>
      <c r="O33" s="221">
        <v>117907.60409323478</v>
      </c>
      <c r="P33" s="221">
        <v>118107.40619670266</v>
      </c>
      <c r="Q33" s="221">
        <v>58953.550881182491</v>
      </c>
      <c r="R33" s="221">
        <v>0</v>
      </c>
      <c r="S33" s="221">
        <v>0</v>
      </c>
      <c r="T33" s="221">
        <v>0</v>
      </c>
      <c r="U33" s="221">
        <v>0</v>
      </c>
      <c r="V33" s="221">
        <v>0</v>
      </c>
    </row>
    <row r="34" spans="1:22" x14ac:dyDescent="0.2">
      <c r="A34">
        <f>Summary!A41</f>
        <v>25</v>
      </c>
      <c r="B34" t="s">
        <v>78</v>
      </c>
      <c r="C34" s="220">
        <v>278900.50363843091</v>
      </c>
      <c r="D34" s="221">
        <v>256320.10312677658</v>
      </c>
      <c r="E34" s="221">
        <v>235141.33132461624</v>
      </c>
      <c r="F34" s="221">
        <v>205047.31682774302</v>
      </c>
      <c r="G34" s="221">
        <v>174546.0375781694</v>
      </c>
      <c r="H34" s="221">
        <v>156465.14025014211</v>
      </c>
      <c r="I34" s="221">
        <v>145109.95093803297</v>
      </c>
      <c r="J34" s="221">
        <v>145263.66418419557</v>
      </c>
      <c r="K34" s="221">
        <v>145109.95093803297</v>
      </c>
      <c r="L34" s="221">
        <v>145263.66418419557</v>
      </c>
      <c r="M34" s="221">
        <v>145109.95093803297</v>
      </c>
      <c r="N34" s="221">
        <v>131685.53519044913</v>
      </c>
      <c r="O34" s="221">
        <v>117907.60409323478</v>
      </c>
      <c r="P34" s="221">
        <v>118107.40619670266</v>
      </c>
      <c r="Q34" s="221">
        <v>58953.550881182491</v>
      </c>
      <c r="R34" s="221">
        <v>0</v>
      </c>
      <c r="S34" s="221">
        <v>0</v>
      </c>
      <c r="T34" s="221">
        <v>0</v>
      </c>
      <c r="U34" s="221">
        <v>0</v>
      </c>
      <c r="V34" s="221">
        <v>0</v>
      </c>
    </row>
    <row r="35" spans="1:22" x14ac:dyDescent="0.2">
      <c r="A35">
        <f>Summary!A42</f>
        <v>26</v>
      </c>
      <c r="B35" t="s">
        <v>79</v>
      </c>
      <c r="C35" s="220">
        <v>278900.50363843091</v>
      </c>
      <c r="D35" s="221">
        <v>256320.10312677658</v>
      </c>
      <c r="E35" s="221">
        <v>235141.33132461624</v>
      </c>
      <c r="F35" s="221">
        <v>205047.31682774302</v>
      </c>
      <c r="G35" s="221">
        <v>174546.0375781694</v>
      </c>
      <c r="H35" s="221">
        <v>156465.14025014211</v>
      </c>
      <c r="I35" s="221">
        <v>145109.95093803297</v>
      </c>
      <c r="J35" s="221">
        <v>145263.66418419557</v>
      </c>
      <c r="K35" s="221">
        <v>145109.95093803297</v>
      </c>
      <c r="L35" s="221">
        <v>145263.66418419557</v>
      </c>
      <c r="M35" s="221">
        <v>145109.95093803297</v>
      </c>
      <c r="N35" s="221">
        <v>131685.53519044913</v>
      </c>
      <c r="O35" s="221">
        <v>117907.60409323478</v>
      </c>
      <c r="P35" s="221">
        <v>118107.40619670266</v>
      </c>
      <c r="Q35" s="221">
        <v>58953.550881182491</v>
      </c>
      <c r="R35" s="221">
        <v>0</v>
      </c>
      <c r="S35" s="221">
        <v>0</v>
      </c>
      <c r="T35" s="221">
        <v>0</v>
      </c>
      <c r="U35" s="221">
        <v>0</v>
      </c>
      <c r="V35" s="221">
        <v>0</v>
      </c>
    </row>
    <row r="36" spans="1:22" x14ac:dyDescent="0.2">
      <c r="A36">
        <f>Summary!A43</f>
        <v>27</v>
      </c>
      <c r="B36" t="s">
        <v>80</v>
      </c>
      <c r="C36" s="220">
        <v>2194936.3333333335</v>
      </c>
      <c r="D36" s="221">
        <v>2191982.6666666665</v>
      </c>
      <c r="E36" s="221">
        <v>2194903.5</v>
      </c>
      <c r="F36" s="221">
        <v>2191915.3333333335</v>
      </c>
      <c r="G36" s="221">
        <v>2194842.3333333335</v>
      </c>
      <c r="H36" s="221">
        <v>2191872.5</v>
      </c>
      <c r="I36" s="221">
        <v>2194828.6666666665</v>
      </c>
      <c r="J36" s="221">
        <v>1220411.1666666667</v>
      </c>
      <c r="K36" s="221">
        <v>136829</v>
      </c>
      <c r="L36" s="221">
        <v>12625.166666666666</v>
      </c>
      <c r="M36" s="221">
        <v>245.5</v>
      </c>
      <c r="N36" s="221">
        <v>245.83333333333334</v>
      </c>
      <c r="O36" s="221">
        <v>245.5</v>
      </c>
      <c r="P36" s="221">
        <v>245.83333333333334</v>
      </c>
      <c r="Q36" s="221">
        <v>122.83333333333333</v>
      </c>
      <c r="R36" s="221">
        <v>0</v>
      </c>
      <c r="S36" s="221">
        <v>0</v>
      </c>
      <c r="T36" s="221">
        <v>0</v>
      </c>
      <c r="U36" s="221">
        <v>0</v>
      </c>
      <c r="V36" s="221">
        <v>0</v>
      </c>
    </row>
    <row r="37" spans="1:22" x14ac:dyDescent="0.2">
      <c r="A37">
        <f>Summary!A44</f>
        <v>28</v>
      </c>
      <c r="B37" t="s">
        <v>81</v>
      </c>
      <c r="C37" s="220">
        <v>2194936.3333333335</v>
      </c>
      <c r="D37" s="221">
        <v>2191982.6666666665</v>
      </c>
      <c r="E37" s="221">
        <v>2194903.5</v>
      </c>
      <c r="F37" s="221">
        <v>2191915.3333333335</v>
      </c>
      <c r="G37" s="221">
        <v>2194842.3333333335</v>
      </c>
      <c r="H37" s="221">
        <v>2191872.5</v>
      </c>
      <c r="I37" s="221">
        <v>2194828.6666666665</v>
      </c>
      <c r="J37" s="221">
        <v>1220411.1666666667</v>
      </c>
      <c r="K37" s="221">
        <v>136829</v>
      </c>
      <c r="L37" s="221">
        <v>12625.166666666666</v>
      </c>
      <c r="M37" s="221">
        <v>245.5</v>
      </c>
      <c r="N37" s="221">
        <v>245.83333333333334</v>
      </c>
      <c r="O37" s="221">
        <v>245.5</v>
      </c>
      <c r="P37" s="221">
        <v>245.83333333333334</v>
      </c>
      <c r="Q37" s="221">
        <v>122.83333333333333</v>
      </c>
      <c r="R37" s="221">
        <v>0</v>
      </c>
      <c r="S37" s="221">
        <v>0</v>
      </c>
      <c r="T37" s="221">
        <v>0</v>
      </c>
      <c r="U37" s="221">
        <v>0</v>
      </c>
      <c r="V37" s="221">
        <v>0</v>
      </c>
    </row>
    <row r="38" spans="1:22" x14ac:dyDescent="0.2">
      <c r="A38">
        <f>Summary!A45</f>
        <v>29</v>
      </c>
      <c r="B38" t="s">
        <v>82</v>
      </c>
      <c r="C38" s="220">
        <v>2194936.3333333335</v>
      </c>
      <c r="D38" s="221">
        <v>2191982.6666666665</v>
      </c>
      <c r="E38" s="221">
        <v>2194903.5</v>
      </c>
      <c r="F38" s="221">
        <v>2191915.3333333335</v>
      </c>
      <c r="G38" s="221">
        <v>2194842.3333333335</v>
      </c>
      <c r="H38" s="221">
        <v>2191872.5</v>
      </c>
      <c r="I38" s="221">
        <v>2194828.6666666665</v>
      </c>
      <c r="J38" s="221">
        <v>1220411.1666666667</v>
      </c>
      <c r="K38" s="221">
        <v>136829</v>
      </c>
      <c r="L38" s="221">
        <v>12625.166666666666</v>
      </c>
      <c r="M38" s="221">
        <v>245.5</v>
      </c>
      <c r="N38" s="221">
        <v>245.83333333333334</v>
      </c>
      <c r="O38" s="221">
        <v>245.5</v>
      </c>
      <c r="P38" s="221">
        <v>245.83333333333334</v>
      </c>
      <c r="Q38" s="221">
        <v>122.83333333333333</v>
      </c>
      <c r="R38" s="221">
        <v>0</v>
      </c>
      <c r="S38" s="221">
        <v>0</v>
      </c>
      <c r="T38" s="221">
        <v>0</v>
      </c>
      <c r="U38" s="221">
        <v>0</v>
      </c>
      <c r="V38" s="221">
        <v>0</v>
      </c>
    </row>
    <row r="39" spans="1:22" x14ac:dyDescent="0.2">
      <c r="A39">
        <f>Summary!A46</f>
        <v>30</v>
      </c>
      <c r="B39" t="s">
        <v>83</v>
      </c>
      <c r="C39" s="220">
        <v>2194936.3333333335</v>
      </c>
      <c r="D39" s="221">
        <v>2191982.6666666665</v>
      </c>
      <c r="E39" s="221">
        <v>2194903.5</v>
      </c>
      <c r="F39" s="221">
        <v>2191915.3333333335</v>
      </c>
      <c r="G39" s="221">
        <v>2194842.3333333335</v>
      </c>
      <c r="H39" s="221">
        <v>2191872.5</v>
      </c>
      <c r="I39" s="221">
        <v>2194828.6666666665</v>
      </c>
      <c r="J39" s="221">
        <v>1220411.1666666667</v>
      </c>
      <c r="K39" s="221">
        <v>136829</v>
      </c>
      <c r="L39" s="221">
        <v>12625.166666666666</v>
      </c>
      <c r="M39" s="221">
        <v>245.5</v>
      </c>
      <c r="N39" s="221">
        <v>245.83333333333334</v>
      </c>
      <c r="O39" s="221">
        <v>245.5</v>
      </c>
      <c r="P39" s="221">
        <v>245.83333333333334</v>
      </c>
      <c r="Q39" s="221">
        <v>122.83333333333333</v>
      </c>
      <c r="R39" s="221">
        <v>0</v>
      </c>
      <c r="S39" s="221">
        <v>0</v>
      </c>
      <c r="T39" s="221">
        <v>0</v>
      </c>
      <c r="U39" s="221">
        <v>0</v>
      </c>
      <c r="V39" s="221">
        <v>0</v>
      </c>
    </row>
    <row r="40" spans="1:22" x14ac:dyDescent="0.2">
      <c r="A40">
        <f>Summary!A47</f>
        <v>31</v>
      </c>
      <c r="B40" t="s">
        <v>84</v>
      </c>
      <c r="C40" s="220">
        <v>2194936.3333333335</v>
      </c>
      <c r="D40" s="221">
        <v>2191982.6666666665</v>
      </c>
      <c r="E40" s="221">
        <v>2194903.5</v>
      </c>
      <c r="F40" s="221">
        <v>2191915.3333333335</v>
      </c>
      <c r="G40" s="221">
        <v>2194842.3333333335</v>
      </c>
      <c r="H40" s="221">
        <v>2191872.5</v>
      </c>
      <c r="I40" s="221">
        <v>2194828.6666666665</v>
      </c>
      <c r="J40" s="221">
        <v>1220411.1666666667</v>
      </c>
      <c r="K40" s="221">
        <v>136829</v>
      </c>
      <c r="L40" s="221">
        <v>12625.166666666666</v>
      </c>
      <c r="M40" s="221">
        <v>245.5</v>
      </c>
      <c r="N40" s="221">
        <v>245.83333333333334</v>
      </c>
      <c r="O40" s="221">
        <v>245.5</v>
      </c>
      <c r="P40" s="221">
        <v>245.83333333333334</v>
      </c>
      <c r="Q40" s="221">
        <v>122.83333333333333</v>
      </c>
      <c r="R40" s="221">
        <v>0</v>
      </c>
      <c r="S40" s="221">
        <v>0</v>
      </c>
      <c r="T40" s="221">
        <v>0</v>
      </c>
      <c r="U40" s="221">
        <v>0</v>
      </c>
      <c r="V40" s="221">
        <v>0</v>
      </c>
    </row>
    <row r="41" spans="1:22" x14ac:dyDescent="0.2">
      <c r="A41">
        <f>Summary!A48</f>
        <v>32</v>
      </c>
      <c r="B41" t="s">
        <v>85</v>
      </c>
      <c r="C41" s="220">
        <v>2194936.3333333335</v>
      </c>
      <c r="D41" s="221">
        <v>2191982.6666666665</v>
      </c>
      <c r="E41" s="221">
        <v>2194903.5</v>
      </c>
      <c r="F41" s="221">
        <v>2191915.3333333335</v>
      </c>
      <c r="G41" s="221">
        <v>2194842.3333333335</v>
      </c>
      <c r="H41" s="221">
        <v>2191872.5</v>
      </c>
      <c r="I41" s="221">
        <v>2194828.6666666665</v>
      </c>
      <c r="J41" s="221">
        <v>1220411.1666666667</v>
      </c>
      <c r="K41" s="221">
        <v>136829</v>
      </c>
      <c r="L41" s="221">
        <v>12625.166666666666</v>
      </c>
      <c r="M41" s="221">
        <v>245.5</v>
      </c>
      <c r="N41" s="221">
        <v>245.83333333333334</v>
      </c>
      <c r="O41" s="221">
        <v>245.5</v>
      </c>
      <c r="P41" s="221">
        <v>245.83333333333334</v>
      </c>
      <c r="Q41" s="221">
        <v>122.83333333333333</v>
      </c>
      <c r="R41" s="221">
        <v>0</v>
      </c>
      <c r="S41" s="221">
        <v>0</v>
      </c>
      <c r="T41" s="221">
        <v>0</v>
      </c>
      <c r="U41" s="221">
        <v>0</v>
      </c>
      <c r="V41" s="221">
        <v>0</v>
      </c>
    </row>
    <row r="42" spans="1:22" ht="13.5" thickBot="1" x14ac:dyDescent="0.25">
      <c r="A42">
        <f>Summary!A49</f>
        <v>33</v>
      </c>
      <c r="B42" s="199" t="s">
        <v>181</v>
      </c>
      <c r="C42" s="222">
        <v>0</v>
      </c>
      <c r="D42" s="223">
        <v>32528000</v>
      </c>
      <c r="E42" s="223">
        <v>29275200</v>
      </c>
      <c r="F42" s="223">
        <v>26364800</v>
      </c>
      <c r="G42" s="223">
        <v>23728320</v>
      </c>
      <c r="H42" s="223">
        <v>21331520</v>
      </c>
      <c r="I42" s="223">
        <v>20201600</v>
      </c>
      <c r="J42" s="223">
        <v>20201600</v>
      </c>
      <c r="K42" s="223">
        <v>20235840</v>
      </c>
      <c r="L42" s="223">
        <v>20201600</v>
      </c>
      <c r="M42" s="223">
        <v>20235840</v>
      </c>
      <c r="N42" s="223">
        <v>20201600</v>
      </c>
      <c r="O42" s="223">
        <v>20235840</v>
      </c>
      <c r="P42" s="223">
        <v>20235840</v>
      </c>
      <c r="Q42" s="223">
        <v>20235840</v>
      </c>
      <c r="R42" s="223">
        <v>10100800</v>
      </c>
      <c r="S42" s="223">
        <v>10846000</v>
      </c>
      <c r="T42" s="223">
        <v>10846000</v>
      </c>
      <c r="U42" s="223">
        <v>10846000</v>
      </c>
      <c r="V42" s="223">
        <v>10846000</v>
      </c>
    </row>
    <row r="43" spans="1:22" ht="13.5" thickTop="1" x14ac:dyDescent="0.2">
      <c r="B43" t="s">
        <v>135</v>
      </c>
      <c r="C43" s="224">
        <f>SUM(C10:C42)</f>
        <v>80255380.99999997</v>
      </c>
      <c r="D43" s="224">
        <f t="shared" ref="D43:V43" si="0">SUM(D10:D42)</f>
        <v>110144341.00000003</v>
      </c>
      <c r="E43" s="224">
        <f t="shared" si="0"/>
        <v>106093630</v>
      </c>
      <c r="F43" s="224">
        <f t="shared" si="0"/>
        <v>101850895</v>
      </c>
      <c r="G43" s="224">
        <f t="shared" si="0"/>
        <v>98354719</v>
      </c>
      <c r="H43" s="224">
        <f t="shared" si="0"/>
        <v>53731464</v>
      </c>
      <c r="I43" s="224">
        <f t="shared" si="0"/>
        <v>51138603.000000015</v>
      </c>
      <c r="J43" s="224">
        <f t="shared" si="0"/>
        <v>44733061</v>
      </c>
      <c r="K43" s="224">
        <f t="shared" si="0"/>
        <v>36908700</v>
      </c>
      <c r="L43" s="224">
        <f t="shared" si="0"/>
        <v>34200588</v>
      </c>
      <c r="M43" s="224">
        <f t="shared" si="0"/>
        <v>32518757</v>
      </c>
      <c r="N43" s="224">
        <f t="shared" si="0"/>
        <v>31195989.000000007</v>
      </c>
      <c r="O43" s="224">
        <f t="shared" si="0"/>
        <v>29781094.000000004</v>
      </c>
      <c r="P43" s="224">
        <f t="shared" si="0"/>
        <v>28480168.999999996</v>
      </c>
      <c r="Q43" s="224">
        <f t="shared" si="0"/>
        <v>26108226</v>
      </c>
      <c r="R43" s="224">
        <f t="shared" si="0"/>
        <v>13731060</v>
      </c>
      <c r="S43" s="224">
        <f t="shared" si="0"/>
        <v>13127696</v>
      </c>
      <c r="T43" s="224">
        <f t="shared" si="0"/>
        <v>12274818</v>
      </c>
      <c r="U43" s="224">
        <f t="shared" si="0"/>
        <v>11889076</v>
      </c>
      <c r="V43" s="224">
        <f t="shared" si="0"/>
        <v>11174733</v>
      </c>
    </row>
    <row r="50" spans="1:22" x14ac:dyDescent="0.2">
      <c r="B50" s="10"/>
      <c r="C50" s="133">
        <v>2000</v>
      </c>
      <c r="D50" s="135">
        <v>2001</v>
      </c>
      <c r="E50" s="135">
        <v>2002</v>
      </c>
      <c r="F50" s="135">
        <v>2003</v>
      </c>
      <c r="G50" s="135">
        <v>2004</v>
      </c>
      <c r="H50" s="135">
        <v>2005</v>
      </c>
      <c r="I50" s="135">
        <v>2006</v>
      </c>
      <c r="J50" s="135">
        <v>2007</v>
      </c>
      <c r="K50" s="135">
        <v>2008</v>
      </c>
      <c r="L50" s="135">
        <v>2009</v>
      </c>
      <c r="M50" s="135">
        <v>2010</v>
      </c>
      <c r="N50" s="135">
        <v>2011</v>
      </c>
      <c r="O50" s="135">
        <v>2012</v>
      </c>
      <c r="P50" s="135">
        <v>2013</v>
      </c>
      <c r="Q50" s="135">
        <v>2014</v>
      </c>
      <c r="R50" s="135">
        <v>2015</v>
      </c>
      <c r="S50" s="135">
        <v>2016</v>
      </c>
      <c r="T50" s="135">
        <v>2017</v>
      </c>
      <c r="U50" s="135">
        <v>2018</v>
      </c>
      <c r="V50" s="135">
        <v>2019</v>
      </c>
    </row>
    <row r="51" spans="1:22" x14ac:dyDescent="0.2">
      <c r="A51" s="81" t="s">
        <v>151</v>
      </c>
      <c r="B51" s="10"/>
      <c r="C51" s="140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thickBot="1" x14ac:dyDescent="0.25">
      <c r="B52" s="10" t="s">
        <v>144</v>
      </c>
      <c r="C52" s="255">
        <f>-VLOOKUP(IS!$B$1,CapAds,C50-1997)*-1</f>
        <v>0</v>
      </c>
      <c r="D52" s="247">
        <f>-VLOOKUP(IS!$B$1,CapAds,D50-1997)*-1</f>
        <v>0</v>
      </c>
      <c r="E52" s="247">
        <f>-VLOOKUP(IS!$B$1,CapAds,E50-1997)*-1</f>
        <v>0</v>
      </c>
      <c r="F52" s="247">
        <f>-VLOOKUP(IS!$B$1,CapAds,F50-1997)*-1</f>
        <v>0</v>
      </c>
      <c r="G52" s="247">
        <f>-VLOOKUP(IS!$B$1,CapAds,G50-1997)*-1</f>
        <v>0</v>
      </c>
      <c r="H52" s="247">
        <f>-VLOOKUP(IS!$B$1,CapAds,H50-1997)*-1</f>
        <v>0</v>
      </c>
      <c r="I52" s="247">
        <f>-VLOOKUP(IS!$B$1,CapAds,I50-1997)*-1</f>
        <v>0</v>
      </c>
      <c r="J52" s="247">
        <f>-VLOOKUP(IS!$B$1,CapAds,J50-1997)*-1</f>
        <v>0</v>
      </c>
      <c r="K52" s="247">
        <f>-VLOOKUP(IS!$B$1,CapAds,K50-1997)*-1</f>
        <v>0</v>
      </c>
      <c r="L52" s="247">
        <f>-VLOOKUP(IS!$B$1,CapAds,L50-1997)*-1</f>
        <v>0</v>
      </c>
      <c r="M52" s="247">
        <f>-VLOOKUP(IS!$B$1,CapAds,M50-1997)*-1</f>
        <v>0</v>
      </c>
      <c r="N52" s="247">
        <f>-VLOOKUP(IS!$B$1,CapAds,N50-1997)*-1</f>
        <v>0</v>
      </c>
      <c r="O52" s="247">
        <f>-VLOOKUP(IS!$B$1,CapAds,O50-1997)*-1</f>
        <v>0</v>
      </c>
      <c r="P52" s="247">
        <f>-VLOOKUP(IS!$B$1,CapAds,P50-1997)*-1</f>
        <v>0</v>
      </c>
      <c r="Q52" s="247">
        <f>-VLOOKUP(IS!$B$1,CapAds,Q50-1997)*-1</f>
        <v>0</v>
      </c>
      <c r="R52" s="247">
        <f>-VLOOKUP(IS!$B$1,CapAds,R50-1997)*-1</f>
        <v>0</v>
      </c>
      <c r="S52" s="247">
        <f>-VLOOKUP(IS!$B$1,CapAds,S50-1997)*-1</f>
        <v>0</v>
      </c>
      <c r="T52" s="247">
        <f>-VLOOKUP(IS!$B$1,CapAds,T50-1997)*-1</f>
        <v>0</v>
      </c>
      <c r="U52" s="247">
        <f>-VLOOKUP(IS!$B$1,CapAds,U50-1997)*-1</f>
        <v>0</v>
      </c>
      <c r="V52" s="247">
        <f>-VLOOKUP(IS!$B$1,CapAds,V50-1997)*-1</f>
        <v>0</v>
      </c>
    </row>
    <row r="53" spans="1:22" ht="13.5" thickTop="1" x14ac:dyDescent="0.2">
      <c r="B53" s="10" t="s">
        <v>147</v>
      </c>
      <c r="C53" s="150">
        <v>3.7499999999999999E-2</v>
      </c>
      <c r="D53" s="151">
        <v>7.2190000000000004E-2</v>
      </c>
      <c r="E53" s="151">
        <v>6.6780000000000006E-2</v>
      </c>
      <c r="F53" s="151">
        <v>6.1780000000000002E-2</v>
      </c>
      <c r="G53" s="151">
        <v>5.7149999999999999E-2</v>
      </c>
      <c r="H53" s="151">
        <v>5.2859999999999997E-2</v>
      </c>
      <c r="I53" s="151">
        <v>4.8899999999999999E-2</v>
      </c>
      <c r="J53" s="151">
        <v>4.5229999999999999E-2</v>
      </c>
      <c r="K53" s="151">
        <v>4.4609999999999997E-2</v>
      </c>
      <c r="L53" s="151">
        <v>4.4609999999999997E-2</v>
      </c>
      <c r="M53" s="151">
        <v>4.4609999999999997E-2</v>
      </c>
      <c r="N53" s="151">
        <v>4.4609999999999997E-2</v>
      </c>
      <c r="O53" s="151">
        <v>4.4609999999999997E-2</v>
      </c>
      <c r="P53" s="151">
        <v>4.4609999999999997E-2</v>
      </c>
      <c r="Q53" s="151">
        <v>4.4609999999999997E-2</v>
      </c>
      <c r="R53" s="151">
        <v>4.4609999999999997E-2</v>
      </c>
      <c r="S53" s="151">
        <v>4.4609999999999997E-2</v>
      </c>
      <c r="T53" s="151">
        <v>4.4609999999999997E-2</v>
      </c>
      <c r="U53" s="151">
        <v>4.4609999999999997E-2</v>
      </c>
      <c r="V53" s="151">
        <v>4.4609999999999997E-2</v>
      </c>
    </row>
    <row r="54" spans="1:22" x14ac:dyDescent="0.2">
      <c r="B54" s="10"/>
      <c r="C54" s="140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x14ac:dyDescent="0.2">
      <c r="B55" s="10"/>
      <c r="C55" s="140">
        <f t="shared" ref="C55:V55" si="1">C$52*$C$53</f>
        <v>0</v>
      </c>
      <c r="D55" s="141">
        <f t="shared" si="1"/>
        <v>0</v>
      </c>
      <c r="E55" s="141">
        <f t="shared" si="1"/>
        <v>0</v>
      </c>
      <c r="F55" s="141">
        <f t="shared" si="1"/>
        <v>0</v>
      </c>
      <c r="G55" s="141">
        <f t="shared" si="1"/>
        <v>0</v>
      </c>
      <c r="H55" s="141">
        <f t="shared" si="1"/>
        <v>0</v>
      </c>
      <c r="I55" s="141">
        <f t="shared" si="1"/>
        <v>0</v>
      </c>
      <c r="J55" s="141">
        <f t="shared" si="1"/>
        <v>0</v>
      </c>
      <c r="K55" s="141">
        <f t="shared" si="1"/>
        <v>0</v>
      </c>
      <c r="L55" s="141">
        <f t="shared" si="1"/>
        <v>0</v>
      </c>
      <c r="M55" s="141">
        <f t="shared" si="1"/>
        <v>0</v>
      </c>
      <c r="N55" s="141">
        <f t="shared" si="1"/>
        <v>0</v>
      </c>
      <c r="O55" s="141">
        <f t="shared" si="1"/>
        <v>0</v>
      </c>
      <c r="P55" s="141">
        <f t="shared" si="1"/>
        <v>0</v>
      </c>
      <c r="Q55" s="141">
        <f t="shared" si="1"/>
        <v>0</v>
      </c>
      <c r="R55" s="141">
        <f t="shared" si="1"/>
        <v>0</v>
      </c>
      <c r="S55" s="141">
        <f t="shared" si="1"/>
        <v>0</v>
      </c>
      <c r="T55" s="141">
        <f t="shared" si="1"/>
        <v>0</v>
      </c>
      <c r="U55" s="141">
        <f t="shared" si="1"/>
        <v>0</v>
      </c>
      <c r="V55" s="141">
        <f t="shared" si="1"/>
        <v>0</v>
      </c>
    </row>
    <row r="56" spans="1:22" x14ac:dyDescent="0.2">
      <c r="B56" s="10"/>
      <c r="C56" s="142"/>
      <c r="D56" s="141">
        <f t="shared" ref="D56:V56" si="2">C$52*$D$53</f>
        <v>0</v>
      </c>
      <c r="E56" s="141">
        <f t="shared" si="2"/>
        <v>0</v>
      </c>
      <c r="F56" s="141">
        <f t="shared" si="2"/>
        <v>0</v>
      </c>
      <c r="G56" s="141">
        <f t="shared" si="2"/>
        <v>0</v>
      </c>
      <c r="H56" s="141">
        <f t="shared" si="2"/>
        <v>0</v>
      </c>
      <c r="I56" s="141">
        <f t="shared" si="2"/>
        <v>0</v>
      </c>
      <c r="J56" s="141">
        <f t="shared" si="2"/>
        <v>0</v>
      </c>
      <c r="K56" s="141">
        <f t="shared" si="2"/>
        <v>0</v>
      </c>
      <c r="L56" s="141">
        <f t="shared" si="2"/>
        <v>0</v>
      </c>
      <c r="M56" s="141">
        <f t="shared" si="2"/>
        <v>0</v>
      </c>
      <c r="N56" s="141">
        <f t="shared" si="2"/>
        <v>0</v>
      </c>
      <c r="O56" s="141">
        <f t="shared" si="2"/>
        <v>0</v>
      </c>
      <c r="P56" s="141">
        <f t="shared" si="2"/>
        <v>0</v>
      </c>
      <c r="Q56" s="141">
        <f t="shared" si="2"/>
        <v>0</v>
      </c>
      <c r="R56" s="141">
        <f t="shared" si="2"/>
        <v>0</v>
      </c>
      <c r="S56" s="141">
        <f t="shared" si="2"/>
        <v>0</v>
      </c>
      <c r="T56" s="141">
        <f t="shared" si="2"/>
        <v>0</v>
      </c>
      <c r="U56" s="141">
        <f t="shared" si="2"/>
        <v>0</v>
      </c>
      <c r="V56" s="141">
        <f t="shared" si="2"/>
        <v>0</v>
      </c>
    </row>
    <row r="57" spans="1:22" x14ac:dyDescent="0.2">
      <c r="B57" s="10"/>
      <c r="C57" s="142"/>
      <c r="D57" s="143"/>
      <c r="E57" s="141">
        <f t="shared" ref="E57:V57" si="3">C$52*$E$53</f>
        <v>0</v>
      </c>
      <c r="F57" s="141">
        <f t="shared" si="3"/>
        <v>0</v>
      </c>
      <c r="G57" s="141">
        <f t="shared" si="3"/>
        <v>0</v>
      </c>
      <c r="H57" s="141">
        <f t="shared" si="3"/>
        <v>0</v>
      </c>
      <c r="I57" s="141">
        <f t="shared" si="3"/>
        <v>0</v>
      </c>
      <c r="J57" s="141">
        <f t="shared" si="3"/>
        <v>0</v>
      </c>
      <c r="K57" s="141">
        <f t="shared" si="3"/>
        <v>0</v>
      </c>
      <c r="L57" s="141">
        <f t="shared" si="3"/>
        <v>0</v>
      </c>
      <c r="M57" s="141">
        <f t="shared" si="3"/>
        <v>0</v>
      </c>
      <c r="N57" s="141">
        <f t="shared" si="3"/>
        <v>0</v>
      </c>
      <c r="O57" s="141">
        <f t="shared" si="3"/>
        <v>0</v>
      </c>
      <c r="P57" s="141">
        <f t="shared" si="3"/>
        <v>0</v>
      </c>
      <c r="Q57" s="141">
        <f t="shared" si="3"/>
        <v>0</v>
      </c>
      <c r="R57" s="141">
        <f t="shared" si="3"/>
        <v>0</v>
      </c>
      <c r="S57" s="141">
        <f t="shared" si="3"/>
        <v>0</v>
      </c>
      <c r="T57" s="141">
        <f t="shared" si="3"/>
        <v>0</v>
      </c>
      <c r="U57" s="141">
        <f t="shared" si="3"/>
        <v>0</v>
      </c>
      <c r="V57" s="141">
        <f t="shared" si="3"/>
        <v>0</v>
      </c>
    </row>
    <row r="58" spans="1:22" x14ac:dyDescent="0.2">
      <c r="B58" s="10"/>
      <c r="C58" s="142"/>
      <c r="D58" s="143"/>
      <c r="E58" s="143"/>
      <c r="F58" s="141">
        <f t="shared" ref="F58:V58" si="4">C$52*$F$53</f>
        <v>0</v>
      </c>
      <c r="G58" s="141">
        <f t="shared" si="4"/>
        <v>0</v>
      </c>
      <c r="H58" s="141">
        <f t="shared" si="4"/>
        <v>0</v>
      </c>
      <c r="I58" s="141">
        <f>F$52*$F$53</f>
        <v>0</v>
      </c>
      <c r="J58" s="141">
        <f t="shared" si="4"/>
        <v>0</v>
      </c>
      <c r="K58" s="141">
        <f t="shared" si="4"/>
        <v>0</v>
      </c>
      <c r="L58" s="141">
        <f t="shared" si="4"/>
        <v>0</v>
      </c>
      <c r="M58" s="141">
        <f t="shared" si="4"/>
        <v>0</v>
      </c>
      <c r="N58" s="141">
        <f t="shared" si="4"/>
        <v>0</v>
      </c>
      <c r="O58" s="141">
        <f t="shared" si="4"/>
        <v>0</v>
      </c>
      <c r="P58" s="141">
        <f t="shared" si="4"/>
        <v>0</v>
      </c>
      <c r="Q58" s="141">
        <f t="shared" si="4"/>
        <v>0</v>
      </c>
      <c r="R58" s="141">
        <f t="shared" si="4"/>
        <v>0</v>
      </c>
      <c r="S58" s="141">
        <f t="shared" si="4"/>
        <v>0</v>
      </c>
      <c r="T58" s="141">
        <f t="shared" si="4"/>
        <v>0</v>
      </c>
      <c r="U58" s="141">
        <f t="shared" si="4"/>
        <v>0</v>
      </c>
      <c r="V58" s="141">
        <f t="shared" si="4"/>
        <v>0</v>
      </c>
    </row>
    <row r="59" spans="1:22" x14ac:dyDescent="0.2">
      <c r="B59" s="10"/>
      <c r="C59" s="142"/>
      <c r="D59" s="143"/>
      <c r="E59" s="143"/>
      <c r="F59" s="143"/>
      <c r="G59" s="141">
        <f t="shared" ref="G59:V59" si="5">C$52*$G$53</f>
        <v>0</v>
      </c>
      <c r="H59" s="141">
        <f t="shared" si="5"/>
        <v>0</v>
      </c>
      <c r="I59" s="141">
        <f t="shared" si="5"/>
        <v>0</v>
      </c>
      <c r="J59" s="141">
        <f t="shared" si="5"/>
        <v>0</v>
      </c>
      <c r="K59" s="141">
        <f t="shared" si="5"/>
        <v>0</v>
      </c>
      <c r="L59" s="141">
        <f t="shared" si="5"/>
        <v>0</v>
      </c>
      <c r="M59" s="141">
        <f t="shared" si="5"/>
        <v>0</v>
      </c>
      <c r="N59" s="141">
        <f t="shared" si="5"/>
        <v>0</v>
      </c>
      <c r="O59" s="141">
        <f t="shared" si="5"/>
        <v>0</v>
      </c>
      <c r="P59" s="141">
        <f t="shared" si="5"/>
        <v>0</v>
      </c>
      <c r="Q59" s="141">
        <f t="shared" si="5"/>
        <v>0</v>
      </c>
      <c r="R59" s="141">
        <f t="shared" si="5"/>
        <v>0</v>
      </c>
      <c r="S59" s="141">
        <f t="shared" si="5"/>
        <v>0</v>
      </c>
      <c r="T59" s="141">
        <f t="shared" si="5"/>
        <v>0</v>
      </c>
      <c r="U59" s="141">
        <f t="shared" si="5"/>
        <v>0</v>
      </c>
      <c r="V59" s="141">
        <f t="shared" si="5"/>
        <v>0</v>
      </c>
    </row>
    <row r="60" spans="1:22" x14ac:dyDescent="0.2">
      <c r="B60" s="10"/>
      <c r="C60" s="142"/>
      <c r="D60" s="143"/>
      <c r="E60" s="143"/>
      <c r="F60" s="143"/>
      <c r="G60" s="143"/>
      <c r="H60" s="141">
        <f t="shared" ref="H60:V60" si="6">C$52*$H$53</f>
        <v>0</v>
      </c>
      <c r="I60" s="141">
        <f t="shared" si="6"/>
        <v>0</v>
      </c>
      <c r="J60" s="141">
        <f t="shared" si="6"/>
        <v>0</v>
      </c>
      <c r="K60" s="141">
        <f t="shared" si="6"/>
        <v>0</v>
      </c>
      <c r="L60" s="141">
        <f t="shared" si="6"/>
        <v>0</v>
      </c>
      <c r="M60" s="141">
        <f t="shared" si="6"/>
        <v>0</v>
      </c>
      <c r="N60" s="141">
        <f t="shared" si="6"/>
        <v>0</v>
      </c>
      <c r="O60" s="141">
        <f t="shared" si="6"/>
        <v>0</v>
      </c>
      <c r="P60" s="141">
        <f t="shared" si="6"/>
        <v>0</v>
      </c>
      <c r="Q60" s="141">
        <f t="shared" si="6"/>
        <v>0</v>
      </c>
      <c r="R60" s="141">
        <f t="shared" si="6"/>
        <v>0</v>
      </c>
      <c r="S60" s="141">
        <f t="shared" si="6"/>
        <v>0</v>
      </c>
      <c r="T60" s="141">
        <f t="shared" si="6"/>
        <v>0</v>
      </c>
      <c r="U60" s="141">
        <f t="shared" si="6"/>
        <v>0</v>
      </c>
      <c r="V60" s="141">
        <f t="shared" si="6"/>
        <v>0</v>
      </c>
    </row>
    <row r="61" spans="1:22" x14ac:dyDescent="0.2">
      <c r="B61" s="10"/>
      <c r="C61" s="142"/>
      <c r="D61" s="143"/>
      <c r="E61" s="143"/>
      <c r="F61" s="143"/>
      <c r="G61" s="143"/>
      <c r="H61" s="143"/>
      <c r="I61" s="141">
        <f t="shared" ref="I61:V61" si="7">C$52*$I$53</f>
        <v>0</v>
      </c>
      <c r="J61" s="141">
        <f t="shared" si="7"/>
        <v>0</v>
      </c>
      <c r="K61" s="141">
        <f t="shared" si="7"/>
        <v>0</v>
      </c>
      <c r="L61" s="141">
        <f t="shared" si="7"/>
        <v>0</v>
      </c>
      <c r="M61" s="141">
        <f t="shared" si="7"/>
        <v>0</v>
      </c>
      <c r="N61" s="141">
        <f t="shared" si="7"/>
        <v>0</v>
      </c>
      <c r="O61" s="141">
        <f t="shared" si="7"/>
        <v>0</v>
      </c>
      <c r="P61" s="141">
        <f t="shared" si="7"/>
        <v>0</v>
      </c>
      <c r="Q61" s="141">
        <f t="shared" si="7"/>
        <v>0</v>
      </c>
      <c r="R61" s="141">
        <f t="shared" si="7"/>
        <v>0</v>
      </c>
      <c r="S61" s="141">
        <f t="shared" si="7"/>
        <v>0</v>
      </c>
      <c r="T61" s="141">
        <f t="shared" si="7"/>
        <v>0</v>
      </c>
      <c r="U61" s="141">
        <f t="shared" si="7"/>
        <v>0</v>
      </c>
      <c r="V61" s="141">
        <f t="shared" si="7"/>
        <v>0</v>
      </c>
    </row>
    <row r="62" spans="1:22" x14ac:dyDescent="0.2">
      <c r="B62" s="10"/>
      <c r="C62" s="142"/>
      <c r="D62" s="143"/>
      <c r="E62" s="143"/>
      <c r="F62" s="143"/>
      <c r="G62" s="143"/>
      <c r="H62" s="143"/>
      <c r="I62" s="143"/>
      <c r="J62" s="141">
        <f t="shared" ref="J62:V62" si="8">C$52*$J$53</f>
        <v>0</v>
      </c>
      <c r="K62" s="141">
        <f t="shared" si="8"/>
        <v>0</v>
      </c>
      <c r="L62" s="141">
        <f t="shared" si="8"/>
        <v>0</v>
      </c>
      <c r="M62" s="141">
        <f t="shared" si="8"/>
        <v>0</v>
      </c>
      <c r="N62" s="141">
        <f t="shared" si="8"/>
        <v>0</v>
      </c>
      <c r="O62" s="141">
        <f t="shared" si="8"/>
        <v>0</v>
      </c>
      <c r="P62" s="141">
        <f t="shared" si="8"/>
        <v>0</v>
      </c>
      <c r="Q62" s="141">
        <f t="shared" si="8"/>
        <v>0</v>
      </c>
      <c r="R62" s="141">
        <f t="shared" si="8"/>
        <v>0</v>
      </c>
      <c r="S62" s="141">
        <f t="shared" si="8"/>
        <v>0</v>
      </c>
      <c r="T62" s="141">
        <f t="shared" si="8"/>
        <v>0</v>
      </c>
      <c r="U62" s="141">
        <f t="shared" si="8"/>
        <v>0</v>
      </c>
      <c r="V62" s="141">
        <f t="shared" si="8"/>
        <v>0</v>
      </c>
    </row>
    <row r="63" spans="1:22" x14ac:dyDescent="0.2">
      <c r="B63" s="10"/>
      <c r="C63" s="142"/>
      <c r="D63" s="143"/>
      <c r="E63" s="143"/>
      <c r="F63" s="143"/>
      <c r="G63" s="143"/>
      <c r="H63" s="143"/>
      <c r="I63" s="143"/>
      <c r="J63" s="143"/>
      <c r="K63" s="141">
        <f t="shared" ref="K63:V63" si="9">C$52*$K$53</f>
        <v>0</v>
      </c>
      <c r="L63" s="141">
        <f t="shared" si="9"/>
        <v>0</v>
      </c>
      <c r="M63" s="141">
        <f t="shared" si="9"/>
        <v>0</v>
      </c>
      <c r="N63" s="141">
        <f t="shared" si="9"/>
        <v>0</v>
      </c>
      <c r="O63" s="141">
        <f t="shared" si="9"/>
        <v>0</v>
      </c>
      <c r="P63" s="141">
        <f t="shared" si="9"/>
        <v>0</v>
      </c>
      <c r="Q63" s="141">
        <f t="shared" si="9"/>
        <v>0</v>
      </c>
      <c r="R63" s="141">
        <f t="shared" si="9"/>
        <v>0</v>
      </c>
      <c r="S63" s="141">
        <f t="shared" si="9"/>
        <v>0</v>
      </c>
      <c r="T63" s="141">
        <f t="shared" si="9"/>
        <v>0</v>
      </c>
      <c r="U63" s="141">
        <f t="shared" si="9"/>
        <v>0</v>
      </c>
      <c r="V63" s="141">
        <f t="shared" si="9"/>
        <v>0</v>
      </c>
    </row>
    <row r="64" spans="1:22" x14ac:dyDescent="0.2">
      <c r="B64" s="10"/>
      <c r="C64" s="142"/>
      <c r="D64" s="143"/>
      <c r="E64" s="143"/>
      <c r="F64" s="143"/>
      <c r="G64" s="143"/>
      <c r="H64" s="143"/>
      <c r="I64" s="143"/>
      <c r="J64" s="143"/>
      <c r="K64" s="143"/>
      <c r="L64" s="141">
        <f t="shared" ref="L64:V64" si="10">C$52*$L$53</f>
        <v>0</v>
      </c>
      <c r="M64" s="141">
        <f t="shared" si="10"/>
        <v>0</v>
      </c>
      <c r="N64" s="141">
        <f t="shared" si="10"/>
        <v>0</v>
      </c>
      <c r="O64" s="141">
        <f t="shared" si="10"/>
        <v>0</v>
      </c>
      <c r="P64" s="141">
        <f t="shared" si="10"/>
        <v>0</v>
      </c>
      <c r="Q64" s="141">
        <f t="shared" si="10"/>
        <v>0</v>
      </c>
      <c r="R64" s="141">
        <f t="shared" si="10"/>
        <v>0</v>
      </c>
      <c r="S64" s="141">
        <f t="shared" si="10"/>
        <v>0</v>
      </c>
      <c r="T64" s="141">
        <f t="shared" si="10"/>
        <v>0</v>
      </c>
      <c r="U64" s="141">
        <f t="shared" si="10"/>
        <v>0</v>
      </c>
      <c r="V64" s="141">
        <f t="shared" si="10"/>
        <v>0</v>
      </c>
    </row>
    <row r="65" spans="1:22" x14ac:dyDescent="0.2">
      <c r="B65" s="10"/>
      <c r="C65" s="142"/>
      <c r="D65" s="143"/>
      <c r="E65" s="143"/>
      <c r="F65" s="143"/>
      <c r="G65" s="143"/>
      <c r="H65" s="143"/>
      <c r="I65" s="143"/>
      <c r="J65" s="143"/>
      <c r="K65" s="143"/>
      <c r="L65" s="143"/>
      <c r="M65" s="141">
        <f t="shared" ref="M65:V65" si="11">C$52*$M$53</f>
        <v>0</v>
      </c>
      <c r="N65" s="141">
        <f t="shared" si="11"/>
        <v>0</v>
      </c>
      <c r="O65" s="141">
        <f t="shared" si="11"/>
        <v>0</v>
      </c>
      <c r="P65" s="141">
        <f t="shared" si="11"/>
        <v>0</v>
      </c>
      <c r="Q65" s="141">
        <f t="shared" si="11"/>
        <v>0</v>
      </c>
      <c r="R65" s="141">
        <f t="shared" si="11"/>
        <v>0</v>
      </c>
      <c r="S65" s="141">
        <f t="shared" si="11"/>
        <v>0</v>
      </c>
      <c r="T65" s="141">
        <f t="shared" si="11"/>
        <v>0</v>
      </c>
      <c r="U65" s="141">
        <f t="shared" si="11"/>
        <v>0</v>
      </c>
      <c r="V65" s="141">
        <f t="shared" si="11"/>
        <v>0</v>
      </c>
    </row>
    <row r="66" spans="1:22" x14ac:dyDescent="0.2">
      <c r="B66" s="10"/>
      <c r="C66" s="142"/>
      <c r="D66" s="143"/>
      <c r="E66" s="143"/>
      <c r="F66" s="143"/>
      <c r="G66" s="143"/>
      <c r="H66" s="143"/>
      <c r="I66" s="143"/>
      <c r="J66" s="143"/>
      <c r="K66" s="143"/>
      <c r="L66" s="143"/>
      <c r="M66" s="136"/>
      <c r="N66" s="141">
        <f t="shared" ref="N66:V66" si="12">C$52*$N$53</f>
        <v>0</v>
      </c>
      <c r="O66" s="141">
        <f t="shared" si="12"/>
        <v>0</v>
      </c>
      <c r="P66" s="141">
        <f t="shared" si="12"/>
        <v>0</v>
      </c>
      <c r="Q66" s="141">
        <f t="shared" si="12"/>
        <v>0</v>
      </c>
      <c r="R66" s="141">
        <f t="shared" si="12"/>
        <v>0</v>
      </c>
      <c r="S66" s="141">
        <f t="shared" si="12"/>
        <v>0</v>
      </c>
      <c r="T66" s="141">
        <f t="shared" si="12"/>
        <v>0</v>
      </c>
      <c r="U66" s="141">
        <f t="shared" si="12"/>
        <v>0</v>
      </c>
      <c r="V66" s="141">
        <f t="shared" si="12"/>
        <v>0</v>
      </c>
    </row>
    <row r="67" spans="1:22" x14ac:dyDescent="0.2">
      <c r="B67" s="10"/>
      <c r="C67" s="142"/>
      <c r="D67" s="143"/>
      <c r="E67" s="143"/>
      <c r="F67" s="143"/>
      <c r="G67" s="143"/>
      <c r="H67" s="143"/>
      <c r="I67" s="143"/>
      <c r="J67" s="143"/>
      <c r="K67" s="143"/>
      <c r="L67" s="143"/>
      <c r="M67" s="136"/>
      <c r="N67" s="136"/>
      <c r="O67" s="141">
        <f t="shared" ref="O67:V67" si="13">C$52*$O$53</f>
        <v>0</v>
      </c>
      <c r="P67" s="141">
        <f t="shared" si="13"/>
        <v>0</v>
      </c>
      <c r="Q67" s="141">
        <f t="shared" si="13"/>
        <v>0</v>
      </c>
      <c r="R67" s="141">
        <f t="shared" si="13"/>
        <v>0</v>
      </c>
      <c r="S67" s="141">
        <f t="shared" si="13"/>
        <v>0</v>
      </c>
      <c r="T67" s="141">
        <f t="shared" si="13"/>
        <v>0</v>
      </c>
      <c r="U67" s="141">
        <f t="shared" si="13"/>
        <v>0</v>
      </c>
      <c r="V67" s="141">
        <f t="shared" si="13"/>
        <v>0</v>
      </c>
    </row>
    <row r="68" spans="1:22" x14ac:dyDescent="0.2">
      <c r="B68" s="10"/>
      <c r="C68" s="142"/>
      <c r="D68" s="143"/>
      <c r="E68" s="143"/>
      <c r="F68" s="143"/>
      <c r="G68" s="143"/>
      <c r="H68" s="143"/>
      <c r="I68" s="143"/>
      <c r="J68" s="143"/>
      <c r="K68" s="143"/>
      <c r="L68" s="143"/>
      <c r="M68" s="136"/>
      <c r="N68" s="136"/>
      <c r="O68" s="136"/>
      <c r="P68" s="141">
        <f t="shared" ref="P68:V68" si="14">C$52*$P$53</f>
        <v>0</v>
      </c>
      <c r="Q68" s="141">
        <f t="shared" si="14"/>
        <v>0</v>
      </c>
      <c r="R68" s="141">
        <f t="shared" si="14"/>
        <v>0</v>
      </c>
      <c r="S68" s="141">
        <f t="shared" si="14"/>
        <v>0</v>
      </c>
      <c r="T68" s="141">
        <f t="shared" si="14"/>
        <v>0</v>
      </c>
      <c r="U68" s="141">
        <f t="shared" si="14"/>
        <v>0</v>
      </c>
      <c r="V68" s="141">
        <f t="shared" si="14"/>
        <v>0</v>
      </c>
    </row>
    <row r="69" spans="1:22" x14ac:dyDescent="0.2">
      <c r="B69" s="10"/>
      <c r="C69" s="142"/>
      <c r="D69" s="143"/>
      <c r="E69" s="143"/>
      <c r="F69" s="143"/>
      <c r="G69" s="143"/>
      <c r="H69" s="143"/>
      <c r="I69" s="143"/>
      <c r="J69" s="143"/>
      <c r="K69" s="143"/>
      <c r="L69" s="143"/>
      <c r="M69" s="136"/>
      <c r="N69" s="136"/>
      <c r="O69" s="136"/>
      <c r="P69" s="136"/>
      <c r="Q69" s="141">
        <f t="shared" ref="Q69:V69" si="15">C$52*$Q$53</f>
        <v>0</v>
      </c>
      <c r="R69" s="141">
        <f t="shared" si="15"/>
        <v>0</v>
      </c>
      <c r="S69" s="141">
        <f t="shared" si="15"/>
        <v>0</v>
      </c>
      <c r="T69" s="141">
        <f t="shared" si="15"/>
        <v>0</v>
      </c>
      <c r="U69" s="141">
        <f t="shared" si="15"/>
        <v>0</v>
      </c>
      <c r="V69" s="141">
        <f t="shared" si="15"/>
        <v>0</v>
      </c>
    </row>
    <row r="70" spans="1:22" x14ac:dyDescent="0.2">
      <c r="B70" s="10"/>
      <c r="C70" s="142"/>
      <c r="D70" s="143"/>
      <c r="E70" s="143"/>
      <c r="F70" s="143"/>
      <c r="G70" s="143"/>
      <c r="H70" s="143"/>
      <c r="I70" s="143"/>
      <c r="J70" s="143"/>
      <c r="K70" s="143"/>
      <c r="L70" s="143"/>
      <c r="M70" s="136"/>
      <c r="N70" s="136"/>
      <c r="O70" s="136"/>
      <c r="P70" s="136"/>
      <c r="Q70" s="136"/>
      <c r="R70" s="141">
        <f>C$52*$R$53</f>
        <v>0</v>
      </c>
      <c r="S70" s="141">
        <f>D$52*$R$53</f>
        <v>0</v>
      </c>
      <c r="T70" s="141">
        <f>E$52*$R$53</f>
        <v>0</v>
      </c>
      <c r="U70" s="141">
        <f>F$52*$R$53</f>
        <v>0</v>
      </c>
      <c r="V70" s="141">
        <f>G$52*$R$53</f>
        <v>0</v>
      </c>
    </row>
    <row r="71" spans="1:22" x14ac:dyDescent="0.2">
      <c r="B71" s="10"/>
      <c r="C71" s="142"/>
      <c r="D71" s="143"/>
      <c r="E71" s="143"/>
      <c r="F71" s="143"/>
      <c r="G71" s="143"/>
      <c r="H71" s="143"/>
      <c r="I71" s="143"/>
      <c r="J71" s="143"/>
      <c r="K71" s="143"/>
      <c r="L71" s="143"/>
      <c r="M71" s="136"/>
      <c r="N71" s="136"/>
      <c r="O71" s="136"/>
      <c r="P71" s="136"/>
      <c r="Q71" s="136"/>
      <c r="R71" s="136"/>
      <c r="S71" s="141">
        <f>C$52*$S$53</f>
        <v>0</v>
      </c>
      <c r="T71" s="141">
        <f>D$52*$S$53</f>
        <v>0</v>
      </c>
      <c r="U71" s="141">
        <f>E$52*$S$53</f>
        <v>0</v>
      </c>
      <c r="V71" s="141">
        <f>F$52*$S$53</f>
        <v>0</v>
      </c>
    </row>
    <row r="72" spans="1:22" x14ac:dyDescent="0.2">
      <c r="B72" s="10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36"/>
      <c r="N72" s="136"/>
      <c r="O72" s="136"/>
      <c r="P72" s="136"/>
      <c r="Q72" s="136"/>
      <c r="R72" s="136"/>
      <c r="S72" s="136"/>
      <c r="T72" s="141">
        <f>C$52*$T$53</f>
        <v>0</v>
      </c>
      <c r="U72" s="141">
        <f>D$52*$T$53</f>
        <v>0</v>
      </c>
      <c r="V72" s="141">
        <f>E$52*$T$53</f>
        <v>0</v>
      </c>
    </row>
    <row r="73" spans="1:22" x14ac:dyDescent="0.2">
      <c r="B73" s="10"/>
      <c r="C73" s="142"/>
      <c r="D73" s="143"/>
      <c r="E73" s="143"/>
      <c r="F73" s="143"/>
      <c r="G73" s="143"/>
      <c r="H73" s="143"/>
      <c r="I73" s="143"/>
      <c r="J73" s="143"/>
      <c r="K73" s="143"/>
      <c r="L73" s="143"/>
      <c r="M73" s="136"/>
      <c r="N73" s="136"/>
      <c r="O73" s="136"/>
      <c r="P73" s="136"/>
      <c r="Q73" s="136"/>
      <c r="R73" s="136"/>
      <c r="S73" s="136"/>
      <c r="T73" s="136"/>
      <c r="U73" s="141">
        <f>C$52*$U$53</f>
        <v>0</v>
      </c>
      <c r="V73" s="141">
        <f>D$52*$U$53</f>
        <v>0</v>
      </c>
    </row>
    <row r="74" spans="1:22" x14ac:dyDescent="0.2">
      <c r="B74" s="10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6"/>
      <c r="N74" s="146"/>
      <c r="O74" s="146"/>
      <c r="P74" s="146"/>
      <c r="Q74" s="146"/>
      <c r="R74" s="146"/>
      <c r="S74" s="146"/>
      <c r="T74" s="146"/>
      <c r="U74" s="146"/>
      <c r="V74" s="141">
        <f>C$52*$V$53</f>
        <v>0</v>
      </c>
    </row>
    <row r="75" spans="1:22" ht="13.5" thickBot="1" x14ac:dyDescent="0.25">
      <c r="A75" s="2" t="s">
        <v>145</v>
      </c>
      <c r="B75" s="10"/>
      <c r="C75" s="147">
        <f t="shared" ref="C75:V75" si="16">SUM(C55:C74)</f>
        <v>0</v>
      </c>
      <c r="D75" s="148">
        <f t="shared" si="16"/>
        <v>0</v>
      </c>
      <c r="E75" s="148">
        <f t="shared" si="16"/>
        <v>0</v>
      </c>
      <c r="F75" s="148">
        <f t="shared" si="16"/>
        <v>0</v>
      </c>
      <c r="G75" s="148">
        <f t="shared" si="16"/>
        <v>0</v>
      </c>
      <c r="H75" s="148">
        <f t="shared" si="16"/>
        <v>0</v>
      </c>
      <c r="I75" s="148">
        <f t="shared" si="16"/>
        <v>0</v>
      </c>
      <c r="J75" s="148">
        <f t="shared" si="16"/>
        <v>0</v>
      </c>
      <c r="K75" s="148">
        <f t="shared" si="16"/>
        <v>0</v>
      </c>
      <c r="L75" s="148">
        <f t="shared" si="16"/>
        <v>0</v>
      </c>
      <c r="M75" s="148">
        <f t="shared" si="16"/>
        <v>0</v>
      </c>
      <c r="N75" s="148">
        <f t="shared" si="16"/>
        <v>0</v>
      </c>
      <c r="O75" s="148">
        <f t="shared" si="16"/>
        <v>0</v>
      </c>
      <c r="P75" s="148">
        <f t="shared" si="16"/>
        <v>0</v>
      </c>
      <c r="Q75" s="148">
        <f t="shared" si="16"/>
        <v>0</v>
      </c>
      <c r="R75" s="148">
        <f t="shared" si="16"/>
        <v>0</v>
      </c>
      <c r="S75" s="148">
        <f t="shared" si="16"/>
        <v>0</v>
      </c>
      <c r="T75" s="148">
        <f t="shared" si="16"/>
        <v>0</v>
      </c>
      <c r="U75" s="148">
        <f t="shared" si="16"/>
        <v>0</v>
      </c>
      <c r="V75" s="149">
        <f t="shared" si="16"/>
        <v>0</v>
      </c>
    </row>
    <row r="76" spans="1:22" ht="13.5" thickTop="1" x14ac:dyDescent="0.2">
      <c r="B76" s="10"/>
      <c r="C76" s="7"/>
    </row>
    <row r="77" spans="1:22" x14ac:dyDescent="0.2">
      <c r="B77" s="10"/>
      <c r="C77" s="7"/>
    </row>
    <row r="78" spans="1:22" x14ac:dyDescent="0.2">
      <c r="B78" s="10"/>
      <c r="C78" s="12">
        <v>2000</v>
      </c>
      <c r="D78" s="12">
        <v>2001</v>
      </c>
      <c r="E78" s="12">
        <v>2002</v>
      </c>
      <c r="F78" s="12">
        <v>2003</v>
      </c>
      <c r="G78" s="12">
        <v>2004</v>
      </c>
      <c r="H78" s="12">
        <v>2005</v>
      </c>
      <c r="I78" s="12">
        <v>2006</v>
      </c>
      <c r="J78" s="12">
        <v>2007</v>
      </c>
      <c r="K78" s="12">
        <v>2008</v>
      </c>
      <c r="L78" s="12">
        <v>2009</v>
      </c>
      <c r="M78" s="12">
        <v>2010</v>
      </c>
      <c r="N78" s="12">
        <v>2011</v>
      </c>
      <c r="O78" s="12">
        <v>2012</v>
      </c>
      <c r="P78" s="12">
        <v>2013</v>
      </c>
      <c r="Q78" s="12">
        <v>2014</v>
      </c>
      <c r="R78" s="12">
        <v>2015</v>
      </c>
      <c r="S78" s="12">
        <v>2016</v>
      </c>
      <c r="T78" s="12">
        <v>2017</v>
      </c>
      <c r="U78" s="12">
        <v>2018</v>
      </c>
      <c r="V78" s="12">
        <v>2019</v>
      </c>
    </row>
    <row r="79" spans="1:22" x14ac:dyDescent="0.2">
      <c r="A79" s="81" t="s">
        <v>152</v>
      </c>
      <c r="B79" s="10"/>
      <c r="C79" s="7"/>
    </row>
    <row r="80" spans="1:22" x14ac:dyDescent="0.2">
      <c r="B80" s="10" t="s">
        <v>148</v>
      </c>
      <c r="C80" s="140">
        <f>-VLOOKUP(IS!$B$1,ECapAds,C78-1997)*-1</f>
        <v>0</v>
      </c>
      <c r="D80" s="140">
        <f>-VLOOKUP(IS!$B$1,ECapAds,D78-1997)*-1</f>
        <v>0</v>
      </c>
      <c r="E80" s="140">
        <f>-VLOOKUP(IS!$B$1,ECapAds,E78-1997)*-1</f>
        <v>0</v>
      </c>
      <c r="F80" s="140">
        <f>-VLOOKUP(IS!$B$1,ECapAds,F78-1997)*-1</f>
        <v>0</v>
      </c>
      <c r="G80" s="140">
        <f>-VLOOKUP(IS!$B$1,ECapAds,G78-1997)*-1</f>
        <v>0</v>
      </c>
      <c r="H80" s="140">
        <f>-VLOOKUP(IS!$B$1,ECapAds,H78-1997)*-1</f>
        <v>0</v>
      </c>
      <c r="I80" s="140">
        <f>-VLOOKUP(IS!$B$1,ECapAds,I78-1997)*-1</f>
        <v>0</v>
      </c>
      <c r="J80" s="140">
        <f>-VLOOKUP(IS!$B$1,ECapAds,J78-1997)*-1</f>
        <v>0</v>
      </c>
      <c r="K80" s="140">
        <f>-VLOOKUP(IS!$B$1,ECapAds,K78-1997)*-1</f>
        <v>0</v>
      </c>
      <c r="L80" s="140">
        <f>-VLOOKUP(IS!$B$1,ECapAds,L78-1997)*-1</f>
        <v>0</v>
      </c>
      <c r="M80" s="140">
        <f>-VLOOKUP(IS!$B$1,ECapAds,M78-1997)*-1</f>
        <v>0</v>
      </c>
      <c r="N80" s="140">
        <f>-VLOOKUP(IS!$B$1,ECapAds,N78-1997)*-1</f>
        <v>0</v>
      </c>
      <c r="O80" s="140">
        <f>-VLOOKUP(IS!$B$1,ECapAds,O78-1997)*-1</f>
        <v>0</v>
      </c>
      <c r="P80" s="140">
        <f>-VLOOKUP(IS!$B$1,ECapAds,P78-1997)*-1</f>
        <v>0</v>
      </c>
      <c r="Q80" s="140">
        <f>-VLOOKUP(IS!$B$1,ECapAds,Q78-1997)*-1</f>
        <v>0</v>
      </c>
      <c r="R80" s="140">
        <f>-VLOOKUP(IS!$B$1,ECapAds,R78-1997)*-1</f>
        <v>0</v>
      </c>
      <c r="S80" s="140">
        <f>-VLOOKUP(IS!$B$1,ECapAds,S78-1997)*-1</f>
        <v>0</v>
      </c>
      <c r="T80" s="140">
        <f>-VLOOKUP(IS!$B$1,ECapAds,T78-1997)*-1</f>
        <v>0</v>
      </c>
      <c r="U80" s="140">
        <f>-VLOOKUP(IS!$B$1,ECapAds,U78-1997)*-1</f>
        <v>0</v>
      </c>
      <c r="V80" s="140">
        <f>-VLOOKUP(IS!$B$1,ECapAds,V78-1997)*-1</f>
        <v>0</v>
      </c>
    </row>
    <row r="81" spans="2:22" x14ac:dyDescent="0.2">
      <c r="B81" s="10" t="s">
        <v>149</v>
      </c>
      <c r="C81" s="150">
        <v>7.4999999999999997E-2</v>
      </c>
      <c r="D81" s="151">
        <v>0.1489</v>
      </c>
      <c r="E81" s="151">
        <v>0.1467</v>
      </c>
      <c r="F81" s="151">
        <v>0.1447</v>
      </c>
      <c r="G81" s="151">
        <v>0.1429</v>
      </c>
      <c r="H81" s="151">
        <v>8.1100000000000005E-2</v>
      </c>
      <c r="I81" s="151">
        <v>1.9599999999999999E-2</v>
      </c>
      <c r="J81" s="151">
        <v>1.8100000000000002E-2</v>
      </c>
      <c r="K81" s="151">
        <v>1.78E-2</v>
      </c>
      <c r="L81" s="151">
        <v>1.78E-2</v>
      </c>
      <c r="M81" s="151">
        <v>1.78E-2</v>
      </c>
      <c r="N81" s="151">
        <v>1.78E-2</v>
      </c>
      <c r="O81" s="151">
        <v>1.78E-2</v>
      </c>
      <c r="P81" s="151">
        <v>1.78E-2</v>
      </c>
      <c r="Q81" s="151">
        <v>1.78E-2</v>
      </c>
      <c r="R81" s="151">
        <v>1.78E-2</v>
      </c>
      <c r="S81" s="151">
        <v>1.78E-2</v>
      </c>
      <c r="T81" s="151">
        <v>1.78E-2</v>
      </c>
      <c r="U81" s="151">
        <v>1.78E-2</v>
      </c>
      <c r="V81" s="151">
        <v>1.78E-2</v>
      </c>
    </row>
    <row r="82" spans="2:22" x14ac:dyDescent="0.2">
      <c r="B82" s="10"/>
      <c r="C82" s="140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</row>
    <row r="83" spans="2:22" x14ac:dyDescent="0.2">
      <c r="B83" s="10"/>
      <c r="C83" s="140">
        <f t="shared" ref="C83:V83" si="17">C$80*$C$81</f>
        <v>0</v>
      </c>
      <c r="D83" s="141">
        <f t="shared" si="17"/>
        <v>0</v>
      </c>
      <c r="E83" s="141">
        <f t="shared" si="17"/>
        <v>0</v>
      </c>
      <c r="F83" s="141">
        <f t="shared" si="17"/>
        <v>0</v>
      </c>
      <c r="G83" s="141">
        <f t="shared" si="17"/>
        <v>0</v>
      </c>
      <c r="H83" s="141">
        <f t="shared" si="17"/>
        <v>0</v>
      </c>
      <c r="I83" s="141">
        <f t="shared" si="17"/>
        <v>0</v>
      </c>
      <c r="J83" s="141">
        <f t="shared" si="17"/>
        <v>0</v>
      </c>
      <c r="K83" s="141">
        <f t="shared" si="17"/>
        <v>0</v>
      </c>
      <c r="L83" s="141">
        <f t="shared" si="17"/>
        <v>0</v>
      </c>
      <c r="M83" s="141">
        <f t="shared" si="17"/>
        <v>0</v>
      </c>
      <c r="N83" s="141">
        <f t="shared" si="17"/>
        <v>0</v>
      </c>
      <c r="O83" s="141">
        <f t="shared" si="17"/>
        <v>0</v>
      </c>
      <c r="P83" s="141">
        <f t="shared" si="17"/>
        <v>0</v>
      </c>
      <c r="Q83" s="141">
        <f t="shared" si="17"/>
        <v>0</v>
      </c>
      <c r="R83" s="141">
        <f t="shared" si="17"/>
        <v>0</v>
      </c>
      <c r="S83" s="141">
        <f t="shared" si="17"/>
        <v>0</v>
      </c>
      <c r="T83" s="141">
        <f t="shared" si="17"/>
        <v>0</v>
      </c>
      <c r="U83" s="141">
        <f t="shared" si="17"/>
        <v>0</v>
      </c>
      <c r="V83" s="141">
        <f t="shared" si="17"/>
        <v>0</v>
      </c>
    </row>
    <row r="84" spans="2:22" x14ac:dyDescent="0.2">
      <c r="B84" s="10"/>
      <c r="C84" s="142"/>
      <c r="D84" s="141">
        <f t="shared" ref="D84:V84" si="18">C$80*$D$81</f>
        <v>0</v>
      </c>
      <c r="E84" s="141">
        <f t="shared" si="18"/>
        <v>0</v>
      </c>
      <c r="F84" s="141">
        <f t="shared" si="18"/>
        <v>0</v>
      </c>
      <c r="G84" s="141">
        <f t="shared" si="18"/>
        <v>0</v>
      </c>
      <c r="H84" s="141">
        <f t="shared" si="18"/>
        <v>0</v>
      </c>
      <c r="I84" s="141">
        <f t="shared" si="18"/>
        <v>0</v>
      </c>
      <c r="J84" s="141">
        <f t="shared" si="18"/>
        <v>0</v>
      </c>
      <c r="K84" s="141">
        <f t="shared" si="18"/>
        <v>0</v>
      </c>
      <c r="L84" s="141">
        <f t="shared" si="18"/>
        <v>0</v>
      </c>
      <c r="M84" s="141">
        <f t="shared" si="18"/>
        <v>0</v>
      </c>
      <c r="N84" s="141">
        <f t="shared" si="18"/>
        <v>0</v>
      </c>
      <c r="O84" s="141">
        <f t="shared" si="18"/>
        <v>0</v>
      </c>
      <c r="P84" s="141">
        <f t="shared" si="18"/>
        <v>0</v>
      </c>
      <c r="Q84" s="141">
        <f t="shared" si="18"/>
        <v>0</v>
      </c>
      <c r="R84" s="141">
        <f t="shared" si="18"/>
        <v>0</v>
      </c>
      <c r="S84" s="141">
        <f t="shared" si="18"/>
        <v>0</v>
      </c>
      <c r="T84" s="141">
        <f t="shared" si="18"/>
        <v>0</v>
      </c>
      <c r="U84" s="141">
        <f t="shared" si="18"/>
        <v>0</v>
      </c>
      <c r="V84" s="141">
        <f t="shared" si="18"/>
        <v>0</v>
      </c>
    </row>
    <row r="85" spans="2:22" x14ac:dyDescent="0.2">
      <c r="B85" s="10"/>
      <c r="C85" s="142"/>
      <c r="D85" s="143"/>
      <c r="E85" s="141">
        <f t="shared" ref="E85:V85" si="19">C$80*$E$81</f>
        <v>0</v>
      </c>
      <c r="F85" s="141">
        <f t="shared" si="19"/>
        <v>0</v>
      </c>
      <c r="G85" s="141">
        <f t="shared" si="19"/>
        <v>0</v>
      </c>
      <c r="H85" s="141">
        <f t="shared" si="19"/>
        <v>0</v>
      </c>
      <c r="I85" s="141">
        <f t="shared" si="19"/>
        <v>0</v>
      </c>
      <c r="J85" s="141">
        <f t="shared" si="19"/>
        <v>0</v>
      </c>
      <c r="K85" s="141">
        <f t="shared" si="19"/>
        <v>0</v>
      </c>
      <c r="L85" s="141">
        <f t="shared" si="19"/>
        <v>0</v>
      </c>
      <c r="M85" s="141">
        <f t="shared" si="19"/>
        <v>0</v>
      </c>
      <c r="N85" s="141">
        <f t="shared" si="19"/>
        <v>0</v>
      </c>
      <c r="O85" s="141">
        <f t="shared" si="19"/>
        <v>0</v>
      </c>
      <c r="P85" s="141">
        <f t="shared" si="19"/>
        <v>0</v>
      </c>
      <c r="Q85" s="141">
        <f t="shared" si="19"/>
        <v>0</v>
      </c>
      <c r="R85" s="141">
        <f t="shared" si="19"/>
        <v>0</v>
      </c>
      <c r="S85" s="141">
        <f t="shared" si="19"/>
        <v>0</v>
      </c>
      <c r="T85" s="141">
        <f t="shared" si="19"/>
        <v>0</v>
      </c>
      <c r="U85" s="141">
        <f t="shared" si="19"/>
        <v>0</v>
      </c>
      <c r="V85" s="141">
        <f t="shared" si="19"/>
        <v>0</v>
      </c>
    </row>
    <row r="86" spans="2:22" x14ac:dyDescent="0.2">
      <c r="B86" s="10"/>
      <c r="C86" s="142"/>
      <c r="D86" s="143"/>
      <c r="E86" s="143"/>
      <c r="F86" s="141">
        <f t="shared" ref="F86:V86" si="20">C$80*$F$81</f>
        <v>0</v>
      </c>
      <c r="G86" s="141">
        <f t="shared" si="20"/>
        <v>0</v>
      </c>
      <c r="H86" s="141">
        <f t="shared" si="20"/>
        <v>0</v>
      </c>
      <c r="I86" s="141">
        <f t="shared" si="20"/>
        <v>0</v>
      </c>
      <c r="J86" s="141">
        <f t="shared" si="20"/>
        <v>0</v>
      </c>
      <c r="K86" s="141">
        <f t="shared" si="20"/>
        <v>0</v>
      </c>
      <c r="L86" s="141">
        <f t="shared" si="20"/>
        <v>0</v>
      </c>
      <c r="M86" s="141">
        <f t="shared" si="20"/>
        <v>0</v>
      </c>
      <c r="N86" s="141">
        <f t="shared" si="20"/>
        <v>0</v>
      </c>
      <c r="O86" s="141">
        <f t="shared" si="20"/>
        <v>0</v>
      </c>
      <c r="P86" s="141">
        <f t="shared" si="20"/>
        <v>0</v>
      </c>
      <c r="Q86" s="141">
        <f t="shared" si="20"/>
        <v>0</v>
      </c>
      <c r="R86" s="141">
        <f t="shared" si="20"/>
        <v>0</v>
      </c>
      <c r="S86" s="141">
        <f t="shared" si="20"/>
        <v>0</v>
      </c>
      <c r="T86" s="141">
        <f t="shared" si="20"/>
        <v>0</v>
      </c>
      <c r="U86" s="141">
        <f t="shared" si="20"/>
        <v>0</v>
      </c>
      <c r="V86" s="141">
        <f t="shared" si="20"/>
        <v>0</v>
      </c>
    </row>
    <row r="87" spans="2:22" x14ac:dyDescent="0.2">
      <c r="B87" s="10"/>
      <c r="C87" s="142"/>
      <c r="D87" s="143"/>
      <c r="E87" s="143"/>
      <c r="F87" s="143"/>
      <c r="G87" s="141">
        <f t="shared" ref="G87:V87" si="21">C$80*$G$81</f>
        <v>0</v>
      </c>
      <c r="H87" s="141">
        <f t="shared" si="21"/>
        <v>0</v>
      </c>
      <c r="I87" s="141">
        <f t="shared" si="21"/>
        <v>0</v>
      </c>
      <c r="J87" s="141">
        <f t="shared" si="21"/>
        <v>0</v>
      </c>
      <c r="K87" s="141">
        <f t="shared" si="21"/>
        <v>0</v>
      </c>
      <c r="L87" s="141">
        <f t="shared" si="21"/>
        <v>0</v>
      </c>
      <c r="M87" s="141">
        <f t="shared" si="21"/>
        <v>0</v>
      </c>
      <c r="N87" s="141">
        <f t="shared" si="21"/>
        <v>0</v>
      </c>
      <c r="O87" s="141">
        <f t="shared" si="21"/>
        <v>0</v>
      </c>
      <c r="P87" s="141">
        <f t="shared" si="21"/>
        <v>0</v>
      </c>
      <c r="Q87" s="141">
        <f t="shared" si="21"/>
        <v>0</v>
      </c>
      <c r="R87" s="141">
        <f t="shared" si="21"/>
        <v>0</v>
      </c>
      <c r="S87" s="141">
        <f t="shared" si="21"/>
        <v>0</v>
      </c>
      <c r="T87" s="141">
        <f t="shared" si="21"/>
        <v>0</v>
      </c>
      <c r="U87" s="141">
        <f t="shared" si="21"/>
        <v>0</v>
      </c>
      <c r="V87" s="141">
        <f t="shared" si="21"/>
        <v>0</v>
      </c>
    </row>
    <row r="88" spans="2:22" x14ac:dyDescent="0.2">
      <c r="B88" s="10"/>
      <c r="C88" s="142"/>
      <c r="D88" s="143"/>
      <c r="E88" s="143"/>
      <c r="F88" s="143"/>
      <c r="G88" s="143"/>
      <c r="H88" s="141">
        <f t="shared" ref="H88:V88" si="22">C$80*$H$81</f>
        <v>0</v>
      </c>
      <c r="I88" s="141">
        <f t="shared" si="22"/>
        <v>0</v>
      </c>
      <c r="J88" s="141">
        <f t="shared" si="22"/>
        <v>0</v>
      </c>
      <c r="K88" s="141">
        <f t="shared" si="22"/>
        <v>0</v>
      </c>
      <c r="L88" s="141">
        <f t="shared" si="22"/>
        <v>0</v>
      </c>
      <c r="M88" s="141">
        <f t="shared" si="22"/>
        <v>0</v>
      </c>
      <c r="N88" s="141">
        <f t="shared" si="22"/>
        <v>0</v>
      </c>
      <c r="O88" s="141">
        <f t="shared" si="22"/>
        <v>0</v>
      </c>
      <c r="P88" s="141">
        <f t="shared" si="22"/>
        <v>0</v>
      </c>
      <c r="Q88" s="141">
        <f t="shared" si="22"/>
        <v>0</v>
      </c>
      <c r="R88" s="141">
        <f t="shared" si="22"/>
        <v>0</v>
      </c>
      <c r="S88" s="141">
        <f t="shared" si="22"/>
        <v>0</v>
      </c>
      <c r="T88" s="141">
        <f t="shared" si="22"/>
        <v>0</v>
      </c>
      <c r="U88" s="141">
        <f t="shared" si="22"/>
        <v>0</v>
      </c>
      <c r="V88" s="141">
        <f t="shared" si="22"/>
        <v>0</v>
      </c>
    </row>
    <row r="89" spans="2:22" x14ac:dyDescent="0.2">
      <c r="B89" s="10"/>
      <c r="C89" s="142"/>
      <c r="D89" s="143"/>
      <c r="E89" s="143"/>
      <c r="F89" s="143"/>
      <c r="G89" s="143"/>
      <c r="H89" s="143"/>
      <c r="I89" s="141">
        <f t="shared" ref="I89:V89" si="23">C$80*$I$81</f>
        <v>0</v>
      </c>
      <c r="J89" s="141">
        <f t="shared" si="23"/>
        <v>0</v>
      </c>
      <c r="K89" s="141">
        <f t="shared" si="23"/>
        <v>0</v>
      </c>
      <c r="L89" s="141">
        <f t="shared" si="23"/>
        <v>0</v>
      </c>
      <c r="M89" s="141">
        <f t="shared" si="23"/>
        <v>0</v>
      </c>
      <c r="N89" s="141">
        <f t="shared" si="23"/>
        <v>0</v>
      </c>
      <c r="O89" s="141">
        <f t="shared" si="23"/>
        <v>0</v>
      </c>
      <c r="P89" s="141">
        <f t="shared" si="23"/>
        <v>0</v>
      </c>
      <c r="Q89" s="141">
        <f t="shared" si="23"/>
        <v>0</v>
      </c>
      <c r="R89" s="141">
        <f t="shared" si="23"/>
        <v>0</v>
      </c>
      <c r="S89" s="141">
        <f t="shared" si="23"/>
        <v>0</v>
      </c>
      <c r="T89" s="141">
        <f t="shared" si="23"/>
        <v>0</v>
      </c>
      <c r="U89" s="141">
        <f t="shared" si="23"/>
        <v>0</v>
      </c>
      <c r="V89" s="141">
        <f t="shared" si="23"/>
        <v>0</v>
      </c>
    </row>
    <row r="90" spans="2:22" x14ac:dyDescent="0.2">
      <c r="B90" s="10"/>
      <c r="C90" s="142"/>
      <c r="D90" s="143"/>
      <c r="E90" s="143"/>
      <c r="F90" s="143"/>
      <c r="G90" s="143"/>
      <c r="H90" s="143"/>
      <c r="I90" s="143"/>
      <c r="J90" s="141">
        <f t="shared" ref="J90:V90" si="24">C$80*$J$81</f>
        <v>0</v>
      </c>
      <c r="K90" s="141">
        <f t="shared" si="24"/>
        <v>0</v>
      </c>
      <c r="L90" s="141">
        <f t="shared" si="24"/>
        <v>0</v>
      </c>
      <c r="M90" s="141">
        <f t="shared" si="24"/>
        <v>0</v>
      </c>
      <c r="N90" s="141">
        <f t="shared" si="24"/>
        <v>0</v>
      </c>
      <c r="O90" s="141">
        <f t="shared" si="24"/>
        <v>0</v>
      </c>
      <c r="P90" s="141">
        <f t="shared" si="24"/>
        <v>0</v>
      </c>
      <c r="Q90" s="141">
        <f t="shared" si="24"/>
        <v>0</v>
      </c>
      <c r="R90" s="141">
        <f t="shared" si="24"/>
        <v>0</v>
      </c>
      <c r="S90" s="141">
        <f t="shared" si="24"/>
        <v>0</v>
      </c>
      <c r="T90" s="141">
        <f t="shared" si="24"/>
        <v>0</v>
      </c>
      <c r="U90" s="141">
        <f t="shared" si="24"/>
        <v>0</v>
      </c>
      <c r="V90" s="141">
        <f t="shared" si="24"/>
        <v>0</v>
      </c>
    </row>
    <row r="91" spans="2:22" x14ac:dyDescent="0.2">
      <c r="B91" s="10"/>
      <c r="C91" s="142"/>
      <c r="D91" s="143"/>
      <c r="E91" s="143"/>
      <c r="F91" s="143"/>
      <c r="G91" s="143"/>
      <c r="H91" s="143"/>
      <c r="I91" s="143"/>
      <c r="J91" s="143"/>
      <c r="K91" s="141">
        <f t="shared" ref="K91:V91" si="25">C$80*$K$81</f>
        <v>0</v>
      </c>
      <c r="L91" s="141">
        <f t="shared" si="25"/>
        <v>0</v>
      </c>
      <c r="M91" s="141">
        <f t="shared" si="25"/>
        <v>0</v>
      </c>
      <c r="N91" s="141">
        <f t="shared" si="25"/>
        <v>0</v>
      </c>
      <c r="O91" s="141">
        <f t="shared" si="25"/>
        <v>0</v>
      </c>
      <c r="P91" s="141">
        <f t="shared" si="25"/>
        <v>0</v>
      </c>
      <c r="Q91" s="141">
        <f t="shared" si="25"/>
        <v>0</v>
      </c>
      <c r="R91" s="141">
        <f t="shared" si="25"/>
        <v>0</v>
      </c>
      <c r="S91" s="141">
        <f t="shared" si="25"/>
        <v>0</v>
      </c>
      <c r="T91" s="141">
        <f t="shared" si="25"/>
        <v>0</v>
      </c>
      <c r="U91" s="141">
        <f t="shared" si="25"/>
        <v>0</v>
      </c>
      <c r="V91" s="141">
        <f t="shared" si="25"/>
        <v>0</v>
      </c>
    </row>
    <row r="92" spans="2:22" x14ac:dyDescent="0.2">
      <c r="B92" s="10"/>
      <c r="C92" s="142"/>
      <c r="D92" s="143"/>
      <c r="E92" s="143"/>
      <c r="F92" s="143"/>
      <c r="G92" s="143"/>
      <c r="H92" s="143"/>
      <c r="I92" s="143"/>
      <c r="J92" s="143"/>
      <c r="K92" s="143"/>
      <c r="L92" s="141">
        <f t="shared" ref="L92:V92" si="26">C$80*$L$81</f>
        <v>0</v>
      </c>
      <c r="M92" s="141">
        <f t="shared" si="26"/>
        <v>0</v>
      </c>
      <c r="N92" s="141">
        <f t="shared" si="26"/>
        <v>0</v>
      </c>
      <c r="O92" s="141">
        <f t="shared" si="26"/>
        <v>0</v>
      </c>
      <c r="P92" s="141">
        <f t="shared" si="26"/>
        <v>0</v>
      </c>
      <c r="Q92" s="141">
        <f t="shared" si="26"/>
        <v>0</v>
      </c>
      <c r="R92" s="141">
        <f t="shared" si="26"/>
        <v>0</v>
      </c>
      <c r="S92" s="141">
        <f t="shared" si="26"/>
        <v>0</v>
      </c>
      <c r="T92" s="141">
        <f t="shared" si="26"/>
        <v>0</v>
      </c>
      <c r="U92" s="141">
        <f t="shared" si="26"/>
        <v>0</v>
      </c>
      <c r="V92" s="141">
        <f t="shared" si="26"/>
        <v>0</v>
      </c>
    </row>
    <row r="93" spans="2:22" x14ac:dyDescent="0.2">
      <c r="B93" s="10"/>
      <c r="C93" s="142"/>
      <c r="D93" s="143"/>
      <c r="E93" s="143"/>
      <c r="F93" s="143"/>
      <c r="G93" s="143"/>
      <c r="H93" s="143"/>
      <c r="I93" s="143"/>
      <c r="J93" s="143"/>
      <c r="K93" s="143"/>
      <c r="L93" s="143"/>
      <c r="M93" s="141">
        <f t="shared" ref="M93:V93" si="27">C$80*$M$81</f>
        <v>0</v>
      </c>
      <c r="N93" s="141">
        <f t="shared" si="27"/>
        <v>0</v>
      </c>
      <c r="O93" s="141">
        <f t="shared" si="27"/>
        <v>0</v>
      </c>
      <c r="P93" s="141">
        <f t="shared" si="27"/>
        <v>0</v>
      </c>
      <c r="Q93" s="141">
        <f t="shared" si="27"/>
        <v>0</v>
      </c>
      <c r="R93" s="141">
        <f t="shared" si="27"/>
        <v>0</v>
      </c>
      <c r="S93" s="141">
        <f t="shared" si="27"/>
        <v>0</v>
      </c>
      <c r="T93" s="141">
        <f t="shared" si="27"/>
        <v>0</v>
      </c>
      <c r="U93" s="141">
        <f t="shared" si="27"/>
        <v>0</v>
      </c>
      <c r="V93" s="141">
        <f t="shared" si="27"/>
        <v>0</v>
      </c>
    </row>
    <row r="94" spans="2:22" x14ac:dyDescent="0.2">
      <c r="B94" s="10"/>
      <c r="C94" s="142"/>
      <c r="D94" s="143"/>
      <c r="E94" s="143"/>
      <c r="F94" s="143"/>
      <c r="G94" s="143"/>
      <c r="H94" s="143"/>
      <c r="I94" s="143"/>
      <c r="J94" s="143"/>
      <c r="K94" s="143"/>
      <c r="L94" s="143"/>
      <c r="M94" s="136"/>
      <c r="N94" s="141">
        <f t="shared" ref="N94:V94" si="28">C$80*$N$81</f>
        <v>0</v>
      </c>
      <c r="O94" s="141">
        <f t="shared" si="28"/>
        <v>0</v>
      </c>
      <c r="P94" s="141">
        <f t="shared" si="28"/>
        <v>0</v>
      </c>
      <c r="Q94" s="141">
        <f t="shared" si="28"/>
        <v>0</v>
      </c>
      <c r="R94" s="141">
        <f t="shared" si="28"/>
        <v>0</v>
      </c>
      <c r="S94" s="141">
        <f t="shared" si="28"/>
        <v>0</v>
      </c>
      <c r="T94" s="141">
        <f t="shared" si="28"/>
        <v>0</v>
      </c>
      <c r="U94" s="141">
        <f t="shared" si="28"/>
        <v>0</v>
      </c>
      <c r="V94" s="141">
        <f t="shared" si="28"/>
        <v>0</v>
      </c>
    </row>
    <row r="95" spans="2:22" x14ac:dyDescent="0.2">
      <c r="B95" s="10"/>
      <c r="C95" s="142"/>
      <c r="D95" s="143"/>
      <c r="E95" s="143"/>
      <c r="F95" s="143"/>
      <c r="G95" s="143"/>
      <c r="H95" s="143"/>
      <c r="I95" s="143"/>
      <c r="J95" s="143"/>
      <c r="K95" s="143"/>
      <c r="L95" s="143"/>
      <c r="M95" s="136"/>
      <c r="N95" s="136"/>
      <c r="O95" s="141">
        <f t="shared" ref="O95:V95" si="29">C$80*$O$81</f>
        <v>0</v>
      </c>
      <c r="P95" s="141">
        <f t="shared" si="29"/>
        <v>0</v>
      </c>
      <c r="Q95" s="141">
        <f t="shared" si="29"/>
        <v>0</v>
      </c>
      <c r="R95" s="141">
        <f t="shared" si="29"/>
        <v>0</v>
      </c>
      <c r="S95" s="141">
        <f t="shared" si="29"/>
        <v>0</v>
      </c>
      <c r="T95" s="141">
        <f t="shared" si="29"/>
        <v>0</v>
      </c>
      <c r="U95" s="141">
        <f t="shared" si="29"/>
        <v>0</v>
      </c>
      <c r="V95" s="141">
        <f t="shared" si="29"/>
        <v>0</v>
      </c>
    </row>
    <row r="96" spans="2:22" x14ac:dyDescent="0.2">
      <c r="B96" s="10"/>
      <c r="C96" s="142"/>
      <c r="D96" s="143"/>
      <c r="E96" s="143"/>
      <c r="F96" s="143"/>
      <c r="G96" s="143"/>
      <c r="H96" s="143"/>
      <c r="I96" s="143"/>
      <c r="J96" s="143"/>
      <c r="K96" s="143"/>
      <c r="L96" s="143"/>
      <c r="M96" s="136"/>
      <c r="N96" s="136"/>
      <c r="O96" s="136"/>
      <c r="P96" s="141">
        <f t="shared" ref="P96:V96" si="30">C$80*$P$81</f>
        <v>0</v>
      </c>
      <c r="Q96" s="141">
        <f t="shared" si="30"/>
        <v>0</v>
      </c>
      <c r="R96" s="141">
        <f t="shared" si="30"/>
        <v>0</v>
      </c>
      <c r="S96" s="141">
        <f t="shared" si="30"/>
        <v>0</v>
      </c>
      <c r="T96" s="141">
        <f t="shared" si="30"/>
        <v>0</v>
      </c>
      <c r="U96" s="141">
        <f t="shared" si="30"/>
        <v>0</v>
      </c>
      <c r="V96" s="141">
        <f t="shared" si="30"/>
        <v>0</v>
      </c>
    </row>
    <row r="97" spans="1:22" x14ac:dyDescent="0.2">
      <c r="B97" s="10"/>
      <c r="C97" s="142"/>
      <c r="D97" s="143"/>
      <c r="E97" s="143"/>
      <c r="F97" s="143"/>
      <c r="G97" s="143"/>
      <c r="H97" s="143"/>
      <c r="I97" s="143"/>
      <c r="J97" s="143"/>
      <c r="K97" s="143"/>
      <c r="L97" s="143"/>
      <c r="M97" s="136"/>
      <c r="N97" s="136"/>
      <c r="O97" s="136"/>
      <c r="P97" s="136"/>
      <c r="Q97" s="141">
        <f t="shared" ref="Q97:V97" si="31">C$80*$Q$81</f>
        <v>0</v>
      </c>
      <c r="R97" s="141">
        <f t="shared" si="31"/>
        <v>0</v>
      </c>
      <c r="S97" s="141">
        <f t="shared" si="31"/>
        <v>0</v>
      </c>
      <c r="T97" s="141">
        <f t="shared" si="31"/>
        <v>0</v>
      </c>
      <c r="U97" s="141">
        <f t="shared" si="31"/>
        <v>0</v>
      </c>
      <c r="V97" s="141">
        <f t="shared" si="31"/>
        <v>0</v>
      </c>
    </row>
    <row r="98" spans="1:22" x14ac:dyDescent="0.2">
      <c r="B98" s="10"/>
      <c r="C98" s="142"/>
      <c r="D98" s="143"/>
      <c r="E98" s="143"/>
      <c r="F98" s="143"/>
      <c r="G98" s="143"/>
      <c r="H98" s="143"/>
      <c r="I98" s="143"/>
      <c r="J98" s="143"/>
      <c r="K98" s="143"/>
      <c r="L98" s="143"/>
      <c r="M98" s="136"/>
      <c r="N98" s="136"/>
      <c r="O98" s="136"/>
      <c r="P98" s="136"/>
      <c r="Q98" s="136"/>
      <c r="R98" s="141">
        <f>C$80*$R$81</f>
        <v>0</v>
      </c>
      <c r="S98" s="141">
        <f>D$80*$R$81</f>
        <v>0</v>
      </c>
      <c r="T98" s="141">
        <f>E$80*$R$81</f>
        <v>0</v>
      </c>
      <c r="U98" s="141">
        <f>F$80*$R$81</f>
        <v>0</v>
      </c>
      <c r="V98" s="141">
        <f>G$80*$R$81</f>
        <v>0</v>
      </c>
    </row>
    <row r="99" spans="1:22" x14ac:dyDescent="0.2">
      <c r="B99" s="10"/>
      <c r="C99" s="142"/>
      <c r="D99" s="143"/>
      <c r="E99" s="143"/>
      <c r="F99" s="143"/>
      <c r="G99" s="143"/>
      <c r="H99" s="143"/>
      <c r="I99" s="143"/>
      <c r="J99" s="143"/>
      <c r="K99" s="143"/>
      <c r="L99" s="143"/>
      <c r="M99" s="136"/>
      <c r="N99" s="136"/>
      <c r="O99" s="136"/>
      <c r="P99" s="136"/>
      <c r="Q99" s="136"/>
      <c r="R99" s="136"/>
      <c r="S99" s="141">
        <f>C$80*$S$81</f>
        <v>0</v>
      </c>
      <c r="T99" s="141">
        <f>D$80*$S$81</f>
        <v>0</v>
      </c>
      <c r="U99" s="141">
        <f>E$80*$S$81</f>
        <v>0</v>
      </c>
      <c r="V99" s="141">
        <f>F$80*$S$81</f>
        <v>0</v>
      </c>
    </row>
    <row r="100" spans="1:22" x14ac:dyDescent="0.2">
      <c r="B100" s="10"/>
      <c r="C100" s="142"/>
      <c r="D100" s="143"/>
      <c r="E100" s="143"/>
      <c r="F100" s="143"/>
      <c r="G100" s="143"/>
      <c r="H100" s="143"/>
      <c r="I100" s="143"/>
      <c r="J100" s="143"/>
      <c r="K100" s="143"/>
      <c r="L100" s="143"/>
      <c r="M100" s="136"/>
      <c r="N100" s="136"/>
      <c r="O100" s="136"/>
      <c r="P100" s="136"/>
      <c r="Q100" s="136"/>
      <c r="R100" s="136"/>
      <c r="S100" s="136"/>
      <c r="T100" s="141">
        <f>C$80*$T$81</f>
        <v>0</v>
      </c>
      <c r="U100" s="141">
        <f>D$80*$T$81</f>
        <v>0</v>
      </c>
      <c r="V100" s="141">
        <f>E$80*$T$81</f>
        <v>0</v>
      </c>
    </row>
    <row r="101" spans="1:22" x14ac:dyDescent="0.2">
      <c r="B101" s="10"/>
      <c r="C101" s="142"/>
      <c r="D101" s="143"/>
      <c r="E101" s="143"/>
      <c r="F101" s="143"/>
      <c r="G101" s="143"/>
      <c r="H101" s="143"/>
      <c r="I101" s="143"/>
      <c r="J101" s="143"/>
      <c r="K101" s="143"/>
      <c r="L101" s="143"/>
      <c r="M101" s="136"/>
      <c r="N101" s="136"/>
      <c r="O101" s="136"/>
      <c r="P101" s="136"/>
      <c r="Q101" s="136"/>
      <c r="R101" s="136"/>
      <c r="S101" s="136"/>
      <c r="T101" s="136"/>
      <c r="U101" s="141">
        <f>C$80*$U$81</f>
        <v>0</v>
      </c>
      <c r="V101" s="141">
        <f>D$80*$U$81</f>
        <v>0</v>
      </c>
    </row>
    <row r="102" spans="1:22" x14ac:dyDescent="0.2">
      <c r="B102" s="10"/>
      <c r="C102" s="144"/>
      <c r="D102" s="145"/>
      <c r="E102" s="145"/>
      <c r="F102" s="145"/>
      <c r="G102" s="145"/>
      <c r="H102" s="145"/>
      <c r="I102" s="145"/>
      <c r="J102" s="145"/>
      <c r="K102" s="145"/>
      <c r="L102" s="145"/>
      <c r="M102" s="146"/>
      <c r="N102" s="146"/>
      <c r="O102" s="146"/>
      <c r="P102" s="146"/>
      <c r="Q102" s="146"/>
      <c r="R102" s="146"/>
      <c r="S102" s="146"/>
      <c r="T102" s="146"/>
      <c r="U102" s="146"/>
      <c r="V102" s="256">
        <f>C$80*$V$81</f>
        <v>0</v>
      </c>
    </row>
    <row r="103" spans="1:22" ht="13.5" thickBot="1" x14ac:dyDescent="0.25">
      <c r="A103" s="2" t="s">
        <v>150</v>
      </c>
      <c r="B103" s="10"/>
      <c r="C103" s="147">
        <f t="shared" ref="C103:V103" si="32">SUM(C83:C102)</f>
        <v>0</v>
      </c>
      <c r="D103" s="148">
        <f t="shared" si="32"/>
        <v>0</v>
      </c>
      <c r="E103" s="148">
        <f t="shared" si="32"/>
        <v>0</v>
      </c>
      <c r="F103" s="148">
        <f t="shared" si="32"/>
        <v>0</v>
      </c>
      <c r="G103" s="148">
        <f t="shared" si="32"/>
        <v>0</v>
      </c>
      <c r="H103" s="148">
        <f t="shared" si="32"/>
        <v>0</v>
      </c>
      <c r="I103" s="148">
        <f t="shared" si="32"/>
        <v>0</v>
      </c>
      <c r="J103" s="148">
        <f t="shared" si="32"/>
        <v>0</v>
      </c>
      <c r="K103" s="148">
        <f t="shared" si="32"/>
        <v>0</v>
      </c>
      <c r="L103" s="148">
        <f t="shared" si="32"/>
        <v>0</v>
      </c>
      <c r="M103" s="148">
        <f t="shared" si="32"/>
        <v>0</v>
      </c>
      <c r="N103" s="148">
        <f t="shared" si="32"/>
        <v>0</v>
      </c>
      <c r="O103" s="148">
        <f t="shared" si="32"/>
        <v>0</v>
      </c>
      <c r="P103" s="148">
        <f t="shared" si="32"/>
        <v>0</v>
      </c>
      <c r="Q103" s="148">
        <f t="shared" si="32"/>
        <v>0</v>
      </c>
      <c r="R103" s="148">
        <f t="shared" si="32"/>
        <v>0</v>
      </c>
      <c r="S103" s="148">
        <f t="shared" si="32"/>
        <v>0</v>
      </c>
      <c r="T103" s="148">
        <f t="shared" si="32"/>
        <v>0</v>
      </c>
      <c r="U103" s="148">
        <f t="shared" si="32"/>
        <v>0</v>
      </c>
      <c r="V103" s="148">
        <f t="shared" si="32"/>
        <v>0</v>
      </c>
    </row>
    <row r="104" spans="1:22" ht="13.5" thickTop="1" x14ac:dyDescent="0.2">
      <c r="B104" s="10"/>
      <c r="C104" s="7"/>
    </row>
    <row r="105" spans="1:22" x14ac:dyDescent="0.2">
      <c r="A105" s="2" t="s">
        <v>146</v>
      </c>
      <c r="B105" s="10"/>
      <c r="C105" s="7">
        <f>VLOOKUP(IS!$B$1,Depr,C78-1997)</f>
        <v>0</v>
      </c>
      <c r="D105" s="7">
        <f>VLOOKUP(IS!$B$1,Depr,D78-1997)</f>
        <v>32528000</v>
      </c>
      <c r="E105" s="7">
        <f>VLOOKUP(IS!$B$1,Depr,E78-1997)</f>
        <v>29275200</v>
      </c>
      <c r="F105" s="7">
        <f>VLOOKUP(IS!$B$1,Depr,F78-1997)</f>
        <v>26364800</v>
      </c>
      <c r="G105" s="7">
        <f>VLOOKUP(IS!$B$1,Depr,G78-1997)</f>
        <v>23728320</v>
      </c>
      <c r="H105" s="7">
        <f>VLOOKUP(IS!$B$1,Depr,H78-1997)</f>
        <v>21331520</v>
      </c>
      <c r="I105" s="7">
        <f>VLOOKUP(IS!$B$1,Depr,I78-1997)</f>
        <v>20201600</v>
      </c>
      <c r="J105" s="7">
        <f>VLOOKUP(IS!$B$1,Depr,J78-1997)</f>
        <v>20201600</v>
      </c>
      <c r="K105" s="7">
        <f>VLOOKUP(IS!$B$1,Depr,K78-1997)</f>
        <v>20235840</v>
      </c>
      <c r="L105" s="7">
        <f>VLOOKUP(IS!$B$1,Depr,L78-1997)</f>
        <v>20201600</v>
      </c>
      <c r="M105" s="7">
        <f>VLOOKUP(IS!$B$1,Depr,M78-1997)</f>
        <v>20235840</v>
      </c>
      <c r="N105" s="7">
        <f>VLOOKUP(IS!$B$1,Depr,N78-1997)</f>
        <v>20201600</v>
      </c>
      <c r="O105" s="7">
        <f>VLOOKUP(IS!$B$1,Depr,O78-1997)</f>
        <v>20235840</v>
      </c>
      <c r="P105" s="7">
        <f>VLOOKUP(IS!$B$1,Depr,P78-1997)</f>
        <v>20235840</v>
      </c>
      <c r="Q105" s="7">
        <f>VLOOKUP(IS!$B$1,Depr,Q78-1997)</f>
        <v>20235840</v>
      </c>
      <c r="R105" s="7">
        <f>VLOOKUP(IS!$B$1,Depr,R78-1997)</f>
        <v>10100800</v>
      </c>
      <c r="S105" s="7">
        <f>VLOOKUP(IS!$B$1,Depr,S78-1997)</f>
        <v>10846000</v>
      </c>
      <c r="T105" s="7">
        <f>VLOOKUP(IS!$B$1,Depr,T78-1997)</f>
        <v>10846000</v>
      </c>
      <c r="U105" s="7">
        <f>VLOOKUP(IS!$B$1,Depr,U78-1997)</f>
        <v>10846000</v>
      </c>
      <c r="V105" s="7">
        <f>VLOOKUP(IS!$B$1,Depr,V78-1997)</f>
        <v>10846000</v>
      </c>
    </row>
    <row r="108" spans="1:22" x14ac:dyDescent="0.2">
      <c r="A108" s="257" t="s">
        <v>217</v>
      </c>
      <c r="B108" s="257"/>
      <c r="C108" s="258">
        <f>C105+C103+C75</f>
        <v>0</v>
      </c>
      <c r="D108" s="258">
        <f>D105+D103+D75</f>
        <v>32528000</v>
      </c>
      <c r="E108" s="258">
        <f t="shared" ref="E108:V108" si="33">E105+E103+E75</f>
        <v>29275200</v>
      </c>
      <c r="F108" s="258">
        <f t="shared" si="33"/>
        <v>26364800</v>
      </c>
      <c r="G108" s="258">
        <f t="shared" si="33"/>
        <v>23728320</v>
      </c>
      <c r="H108" s="258">
        <f t="shared" si="33"/>
        <v>21331520</v>
      </c>
      <c r="I108" s="258">
        <f t="shared" si="33"/>
        <v>20201600</v>
      </c>
      <c r="J108" s="258">
        <f t="shared" si="33"/>
        <v>20201600</v>
      </c>
      <c r="K108" s="258">
        <f t="shared" si="33"/>
        <v>20235840</v>
      </c>
      <c r="L108" s="258">
        <f t="shared" si="33"/>
        <v>20201600</v>
      </c>
      <c r="M108" s="258">
        <f t="shared" si="33"/>
        <v>20235840</v>
      </c>
      <c r="N108" s="258">
        <f t="shared" si="33"/>
        <v>20201600</v>
      </c>
      <c r="O108" s="258">
        <f t="shared" si="33"/>
        <v>20235840</v>
      </c>
      <c r="P108" s="258">
        <f t="shared" si="33"/>
        <v>20235840</v>
      </c>
      <c r="Q108" s="258">
        <f t="shared" si="33"/>
        <v>20235840</v>
      </c>
      <c r="R108" s="258">
        <f t="shared" si="33"/>
        <v>10100800</v>
      </c>
      <c r="S108" s="258">
        <f t="shared" si="33"/>
        <v>10846000</v>
      </c>
      <c r="T108" s="258">
        <f t="shared" si="33"/>
        <v>10846000</v>
      </c>
      <c r="U108" s="258">
        <f t="shared" si="33"/>
        <v>10846000</v>
      </c>
      <c r="V108" s="258">
        <f t="shared" si="33"/>
        <v>10846000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14"/>
  <sheetViews>
    <sheetView workbookViewId="0"/>
  </sheetViews>
  <sheetFormatPr defaultRowHeight="12.75" x14ac:dyDescent="0.2"/>
  <cols>
    <col min="1" max="1" width="4.28515625" customWidth="1"/>
    <col min="2" max="2" width="15" customWidth="1"/>
    <col min="3" max="4" width="10.7109375" bestFit="1" customWidth="1"/>
    <col min="5" max="5" width="13.7109375" bestFit="1" customWidth="1"/>
    <col min="6" max="6" width="13.42578125" bestFit="1" customWidth="1"/>
    <col min="7" max="7" width="11.42578125" bestFit="1" customWidth="1"/>
    <col min="8" max="8" width="12.7109375" bestFit="1" customWidth="1"/>
    <col min="9" max="9" width="10.7109375" bestFit="1" customWidth="1"/>
    <col min="10" max="10" width="11" bestFit="1" customWidth="1"/>
    <col min="11" max="12" width="10.5703125" bestFit="1" customWidth="1"/>
    <col min="13" max="13" width="10.85546875" bestFit="1" customWidth="1"/>
    <col min="14" max="14" width="10.42578125" bestFit="1" customWidth="1"/>
    <col min="15" max="17" width="10.5703125" bestFit="1" customWidth="1"/>
    <col min="18" max="18" width="10" bestFit="1" customWidth="1"/>
    <col min="19" max="21" width="10.42578125" bestFit="1" customWidth="1"/>
    <col min="22" max="33" width="9.85546875" bestFit="1" customWidth="1"/>
  </cols>
  <sheetData>
    <row r="1" spans="1:33" x14ac:dyDescent="0.2">
      <c r="A1" s="138" t="s">
        <v>207</v>
      </c>
    </row>
    <row r="8" spans="1:33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33" x14ac:dyDescent="0.2">
      <c r="A10">
        <v>1</v>
      </c>
      <c r="B10" t="s">
        <v>55</v>
      </c>
      <c r="C10" s="218">
        <f>'GAAP Beg Depreciation'!K125</f>
        <v>2451554.5500730299</v>
      </c>
      <c r="D10" s="218">
        <f>'GAAP Beg Depreciation'!L125</f>
        <v>2451554.5500730299</v>
      </c>
      <c r="E10" s="218">
        <f>'GAAP Beg Depreciation'!M125</f>
        <v>2451554.5500730299</v>
      </c>
      <c r="F10" s="218">
        <f>'GAAP Beg Depreciation'!N125</f>
        <v>2451554.5500730299</v>
      </c>
      <c r="G10" s="218">
        <f>'GAAP Beg Depreciation'!O125</f>
        <v>2451554.5500730299</v>
      </c>
      <c r="H10" s="218">
        <f>'GAAP Beg Depreciation'!P125</f>
        <v>2451554.5500730299</v>
      </c>
      <c r="I10" s="218">
        <f>'GAAP Beg Depreciation'!Q125</f>
        <v>2451554.5500730299</v>
      </c>
      <c r="J10" s="218">
        <f>'GAAP Beg Depreciation'!R125</f>
        <v>2451554.5500730299</v>
      </c>
      <c r="K10" s="218">
        <f>'GAAP Beg Depreciation'!S125</f>
        <v>2451554.5500730299</v>
      </c>
      <c r="L10" s="218">
        <f>'GAAP Beg Depreciation'!T125</f>
        <v>2451554.5500730299</v>
      </c>
      <c r="M10" s="218">
        <f>'GAAP Beg Depreciation'!U125</f>
        <v>2451554.5500730299</v>
      </c>
      <c r="N10" s="218">
        <f>'GAAP Beg Depreciation'!V125</f>
        <v>2451554.5500730299</v>
      </c>
      <c r="O10" s="218">
        <f>'GAAP Beg Depreciation'!W125</f>
        <v>2451554.5500730299</v>
      </c>
      <c r="P10" s="218">
        <f>'GAAP Beg Depreciation'!X125</f>
        <v>2448742.82007303</v>
      </c>
      <c r="Q10" s="218">
        <f>'GAAP Beg Depreciation'!Y125</f>
        <v>462607.31007302692</v>
      </c>
      <c r="R10" s="218">
        <f>'GAAP Beg Depreciation'!Z125</f>
        <v>94773.350073029753</v>
      </c>
      <c r="S10" s="218">
        <f>'GAAP Beg Depreciation'!AA125</f>
        <v>94773.350073029753</v>
      </c>
      <c r="T10" s="218">
        <f>'GAAP Beg Depreciation'!AB125</f>
        <v>94773.350073029753</v>
      </c>
      <c r="U10" s="218">
        <f>'GAAP Beg Depreciation'!AC125</f>
        <v>94773.350073029753</v>
      </c>
      <c r="V10" s="218">
        <f>'GAAP Beg Depreciation'!AD125</f>
        <v>94773.350073029753</v>
      </c>
      <c r="W10" s="218">
        <f>'GAAP Beg Depreciation'!AE125</f>
        <v>94773.350073029753</v>
      </c>
      <c r="X10" s="218">
        <f>'GAAP Beg Depreciation'!AF125</f>
        <v>94773.350073029753</v>
      </c>
      <c r="Y10" s="218">
        <f>'GAAP Beg Depreciation'!AG125</f>
        <v>94773.350073029753</v>
      </c>
      <c r="Z10" s="218">
        <f>'GAAP Beg Depreciation'!AH125</f>
        <v>94773.350073029753</v>
      </c>
      <c r="AA10" s="218">
        <f>'GAAP Beg Depreciation'!AI125</f>
        <v>94773.350073029753</v>
      </c>
      <c r="AB10" s="218">
        <f>'GAAP Beg Depreciation'!AJ125</f>
        <v>94773.350073029753</v>
      </c>
      <c r="AC10" s="218">
        <f>'GAAP Beg Depreciation'!AK125</f>
        <v>94773.350073029753</v>
      </c>
      <c r="AD10" s="218">
        <f>'GAAP Beg Depreciation'!AL125</f>
        <v>94773.350073029753</v>
      </c>
      <c r="AE10" s="218">
        <f>'GAAP Beg Depreciation'!AM125</f>
        <v>94773.350073029753</v>
      </c>
      <c r="AF10" s="218">
        <f>'GAAP Beg Depreciation'!AN125</f>
        <v>94773.350073029753</v>
      </c>
      <c r="AG10" s="218">
        <f>'GAAP Beg Depreciation'!AO125</f>
        <v>0</v>
      </c>
    </row>
    <row r="11" spans="1:33" x14ac:dyDescent="0.2">
      <c r="A11">
        <v>2</v>
      </c>
      <c r="B11" t="s">
        <v>56</v>
      </c>
      <c r="C11" s="218">
        <f>'GAAP Beg Depreciation'!K126</f>
        <v>9609843.1447259802</v>
      </c>
      <c r="D11" s="218">
        <f>'GAAP Beg Depreciation'!L126</f>
        <v>9609843.1447259802</v>
      </c>
      <c r="E11" s="218">
        <f>'GAAP Beg Depreciation'!M126</f>
        <v>9609843.1447259802</v>
      </c>
      <c r="F11" s="218">
        <f>'GAAP Beg Depreciation'!N126</f>
        <v>9609843.1447259802</v>
      </c>
      <c r="G11" s="218">
        <f>'GAAP Beg Depreciation'!O126</f>
        <v>9609843.1447259802</v>
      </c>
      <c r="H11" s="218">
        <f>'GAAP Beg Depreciation'!P126</f>
        <v>9609843.1447259802</v>
      </c>
      <c r="I11" s="218">
        <f>'GAAP Beg Depreciation'!Q126</f>
        <v>9609843.1447259802</v>
      </c>
      <c r="J11" s="218">
        <f>'GAAP Beg Depreciation'!R126</f>
        <v>9609843.1447259802</v>
      </c>
      <c r="K11" s="218">
        <f>'GAAP Beg Depreciation'!S126</f>
        <v>9609843.1447259802</v>
      </c>
      <c r="L11" s="218">
        <f>'GAAP Beg Depreciation'!T126</f>
        <v>9609843.1447259802</v>
      </c>
      <c r="M11" s="218">
        <f>'GAAP Beg Depreciation'!U126</f>
        <v>9609843.1447259802</v>
      </c>
      <c r="N11" s="218">
        <f>'GAAP Beg Depreciation'!V126</f>
        <v>9609843.1447259802</v>
      </c>
      <c r="O11" s="218">
        <f>'GAAP Beg Depreciation'!W126</f>
        <v>9609843.1447259802</v>
      </c>
      <c r="P11" s="218">
        <f>'GAAP Beg Depreciation'!X126</f>
        <v>9609843.1447259802</v>
      </c>
      <c r="Q11" s="218">
        <f>'GAAP Beg Depreciation'!Y126</f>
        <v>9609843.1447259802</v>
      </c>
      <c r="R11" s="218">
        <f>'GAAP Beg Depreciation'!Z126</f>
        <v>9609843.1447259802</v>
      </c>
      <c r="S11" s="218">
        <f>'GAAP Beg Depreciation'!AA126</f>
        <v>4978067.5347258244</v>
      </c>
      <c r="T11" s="218">
        <f>'GAAP Beg Depreciation'!AB126</f>
        <v>410128.18472597934</v>
      </c>
      <c r="U11" s="218">
        <f>'GAAP Beg Depreciation'!AC126</f>
        <v>410128.18472597934</v>
      </c>
      <c r="V11" s="218">
        <f>'GAAP Beg Depreciation'!AD126</f>
        <v>410128.18472597934</v>
      </c>
      <c r="W11" s="218">
        <f>'GAAP Beg Depreciation'!AE126</f>
        <v>410128.18472597934</v>
      </c>
      <c r="X11" s="218">
        <f>'GAAP Beg Depreciation'!AF126</f>
        <v>410128.18472597934</v>
      </c>
      <c r="Y11" s="218">
        <f>'GAAP Beg Depreciation'!AG126</f>
        <v>410128.18472597934</v>
      </c>
      <c r="Z11" s="218">
        <f>'GAAP Beg Depreciation'!AH126</f>
        <v>410128.18472597934</v>
      </c>
      <c r="AA11" s="218">
        <f>'GAAP Beg Depreciation'!AI126</f>
        <v>410128.18472597934</v>
      </c>
      <c r="AB11" s="218">
        <f>'GAAP Beg Depreciation'!AJ126</f>
        <v>410128.18472597934</v>
      </c>
      <c r="AC11" s="218">
        <f>'GAAP Beg Depreciation'!AK126</f>
        <v>410128.18472597934</v>
      </c>
      <c r="AD11" s="218">
        <f>'GAAP Beg Depreciation'!AL126</f>
        <v>410128.18472597934</v>
      </c>
      <c r="AE11" s="218">
        <f>'GAAP Beg Depreciation'!AM126</f>
        <v>410128.18472597934</v>
      </c>
      <c r="AF11" s="218">
        <f>'GAAP Beg Depreciation'!AN126</f>
        <v>410128.18472597934</v>
      </c>
      <c r="AG11" s="218">
        <f>'GAAP Beg Depreciation'!AO126</f>
        <v>52936</v>
      </c>
    </row>
    <row r="12" spans="1:33" x14ac:dyDescent="0.2">
      <c r="A12">
        <v>3</v>
      </c>
      <c r="B12" s="9" t="s">
        <v>57</v>
      </c>
      <c r="C12" s="218">
        <f>'GAAP Beg Depreciation'!K$124/4</f>
        <v>2348666.55553438</v>
      </c>
      <c r="D12" s="218">
        <f>'GAAP Beg Depreciation'!L$124/4</f>
        <v>2348666.55553438</v>
      </c>
      <c r="E12" s="218">
        <f>'GAAP Beg Depreciation'!M$124/4</f>
        <v>2348666.55553438</v>
      </c>
      <c r="F12" s="218">
        <f>'GAAP Beg Depreciation'!N$124/4</f>
        <v>2348666.55553438</v>
      </c>
      <c r="G12" s="218">
        <f>'GAAP Beg Depreciation'!O$124/4</f>
        <v>2348666.55553438</v>
      </c>
      <c r="H12" s="218">
        <f>'GAAP Beg Depreciation'!P$124/4</f>
        <v>2348666.55553438</v>
      </c>
      <c r="I12" s="218">
        <f>'GAAP Beg Depreciation'!Q$124/4</f>
        <v>2348666.55553438</v>
      </c>
      <c r="J12" s="218">
        <f>'GAAP Beg Depreciation'!R$124/4</f>
        <v>2348666.55553438</v>
      </c>
      <c r="K12" s="218">
        <f>'GAAP Beg Depreciation'!S$124/4</f>
        <v>2348666.55553438</v>
      </c>
      <c r="L12" s="218">
        <f>'GAAP Beg Depreciation'!T$124/4</f>
        <v>2348666.55553438</v>
      </c>
      <c r="M12" s="218">
        <f>'GAAP Beg Depreciation'!U$124/4</f>
        <v>2348666.55553438</v>
      </c>
      <c r="N12" s="218">
        <f>'GAAP Beg Depreciation'!V$124/4</f>
        <v>2348666.55553438</v>
      </c>
      <c r="O12" s="218">
        <f>'GAAP Beg Depreciation'!W$124/4</f>
        <v>2348666.55553438</v>
      </c>
      <c r="P12" s="218">
        <f>'GAAP Beg Depreciation'!X$124/4</f>
        <v>2348666.55553438</v>
      </c>
      <c r="Q12" s="218">
        <f>'GAAP Beg Depreciation'!Y$124/4</f>
        <v>2348666.55553438</v>
      </c>
      <c r="R12" s="218">
        <f>'GAAP Beg Depreciation'!Z$124/4</f>
        <v>1419259.7180343987</v>
      </c>
      <c r="S12" s="218">
        <f>'GAAP Beg Depreciation'!AA$124/4</f>
        <v>88587.393034379958</v>
      </c>
      <c r="T12" s="218">
        <f>'GAAP Beg Depreciation'!AB$124/4</f>
        <v>87383.120534379967</v>
      </c>
      <c r="U12" s="218">
        <f>'GAAP Beg Depreciation'!AC$124/4</f>
        <v>87383.120534379967</v>
      </c>
      <c r="V12" s="218">
        <f>'GAAP Beg Depreciation'!AD$124/4</f>
        <v>87383.120534379967</v>
      </c>
      <c r="W12" s="218">
        <v>0</v>
      </c>
      <c r="X12" s="218">
        <v>0</v>
      </c>
      <c r="Y12" s="218">
        <v>0</v>
      </c>
      <c r="Z12" s="218">
        <v>0</v>
      </c>
      <c r="AA12" s="218">
        <v>0</v>
      </c>
      <c r="AB12" s="218">
        <v>0</v>
      </c>
      <c r="AC12" s="218">
        <v>0</v>
      </c>
      <c r="AD12" s="218">
        <v>0</v>
      </c>
      <c r="AE12" s="218">
        <v>0</v>
      </c>
      <c r="AF12" s="218">
        <v>0</v>
      </c>
      <c r="AG12" s="218">
        <v>0</v>
      </c>
    </row>
    <row r="13" spans="1:33" x14ac:dyDescent="0.2">
      <c r="A13">
        <v>4</v>
      </c>
      <c r="B13" s="9" t="s">
        <v>58</v>
      </c>
      <c r="C13" s="218">
        <f>'GAAP Beg Depreciation'!K$124/4</f>
        <v>2348666.55553438</v>
      </c>
      <c r="D13" s="218">
        <f>'GAAP Beg Depreciation'!L$124/4</f>
        <v>2348666.55553438</v>
      </c>
      <c r="E13" s="218">
        <f>'GAAP Beg Depreciation'!M$124/4</f>
        <v>2348666.55553438</v>
      </c>
      <c r="F13" s="218">
        <f>'GAAP Beg Depreciation'!N$124/4</f>
        <v>2348666.55553438</v>
      </c>
      <c r="G13" s="218">
        <f>'GAAP Beg Depreciation'!O$124/4</f>
        <v>2348666.55553438</v>
      </c>
      <c r="H13" s="218">
        <f>'GAAP Beg Depreciation'!P$124/4</f>
        <v>2348666.55553438</v>
      </c>
      <c r="I13" s="218">
        <f>'GAAP Beg Depreciation'!Q$124/4</f>
        <v>2348666.55553438</v>
      </c>
      <c r="J13" s="218">
        <f>'GAAP Beg Depreciation'!R$124/4</f>
        <v>2348666.55553438</v>
      </c>
      <c r="K13" s="218">
        <f>'GAAP Beg Depreciation'!S$124/4</f>
        <v>2348666.55553438</v>
      </c>
      <c r="L13" s="218">
        <f>'GAAP Beg Depreciation'!T$124/4</f>
        <v>2348666.55553438</v>
      </c>
      <c r="M13" s="218">
        <f>'GAAP Beg Depreciation'!U$124/4</f>
        <v>2348666.55553438</v>
      </c>
      <c r="N13" s="218">
        <f>'GAAP Beg Depreciation'!V$124/4</f>
        <v>2348666.55553438</v>
      </c>
      <c r="O13" s="218">
        <f>'GAAP Beg Depreciation'!W$124/4</f>
        <v>2348666.55553438</v>
      </c>
      <c r="P13" s="218">
        <f>'GAAP Beg Depreciation'!X$124/4</f>
        <v>2348666.55553438</v>
      </c>
      <c r="Q13" s="218">
        <f>'GAAP Beg Depreciation'!Y$124/4</f>
        <v>2348666.55553438</v>
      </c>
      <c r="R13" s="218">
        <f>'GAAP Beg Depreciation'!Z$124/4</f>
        <v>1419259.7180343987</v>
      </c>
      <c r="S13" s="218">
        <f>'GAAP Beg Depreciation'!AA$124/4</f>
        <v>88587.393034379958</v>
      </c>
      <c r="T13" s="218">
        <f>'GAAP Beg Depreciation'!AB$124/4</f>
        <v>87383.120534379967</v>
      </c>
      <c r="U13" s="218">
        <f>'GAAP Beg Depreciation'!AC$124/4</f>
        <v>87383.120534379967</v>
      </c>
      <c r="V13" s="218">
        <f>'GAAP Beg Depreciation'!AD$124/4</f>
        <v>87383.120534379967</v>
      </c>
      <c r="W13" s="218">
        <v>0</v>
      </c>
      <c r="X13" s="218">
        <v>0</v>
      </c>
      <c r="Y13" s="218">
        <v>0</v>
      </c>
      <c r="Z13" s="218">
        <v>0</v>
      </c>
      <c r="AA13" s="218">
        <v>0</v>
      </c>
      <c r="AB13" s="218">
        <v>0</v>
      </c>
      <c r="AC13" s="218">
        <v>0</v>
      </c>
      <c r="AD13" s="218">
        <v>0</v>
      </c>
      <c r="AE13" s="218">
        <v>0</v>
      </c>
      <c r="AF13" s="218">
        <v>0</v>
      </c>
      <c r="AG13" s="218">
        <v>0</v>
      </c>
    </row>
    <row r="14" spans="1:33" x14ac:dyDescent="0.2">
      <c r="A14">
        <v>5</v>
      </c>
      <c r="B14" s="9" t="s">
        <v>59</v>
      </c>
      <c r="C14" s="218">
        <f>'GAAP Beg Depreciation'!K$124/4</f>
        <v>2348666.55553438</v>
      </c>
      <c r="D14" s="218">
        <f>'GAAP Beg Depreciation'!L$124/4</f>
        <v>2348666.55553438</v>
      </c>
      <c r="E14" s="218">
        <f>'GAAP Beg Depreciation'!M$124/4</f>
        <v>2348666.55553438</v>
      </c>
      <c r="F14" s="218">
        <f>'GAAP Beg Depreciation'!N$124/4</f>
        <v>2348666.55553438</v>
      </c>
      <c r="G14" s="218">
        <f>'GAAP Beg Depreciation'!O$124/4</f>
        <v>2348666.55553438</v>
      </c>
      <c r="H14" s="218">
        <f>'GAAP Beg Depreciation'!P$124/4</f>
        <v>2348666.55553438</v>
      </c>
      <c r="I14" s="218">
        <f>'GAAP Beg Depreciation'!Q$124/4</f>
        <v>2348666.55553438</v>
      </c>
      <c r="J14" s="218">
        <f>'GAAP Beg Depreciation'!R$124/4</f>
        <v>2348666.55553438</v>
      </c>
      <c r="K14" s="218">
        <f>'GAAP Beg Depreciation'!S$124/4</f>
        <v>2348666.55553438</v>
      </c>
      <c r="L14" s="218">
        <f>'GAAP Beg Depreciation'!T$124/4</f>
        <v>2348666.55553438</v>
      </c>
      <c r="M14" s="218">
        <f>'GAAP Beg Depreciation'!U$124/4</f>
        <v>2348666.55553438</v>
      </c>
      <c r="N14" s="218">
        <f>'GAAP Beg Depreciation'!V$124/4</f>
        <v>2348666.55553438</v>
      </c>
      <c r="O14" s="218">
        <f>'GAAP Beg Depreciation'!W$124/4</f>
        <v>2348666.55553438</v>
      </c>
      <c r="P14" s="218">
        <f>'GAAP Beg Depreciation'!X$124/4</f>
        <v>2348666.55553438</v>
      </c>
      <c r="Q14" s="218">
        <f>'GAAP Beg Depreciation'!Y$124/4</f>
        <v>2348666.55553438</v>
      </c>
      <c r="R14" s="218">
        <f>'GAAP Beg Depreciation'!Z$124/4</f>
        <v>1419259.7180343987</v>
      </c>
      <c r="S14" s="218">
        <f>'GAAP Beg Depreciation'!AA$124/4</f>
        <v>88587.393034379958</v>
      </c>
      <c r="T14" s="218">
        <f>'GAAP Beg Depreciation'!AB$124/4</f>
        <v>87383.120534379967</v>
      </c>
      <c r="U14" s="218">
        <f>'GAAP Beg Depreciation'!AC$124/4</f>
        <v>87383.120534379967</v>
      </c>
      <c r="V14" s="218">
        <f>'GAAP Beg Depreciation'!AD$124/4</f>
        <v>87383.120534379967</v>
      </c>
      <c r="W14" s="218">
        <v>0</v>
      </c>
      <c r="X14" s="218">
        <v>0</v>
      </c>
      <c r="Y14" s="218">
        <v>0</v>
      </c>
      <c r="Z14" s="218">
        <v>0</v>
      </c>
      <c r="AA14" s="218">
        <v>0</v>
      </c>
      <c r="AB14" s="218">
        <v>0</v>
      </c>
      <c r="AC14" s="218">
        <v>0</v>
      </c>
      <c r="AD14" s="218">
        <v>0</v>
      </c>
      <c r="AE14" s="218">
        <v>0</v>
      </c>
      <c r="AF14" s="218">
        <v>0</v>
      </c>
      <c r="AG14" s="218">
        <v>0</v>
      </c>
    </row>
    <row r="15" spans="1:33" x14ac:dyDescent="0.2">
      <c r="A15">
        <v>6</v>
      </c>
      <c r="B15" s="9" t="s">
        <v>60</v>
      </c>
      <c r="C15" s="218">
        <f>'GAAP Beg Depreciation'!K$124/4</f>
        <v>2348666.55553438</v>
      </c>
      <c r="D15" s="218">
        <f>'GAAP Beg Depreciation'!L$124/4</f>
        <v>2348666.55553438</v>
      </c>
      <c r="E15" s="218">
        <f>'GAAP Beg Depreciation'!M$124/4</f>
        <v>2348666.55553438</v>
      </c>
      <c r="F15" s="218">
        <f>'GAAP Beg Depreciation'!N$124/4</f>
        <v>2348666.55553438</v>
      </c>
      <c r="G15" s="218">
        <f>'GAAP Beg Depreciation'!O$124/4</f>
        <v>2348666.55553438</v>
      </c>
      <c r="H15" s="218">
        <f>'GAAP Beg Depreciation'!P$124/4</f>
        <v>2348666.55553438</v>
      </c>
      <c r="I15" s="218">
        <f>'GAAP Beg Depreciation'!Q$124/4</f>
        <v>2348666.55553438</v>
      </c>
      <c r="J15" s="218">
        <f>'GAAP Beg Depreciation'!R$124/4</f>
        <v>2348666.55553438</v>
      </c>
      <c r="K15" s="218">
        <f>'GAAP Beg Depreciation'!S$124/4</f>
        <v>2348666.55553438</v>
      </c>
      <c r="L15" s="218">
        <f>'GAAP Beg Depreciation'!T$124/4</f>
        <v>2348666.55553438</v>
      </c>
      <c r="M15" s="218">
        <f>'GAAP Beg Depreciation'!U$124/4</f>
        <v>2348666.55553438</v>
      </c>
      <c r="N15" s="218">
        <f>'GAAP Beg Depreciation'!V$124/4</f>
        <v>2348666.55553438</v>
      </c>
      <c r="O15" s="218">
        <f>'GAAP Beg Depreciation'!W$124/4</f>
        <v>2348666.55553438</v>
      </c>
      <c r="P15" s="218">
        <f>'GAAP Beg Depreciation'!X$124/4</f>
        <v>2348666.55553438</v>
      </c>
      <c r="Q15" s="218">
        <f>'GAAP Beg Depreciation'!Y$124/4</f>
        <v>2348666.55553438</v>
      </c>
      <c r="R15" s="218">
        <f>'GAAP Beg Depreciation'!Z$124/4</f>
        <v>1419259.7180343987</v>
      </c>
      <c r="S15" s="218">
        <f>'GAAP Beg Depreciation'!AA$124/4</f>
        <v>88587.393034379958</v>
      </c>
      <c r="T15" s="218">
        <f>'GAAP Beg Depreciation'!AB$124/4</f>
        <v>87383.120534379967</v>
      </c>
      <c r="U15" s="218">
        <f>'GAAP Beg Depreciation'!AC$124/4</f>
        <v>87383.120534379967</v>
      </c>
      <c r="V15" s="218">
        <f>'GAAP Beg Depreciation'!AD$124/4</f>
        <v>87383.120534379967</v>
      </c>
      <c r="W15" s="218">
        <v>0</v>
      </c>
      <c r="X15" s="218">
        <v>0</v>
      </c>
      <c r="Y15" s="218">
        <v>0</v>
      </c>
      <c r="Z15" s="218">
        <v>0</v>
      </c>
      <c r="AA15" s="218">
        <v>0</v>
      </c>
      <c r="AB15" s="218">
        <v>0</v>
      </c>
      <c r="AC15" s="218">
        <v>0</v>
      </c>
      <c r="AD15" s="218">
        <v>0</v>
      </c>
      <c r="AE15" s="218">
        <v>0</v>
      </c>
      <c r="AF15" s="218">
        <v>0</v>
      </c>
      <c r="AG15" s="218">
        <v>0</v>
      </c>
    </row>
    <row r="16" spans="1:33" x14ac:dyDescent="0.2">
      <c r="A16">
        <v>7</v>
      </c>
      <c r="B16" t="s">
        <v>61</v>
      </c>
      <c r="C16" s="218">
        <f>'GAAP Beg Depreciation'!K127</f>
        <v>5371066.6793675004</v>
      </c>
      <c r="D16" s="218">
        <f>'GAAP Beg Depreciation'!L127</f>
        <v>5371066.6793675004</v>
      </c>
      <c r="E16" s="218">
        <f>'GAAP Beg Depreciation'!M127</f>
        <v>5371066.6793675004</v>
      </c>
      <c r="F16" s="218">
        <f>'GAAP Beg Depreciation'!N127</f>
        <v>5371066.6793675004</v>
      </c>
      <c r="G16" s="218">
        <f>'GAAP Beg Depreciation'!O127</f>
        <v>5371066.6793675004</v>
      </c>
      <c r="H16" s="218">
        <f>'GAAP Beg Depreciation'!P127</f>
        <v>5371066.6793675004</v>
      </c>
      <c r="I16" s="218">
        <f>'GAAP Beg Depreciation'!Q127</f>
        <v>5371066.6793675004</v>
      </c>
      <c r="J16" s="218">
        <f>'GAAP Beg Depreciation'!R127</f>
        <v>5371066.6793675004</v>
      </c>
      <c r="K16" s="218">
        <f>'GAAP Beg Depreciation'!S127</f>
        <v>5371066.6793675004</v>
      </c>
      <c r="L16" s="218">
        <f>'GAAP Beg Depreciation'!T127</f>
        <v>5371066.6793675004</v>
      </c>
      <c r="M16" s="218">
        <f>'GAAP Beg Depreciation'!U127</f>
        <v>5371066.6793675004</v>
      </c>
      <c r="N16" s="218">
        <f>'GAAP Beg Depreciation'!V127</f>
        <v>5371066.6793675004</v>
      </c>
      <c r="O16" s="218">
        <f>'GAAP Beg Depreciation'!W127</f>
        <v>5371066.6793675004</v>
      </c>
      <c r="P16" s="218">
        <f>'GAAP Beg Depreciation'!X127</f>
        <v>5371066.6793675004</v>
      </c>
      <c r="Q16" s="218">
        <f>'GAAP Beg Depreciation'!Y127</f>
        <v>5371066.6793675004</v>
      </c>
      <c r="R16" s="218">
        <f>'GAAP Beg Depreciation'!Z127</f>
        <v>5371066.6793675004</v>
      </c>
      <c r="S16" s="218">
        <f>'GAAP Beg Depreciation'!AA127</f>
        <v>5371066.6793675004</v>
      </c>
      <c r="T16" s="218">
        <f>'GAAP Beg Depreciation'!AB127</f>
        <v>3480718.0593675105</v>
      </c>
      <c r="U16" s="218">
        <f>'GAAP Beg Depreciation'!AC127</f>
        <v>229089.67936750036</v>
      </c>
      <c r="V16" s="218">
        <f>'GAAP Beg Depreciation'!AD127</f>
        <v>229089.67936750036</v>
      </c>
      <c r="W16" s="218">
        <f>'GAAP Beg Depreciation'!AE127</f>
        <v>229089.67936750036</v>
      </c>
      <c r="X16" s="218">
        <f>'GAAP Beg Depreciation'!AF127</f>
        <v>229089.67936750036</v>
      </c>
      <c r="Y16" s="218">
        <f>'GAAP Beg Depreciation'!AG127</f>
        <v>229089.67936750036</v>
      </c>
      <c r="Z16" s="218">
        <f>'GAAP Beg Depreciation'!AH127</f>
        <v>229089.67936750036</v>
      </c>
      <c r="AA16" s="218">
        <f>'GAAP Beg Depreciation'!AI127</f>
        <v>229089.67936750036</v>
      </c>
      <c r="AB16" s="218">
        <f>'GAAP Beg Depreciation'!AJ127</f>
        <v>229089.67936750036</v>
      </c>
      <c r="AC16" s="218">
        <f>'GAAP Beg Depreciation'!AK127</f>
        <v>229089.67936750036</v>
      </c>
      <c r="AD16" s="218">
        <f>'GAAP Beg Depreciation'!AL127</f>
        <v>229089.67936750036</v>
      </c>
      <c r="AE16" s="218">
        <f>'GAAP Beg Depreciation'!AM127</f>
        <v>229089.67936750036</v>
      </c>
      <c r="AF16" s="218">
        <f>'GAAP Beg Depreciation'!AN127</f>
        <v>229089.67936750036</v>
      </c>
      <c r="AG16" s="218">
        <f>'GAAP Beg Depreciation'!AO127</f>
        <v>0</v>
      </c>
    </row>
    <row r="17" spans="1:33" x14ac:dyDescent="0.2">
      <c r="A17">
        <v>8</v>
      </c>
      <c r="B17" t="s">
        <v>62</v>
      </c>
      <c r="C17" s="218">
        <f>('GAAP Beg Depreciation'!K$122)*(Summary!$C$24/((SUM(Summary!$C$24:$C$27)+Summary!$C$38)))</f>
        <v>880185.7683840458</v>
      </c>
      <c r="D17" s="218">
        <f>('GAAP Beg Depreciation'!L$122)*(Summary!$C$24/((SUM(Summary!$C$24:$C$27)+Summary!$C$38)))</f>
        <v>880185.7683840458</v>
      </c>
      <c r="E17" s="218">
        <f>('GAAP Beg Depreciation'!M$122)*(Summary!$C$24/((SUM(Summary!$C$24:$C$27)+Summary!$C$38)))</f>
        <v>878345.34105908312</v>
      </c>
      <c r="F17" s="218">
        <f>('GAAP Beg Depreciation'!N$122)*(Summary!$C$24/((SUM(Summary!$C$24:$C$27)+Summary!$C$38)))</f>
        <v>871689.49258068344</v>
      </c>
      <c r="G17" s="218">
        <f>('GAAP Beg Depreciation'!O$122)*(Summary!$C$24/((SUM(Summary!$C$24:$C$27)+Summary!$C$38)))</f>
        <v>871596.82179966616</v>
      </c>
      <c r="H17" s="218">
        <f>('GAAP Beg Depreciation'!P$122)*(Summary!$C$24/((SUM(Summary!$C$24:$C$27)+Summary!$C$38)))</f>
        <v>871502.13356812752</v>
      </c>
      <c r="I17" s="218">
        <f>('GAAP Beg Depreciation'!Q$122)*(Summary!$C$24/((SUM(Summary!$C$24:$C$27)+Summary!$C$38)))</f>
        <v>871502.13356812752</v>
      </c>
      <c r="J17" s="218">
        <f>('GAAP Beg Depreciation'!R$122)*(Summary!$C$24/((SUM(Summary!$C$24:$C$27)+Summary!$C$38)))</f>
        <v>734399.3704270327</v>
      </c>
      <c r="K17" s="218">
        <f>('GAAP Beg Depreciation'!S$122)*(Summary!$C$24/((SUM(Summary!$C$24:$C$27)+Summary!$C$38)))</f>
        <v>630933.0388671275</v>
      </c>
      <c r="L17" s="218">
        <f>('GAAP Beg Depreciation'!T$122)*(Summary!$C$24/((SUM(Summary!$C$24:$C$27)+Summary!$C$38)))</f>
        <v>581714.29275093251</v>
      </c>
      <c r="M17" s="218">
        <f>('GAAP Beg Depreciation'!U$122)*(Summary!$C$24/((SUM(Summary!$C$24:$C$27)+Summary!$C$38)))</f>
        <v>577441.66963963222</v>
      </c>
      <c r="N17" s="218">
        <f>('GAAP Beg Depreciation'!V$122)*(Summary!$C$24/((SUM(Summary!$C$24:$C$27)+Summary!$C$38)))</f>
        <v>577441.66963963222</v>
      </c>
      <c r="O17" s="218">
        <f>('GAAP Beg Depreciation'!W$122)*(Summary!$C$24/((SUM(Summary!$C$24:$C$27)+Summary!$C$38)))</f>
        <v>577441.66963963222</v>
      </c>
      <c r="P17" s="218">
        <f>('GAAP Beg Depreciation'!X$122)*(Summary!$C$24/((SUM(Summary!$C$24:$C$27)+Summary!$C$38)))</f>
        <v>459595.56110590225</v>
      </c>
      <c r="Q17" s="218">
        <f>('GAAP Beg Depreciation'!Y$122)*(Summary!$C$24/((SUM(Summary!$C$24:$C$27)+Summary!$C$38)))</f>
        <v>298581.36063771689</v>
      </c>
      <c r="R17" s="218">
        <f>('GAAP Beg Depreciation'!Z$122)*(Summary!$C$24/((SUM(Summary!$C$24:$C$27)+Summary!$C$38)))</f>
        <v>53837.278066956227</v>
      </c>
      <c r="S17" s="218">
        <f>('GAAP Beg Depreciation'!AA$122)*(Summary!$C$24/((SUM(Summary!$C$24:$C$27)+Summary!$C$38)))</f>
        <v>38433.260190813278</v>
      </c>
      <c r="T17" s="218">
        <f>('GAAP Beg Depreciation'!AB$122)*(Summary!$C$24/((SUM(Summary!$C$24:$C$27)+Summary!$C$38)))</f>
        <v>37381.927566850733</v>
      </c>
      <c r="U17" s="218">
        <f>('GAAP Beg Depreciation'!AC$122)*(Summary!$C$24/((SUM(Summary!$C$24:$C$27)+Summary!$C$38)))</f>
        <v>37381.927566850733</v>
      </c>
      <c r="V17" s="218">
        <f>('GAAP Beg Depreciation'!AD$122)*(Summary!$C$24/((SUM(Summary!$C$24:$C$27)+Summary!$C$38)))</f>
        <v>36482.774555571734</v>
      </c>
      <c r="W17" s="218">
        <f>('GAAP Beg Depreciation'!AE$122)*(Summary!$C$24/((SUM(Summary!$C$24:$C$27)+Summary!$C$38)))</f>
        <v>33673.971831587907</v>
      </c>
      <c r="X17" s="218">
        <f>('GAAP Beg Depreciation'!AF$122)*(Summary!$C$24/((SUM(Summary!$C$24:$C$27)+Summary!$C$38)))</f>
        <v>32688.758807540238</v>
      </c>
      <c r="Y17" s="218">
        <f>('GAAP Beg Depreciation'!AG$122)*(Summary!$C$24/((SUM(Summary!$C$24:$C$27)+Summary!$C$38)))</f>
        <v>32688.758807540238</v>
      </c>
      <c r="Z17" s="218">
        <f>('GAAP Beg Depreciation'!AH$122)*(Summary!$C$24/((SUM(Summary!$C$24:$C$27)+Summary!$C$38)))</f>
        <v>32688.758807540238</v>
      </c>
      <c r="AA17" s="218">
        <f>('GAAP Beg Depreciation'!AI$122)*(Summary!$C$24/((SUM(Summary!$C$24:$C$27)+Summary!$C$38)))</f>
        <v>32688.758807540238</v>
      </c>
      <c r="AB17" s="218">
        <f>('GAAP Beg Depreciation'!AJ$122)*(Summary!$C$24/((SUM(Summary!$C$24:$C$27)+Summary!$C$38)))</f>
        <v>32688.758807540238</v>
      </c>
      <c r="AC17" s="218">
        <f>('GAAP Beg Depreciation'!AK$122)*(Summary!$C$24/((SUM(Summary!$C$24:$C$27)+Summary!$C$38)))</f>
        <v>32688.758807540238</v>
      </c>
      <c r="AD17" s="218">
        <f>('GAAP Beg Depreciation'!AL$122)*(Summary!$C$24/((SUM(Summary!$C$24:$C$27)+Summary!$C$38)))</f>
        <v>32688.758807540238</v>
      </c>
      <c r="AE17" s="218">
        <f>('GAAP Beg Depreciation'!AM$122)*(Summary!$C$24/((SUM(Summary!$C$24:$C$27)+Summary!$C$38)))</f>
        <v>32688.758807540238</v>
      </c>
      <c r="AF17" s="218">
        <f>('GAAP Beg Depreciation'!AN$122)*(Summary!$C$24/((SUM(Summary!$C$24:$C$27)+Summary!$C$38)))</f>
        <v>32688.758807540238</v>
      </c>
      <c r="AG17" s="218">
        <f>('GAAP Beg Depreciation'!AO$122)*(Summary!$C$24/((SUM(Summary!$C$24:$C$27)+Summary!$C$38)))</f>
        <v>392.08342200468189</v>
      </c>
    </row>
    <row r="18" spans="1:33" x14ac:dyDescent="0.2">
      <c r="A18">
        <v>9</v>
      </c>
      <c r="B18" t="s">
        <v>63</v>
      </c>
      <c r="C18" s="218">
        <f>('GAAP Beg Depreciation'!K$122)*(Summary!$C$25/((SUM(Summary!$C$24:$C$27)+Summary!$C$38)))</f>
        <v>1793378.5030824936</v>
      </c>
      <c r="D18" s="218">
        <f>('GAAP Beg Depreciation'!L$122)*(Summary!$C$25/((SUM(Summary!$C$24:$C$27)+Summary!$C$38)))</f>
        <v>1793378.5030824936</v>
      </c>
      <c r="E18" s="218">
        <f>('GAAP Beg Depreciation'!M$122)*(Summary!$C$25/((SUM(Summary!$C$24:$C$27)+Summary!$C$38)))</f>
        <v>1789628.6324078818</v>
      </c>
      <c r="F18" s="218">
        <f>('GAAP Beg Depreciation'!N$122)*(Summary!$C$25/((SUM(Summary!$C$24:$C$27)+Summary!$C$38)))</f>
        <v>1776067.3411331426</v>
      </c>
      <c r="G18" s="218">
        <f>('GAAP Beg Depreciation'!O$122)*(Summary!$C$25/((SUM(Summary!$C$24:$C$27)+Summary!$C$38)))</f>
        <v>1775878.5244168199</v>
      </c>
      <c r="H18" s="218">
        <f>('GAAP Beg Depreciation'!P$122)*(Summary!$C$25/((SUM(Summary!$C$24:$C$27)+Summary!$C$38)))</f>
        <v>1775685.5971450598</v>
      </c>
      <c r="I18" s="218">
        <f>('GAAP Beg Depreciation'!Q$122)*(Summary!$C$25/((SUM(Summary!$C$24:$C$27)+Summary!$C$38)))</f>
        <v>1775685.5971450598</v>
      </c>
      <c r="J18" s="218">
        <f>('GAAP Beg Depreciation'!R$122)*(Summary!$C$25/((SUM(Summary!$C$24:$C$27)+Summary!$C$38)))</f>
        <v>1496338.7172450791</v>
      </c>
      <c r="K18" s="218">
        <f>('GAAP Beg Depreciation'!S$122)*(Summary!$C$25/((SUM(Summary!$C$24:$C$27)+Summary!$C$38)))</f>
        <v>1285526.0666917723</v>
      </c>
      <c r="L18" s="218">
        <f>('GAAP Beg Depreciation'!T$122)*(Summary!$C$25/((SUM(Summary!$C$24:$C$27)+Summary!$C$38)))</f>
        <v>1185242.8714800249</v>
      </c>
      <c r="M18" s="218">
        <f>('GAAP Beg Depreciation'!U$122)*(Summary!$C$25/((SUM(Summary!$C$24:$C$27)+Summary!$C$38)))</f>
        <v>1176537.4018907507</v>
      </c>
      <c r="N18" s="218">
        <f>('GAAP Beg Depreciation'!V$122)*(Summary!$C$25/((SUM(Summary!$C$24:$C$27)+Summary!$C$38)))</f>
        <v>1176537.4018907507</v>
      </c>
      <c r="O18" s="218">
        <f>('GAAP Beg Depreciation'!W$122)*(Summary!$C$25/((SUM(Summary!$C$24:$C$27)+Summary!$C$38)))</f>
        <v>1176537.4018907507</v>
      </c>
      <c r="P18" s="218">
        <f>('GAAP Beg Depreciation'!X$122)*(Summary!$C$25/((SUM(Summary!$C$24:$C$27)+Summary!$C$38)))</f>
        <v>936425.95575327589</v>
      </c>
      <c r="Q18" s="218">
        <f>('GAAP Beg Depreciation'!Y$122)*(Summary!$C$25/((SUM(Summary!$C$24:$C$27)+Summary!$C$38)))</f>
        <v>608359.52229934814</v>
      </c>
      <c r="R18" s="218">
        <f>('GAAP Beg Depreciation'!Z$122)*(Summary!$C$25/((SUM(Summary!$C$24:$C$27)+Summary!$C$38)))</f>
        <v>109693.45406142331</v>
      </c>
      <c r="S18" s="218">
        <f>('GAAP Beg Depreciation'!AA$122)*(Summary!$C$25/((SUM(Summary!$C$24:$C$27)+Summary!$C$38)))</f>
        <v>78307.767638782054</v>
      </c>
      <c r="T18" s="218">
        <f>('GAAP Beg Depreciation'!AB$122)*(Summary!$C$25/((SUM(Summary!$C$24:$C$27)+Summary!$C$38)))</f>
        <v>76165.67741745837</v>
      </c>
      <c r="U18" s="218">
        <f>('GAAP Beg Depreciation'!AC$122)*(Summary!$C$25/((SUM(Summary!$C$24:$C$27)+Summary!$C$38)))</f>
        <v>76165.67741745837</v>
      </c>
      <c r="V18" s="218">
        <f>('GAAP Beg Depreciation'!AD$122)*(Summary!$C$25/((SUM(Summary!$C$24:$C$27)+Summary!$C$38)))</f>
        <v>74333.653156977409</v>
      </c>
      <c r="W18" s="218">
        <f>('GAAP Beg Depreciation'!AE$122)*(Summary!$C$25/((SUM(Summary!$C$24:$C$27)+Summary!$C$38)))</f>
        <v>68610.717606860359</v>
      </c>
      <c r="X18" s="218">
        <f>('GAAP Beg Depreciation'!AF$122)*(Summary!$C$25/((SUM(Summary!$C$24:$C$27)+Summary!$C$38)))</f>
        <v>66603.346070363245</v>
      </c>
      <c r="Y18" s="218">
        <f>('GAAP Beg Depreciation'!AG$122)*(Summary!$C$25/((SUM(Summary!$C$24:$C$27)+Summary!$C$38)))</f>
        <v>66603.346070363245</v>
      </c>
      <c r="Z18" s="218">
        <f>('GAAP Beg Depreciation'!AH$122)*(Summary!$C$25/((SUM(Summary!$C$24:$C$27)+Summary!$C$38)))</f>
        <v>66603.346070363245</v>
      </c>
      <c r="AA18" s="218">
        <f>('GAAP Beg Depreciation'!AI$122)*(Summary!$C$25/((SUM(Summary!$C$24:$C$27)+Summary!$C$38)))</f>
        <v>66603.346070363245</v>
      </c>
      <c r="AB18" s="218">
        <f>('GAAP Beg Depreciation'!AJ$122)*(Summary!$C$25/((SUM(Summary!$C$24:$C$27)+Summary!$C$38)))</f>
        <v>66603.346070363245</v>
      </c>
      <c r="AC18" s="218">
        <f>('GAAP Beg Depreciation'!AK$122)*(Summary!$C$25/((SUM(Summary!$C$24:$C$27)+Summary!$C$38)))</f>
        <v>66603.346070363245</v>
      </c>
      <c r="AD18" s="218">
        <f>('GAAP Beg Depreciation'!AL$122)*(Summary!$C$25/((SUM(Summary!$C$24:$C$27)+Summary!$C$38)))</f>
        <v>66603.346070363245</v>
      </c>
      <c r="AE18" s="218">
        <f>('GAAP Beg Depreciation'!AM$122)*(Summary!$C$25/((SUM(Summary!$C$24:$C$27)+Summary!$C$38)))</f>
        <v>66603.346070363245</v>
      </c>
      <c r="AF18" s="218">
        <f>('GAAP Beg Depreciation'!AN$122)*(Summary!$C$25/((SUM(Summary!$C$24:$C$27)+Summary!$C$38)))</f>
        <v>66603.346070363245</v>
      </c>
      <c r="AG18" s="218">
        <f>('GAAP Beg Depreciation'!AO$122)*(Summary!$C$25/((SUM(Summary!$C$24:$C$27)+Summary!$C$38)))</f>
        <v>798.86997233453928</v>
      </c>
    </row>
    <row r="19" spans="1:33" x14ac:dyDescent="0.2">
      <c r="A19">
        <v>10</v>
      </c>
      <c r="B19" t="s">
        <v>64</v>
      </c>
      <c r="C19" s="218">
        <f>('GAAP Beg Depreciation'!K$122)*(Summary!$C$26/((SUM(Summary!$C$24:$C$27)+Summary!$C$38)))</f>
        <v>3520743.0735361832</v>
      </c>
      <c r="D19" s="218">
        <f>('GAAP Beg Depreciation'!L$122)*(Summary!$C$26/((SUM(Summary!$C$24:$C$27)+Summary!$C$38)))</f>
        <v>3520743.0735361832</v>
      </c>
      <c r="E19" s="218">
        <f>('GAAP Beg Depreciation'!M$122)*(Summary!$C$26/((SUM(Summary!$C$24:$C$27)+Summary!$C$38)))</f>
        <v>3513381.3642363325</v>
      </c>
      <c r="F19" s="218">
        <f>('GAAP Beg Depreciation'!N$122)*(Summary!$C$26/((SUM(Summary!$C$24:$C$27)+Summary!$C$38)))</f>
        <v>3486757.9703227337</v>
      </c>
      <c r="G19" s="218">
        <f>('GAAP Beg Depreciation'!O$122)*(Summary!$C$26/((SUM(Summary!$C$24:$C$27)+Summary!$C$38)))</f>
        <v>3486387.2871986646</v>
      </c>
      <c r="H19" s="218">
        <f>('GAAP Beg Depreciation'!P$122)*(Summary!$C$26/((SUM(Summary!$C$24:$C$27)+Summary!$C$38)))</f>
        <v>3486008.5342725101</v>
      </c>
      <c r="I19" s="218">
        <f>('GAAP Beg Depreciation'!Q$122)*(Summary!$C$26/((SUM(Summary!$C$24:$C$27)+Summary!$C$38)))</f>
        <v>3486008.5342725101</v>
      </c>
      <c r="J19" s="218">
        <f>('GAAP Beg Depreciation'!R$122)*(Summary!$C$26/((SUM(Summary!$C$24:$C$27)+Summary!$C$38)))</f>
        <v>2937597.4817081308</v>
      </c>
      <c r="K19" s="218">
        <f>('GAAP Beg Depreciation'!S$122)*(Summary!$C$26/((SUM(Summary!$C$24:$C$27)+Summary!$C$38)))</f>
        <v>2523732.15546851</v>
      </c>
      <c r="L19" s="218">
        <f>('GAAP Beg Depreciation'!T$122)*(Summary!$C$26/((SUM(Summary!$C$24:$C$27)+Summary!$C$38)))</f>
        <v>2326857.17100373</v>
      </c>
      <c r="M19" s="218">
        <f>('GAAP Beg Depreciation'!U$122)*(Summary!$C$26/((SUM(Summary!$C$24:$C$27)+Summary!$C$38)))</f>
        <v>2309766.6785585289</v>
      </c>
      <c r="N19" s="218">
        <f>('GAAP Beg Depreciation'!V$122)*(Summary!$C$26/((SUM(Summary!$C$24:$C$27)+Summary!$C$38)))</f>
        <v>2309766.6785585289</v>
      </c>
      <c r="O19" s="218">
        <f>('GAAP Beg Depreciation'!W$122)*(Summary!$C$26/((SUM(Summary!$C$24:$C$27)+Summary!$C$38)))</f>
        <v>2309766.6785585289</v>
      </c>
      <c r="P19" s="218">
        <f>('GAAP Beg Depreciation'!X$122)*(Summary!$C$26/((SUM(Summary!$C$24:$C$27)+Summary!$C$38)))</f>
        <v>1838382.244423609</v>
      </c>
      <c r="Q19" s="218">
        <f>('GAAP Beg Depreciation'!Y$122)*(Summary!$C$26/((SUM(Summary!$C$24:$C$27)+Summary!$C$38)))</f>
        <v>1194325.4425508676</v>
      </c>
      <c r="R19" s="218">
        <f>('GAAP Beg Depreciation'!Z$122)*(Summary!$C$26/((SUM(Summary!$C$24:$C$27)+Summary!$C$38)))</f>
        <v>215349.11226782491</v>
      </c>
      <c r="S19" s="218">
        <f>('GAAP Beg Depreciation'!AA$122)*(Summary!$C$26/((SUM(Summary!$C$24:$C$27)+Summary!$C$38)))</f>
        <v>153733.04076325311</v>
      </c>
      <c r="T19" s="218">
        <f>('GAAP Beg Depreciation'!AB$122)*(Summary!$C$26/((SUM(Summary!$C$24:$C$27)+Summary!$C$38)))</f>
        <v>149527.71026740293</v>
      </c>
      <c r="U19" s="218">
        <f>('GAAP Beg Depreciation'!AC$122)*(Summary!$C$26/((SUM(Summary!$C$24:$C$27)+Summary!$C$38)))</f>
        <v>149527.71026740293</v>
      </c>
      <c r="V19" s="218">
        <f>('GAAP Beg Depreciation'!AD$122)*(Summary!$C$26/((SUM(Summary!$C$24:$C$27)+Summary!$C$38)))</f>
        <v>145931.09822228694</v>
      </c>
      <c r="W19" s="218">
        <f>('GAAP Beg Depreciation'!AE$122)*(Summary!$C$26/((SUM(Summary!$C$24:$C$27)+Summary!$C$38)))</f>
        <v>134695.88732635163</v>
      </c>
      <c r="X19" s="218">
        <f>('GAAP Beg Depreciation'!AF$122)*(Summary!$C$26/((SUM(Summary!$C$24:$C$27)+Summary!$C$38)))</f>
        <v>130755.03523016095</v>
      </c>
      <c r="Y19" s="218">
        <f>('GAAP Beg Depreciation'!AG$122)*(Summary!$C$26/((SUM(Summary!$C$24:$C$27)+Summary!$C$38)))</f>
        <v>130755.03523016095</v>
      </c>
      <c r="Z19" s="218">
        <f>('GAAP Beg Depreciation'!AH$122)*(Summary!$C$26/((SUM(Summary!$C$24:$C$27)+Summary!$C$38)))</f>
        <v>130755.03523016095</v>
      </c>
      <c r="AA19" s="218">
        <f>('GAAP Beg Depreciation'!AI$122)*(Summary!$C$26/((SUM(Summary!$C$24:$C$27)+Summary!$C$38)))</f>
        <v>130755.03523016095</v>
      </c>
      <c r="AB19" s="218">
        <f>('GAAP Beg Depreciation'!AJ$122)*(Summary!$C$26/((SUM(Summary!$C$24:$C$27)+Summary!$C$38)))</f>
        <v>130755.03523016095</v>
      </c>
      <c r="AC19" s="218">
        <f>('GAAP Beg Depreciation'!AK$122)*(Summary!$C$26/((SUM(Summary!$C$24:$C$27)+Summary!$C$38)))</f>
        <v>130755.03523016095</v>
      </c>
      <c r="AD19" s="218">
        <f>('GAAP Beg Depreciation'!AL$122)*(Summary!$C$26/((SUM(Summary!$C$24:$C$27)+Summary!$C$38)))</f>
        <v>130755.03523016095</v>
      </c>
      <c r="AE19" s="218">
        <f>('GAAP Beg Depreciation'!AM$122)*(Summary!$C$26/((SUM(Summary!$C$24:$C$27)+Summary!$C$38)))</f>
        <v>130755.03523016095</v>
      </c>
      <c r="AF19" s="218">
        <f>('GAAP Beg Depreciation'!AN$122)*(Summary!$C$26/((SUM(Summary!$C$24:$C$27)+Summary!$C$38)))</f>
        <v>130755.03523016095</v>
      </c>
      <c r="AG19" s="218">
        <f>('GAAP Beg Depreciation'!AO$122)*(Summary!$C$26/((SUM(Summary!$C$24:$C$27)+Summary!$C$38)))</f>
        <v>1568.3336880187276</v>
      </c>
    </row>
    <row r="20" spans="1:33" x14ac:dyDescent="0.2">
      <c r="A20">
        <v>11</v>
      </c>
      <c r="B20" t="s">
        <v>65</v>
      </c>
      <c r="C20" s="218">
        <f>('GAAP Beg Depreciation'!K$122)*(Summary!$C$27/((SUM(Summary!$C$24:$C$27)+Summary!$C$38)))</f>
        <v>3520743.0735361832</v>
      </c>
      <c r="D20" s="218">
        <f>('GAAP Beg Depreciation'!L$122)*(Summary!$C$27/((SUM(Summary!$C$24:$C$27)+Summary!$C$38)))</f>
        <v>3520743.0735361832</v>
      </c>
      <c r="E20" s="218">
        <f>('GAAP Beg Depreciation'!M$122)*(Summary!$C$27/((SUM(Summary!$C$24:$C$27)+Summary!$C$38)))</f>
        <v>3513381.3642363325</v>
      </c>
      <c r="F20" s="218">
        <f>('GAAP Beg Depreciation'!N$122)*(Summary!$C$27/((SUM(Summary!$C$24:$C$27)+Summary!$C$38)))</f>
        <v>3486757.9703227337</v>
      </c>
      <c r="G20" s="218">
        <f>('GAAP Beg Depreciation'!O$122)*(Summary!$C$27/((SUM(Summary!$C$24:$C$27)+Summary!$C$38)))</f>
        <v>3486387.2871986646</v>
      </c>
      <c r="H20" s="218">
        <f>('GAAP Beg Depreciation'!P$122)*(Summary!$C$27/((SUM(Summary!$C$24:$C$27)+Summary!$C$38)))</f>
        <v>3486008.5342725101</v>
      </c>
      <c r="I20" s="218">
        <f>('GAAP Beg Depreciation'!Q$122)*(Summary!$C$27/((SUM(Summary!$C$24:$C$27)+Summary!$C$38)))</f>
        <v>3486008.5342725101</v>
      </c>
      <c r="J20" s="218">
        <f>('GAAP Beg Depreciation'!R$122)*(Summary!$C$27/((SUM(Summary!$C$24:$C$27)+Summary!$C$38)))</f>
        <v>2937597.4817081308</v>
      </c>
      <c r="K20" s="218">
        <f>('GAAP Beg Depreciation'!S$122)*(Summary!$C$27/((SUM(Summary!$C$24:$C$27)+Summary!$C$38)))</f>
        <v>2523732.15546851</v>
      </c>
      <c r="L20" s="218">
        <f>('GAAP Beg Depreciation'!T$122)*(Summary!$C$27/((SUM(Summary!$C$24:$C$27)+Summary!$C$38)))</f>
        <v>2326857.17100373</v>
      </c>
      <c r="M20" s="218">
        <f>('GAAP Beg Depreciation'!U$122)*(Summary!$C$27/((SUM(Summary!$C$24:$C$27)+Summary!$C$38)))</f>
        <v>2309766.6785585289</v>
      </c>
      <c r="N20" s="218">
        <f>('GAAP Beg Depreciation'!V$122)*(Summary!$C$27/((SUM(Summary!$C$24:$C$27)+Summary!$C$38)))</f>
        <v>2309766.6785585289</v>
      </c>
      <c r="O20" s="218">
        <f>('GAAP Beg Depreciation'!W$122)*(Summary!$C$27/((SUM(Summary!$C$24:$C$27)+Summary!$C$38)))</f>
        <v>2309766.6785585289</v>
      </c>
      <c r="P20" s="218">
        <f>('GAAP Beg Depreciation'!X$122)*(Summary!$C$27/((SUM(Summary!$C$24:$C$27)+Summary!$C$38)))</f>
        <v>1838382.244423609</v>
      </c>
      <c r="Q20" s="218">
        <f>('GAAP Beg Depreciation'!Y$122)*(Summary!$C$27/((SUM(Summary!$C$24:$C$27)+Summary!$C$38)))</f>
        <v>1194325.4425508676</v>
      </c>
      <c r="R20" s="218">
        <f>('GAAP Beg Depreciation'!Z$122)*(Summary!$C$27/((SUM(Summary!$C$24:$C$27)+Summary!$C$38)))</f>
        <v>215349.11226782491</v>
      </c>
      <c r="S20" s="218">
        <f>('GAAP Beg Depreciation'!AA$122)*(Summary!$C$27/((SUM(Summary!$C$24:$C$27)+Summary!$C$38)))</f>
        <v>153733.04076325311</v>
      </c>
      <c r="T20" s="218">
        <f>('GAAP Beg Depreciation'!AB$122)*(Summary!$C$27/((SUM(Summary!$C$24:$C$27)+Summary!$C$38)))</f>
        <v>149527.71026740293</v>
      </c>
      <c r="U20" s="218">
        <f>('GAAP Beg Depreciation'!AC$122)*(Summary!$C$27/((SUM(Summary!$C$24:$C$27)+Summary!$C$38)))</f>
        <v>149527.71026740293</v>
      </c>
      <c r="V20" s="218">
        <f>('GAAP Beg Depreciation'!AD$122)*(Summary!$C$27/((SUM(Summary!$C$24:$C$27)+Summary!$C$38)))</f>
        <v>145931.09822228694</v>
      </c>
      <c r="W20" s="218">
        <f>('GAAP Beg Depreciation'!AE$122)*(Summary!$C$27/((SUM(Summary!$C$24:$C$27)+Summary!$C$38)))</f>
        <v>134695.88732635163</v>
      </c>
      <c r="X20" s="218">
        <f>('GAAP Beg Depreciation'!AF$122)*(Summary!$C$27/((SUM(Summary!$C$24:$C$27)+Summary!$C$38)))</f>
        <v>130755.03523016095</v>
      </c>
      <c r="Y20" s="218">
        <f>('GAAP Beg Depreciation'!AG$122)*(Summary!$C$27/((SUM(Summary!$C$24:$C$27)+Summary!$C$38)))</f>
        <v>130755.03523016095</v>
      </c>
      <c r="Z20" s="218">
        <f>('GAAP Beg Depreciation'!AH$122)*(Summary!$C$27/((SUM(Summary!$C$24:$C$27)+Summary!$C$38)))</f>
        <v>130755.03523016095</v>
      </c>
      <c r="AA20" s="218">
        <f>('GAAP Beg Depreciation'!AI$122)*(Summary!$C$27/((SUM(Summary!$C$24:$C$27)+Summary!$C$38)))</f>
        <v>130755.03523016095</v>
      </c>
      <c r="AB20" s="218">
        <f>('GAAP Beg Depreciation'!AJ$122)*(Summary!$C$27/((SUM(Summary!$C$24:$C$27)+Summary!$C$38)))</f>
        <v>130755.03523016095</v>
      </c>
      <c r="AC20" s="218">
        <f>('GAAP Beg Depreciation'!AK$122)*(Summary!$C$27/((SUM(Summary!$C$24:$C$27)+Summary!$C$38)))</f>
        <v>130755.03523016095</v>
      </c>
      <c r="AD20" s="218">
        <f>('GAAP Beg Depreciation'!AL$122)*(Summary!$C$27/((SUM(Summary!$C$24:$C$27)+Summary!$C$38)))</f>
        <v>130755.03523016095</v>
      </c>
      <c r="AE20" s="218">
        <f>('GAAP Beg Depreciation'!AM$122)*(Summary!$C$27/((SUM(Summary!$C$24:$C$27)+Summary!$C$38)))</f>
        <v>130755.03523016095</v>
      </c>
      <c r="AF20" s="218">
        <f>('GAAP Beg Depreciation'!AN$122)*(Summary!$C$27/((SUM(Summary!$C$24:$C$27)+Summary!$C$38)))</f>
        <v>130755.03523016095</v>
      </c>
      <c r="AG20" s="218">
        <f>('GAAP Beg Depreciation'!AO$122)*(Summary!$C$27/((SUM(Summary!$C$24:$C$27)+Summary!$C$38)))</f>
        <v>1568.3336880187276</v>
      </c>
    </row>
    <row r="21" spans="1:33" x14ac:dyDescent="0.2">
      <c r="A21">
        <v>12</v>
      </c>
      <c r="B21" t="s">
        <v>66</v>
      </c>
      <c r="C21" s="218">
        <f>('GAAP Beg Depreciation'!K$121)*(Summary!$C$28/((SUM(Summary!$C$28:$C$33)+SUM(Summary!$C$39:$C$42))))</f>
        <v>1049646.4935020462</v>
      </c>
      <c r="D21" s="218">
        <f>('GAAP Beg Depreciation'!L$121)*(Summary!$C$28/((SUM(Summary!$C$28:$C$33)+SUM(Summary!$C$39:$C$42))))</f>
        <v>1049646.4935020462</v>
      </c>
      <c r="E21" s="218">
        <f>('GAAP Beg Depreciation'!M$121)*(Summary!$C$28/((SUM(Summary!$C$28:$C$33)+SUM(Summary!$C$39:$C$42))))</f>
        <v>1047736.6880422897</v>
      </c>
      <c r="F21" s="218">
        <f>('GAAP Beg Depreciation'!N$121)*(Summary!$C$28/((SUM(Summary!$C$28:$C$33)+SUM(Summary!$C$39:$C$42))))</f>
        <v>1040829.9356859489</v>
      </c>
      <c r="G21" s="218">
        <f>('GAAP Beg Depreciation'!O$121)*(Summary!$C$28/((SUM(Summary!$C$28:$C$33)+SUM(Summary!$C$39:$C$42))))</f>
        <v>1011182.9778698517</v>
      </c>
      <c r="H21" s="218">
        <f>('GAAP Beg Depreciation'!P$121)*(Summary!$C$28/((SUM(Summary!$C$28:$C$33)+SUM(Summary!$C$39:$C$42))))</f>
        <v>926065.59141117567</v>
      </c>
      <c r="I21" s="218">
        <f>('GAAP Beg Depreciation'!Q$121)*(Summary!$C$28/((SUM(Summary!$C$28:$C$33)+SUM(Summary!$C$39:$C$42))))</f>
        <v>926065.59141117567</v>
      </c>
      <c r="J21" s="218">
        <f>('GAAP Beg Depreciation'!R$121)*(Summary!$C$28/((SUM(Summary!$C$28:$C$33)+SUM(Summary!$C$39:$C$42))))</f>
        <v>517427.09452633769</v>
      </c>
      <c r="K21" s="218">
        <f>('GAAP Beg Depreciation'!S$121)*(Summary!$C$28/((SUM(Summary!$C$28:$C$33)+SUM(Summary!$C$39:$C$42))))</f>
        <v>162332.76872640388</v>
      </c>
      <c r="L21" s="218">
        <f>('GAAP Beg Depreciation'!T$121)*(Summary!$C$28/((SUM(Summary!$C$28:$C$33)+SUM(Summary!$C$39:$C$42))))</f>
        <v>161975.49187633576</v>
      </c>
      <c r="M21" s="218">
        <f>('GAAP Beg Depreciation'!U$121)*(Summary!$C$28/((SUM(Summary!$C$28:$C$33)+SUM(Summary!$C$39:$C$42))))</f>
        <v>148423.90279584925</v>
      </c>
      <c r="N21" s="218">
        <f>('GAAP Beg Depreciation'!V$121)*(Summary!$C$28/((SUM(Summary!$C$28:$C$33)+SUM(Summary!$C$39:$C$42))))</f>
        <v>46354.760475687362</v>
      </c>
      <c r="O21" s="218">
        <f>('GAAP Beg Depreciation'!W$121)*(Summary!$C$28/((SUM(Summary!$C$28:$C$33)+SUM(Summary!$C$39:$C$42))))</f>
        <v>46354.760475687362</v>
      </c>
      <c r="P21" s="218">
        <f>('GAAP Beg Depreciation'!X$121)*(Summary!$C$28/((SUM(Summary!$C$28:$C$33)+SUM(Summary!$C$39:$C$42))))</f>
        <v>46354.760475687362</v>
      </c>
      <c r="Q21" s="218">
        <f>('GAAP Beg Depreciation'!Y$121)*(Summary!$C$28/((SUM(Summary!$C$28:$C$33)+SUM(Summary!$C$39:$C$42))))</f>
        <v>46354.760475687362</v>
      </c>
      <c r="R21" s="218">
        <f>('GAAP Beg Depreciation'!Z$121)*(Summary!$C$28/((SUM(Summary!$C$28:$C$33)+SUM(Summary!$C$39:$C$42))))</f>
        <v>46354.760475687362</v>
      </c>
      <c r="S21" s="218">
        <f>('GAAP Beg Depreciation'!AA$121)*(Summary!$C$28/((SUM(Summary!$C$28:$C$33)+SUM(Summary!$C$39:$C$42))))</f>
        <v>45711.785105673735</v>
      </c>
      <c r="T21" s="218">
        <f>('GAAP Beg Depreciation'!AB$121)*(Summary!$C$28/((SUM(Summary!$C$28:$C$33)+SUM(Summary!$C$39:$C$42))))</f>
        <v>43973.55669802444</v>
      </c>
      <c r="U21" s="218">
        <f>('GAAP Beg Depreciation'!AC$121)*(Summary!$C$28/((SUM(Summary!$C$28:$C$33)+SUM(Summary!$C$39:$C$42))))</f>
        <v>43973.55669802444</v>
      </c>
      <c r="V21" s="218">
        <f>('GAAP Beg Depreciation'!AD$121)*(Summary!$C$28/((SUM(Summary!$C$28:$C$33)+SUM(Summary!$C$39:$C$42))))</f>
        <v>43973.55669802444</v>
      </c>
      <c r="W21" s="218">
        <f>('GAAP Beg Depreciation'!AE$121)*(Summary!$C$28/((SUM(Summary!$C$28:$C$33)+SUM(Summary!$C$39:$C$42))))</f>
        <v>43973.55669802444</v>
      </c>
      <c r="X21" s="218">
        <f>('GAAP Beg Depreciation'!AF$121)*(Summary!$C$28/((SUM(Summary!$C$28:$C$33)+SUM(Summary!$C$39:$C$42))))</f>
        <v>43973.55669802444</v>
      </c>
      <c r="Y21" s="218">
        <f>('GAAP Beg Depreciation'!AG$121)*(Summary!$C$28/((SUM(Summary!$C$28:$C$33)+SUM(Summary!$C$39:$C$42))))</f>
        <v>43973.55669802444</v>
      </c>
      <c r="Z21" s="218">
        <f>('GAAP Beg Depreciation'!AH$121)*(Summary!$C$28/((SUM(Summary!$C$28:$C$33)+SUM(Summary!$C$39:$C$42))))</f>
        <v>43566.938570880717</v>
      </c>
      <c r="AA21" s="218">
        <f>('GAAP Beg Depreciation'!AI$121)*(Summary!$C$28/((SUM(Summary!$C$28:$C$33)+SUM(Summary!$C$39:$C$42))))</f>
        <v>40980.467377909794</v>
      </c>
      <c r="AB21" s="218">
        <f>('GAAP Beg Depreciation'!AJ$121)*(Summary!$C$28/((SUM(Summary!$C$28:$C$33)+SUM(Summary!$C$39:$C$42))))</f>
        <v>40980.467377909794</v>
      </c>
      <c r="AC21" s="218">
        <f>('GAAP Beg Depreciation'!AK$121)*(Summary!$C$28/((SUM(Summary!$C$28:$C$33)+SUM(Summary!$C$39:$C$42))))</f>
        <v>40980.467377909794</v>
      </c>
      <c r="AD21" s="218">
        <f>('GAAP Beg Depreciation'!AL$121)*(Summary!$C$28/((SUM(Summary!$C$28:$C$33)+SUM(Summary!$C$39:$C$42))))</f>
        <v>40980.467377909794</v>
      </c>
      <c r="AE21" s="218">
        <f>('GAAP Beg Depreciation'!AM$121)*(Summary!$C$28/((SUM(Summary!$C$28:$C$33)+SUM(Summary!$C$39:$C$42))))</f>
        <v>40980.467377909794</v>
      </c>
      <c r="AF21" s="218">
        <f>('GAAP Beg Depreciation'!AN$121)*(Summary!$C$28/((SUM(Summary!$C$28:$C$33)+SUM(Summary!$C$39:$C$42))))</f>
        <v>40980.467377909794</v>
      </c>
      <c r="AG21" s="218">
        <f>('GAAP Beg Depreciation'!AO$121)*(Summary!$C$28/((SUM(Summary!$C$28:$C$33)+SUM(Summary!$C$39:$C$42))))</f>
        <v>1129.254334445332</v>
      </c>
    </row>
    <row r="22" spans="1:33" x14ac:dyDescent="0.2">
      <c r="A22">
        <v>13</v>
      </c>
      <c r="B22" t="s">
        <v>67</v>
      </c>
      <c r="C22" s="218">
        <f>('GAAP Beg Depreciation'!K$121)*(Summary!$C$29/((SUM(Summary!$C$28:$C$33)+SUM(Summary!$C$39:$C$42))))</f>
        <v>1049646.4935020462</v>
      </c>
      <c r="D22" s="218">
        <f>('GAAP Beg Depreciation'!L$121)*(Summary!$C$29/((SUM(Summary!$C$28:$C$33)+SUM(Summary!$C$39:$C$42))))</f>
        <v>1049646.4935020462</v>
      </c>
      <c r="E22" s="218">
        <f>('GAAP Beg Depreciation'!M$121)*(Summary!$C$29/((SUM(Summary!$C$28:$C$33)+SUM(Summary!$C$39:$C$42))))</f>
        <v>1047736.6880422897</v>
      </c>
      <c r="F22" s="218">
        <f>('GAAP Beg Depreciation'!N$121)*(Summary!$C$29/((SUM(Summary!$C$28:$C$33)+SUM(Summary!$C$39:$C$42))))</f>
        <v>1040829.9356859489</v>
      </c>
      <c r="G22" s="218">
        <f>('GAAP Beg Depreciation'!O$121)*(Summary!$C$29/((SUM(Summary!$C$28:$C$33)+SUM(Summary!$C$39:$C$42))))</f>
        <v>1011182.9778698517</v>
      </c>
      <c r="H22" s="218">
        <f>('GAAP Beg Depreciation'!P$121)*(Summary!$C$29/((SUM(Summary!$C$28:$C$33)+SUM(Summary!$C$39:$C$42))))</f>
        <v>926065.59141117567</v>
      </c>
      <c r="I22" s="218">
        <f>('GAAP Beg Depreciation'!Q$121)*(Summary!$C$29/((SUM(Summary!$C$28:$C$33)+SUM(Summary!$C$39:$C$42))))</f>
        <v>926065.59141117567</v>
      </c>
      <c r="J22" s="218">
        <f>('GAAP Beg Depreciation'!R$121)*(Summary!$C$29/((SUM(Summary!$C$28:$C$33)+SUM(Summary!$C$39:$C$42))))</f>
        <v>517427.09452633769</v>
      </c>
      <c r="K22" s="218">
        <f>('GAAP Beg Depreciation'!S$121)*(Summary!$C$29/((SUM(Summary!$C$28:$C$33)+SUM(Summary!$C$39:$C$42))))</f>
        <v>162332.76872640388</v>
      </c>
      <c r="L22" s="218">
        <f>('GAAP Beg Depreciation'!T$121)*(Summary!$C$29/((SUM(Summary!$C$28:$C$33)+SUM(Summary!$C$39:$C$42))))</f>
        <v>161975.49187633576</v>
      </c>
      <c r="M22" s="218">
        <f>('GAAP Beg Depreciation'!U$121)*(Summary!$C$29/((SUM(Summary!$C$28:$C$33)+SUM(Summary!$C$39:$C$42))))</f>
        <v>148423.90279584925</v>
      </c>
      <c r="N22" s="218">
        <f>('GAAP Beg Depreciation'!V$121)*(Summary!$C$29/((SUM(Summary!$C$28:$C$33)+SUM(Summary!$C$39:$C$42))))</f>
        <v>46354.760475687362</v>
      </c>
      <c r="O22" s="218">
        <f>('GAAP Beg Depreciation'!W$121)*(Summary!$C$29/((SUM(Summary!$C$28:$C$33)+SUM(Summary!$C$39:$C$42))))</f>
        <v>46354.760475687362</v>
      </c>
      <c r="P22" s="218">
        <f>('GAAP Beg Depreciation'!X$121)*(Summary!$C$29/((SUM(Summary!$C$28:$C$33)+SUM(Summary!$C$39:$C$42))))</f>
        <v>46354.760475687362</v>
      </c>
      <c r="Q22" s="218">
        <f>('GAAP Beg Depreciation'!Y$121)*(Summary!$C$29/((SUM(Summary!$C$28:$C$33)+SUM(Summary!$C$39:$C$42))))</f>
        <v>46354.760475687362</v>
      </c>
      <c r="R22" s="218">
        <f>('GAAP Beg Depreciation'!Z$121)*(Summary!$C$29/((SUM(Summary!$C$28:$C$33)+SUM(Summary!$C$39:$C$42))))</f>
        <v>46354.760475687362</v>
      </c>
      <c r="S22" s="218">
        <f>('GAAP Beg Depreciation'!AA$121)*(Summary!$C$29/((SUM(Summary!$C$28:$C$33)+SUM(Summary!$C$39:$C$42))))</f>
        <v>45711.785105673735</v>
      </c>
      <c r="T22" s="218">
        <f>('GAAP Beg Depreciation'!AB$121)*(Summary!$C$29/((SUM(Summary!$C$28:$C$33)+SUM(Summary!$C$39:$C$42))))</f>
        <v>43973.55669802444</v>
      </c>
      <c r="U22" s="218">
        <f>('GAAP Beg Depreciation'!AC$121)*(Summary!$C$29/((SUM(Summary!$C$28:$C$33)+SUM(Summary!$C$39:$C$42))))</f>
        <v>43973.55669802444</v>
      </c>
      <c r="V22" s="218">
        <f>('GAAP Beg Depreciation'!AD$121)*(Summary!$C$29/((SUM(Summary!$C$28:$C$33)+SUM(Summary!$C$39:$C$42))))</f>
        <v>43973.55669802444</v>
      </c>
      <c r="W22" s="218">
        <f>('GAAP Beg Depreciation'!AE$121)*(Summary!$C$29/((SUM(Summary!$C$28:$C$33)+SUM(Summary!$C$39:$C$42))))</f>
        <v>43973.55669802444</v>
      </c>
      <c r="X22" s="218">
        <f>('GAAP Beg Depreciation'!AF$121)*(Summary!$C$29/((SUM(Summary!$C$28:$C$33)+SUM(Summary!$C$39:$C$42))))</f>
        <v>43973.55669802444</v>
      </c>
      <c r="Y22" s="218">
        <f>('GAAP Beg Depreciation'!AG$121)*(Summary!$C$29/((SUM(Summary!$C$28:$C$33)+SUM(Summary!$C$39:$C$42))))</f>
        <v>43973.55669802444</v>
      </c>
      <c r="Z22" s="218">
        <f>('GAAP Beg Depreciation'!AH$121)*(Summary!$C$29/((SUM(Summary!$C$28:$C$33)+SUM(Summary!$C$39:$C$42))))</f>
        <v>43566.938570880717</v>
      </c>
      <c r="AA22" s="218">
        <f>('GAAP Beg Depreciation'!AI$121)*(Summary!$C$29/((SUM(Summary!$C$28:$C$33)+SUM(Summary!$C$39:$C$42))))</f>
        <v>40980.467377909794</v>
      </c>
      <c r="AB22" s="218">
        <f>('GAAP Beg Depreciation'!AJ$121)*(Summary!$C$29/((SUM(Summary!$C$28:$C$33)+SUM(Summary!$C$39:$C$42))))</f>
        <v>40980.467377909794</v>
      </c>
      <c r="AC22" s="218">
        <f>('GAAP Beg Depreciation'!AK$121)*(Summary!$C$29/((SUM(Summary!$C$28:$C$33)+SUM(Summary!$C$39:$C$42))))</f>
        <v>40980.467377909794</v>
      </c>
      <c r="AD22" s="218">
        <f>('GAAP Beg Depreciation'!AL$121)*(Summary!$C$29/((SUM(Summary!$C$28:$C$33)+SUM(Summary!$C$39:$C$42))))</f>
        <v>40980.467377909794</v>
      </c>
      <c r="AE22" s="218">
        <f>('GAAP Beg Depreciation'!AM$121)*(Summary!$C$29/((SUM(Summary!$C$28:$C$33)+SUM(Summary!$C$39:$C$42))))</f>
        <v>40980.467377909794</v>
      </c>
      <c r="AF22" s="218">
        <f>('GAAP Beg Depreciation'!AN$121)*(Summary!$C$29/((SUM(Summary!$C$28:$C$33)+SUM(Summary!$C$39:$C$42))))</f>
        <v>40980.467377909794</v>
      </c>
      <c r="AG22" s="218">
        <f>('GAAP Beg Depreciation'!AO$121)*(Summary!$C$29/((SUM(Summary!$C$28:$C$33)+SUM(Summary!$C$39:$C$42))))</f>
        <v>1129.254334445332</v>
      </c>
    </row>
    <row r="23" spans="1:33" x14ac:dyDescent="0.2">
      <c r="A23">
        <v>14</v>
      </c>
      <c r="B23" t="s">
        <v>70</v>
      </c>
      <c r="C23" s="218">
        <f>('GAAP Beg Depreciation'!K$121)*(Summary!$C$30/((SUM(Summary!$C$28:$C$33)+SUM(Summary!$C$39:$C$42))))</f>
        <v>1429305.863492148</v>
      </c>
      <c r="D23" s="218">
        <f>('GAAP Beg Depreciation'!L$121)*(Summary!$C$30/((SUM(Summary!$C$28:$C$33)+SUM(Summary!$C$39:$C$42))))</f>
        <v>1429305.863492148</v>
      </c>
      <c r="E23" s="218">
        <f>('GAAP Beg Depreciation'!M$121)*(Summary!$C$30/((SUM(Summary!$C$28:$C$33)+SUM(Summary!$C$39:$C$42))))</f>
        <v>1426705.2773341816</v>
      </c>
      <c r="F23" s="218">
        <f>('GAAP Beg Depreciation'!N$121)*(Summary!$C$30/((SUM(Summary!$C$28:$C$33)+SUM(Summary!$C$39:$C$42))))</f>
        <v>1417300.3379553347</v>
      </c>
      <c r="G23" s="218">
        <f>('GAAP Beg Depreciation'!O$121)*(Summary!$C$30/((SUM(Summary!$C$28:$C$33)+SUM(Summary!$C$39:$C$42))))</f>
        <v>1376930.0124185213</v>
      </c>
      <c r="H23" s="218">
        <f>('GAAP Beg Depreciation'!P$121)*(Summary!$C$30/((SUM(Summary!$C$28:$C$33)+SUM(Summary!$C$39:$C$42))))</f>
        <v>1261025.4861769199</v>
      </c>
      <c r="I23" s="218">
        <f>('GAAP Beg Depreciation'!Q$121)*(Summary!$C$30/((SUM(Summary!$C$28:$C$33)+SUM(Summary!$C$39:$C$42))))</f>
        <v>1261025.4861769199</v>
      </c>
      <c r="J23" s="218">
        <f>('GAAP Beg Depreciation'!R$121)*(Summary!$C$30/((SUM(Summary!$C$28:$C$33)+SUM(Summary!$C$39:$C$42))))</f>
        <v>704581.57552522572</v>
      </c>
      <c r="K23" s="218">
        <f>('GAAP Beg Depreciation'!S$121)*(Summary!$C$30/((SUM(Summary!$C$28:$C$33)+SUM(Summary!$C$39:$C$42))))</f>
        <v>221048.8765636138</v>
      </c>
      <c r="L23" s="218">
        <f>('GAAP Beg Depreciation'!T$121)*(Summary!$C$30/((SUM(Summary!$C$28:$C$33)+SUM(Summary!$C$39:$C$42))))</f>
        <v>220562.37191671252</v>
      </c>
      <c r="M23" s="218">
        <f>('GAAP Beg Depreciation'!U$121)*(Summary!$C$30/((SUM(Summary!$C$28:$C$33)+SUM(Summary!$C$39:$C$42))))</f>
        <v>202109.14423264578</v>
      </c>
      <c r="N23" s="218">
        <f>('GAAP Beg Depreciation'!V$121)*(Summary!$C$30/((SUM(Summary!$C$28:$C$33)+SUM(Summary!$C$39:$C$42))))</f>
        <v>63121.375966893429</v>
      </c>
      <c r="O23" s="218">
        <f>('GAAP Beg Depreciation'!W$121)*(Summary!$C$30/((SUM(Summary!$C$28:$C$33)+SUM(Summary!$C$39:$C$42))))</f>
        <v>63121.375966893429</v>
      </c>
      <c r="P23" s="218">
        <f>('GAAP Beg Depreciation'!X$121)*(Summary!$C$30/((SUM(Summary!$C$28:$C$33)+SUM(Summary!$C$39:$C$42))))</f>
        <v>63121.375966893429</v>
      </c>
      <c r="Q23" s="218">
        <f>('GAAP Beg Depreciation'!Y$121)*(Summary!$C$30/((SUM(Summary!$C$28:$C$33)+SUM(Summary!$C$39:$C$42))))</f>
        <v>63121.375966893429</v>
      </c>
      <c r="R23" s="218">
        <f>('GAAP Beg Depreciation'!Z$121)*(Summary!$C$30/((SUM(Summary!$C$28:$C$33)+SUM(Summary!$C$39:$C$42))))</f>
        <v>63121.375966893429</v>
      </c>
      <c r="S23" s="218">
        <f>('GAAP Beg Depreciation'!AA$121)*(Summary!$C$30/((SUM(Summary!$C$28:$C$33)+SUM(Summary!$C$39:$C$42))))</f>
        <v>62245.83503751317</v>
      </c>
      <c r="T23" s="218">
        <f>('GAAP Beg Depreciation'!AB$121)*(Summary!$C$30/((SUM(Summary!$C$28:$C$33)+SUM(Summary!$C$39:$C$42))))</f>
        <v>59878.885716458812</v>
      </c>
      <c r="U23" s="218">
        <f>('GAAP Beg Depreciation'!AC$121)*(Summary!$C$30/((SUM(Summary!$C$28:$C$33)+SUM(Summary!$C$39:$C$42))))</f>
        <v>59878.885716458812</v>
      </c>
      <c r="V23" s="218">
        <f>('GAAP Beg Depreciation'!AD$121)*(Summary!$C$30/((SUM(Summary!$C$28:$C$33)+SUM(Summary!$C$39:$C$42))))</f>
        <v>59878.885716458812</v>
      </c>
      <c r="W23" s="218">
        <f>('GAAP Beg Depreciation'!AE$121)*(Summary!$C$30/((SUM(Summary!$C$28:$C$33)+SUM(Summary!$C$39:$C$42))))</f>
        <v>59878.885716458812</v>
      </c>
      <c r="X23" s="218">
        <f>('GAAP Beg Depreciation'!AF$121)*(Summary!$C$30/((SUM(Summary!$C$28:$C$33)+SUM(Summary!$C$39:$C$42))))</f>
        <v>59878.885716458812</v>
      </c>
      <c r="Y23" s="218">
        <f>('GAAP Beg Depreciation'!AG$121)*(Summary!$C$30/((SUM(Summary!$C$28:$C$33)+SUM(Summary!$C$39:$C$42))))</f>
        <v>59878.885716458812</v>
      </c>
      <c r="Z23" s="218">
        <f>('GAAP Beg Depreciation'!AH$121)*(Summary!$C$30/((SUM(Summary!$C$28:$C$33)+SUM(Summary!$C$39:$C$42))))</f>
        <v>59325.192947582247</v>
      </c>
      <c r="AA23" s="218">
        <f>('GAAP Beg Depreciation'!AI$121)*(Summary!$C$30/((SUM(Summary!$C$28:$C$33)+SUM(Summary!$C$39:$C$42))))</f>
        <v>55803.189620983547</v>
      </c>
      <c r="AB23" s="218">
        <f>('GAAP Beg Depreciation'!AJ$121)*(Summary!$C$30/((SUM(Summary!$C$28:$C$33)+SUM(Summary!$C$39:$C$42))))</f>
        <v>55803.189620983547</v>
      </c>
      <c r="AC23" s="218">
        <f>('GAAP Beg Depreciation'!AK$121)*(Summary!$C$30/((SUM(Summary!$C$28:$C$33)+SUM(Summary!$C$39:$C$42))))</f>
        <v>55803.189620983547</v>
      </c>
      <c r="AD23" s="218">
        <f>('GAAP Beg Depreciation'!AL$121)*(Summary!$C$30/((SUM(Summary!$C$28:$C$33)+SUM(Summary!$C$39:$C$42))))</f>
        <v>55803.189620983547</v>
      </c>
      <c r="AE23" s="218">
        <f>('GAAP Beg Depreciation'!AM$121)*(Summary!$C$30/((SUM(Summary!$C$28:$C$33)+SUM(Summary!$C$39:$C$42))))</f>
        <v>55803.189620983547</v>
      </c>
      <c r="AF23" s="218">
        <f>('GAAP Beg Depreciation'!AN$121)*(Summary!$C$30/((SUM(Summary!$C$28:$C$33)+SUM(Summary!$C$39:$C$42))))</f>
        <v>55803.189620983547</v>
      </c>
      <c r="AG23" s="218">
        <f>('GAAP Beg Depreciation'!AO$121)*(Summary!$C$30/((SUM(Summary!$C$28:$C$33)+SUM(Summary!$C$39:$C$42))))</f>
        <v>1537.7080298830051</v>
      </c>
    </row>
    <row r="24" spans="1:33" x14ac:dyDescent="0.2">
      <c r="A24">
        <v>15</v>
      </c>
      <c r="B24" t="s">
        <v>68</v>
      </c>
      <c r="C24" s="218">
        <f>('GAAP Beg Depreciation'!K$121)*(Summary!$C$31/((SUM(Summary!$C$28:$C$33)+SUM(Summary!$C$39:$C$42))))</f>
        <v>1674967.8087798611</v>
      </c>
      <c r="D24" s="218">
        <f>('GAAP Beg Depreciation'!L$121)*(Summary!$C$31/((SUM(Summary!$C$28:$C$33)+SUM(Summary!$C$39:$C$42))))</f>
        <v>1674967.8087798611</v>
      </c>
      <c r="E24" s="218">
        <f>('GAAP Beg Depreciation'!M$121)*(Summary!$C$31/((SUM(Summary!$C$28:$C$33)+SUM(Summary!$C$39:$C$42))))</f>
        <v>1671920.2468759944</v>
      </c>
      <c r="F24" s="218">
        <f>('GAAP Beg Depreciation'!N$121)*(Summary!$C$31/((SUM(Summary!$C$28:$C$33)+SUM(Summary!$C$39:$C$42))))</f>
        <v>1660898.8335414079</v>
      </c>
      <c r="G24" s="218">
        <f>('GAAP Beg Depreciation'!O$121)*(Summary!$C$31/((SUM(Summary!$C$28:$C$33)+SUM(Summary!$C$39:$C$42))))</f>
        <v>1613589.8583029548</v>
      </c>
      <c r="H24" s="218">
        <f>('GAAP Beg Depreciation'!P$121)*(Summary!$C$31/((SUM(Summary!$C$28:$C$33)+SUM(Summary!$C$39:$C$42))))</f>
        <v>1477764.2416135783</v>
      </c>
      <c r="I24" s="218">
        <f>('GAAP Beg Depreciation'!Q$121)*(Summary!$C$31/((SUM(Summary!$C$28:$C$33)+SUM(Summary!$C$39:$C$42))))</f>
        <v>1477764.2416135783</v>
      </c>
      <c r="J24" s="218">
        <f>('GAAP Beg Depreciation'!R$121)*(Summary!$C$31/((SUM(Summary!$C$28:$C$33)+SUM(Summary!$C$39:$C$42))))</f>
        <v>825681.53381862398</v>
      </c>
      <c r="K24" s="218">
        <f>('GAAP Beg Depreciation'!S$121)*(Summary!$C$31/((SUM(Summary!$C$28:$C$33)+SUM(Summary!$C$39:$C$42))))</f>
        <v>259041.65222298494</v>
      </c>
      <c r="L24" s="218">
        <f>('GAAP Beg Depreciation'!T$121)*(Summary!$C$31/((SUM(Summary!$C$28:$C$33)+SUM(Summary!$C$39:$C$42))))</f>
        <v>258471.52958989752</v>
      </c>
      <c r="M24" s="218">
        <f>('GAAP Beg Depreciation'!U$121)*(Summary!$C$31/((SUM(Summary!$C$28:$C$33)+SUM(Summary!$C$39:$C$42))))</f>
        <v>236846.6533976318</v>
      </c>
      <c r="N24" s="218">
        <f>('GAAP Beg Depreciation'!V$121)*(Summary!$C$31/((SUM(Summary!$C$28:$C$33)+SUM(Summary!$C$39:$C$42))))</f>
        <v>73970.362461203244</v>
      </c>
      <c r="O24" s="218">
        <f>('GAAP Beg Depreciation'!W$121)*(Summary!$C$31/((SUM(Summary!$C$28:$C$33)+SUM(Summary!$C$39:$C$42))))</f>
        <v>73970.362461203244</v>
      </c>
      <c r="P24" s="218">
        <f>('GAAP Beg Depreciation'!X$121)*(Summary!$C$31/((SUM(Summary!$C$28:$C$33)+SUM(Summary!$C$39:$C$42))))</f>
        <v>73970.362461203244</v>
      </c>
      <c r="Q24" s="218">
        <f>('GAAP Beg Depreciation'!Y$121)*(Summary!$C$31/((SUM(Summary!$C$28:$C$33)+SUM(Summary!$C$39:$C$42))))</f>
        <v>73970.362461203244</v>
      </c>
      <c r="R24" s="218">
        <f>('GAAP Beg Depreciation'!Z$121)*(Summary!$C$31/((SUM(Summary!$C$28:$C$33)+SUM(Summary!$C$39:$C$42))))</f>
        <v>73970.362461203244</v>
      </c>
      <c r="S24" s="218">
        <f>('GAAP Beg Depreciation'!AA$121)*(Summary!$C$31/((SUM(Summary!$C$28:$C$33)+SUM(Summary!$C$39:$C$42))))</f>
        <v>72944.337934585754</v>
      </c>
      <c r="T24" s="218">
        <f>('GAAP Beg Depreciation'!AB$121)*(Summary!$C$31/((SUM(Summary!$C$28:$C$33)+SUM(Summary!$C$39:$C$42))))</f>
        <v>70170.569198975179</v>
      </c>
      <c r="U24" s="218">
        <f>('GAAP Beg Depreciation'!AC$121)*(Summary!$C$31/((SUM(Summary!$C$28:$C$33)+SUM(Summary!$C$39:$C$42))))</f>
        <v>70170.569198975179</v>
      </c>
      <c r="V24" s="218">
        <f>('GAAP Beg Depreciation'!AD$121)*(Summary!$C$31/((SUM(Summary!$C$28:$C$33)+SUM(Summary!$C$39:$C$42))))</f>
        <v>70170.569198975179</v>
      </c>
      <c r="W24" s="218">
        <f>('GAAP Beg Depreciation'!AE$121)*(Summary!$C$31/((SUM(Summary!$C$28:$C$33)+SUM(Summary!$C$39:$C$42))))</f>
        <v>70170.569198975179</v>
      </c>
      <c r="X24" s="218">
        <f>('GAAP Beg Depreciation'!AF$121)*(Summary!$C$31/((SUM(Summary!$C$28:$C$33)+SUM(Summary!$C$39:$C$42))))</f>
        <v>70170.569198975179</v>
      </c>
      <c r="Y24" s="218">
        <f>('GAAP Beg Depreciation'!AG$121)*(Summary!$C$31/((SUM(Summary!$C$28:$C$33)+SUM(Summary!$C$39:$C$42))))</f>
        <v>70170.569198975179</v>
      </c>
      <c r="Z24" s="218">
        <f>('GAAP Beg Depreciation'!AH$121)*(Summary!$C$31/((SUM(Summary!$C$28:$C$33)+SUM(Summary!$C$39:$C$42))))</f>
        <v>69521.710485447955</v>
      </c>
      <c r="AA24" s="218">
        <f>('GAAP Beg Depreciation'!AI$121)*(Summary!$C$31/((SUM(Summary!$C$28:$C$33)+SUM(Summary!$C$39:$C$42))))</f>
        <v>65394.362837090106</v>
      </c>
      <c r="AB24" s="218">
        <f>('GAAP Beg Depreciation'!AJ$121)*(Summary!$C$31/((SUM(Summary!$C$28:$C$33)+SUM(Summary!$C$39:$C$42))))</f>
        <v>65394.362837090106</v>
      </c>
      <c r="AC24" s="218">
        <f>('GAAP Beg Depreciation'!AK$121)*(Summary!$C$31/((SUM(Summary!$C$28:$C$33)+SUM(Summary!$C$39:$C$42))))</f>
        <v>65394.362837090106</v>
      </c>
      <c r="AD24" s="218">
        <f>('GAAP Beg Depreciation'!AL$121)*(Summary!$C$31/((SUM(Summary!$C$28:$C$33)+SUM(Summary!$C$39:$C$42))))</f>
        <v>65394.362837090106</v>
      </c>
      <c r="AE24" s="218">
        <f>('GAAP Beg Depreciation'!AM$121)*(Summary!$C$31/((SUM(Summary!$C$28:$C$33)+SUM(Summary!$C$39:$C$42))))</f>
        <v>65394.362837090106</v>
      </c>
      <c r="AF24" s="218">
        <f>('GAAP Beg Depreciation'!AN$121)*(Summary!$C$31/((SUM(Summary!$C$28:$C$33)+SUM(Summary!$C$39:$C$42))))</f>
        <v>65394.362837090106</v>
      </c>
      <c r="AG24" s="218">
        <f>('GAAP Beg Depreciation'!AO$121)*(Summary!$C$31/((SUM(Summary!$C$28:$C$33)+SUM(Summary!$C$39:$C$42))))</f>
        <v>1802.0015975191468</v>
      </c>
    </row>
    <row r="25" spans="1:33" x14ac:dyDescent="0.2">
      <c r="A25">
        <v>16</v>
      </c>
      <c r="B25" t="s">
        <v>69</v>
      </c>
      <c r="C25" s="218">
        <f>('GAAP Beg Depreciation'!K$121)*(Summary!$C$32/((SUM(Summary!$C$28:$C$33)+SUM(Summary!$C$39:$C$42))))</f>
        <v>2657615.5899307127</v>
      </c>
      <c r="D25" s="218">
        <f>('GAAP Beg Depreciation'!L$121)*(Summary!$C$32/((SUM(Summary!$C$28:$C$33)+SUM(Summary!$C$39:$C$42))))</f>
        <v>2657615.5899307127</v>
      </c>
      <c r="E25" s="218">
        <f>('GAAP Beg Depreciation'!M$121)*(Summary!$C$32/((SUM(Summary!$C$28:$C$33)+SUM(Summary!$C$39:$C$42))))</f>
        <v>2652780.1250432441</v>
      </c>
      <c r="F25" s="218">
        <f>('GAAP Beg Depreciation'!N$121)*(Summary!$C$32/((SUM(Summary!$C$28:$C$33)+SUM(Summary!$C$39:$C$42))))</f>
        <v>2635292.8158857003</v>
      </c>
      <c r="G25" s="218">
        <f>('GAAP Beg Depreciation'!O$121)*(Summary!$C$32/((SUM(Summary!$C$28:$C$33)+SUM(Summary!$C$39:$C$42))))</f>
        <v>2560229.241840688</v>
      </c>
      <c r="H25" s="218">
        <f>('GAAP Beg Depreciation'!P$121)*(Summary!$C$32/((SUM(Summary!$C$28:$C$33)+SUM(Summary!$C$39:$C$42))))</f>
        <v>2344719.2633602107</v>
      </c>
      <c r="I25" s="218">
        <f>('GAAP Beg Depreciation'!Q$121)*(Summary!$C$32/((SUM(Summary!$C$28:$C$33)+SUM(Summary!$C$39:$C$42))))</f>
        <v>2344719.2633602107</v>
      </c>
      <c r="J25" s="218">
        <f>('GAAP Beg Depreciation'!R$121)*(Summary!$C$32/((SUM(Summary!$C$28:$C$33)+SUM(Summary!$C$39:$C$42))))</f>
        <v>1310081.3669922166</v>
      </c>
      <c r="K25" s="218">
        <f>('GAAP Beg Depreciation'!S$121)*(Summary!$C$32/((SUM(Summary!$C$28:$C$33)+SUM(Summary!$C$39:$C$42))))</f>
        <v>411012.75486046937</v>
      </c>
      <c r="L25" s="218">
        <f>('GAAP Beg Depreciation'!T$121)*(Summary!$C$32/((SUM(Summary!$C$28:$C$33)+SUM(Summary!$C$39:$C$42))))</f>
        <v>410108.16028263734</v>
      </c>
      <c r="M25" s="218">
        <f>('GAAP Beg Depreciation'!U$121)*(Summary!$C$32/((SUM(Summary!$C$28:$C$33)+SUM(Summary!$C$39:$C$42))))</f>
        <v>375796.69005757576</v>
      </c>
      <c r="N25" s="218">
        <f>('GAAP Beg Depreciation'!V$121)*(Summary!$C$32/((SUM(Summary!$C$28:$C$33)+SUM(Summary!$C$39:$C$42))))</f>
        <v>117366.30843844247</v>
      </c>
      <c r="O25" s="218">
        <f>('GAAP Beg Depreciation'!W$121)*(Summary!$C$32/((SUM(Summary!$C$28:$C$33)+SUM(Summary!$C$39:$C$42))))</f>
        <v>117366.30843844247</v>
      </c>
      <c r="P25" s="218">
        <f>('GAAP Beg Depreciation'!X$121)*(Summary!$C$32/((SUM(Summary!$C$28:$C$33)+SUM(Summary!$C$39:$C$42))))</f>
        <v>117366.30843844247</v>
      </c>
      <c r="Q25" s="218">
        <f>('GAAP Beg Depreciation'!Y$121)*(Summary!$C$32/((SUM(Summary!$C$28:$C$33)+SUM(Summary!$C$39:$C$42))))</f>
        <v>117366.30843844247</v>
      </c>
      <c r="R25" s="218">
        <f>('GAAP Beg Depreciation'!Z$121)*(Summary!$C$32/((SUM(Summary!$C$28:$C$33)+SUM(Summary!$C$39:$C$42))))</f>
        <v>117366.30843844247</v>
      </c>
      <c r="S25" s="218">
        <f>('GAAP Beg Depreciation'!AA$121)*(Summary!$C$32/((SUM(Summary!$C$28:$C$33)+SUM(Summary!$C$39:$C$42))))</f>
        <v>115738.34952287604</v>
      </c>
      <c r="T25" s="218">
        <f>('GAAP Beg Depreciation'!AB$121)*(Summary!$C$32/((SUM(Summary!$C$28:$C$33)+SUM(Summary!$C$39:$C$42))))</f>
        <v>111337.30312904059</v>
      </c>
      <c r="U25" s="218">
        <f>('GAAP Beg Depreciation'!AC$121)*(Summary!$C$32/((SUM(Summary!$C$28:$C$33)+SUM(Summary!$C$39:$C$42))))</f>
        <v>111337.30312904059</v>
      </c>
      <c r="V25" s="218">
        <f>('GAAP Beg Depreciation'!AD$121)*(Summary!$C$32/((SUM(Summary!$C$28:$C$33)+SUM(Summary!$C$39:$C$42))))</f>
        <v>111337.30312904059</v>
      </c>
      <c r="W25" s="218">
        <f>('GAAP Beg Depreciation'!AE$121)*(Summary!$C$32/((SUM(Summary!$C$28:$C$33)+SUM(Summary!$C$39:$C$42))))</f>
        <v>111337.30312904059</v>
      </c>
      <c r="X25" s="218">
        <f>('GAAP Beg Depreciation'!AF$121)*(Summary!$C$32/((SUM(Summary!$C$28:$C$33)+SUM(Summary!$C$39:$C$42))))</f>
        <v>111337.30312904059</v>
      </c>
      <c r="Y25" s="218">
        <f>('GAAP Beg Depreciation'!AG$121)*(Summary!$C$32/((SUM(Summary!$C$28:$C$33)+SUM(Summary!$C$39:$C$42))))</f>
        <v>111337.30312904059</v>
      </c>
      <c r="Z25" s="218">
        <f>('GAAP Beg Depreciation'!AH$121)*(Summary!$C$32/((SUM(Summary!$C$28:$C$33)+SUM(Summary!$C$39:$C$42))))</f>
        <v>110307.78063691074</v>
      </c>
      <c r="AA25" s="218">
        <f>('GAAP Beg Depreciation'!AI$121)*(Summary!$C$32/((SUM(Summary!$C$28:$C$33)+SUM(Summary!$C$39:$C$42))))</f>
        <v>103759.05570151628</v>
      </c>
      <c r="AB25" s="218">
        <f>('GAAP Beg Depreciation'!AJ$121)*(Summary!$C$32/((SUM(Summary!$C$28:$C$33)+SUM(Summary!$C$39:$C$42))))</f>
        <v>103759.05570151628</v>
      </c>
      <c r="AC25" s="218">
        <f>('GAAP Beg Depreciation'!AK$121)*(Summary!$C$32/((SUM(Summary!$C$28:$C$33)+SUM(Summary!$C$39:$C$42))))</f>
        <v>103759.05570151628</v>
      </c>
      <c r="AD25" s="218">
        <f>('GAAP Beg Depreciation'!AL$121)*(Summary!$C$32/((SUM(Summary!$C$28:$C$33)+SUM(Summary!$C$39:$C$42))))</f>
        <v>103759.05570151628</v>
      </c>
      <c r="AE25" s="218">
        <f>('GAAP Beg Depreciation'!AM$121)*(Summary!$C$32/((SUM(Summary!$C$28:$C$33)+SUM(Summary!$C$39:$C$42))))</f>
        <v>103759.05570151628</v>
      </c>
      <c r="AF25" s="218">
        <f>('GAAP Beg Depreciation'!AN$121)*(Summary!$C$32/((SUM(Summary!$C$28:$C$33)+SUM(Summary!$C$39:$C$42))))</f>
        <v>103759.05570151628</v>
      </c>
      <c r="AG25" s="218">
        <f>('GAAP Beg Depreciation'!AO$121)*(Summary!$C$32/((SUM(Summary!$C$28:$C$33)+SUM(Summary!$C$39:$C$42))))</f>
        <v>2859.1758680637126</v>
      </c>
    </row>
    <row r="26" spans="1:33" x14ac:dyDescent="0.2">
      <c r="A26">
        <v>17</v>
      </c>
      <c r="B26" t="s">
        <v>71</v>
      </c>
      <c r="C26" s="218">
        <f>('GAAP Beg Depreciation'!K$121)*(Summary!$C$33/((SUM(Summary!$C$28:$C$33)+SUM(Summary!$C$39:$C$42))))</f>
        <v>1733591.6820871562</v>
      </c>
      <c r="D26" s="218">
        <f>('GAAP Beg Depreciation'!L$121)*(Summary!$C$33/((SUM(Summary!$C$28:$C$33)+SUM(Summary!$C$39:$C$42))))</f>
        <v>1733591.6820871562</v>
      </c>
      <c r="E26" s="218">
        <f>('GAAP Beg Depreciation'!M$121)*(Summary!$C$33/((SUM(Summary!$C$28:$C$33)+SUM(Summary!$C$39:$C$42))))</f>
        <v>1730437.4555166541</v>
      </c>
      <c r="F26" s="218">
        <f>('GAAP Beg Depreciation'!N$121)*(Summary!$C$33/((SUM(Summary!$C$28:$C$33)+SUM(Summary!$C$39:$C$42))))</f>
        <v>1719030.2927153572</v>
      </c>
      <c r="G26" s="218">
        <f>('GAAP Beg Depreciation'!O$121)*(Summary!$C$33/((SUM(Summary!$C$28:$C$33)+SUM(Summary!$C$39:$C$42))))</f>
        <v>1670065.5033435582</v>
      </c>
      <c r="H26" s="218">
        <f>('GAAP Beg Depreciation'!P$121)*(Summary!$C$33/((SUM(Summary!$C$28:$C$33)+SUM(Summary!$C$39:$C$42))))</f>
        <v>1529485.9900700534</v>
      </c>
      <c r="I26" s="218">
        <f>('GAAP Beg Depreciation'!Q$121)*(Summary!$C$33/((SUM(Summary!$C$28:$C$33)+SUM(Summary!$C$39:$C$42))))</f>
        <v>1529485.9900700534</v>
      </c>
      <c r="J26" s="218">
        <f>('GAAP Beg Depreciation'!R$121)*(Summary!$C$33/((SUM(Summary!$C$28:$C$33)+SUM(Summary!$C$39:$C$42))))</f>
        <v>854580.38750227587</v>
      </c>
      <c r="K26" s="218">
        <f>('GAAP Beg Depreciation'!S$121)*(Summary!$C$33/((SUM(Summary!$C$28:$C$33)+SUM(Summary!$C$39:$C$42))))</f>
        <v>268108.11005078943</v>
      </c>
      <c r="L26" s="218">
        <f>('GAAP Beg Depreciation'!T$121)*(Summary!$C$33/((SUM(Summary!$C$28:$C$33)+SUM(Summary!$C$39:$C$42))))</f>
        <v>267518.03312554391</v>
      </c>
      <c r="M26" s="218">
        <f>('GAAP Beg Depreciation'!U$121)*(Summary!$C$33/((SUM(Summary!$C$28:$C$33)+SUM(Summary!$C$39:$C$42))))</f>
        <v>245136.28626654891</v>
      </c>
      <c r="N26" s="218">
        <f>('GAAP Beg Depreciation'!V$121)*(Summary!$C$33/((SUM(Summary!$C$28:$C$33)+SUM(Summary!$C$39:$C$42))))</f>
        <v>76559.325147345357</v>
      </c>
      <c r="O26" s="218">
        <f>('GAAP Beg Depreciation'!W$121)*(Summary!$C$33/((SUM(Summary!$C$28:$C$33)+SUM(Summary!$C$39:$C$42))))</f>
        <v>76559.325147345357</v>
      </c>
      <c r="P26" s="218">
        <f>('GAAP Beg Depreciation'!X$121)*(Summary!$C$33/((SUM(Summary!$C$28:$C$33)+SUM(Summary!$C$39:$C$42))))</f>
        <v>76559.325147345357</v>
      </c>
      <c r="Q26" s="218">
        <f>('GAAP Beg Depreciation'!Y$121)*(Summary!$C$33/((SUM(Summary!$C$28:$C$33)+SUM(Summary!$C$39:$C$42))))</f>
        <v>76559.325147345357</v>
      </c>
      <c r="R26" s="218">
        <f>('GAAP Beg Depreciation'!Z$121)*(Summary!$C$33/((SUM(Summary!$C$28:$C$33)+SUM(Summary!$C$39:$C$42))))</f>
        <v>76559.325147345357</v>
      </c>
      <c r="S26" s="218">
        <f>('GAAP Beg Depreciation'!AA$121)*(Summary!$C$33/((SUM(Summary!$C$28:$C$33)+SUM(Summary!$C$39:$C$42))))</f>
        <v>75497.389762296254</v>
      </c>
      <c r="T26" s="218">
        <f>('GAAP Beg Depreciation'!AB$121)*(Summary!$C$33/((SUM(Summary!$C$28:$C$33)+SUM(Summary!$C$39:$C$42))))</f>
        <v>72626.539120939298</v>
      </c>
      <c r="U26" s="218">
        <f>('GAAP Beg Depreciation'!AC$121)*(Summary!$C$33/((SUM(Summary!$C$28:$C$33)+SUM(Summary!$C$39:$C$42))))</f>
        <v>72626.539120939298</v>
      </c>
      <c r="V26" s="218">
        <f>('GAAP Beg Depreciation'!AD$121)*(Summary!$C$33/((SUM(Summary!$C$28:$C$33)+SUM(Summary!$C$39:$C$42))))</f>
        <v>72626.539120939298</v>
      </c>
      <c r="W26" s="218">
        <f>('GAAP Beg Depreciation'!AE$121)*(Summary!$C$33/((SUM(Summary!$C$28:$C$33)+SUM(Summary!$C$39:$C$42))))</f>
        <v>72626.539120939298</v>
      </c>
      <c r="X26" s="218">
        <f>('GAAP Beg Depreciation'!AF$121)*(Summary!$C$33/((SUM(Summary!$C$28:$C$33)+SUM(Summary!$C$39:$C$42))))</f>
        <v>72626.539120939298</v>
      </c>
      <c r="Y26" s="218">
        <f>('GAAP Beg Depreciation'!AG$121)*(Summary!$C$33/((SUM(Summary!$C$28:$C$33)+SUM(Summary!$C$39:$C$42))))</f>
        <v>72626.539120939298</v>
      </c>
      <c r="Z26" s="218">
        <f>('GAAP Beg Depreciation'!AH$121)*(Summary!$C$33/((SUM(Summary!$C$28:$C$33)+SUM(Summary!$C$39:$C$42))))</f>
        <v>71954.970352438628</v>
      </c>
      <c r="AA26" s="218">
        <f>('GAAP Beg Depreciation'!AI$121)*(Summary!$C$33/((SUM(Summary!$C$28:$C$33)+SUM(Summary!$C$39:$C$42))))</f>
        <v>67683.16553638826</v>
      </c>
      <c r="AB26" s="218">
        <f>('GAAP Beg Depreciation'!AJ$121)*(Summary!$C$33/((SUM(Summary!$C$28:$C$33)+SUM(Summary!$C$39:$C$42))))</f>
        <v>67683.16553638826</v>
      </c>
      <c r="AC26" s="218">
        <f>('GAAP Beg Depreciation'!AK$121)*(Summary!$C$33/((SUM(Summary!$C$28:$C$33)+SUM(Summary!$C$39:$C$42))))</f>
        <v>67683.16553638826</v>
      </c>
      <c r="AD26" s="218">
        <f>('GAAP Beg Depreciation'!AL$121)*(Summary!$C$33/((SUM(Summary!$C$28:$C$33)+SUM(Summary!$C$39:$C$42))))</f>
        <v>67683.16553638826</v>
      </c>
      <c r="AE26" s="218">
        <f>('GAAP Beg Depreciation'!AM$121)*(Summary!$C$33/((SUM(Summary!$C$28:$C$33)+SUM(Summary!$C$39:$C$42))))</f>
        <v>67683.16553638826</v>
      </c>
      <c r="AF26" s="218">
        <f>('GAAP Beg Depreciation'!AN$121)*(Summary!$C$33/((SUM(Summary!$C$28:$C$33)+SUM(Summary!$C$39:$C$42))))</f>
        <v>67683.16553638826</v>
      </c>
      <c r="AG26" s="218">
        <f>('GAAP Beg Depreciation'!AO$121)*(Summary!$C$33/((SUM(Summary!$C$28:$C$33)+SUM(Summary!$C$39:$C$42))))</f>
        <v>1865.0716534323169</v>
      </c>
    </row>
    <row r="27" spans="1:33" x14ac:dyDescent="0.2">
      <c r="A27">
        <v>18</v>
      </c>
      <c r="B27" t="s">
        <v>72</v>
      </c>
      <c r="C27" s="218">
        <f>'GAAP Beg Depreciation'!K128</f>
        <v>37682075.157172807</v>
      </c>
      <c r="D27" s="218">
        <f>'GAAP Beg Depreciation'!L128</f>
        <v>37682075.157172807</v>
      </c>
      <c r="E27" s="218">
        <f>'GAAP Beg Depreciation'!M128</f>
        <v>37682075.157172807</v>
      </c>
      <c r="F27" s="218">
        <f>'GAAP Beg Depreciation'!N128</f>
        <v>37682075.157172807</v>
      </c>
      <c r="G27" s="218">
        <f>'GAAP Beg Depreciation'!O128</f>
        <v>37682075.157172807</v>
      </c>
      <c r="H27" s="218">
        <f>'GAAP Beg Depreciation'!P128</f>
        <v>37682075.157172807</v>
      </c>
      <c r="I27" s="218">
        <f>'GAAP Beg Depreciation'!Q128</f>
        <v>37682075.157172807</v>
      </c>
      <c r="J27" s="218">
        <f>'GAAP Beg Depreciation'!R128</f>
        <v>37682075.157172807</v>
      </c>
      <c r="K27" s="218">
        <f>'GAAP Beg Depreciation'!S128</f>
        <v>37682075.157172807</v>
      </c>
      <c r="L27" s="218">
        <f>'GAAP Beg Depreciation'!T128</f>
        <v>37682075.157172807</v>
      </c>
      <c r="M27" s="218">
        <f>'GAAP Beg Depreciation'!U128</f>
        <v>37682075.157172807</v>
      </c>
      <c r="N27" s="218">
        <f>'GAAP Beg Depreciation'!V128</f>
        <v>37682075.157172807</v>
      </c>
      <c r="O27" s="218">
        <f>'GAAP Beg Depreciation'!W128</f>
        <v>37682075.157172807</v>
      </c>
      <c r="P27" s="218">
        <f>'GAAP Beg Depreciation'!X128</f>
        <v>37682075.157172807</v>
      </c>
      <c r="Q27" s="218">
        <f>'GAAP Beg Depreciation'!Y128</f>
        <v>37682075.157172807</v>
      </c>
      <c r="R27" s="218">
        <f>'GAAP Beg Depreciation'!Z128</f>
        <v>37682075.157172807</v>
      </c>
      <c r="S27" s="218">
        <f>'GAAP Beg Depreciation'!AA128</f>
        <v>37682075.157172807</v>
      </c>
      <c r="T27" s="218">
        <f>'GAAP Beg Depreciation'!AB128</f>
        <v>37682075.157172807</v>
      </c>
      <c r="U27" s="218">
        <f>'GAAP Beg Depreciation'!AC128</f>
        <v>37682075.157172807</v>
      </c>
      <c r="V27" s="218">
        <f>'GAAP Beg Depreciation'!AD128</f>
        <v>37682075.157172807</v>
      </c>
      <c r="W27" s="218">
        <f>'GAAP Beg Depreciation'!AE128</f>
        <v>37682075.157172807</v>
      </c>
      <c r="X27" s="218">
        <f>'GAAP Beg Depreciation'!AF128</f>
        <v>37682075.157172807</v>
      </c>
      <c r="Y27" s="218">
        <f>'GAAP Beg Depreciation'!AG128</f>
        <v>37682075.157172807</v>
      </c>
      <c r="Z27" s="218">
        <f>'GAAP Beg Depreciation'!AH128</f>
        <v>37682075.157172807</v>
      </c>
      <c r="AA27" s="218">
        <f>'GAAP Beg Depreciation'!AI128</f>
        <v>37682075.157172807</v>
      </c>
      <c r="AB27" s="218">
        <f>'GAAP Beg Depreciation'!AJ128</f>
        <v>11232327.237172969</v>
      </c>
      <c r="AC27" s="218">
        <f>'GAAP Beg Depreciation'!AK128</f>
        <v>1581143.4071728066</v>
      </c>
      <c r="AD27" s="218">
        <f>'GAAP Beg Depreciation'!AL128</f>
        <v>1542133.1571728066</v>
      </c>
      <c r="AE27" s="218">
        <f>'GAAP Beg Depreciation'!AM128</f>
        <v>1542133.1571728066</v>
      </c>
      <c r="AF27" s="218">
        <f>'GAAP Beg Depreciation'!AN128</f>
        <v>1542133.1571728066</v>
      </c>
      <c r="AG27" s="218">
        <f>'GAAP Beg Depreciation'!AO128</f>
        <v>0</v>
      </c>
    </row>
    <row r="28" spans="1:33" x14ac:dyDescent="0.2">
      <c r="A28">
        <v>19</v>
      </c>
      <c r="B28" t="s">
        <v>73</v>
      </c>
      <c r="C28" s="218">
        <f>('GAAP Beg Depreciation'!K$123)*(Summary!$C35/SUM(Summary!$C$35:$C$37))</f>
        <v>660412.12800760043</v>
      </c>
      <c r="D28" s="218">
        <f>('GAAP Beg Depreciation'!L$123)*(Summary!$C35/SUM(Summary!$C$35:$C$37))</f>
        <v>660412.12800760043</v>
      </c>
      <c r="E28" s="218">
        <f>('GAAP Beg Depreciation'!M$123)*(Summary!$C35/SUM(Summary!$C$35:$C$37))</f>
        <v>660412.12800760043</v>
      </c>
      <c r="F28" s="218">
        <f>('GAAP Beg Depreciation'!N$123)*(Summary!$C35/SUM(Summary!$C$35:$C$37))</f>
        <v>660412.12800760043</v>
      </c>
      <c r="G28" s="218">
        <f>('GAAP Beg Depreciation'!O$123)*(Summary!$C35/SUM(Summary!$C$35:$C$37))</f>
        <v>619236.23109130107</v>
      </c>
      <c r="H28" s="218">
        <f>('GAAP Beg Depreciation'!P$123)*(Summary!$C35/SUM(Summary!$C$35:$C$37))</f>
        <v>28419.600547982227</v>
      </c>
      <c r="I28" s="218">
        <f>('GAAP Beg Depreciation'!Q$123)*(Summary!$C35/SUM(Summary!$C$35:$C$37))</f>
        <v>28419.600547982227</v>
      </c>
      <c r="J28" s="218">
        <f>('GAAP Beg Depreciation'!R$123)*(Summary!$C35/SUM(Summary!$C$35:$C$37))</f>
        <v>28419.600547982227</v>
      </c>
      <c r="K28" s="218">
        <f>('GAAP Beg Depreciation'!S$123)*(Summary!$C35/SUM(Summary!$C$35:$C$37))</f>
        <v>28419.600547982227</v>
      </c>
      <c r="L28" s="218">
        <f>('GAAP Beg Depreciation'!T$123)*(Summary!$C35/SUM(Summary!$C$35:$C$37))</f>
        <v>28419.600547982227</v>
      </c>
      <c r="M28" s="218">
        <f>('GAAP Beg Depreciation'!U$123)*(Summary!$C35/SUM(Summary!$C$35:$C$37))</f>
        <v>28419.600547982227</v>
      </c>
      <c r="N28" s="218">
        <f>('GAAP Beg Depreciation'!V$123)*(Summary!$C35/SUM(Summary!$C$35:$C$37))</f>
        <v>28419.600547982227</v>
      </c>
      <c r="O28" s="218">
        <f>('GAAP Beg Depreciation'!W$123)*(Summary!$C35/SUM(Summary!$C$35:$C$37))</f>
        <v>28419.600547982227</v>
      </c>
      <c r="P28" s="218">
        <f>('GAAP Beg Depreciation'!X$123)*(Summary!$C35/SUM(Summary!$C$35:$C$37))</f>
        <v>28419.600547982227</v>
      </c>
      <c r="Q28" s="218">
        <f>('GAAP Beg Depreciation'!Y$123)*(Summary!$C35/SUM(Summary!$C$35:$C$37))</f>
        <v>28419.600547982227</v>
      </c>
      <c r="R28" s="218">
        <f>('GAAP Beg Depreciation'!Z$123)*(Summary!$C35/SUM(Summary!$C$35:$C$37))</f>
        <v>28419.600547982227</v>
      </c>
      <c r="S28" s="218">
        <f>('GAAP Beg Depreciation'!AA$123)*(Summary!$C35/SUM(Summary!$C$35:$C$37))</f>
        <v>28419.600547982227</v>
      </c>
      <c r="T28" s="218">
        <f>('GAAP Beg Depreciation'!AB$123)*(Summary!$C35/SUM(Summary!$C$35:$C$37))</f>
        <v>28419.600547982227</v>
      </c>
      <c r="U28" s="218">
        <f>('GAAP Beg Depreciation'!AC$123)*(Summary!$C35/SUM(Summary!$C$35:$C$37))</f>
        <v>28419.600547982227</v>
      </c>
      <c r="V28" s="218">
        <f>('GAAP Beg Depreciation'!AD$123)*(Summary!$C35/SUM(Summary!$C$35:$C$37))</f>
        <v>28419.600547982227</v>
      </c>
      <c r="W28" s="218">
        <f>('GAAP Beg Depreciation'!AE$123)*(Summary!$C35/SUM(Summary!$C$35:$C$37))</f>
        <v>28419.600547982227</v>
      </c>
      <c r="X28" s="218">
        <f>('GAAP Beg Depreciation'!AF$123)*(Summary!$C35/SUM(Summary!$C$35:$C$37))</f>
        <v>28419.600547982227</v>
      </c>
      <c r="Y28" s="218">
        <f>('GAAP Beg Depreciation'!AG$123)*(Summary!$C35/SUM(Summary!$C$35:$C$37))</f>
        <v>28419.600547982227</v>
      </c>
      <c r="Z28" s="218">
        <f>('GAAP Beg Depreciation'!AH$123)*(Summary!$C35/SUM(Summary!$C$35:$C$37))</f>
        <v>28419.600547982227</v>
      </c>
      <c r="AA28" s="218">
        <f>('GAAP Beg Depreciation'!AI$123)*(Summary!$C35/SUM(Summary!$C$35:$C$37))</f>
        <v>28419.600547982227</v>
      </c>
      <c r="AB28" s="218">
        <f>('GAAP Beg Depreciation'!AJ$123)*(Summary!$C35/SUM(Summary!$C$35:$C$37))</f>
        <v>28419.600547982227</v>
      </c>
      <c r="AC28" s="218">
        <f>('GAAP Beg Depreciation'!AK$123)*(Summary!$C35/SUM(Summary!$C$35:$C$37))</f>
        <v>28419.600547982227</v>
      </c>
      <c r="AD28" s="218">
        <f>('GAAP Beg Depreciation'!AL$123)*(Summary!$C35/SUM(Summary!$C$35:$C$37))</f>
        <v>28419.600547982227</v>
      </c>
      <c r="AE28" s="218">
        <f>('GAAP Beg Depreciation'!AM$123)*(Summary!$C35/SUM(Summary!$C$35:$C$37))</f>
        <v>28419.600547982227</v>
      </c>
      <c r="AF28" s="218">
        <f>('GAAP Beg Depreciation'!AN$123)*(Summary!$C35/SUM(Summary!$C$35:$C$37))</f>
        <v>28419.600547982227</v>
      </c>
      <c r="AG28" s="218">
        <f>('GAAP Beg Depreciation'!AO$123)*(Summary!$C35/SUM(Summary!$C$35:$C$37))</f>
        <v>19309.19236417034</v>
      </c>
    </row>
    <row r="29" spans="1:33" x14ac:dyDescent="0.2">
      <c r="A29">
        <v>20</v>
      </c>
      <c r="B29" t="s">
        <v>74</v>
      </c>
      <c r="C29" s="218">
        <f>('GAAP Beg Depreciation'!K$123)*(Summary!$C36/SUM(Summary!$C$35:$C$37))</f>
        <v>101933.17627943399</v>
      </c>
      <c r="D29" s="218">
        <f>('GAAP Beg Depreciation'!L$123)*(Summary!$C36/SUM(Summary!$C$35:$C$37))</f>
        <v>101933.17627943399</v>
      </c>
      <c r="E29" s="218">
        <f>('GAAP Beg Depreciation'!M$123)*(Summary!$C36/SUM(Summary!$C$35:$C$37))</f>
        <v>101933.17627943399</v>
      </c>
      <c r="F29" s="218">
        <f>('GAAP Beg Depreciation'!N$123)*(Summary!$C36/SUM(Summary!$C$35:$C$37))</f>
        <v>101933.17627943399</v>
      </c>
      <c r="G29" s="218">
        <f>('GAAP Beg Depreciation'!O$123)*(Summary!$C36/SUM(Summary!$C$35:$C$37))</f>
        <v>95577.766103222559</v>
      </c>
      <c r="H29" s="218">
        <f>('GAAP Beg Depreciation'!P$123)*(Summary!$C36/SUM(Summary!$C$35:$C$37))</f>
        <v>4386.503562840735</v>
      </c>
      <c r="I29" s="218">
        <f>('GAAP Beg Depreciation'!Q$123)*(Summary!$C36/SUM(Summary!$C$35:$C$37))</f>
        <v>4386.503562840735</v>
      </c>
      <c r="J29" s="218">
        <f>('GAAP Beg Depreciation'!R$123)*(Summary!$C36/SUM(Summary!$C$35:$C$37))</f>
        <v>4386.503562840735</v>
      </c>
      <c r="K29" s="218">
        <f>('GAAP Beg Depreciation'!S$123)*(Summary!$C36/SUM(Summary!$C$35:$C$37))</f>
        <v>4386.503562840735</v>
      </c>
      <c r="L29" s="218">
        <f>('GAAP Beg Depreciation'!T$123)*(Summary!$C36/SUM(Summary!$C$35:$C$37))</f>
        <v>4386.503562840735</v>
      </c>
      <c r="M29" s="218">
        <f>('GAAP Beg Depreciation'!U$123)*(Summary!$C36/SUM(Summary!$C$35:$C$37))</f>
        <v>4386.503562840735</v>
      </c>
      <c r="N29" s="218">
        <f>('GAAP Beg Depreciation'!V$123)*(Summary!$C36/SUM(Summary!$C$35:$C$37))</f>
        <v>4386.503562840735</v>
      </c>
      <c r="O29" s="218">
        <f>('GAAP Beg Depreciation'!W$123)*(Summary!$C36/SUM(Summary!$C$35:$C$37))</f>
        <v>4386.503562840735</v>
      </c>
      <c r="P29" s="218">
        <f>('GAAP Beg Depreciation'!X$123)*(Summary!$C36/SUM(Summary!$C$35:$C$37))</f>
        <v>4386.503562840735</v>
      </c>
      <c r="Q29" s="218">
        <f>('GAAP Beg Depreciation'!Y$123)*(Summary!$C36/SUM(Summary!$C$35:$C$37))</f>
        <v>4386.503562840735</v>
      </c>
      <c r="R29" s="218">
        <f>('GAAP Beg Depreciation'!Z$123)*(Summary!$C36/SUM(Summary!$C$35:$C$37))</f>
        <v>4386.503562840735</v>
      </c>
      <c r="S29" s="218">
        <f>('GAAP Beg Depreciation'!AA$123)*(Summary!$C36/SUM(Summary!$C$35:$C$37))</f>
        <v>4386.503562840735</v>
      </c>
      <c r="T29" s="218">
        <f>('GAAP Beg Depreciation'!AB$123)*(Summary!$C36/SUM(Summary!$C$35:$C$37))</f>
        <v>4386.503562840735</v>
      </c>
      <c r="U29" s="218">
        <f>('GAAP Beg Depreciation'!AC$123)*(Summary!$C36/SUM(Summary!$C$35:$C$37))</f>
        <v>4386.503562840735</v>
      </c>
      <c r="V29" s="218">
        <f>('GAAP Beg Depreciation'!AD$123)*(Summary!$C36/SUM(Summary!$C$35:$C$37))</f>
        <v>4386.503562840735</v>
      </c>
      <c r="W29" s="218">
        <f>('GAAP Beg Depreciation'!AE$123)*(Summary!$C36/SUM(Summary!$C$35:$C$37))</f>
        <v>4386.503562840735</v>
      </c>
      <c r="X29" s="218">
        <f>('GAAP Beg Depreciation'!AF$123)*(Summary!$C36/SUM(Summary!$C$35:$C$37))</f>
        <v>4386.503562840735</v>
      </c>
      <c r="Y29" s="218">
        <f>('GAAP Beg Depreciation'!AG$123)*(Summary!$C36/SUM(Summary!$C$35:$C$37))</f>
        <v>4386.503562840735</v>
      </c>
      <c r="Z29" s="218">
        <f>('GAAP Beg Depreciation'!AH$123)*(Summary!$C36/SUM(Summary!$C$35:$C$37))</f>
        <v>4386.503562840735</v>
      </c>
      <c r="AA29" s="218">
        <f>('GAAP Beg Depreciation'!AI$123)*(Summary!$C36/SUM(Summary!$C$35:$C$37))</f>
        <v>4386.503562840735</v>
      </c>
      <c r="AB29" s="218">
        <f>('GAAP Beg Depreciation'!AJ$123)*(Summary!$C36/SUM(Summary!$C$35:$C$37))</f>
        <v>4386.503562840735</v>
      </c>
      <c r="AC29" s="218">
        <f>('GAAP Beg Depreciation'!AK$123)*(Summary!$C36/SUM(Summary!$C$35:$C$37))</f>
        <v>4386.503562840735</v>
      </c>
      <c r="AD29" s="218">
        <f>('GAAP Beg Depreciation'!AL$123)*(Summary!$C36/SUM(Summary!$C$35:$C$37))</f>
        <v>4386.503562840735</v>
      </c>
      <c r="AE29" s="218">
        <f>('GAAP Beg Depreciation'!AM$123)*(Summary!$C36/SUM(Summary!$C$35:$C$37))</f>
        <v>4386.503562840735</v>
      </c>
      <c r="AF29" s="218">
        <f>('GAAP Beg Depreciation'!AN$123)*(Summary!$C36/SUM(Summary!$C$35:$C$37))</f>
        <v>4386.503562840735</v>
      </c>
      <c r="AG29" s="218">
        <f>('GAAP Beg Depreciation'!AO$123)*(Summary!$C36/SUM(Summary!$C$35:$C$37))</f>
        <v>2980.3318649045523</v>
      </c>
    </row>
    <row r="30" spans="1:33" x14ac:dyDescent="0.2">
      <c r="A30">
        <v>21</v>
      </c>
      <c r="B30" t="s">
        <v>75</v>
      </c>
      <c r="C30" s="218">
        <f>('GAAP Beg Depreciation'!K$123)*(Summary!$C37/SUM(Summary!$C$35:$C$37))</f>
        <v>215351.78087204363</v>
      </c>
      <c r="D30" s="218">
        <f>('GAAP Beg Depreciation'!L$123)*(Summary!$C37/SUM(Summary!$C$35:$C$37))</f>
        <v>215351.78087204363</v>
      </c>
      <c r="E30" s="218">
        <f>('GAAP Beg Depreciation'!M$123)*(Summary!$C37/SUM(Summary!$C$35:$C$37))</f>
        <v>215351.78087204363</v>
      </c>
      <c r="F30" s="218">
        <f>('GAAP Beg Depreciation'!N$123)*(Summary!$C37/SUM(Summary!$C$35:$C$37))</f>
        <v>215351.78087204363</v>
      </c>
      <c r="G30" s="218">
        <f>('GAAP Beg Depreciation'!O$123)*(Summary!$C37/SUM(Summary!$C$35:$C$37))</f>
        <v>201924.85796455471</v>
      </c>
      <c r="H30" s="218">
        <f>('GAAP Beg Depreciation'!P$123)*(Summary!$C37/SUM(Summary!$C$35:$C$37))</f>
        <v>9267.2610482550754</v>
      </c>
      <c r="I30" s="218">
        <f>('GAAP Beg Depreciation'!Q$123)*(Summary!$C37/SUM(Summary!$C$35:$C$37))</f>
        <v>9267.2610482550754</v>
      </c>
      <c r="J30" s="218">
        <f>('GAAP Beg Depreciation'!R$123)*(Summary!$C37/SUM(Summary!$C$35:$C$37))</f>
        <v>9267.2610482550754</v>
      </c>
      <c r="K30" s="218">
        <f>('GAAP Beg Depreciation'!S$123)*(Summary!$C37/SUM(Summary!$C$35:$C$37))</f>
        <v>9267.2610482550754</v>
      </c>
      <c r="L30" s="218">
        <f>('GAAP Beg Depreciation'!T$123)*(Summary!$C37/SUM(Summary!$C$35:$C$37))</f>
        <v>9267.2610482550754</v>
      </c>
      <c r="M30" s="218">
        <f>('GAAP Beg Depreciation'!U$123)*(Summary!$C37/SUM(Summary!$C$35:$C$37))</f>
        <v>9267.2610482550754</v>
      </c>
      <c r="N30" s="218">
        <f>('GAAP Beg Depreciation'!V$123)*(Summary!$C37/SUM(Summary!$C$35:$C$37))</f>
        <v>9267.2610482550754</v>
      </c>
      <c r="O30" s="218">
        <f>('GAAP Beg Depreciation'!W$123)*(Summary!$C37/SUM(Summary!$C$35:$C$37))</f>
        <v>9267.2610482550754</v>
      </c>
      <c r="P30" s="218">
        <f>('GAAP Beg Depreciation'!X$123)*(Summary!$C37/SUM(Summary!$C$35:$C$37))</f>
        <v>9267.2610482550754</v>
      </c>
      <c r="Q30" s="218">
        <f>('GAAP Beg Depreciation'!Y$123)*(Summary!$C37/SUM(Summary!$C$35:$C$37))</f>
        <v>9267.2610482550754</v>
      </c>
      <c r="R30" s="218">
        <f>('GAAP Beg Depreciation'!Z$123)*(Summary!$C37/SUM(Summary!$C$35:$C$37))</f>
        <v>9267.2610482550754</v>
      </c>
      <c r="S30" s="218">
        <f>('GAAP Beg Depreciation'!AA$123)*(Summary!$C37/SUM(Summary!$C$35:$C$37))</f>
        <v>9267.2610482550754</v>
      </c>
      <c r="T30" s="218">
        <f>('GAAP Beg Depreciation'!AB$123)*(Summary!$C37/SUM(Summary!$C$35:$C$37))</f>
        <v>9267.2610482550754</v>
      </c>
      <c r="U30" s="218">
        <f>('GAAP Beg Depreciation'!AC$123)*(Summary!$C37/SUM(Summary!$C$35:$C$37))</f>
        <v>9267.2610482550754</v>
      </c>
      <c r="V30" s="218">
        <f>('GAAP Beg Depreciation'!AD$123)*(Summary!$C37/SUM(Summary!$C$35:$C$37))</f>
        <v>9267.2610482550754</v>
      </c>
      <c r="W30" s="218">
        <f>('GAAP Beg Depreciation'!AE$123)*(Summary!$C37/SUM(Summary!$C$35:$C$37))</f>
        <v>9267.2610482550754</v>
      </c>
      <c r="X30" s="218">
        <f>('GAAP Beg Depreciation'!AF$123)*(Summary!$C37/SUM(Summary!$C$35:$C$37))</f>
        <v>9267.2610482550754</v>
      </c>
      <c r="Y30" s="218">
        <f>('GAAP Beg Depreciation'!AG$123)*(Summary!$C37/SUM(Summary!$C$35:$C$37))</f>
        <v>9267.2610482550754</v>
      </c>
      <c r="Z30" s="218">
        <f>('GAAP Beg Depreciation'!AH$123)*(Summary!$C37/SUM(Summary!$C$35:$C$37))</f>
        <v>9267.2610482550754</v>
      </c>
      <c r="AA30" s="218">
        <f>('GAAP Beg Depreciation'!AI$123)*(Summary!$C37/SUM(Summary!$C$35:$C$37))</f>
        <v>9267.2610482550754</v>
      </c>
      <c r="AB30" s="218">
        <f>('GAAP Beg Depreciation'!AJ$123)*(Summary!$C37/SUM(Summary!$C$35:$C$37))</f>
        <v>9267.2610482550754</v>
      </c>
      <c r="AC30" s="218">
        <f>('GAAP Beg Depreciation'!AK$123)*(Summary!$C37/SUM(Summary!$C$35:$C$37))</f>
        <v>9267.2610482550754</v>
      </c>
      <c r="AD30" s="218">
        <f>('GAAP Beg Depreciation'!AL$123)*(Summary!$C37/SUM(Summary!$C$35:$C$37))</f>
        <v>9267.2610482550754</v>
      </c>
      <c r="AE30" s="218">
        <f>('GAAP Beg Depreciation'!AM$123)*(Summary!$C37/SUM(Summary!$C$35:$C$37))</f>
        <v>9267.2610482550754</v>
      </c>
      <c r="AF30" s="218">
        <f>('GAAP Beg Depreciation'!AN$123)*(Summary!$C37/SUM(Summary!$C$35:$C$37))</f>
        <v>9267.2610482550754</v>
      </c>
      <c r="AG30" s="218">
        <f>('GAAP Beg Depreciation'!AO$123)*(Summary!$C37/SUM(Summary!$C$35:$C$37))</f>
        <v>6296.4757709251107</v>
      </c>
    </row>
    <row r="31" spans="1:33" x14ac:dyDescent="0.2">
      <c r="A31">
        <v>22</v>
      </c>
      <c r="B31" t="s">
        <v>86</v>
      </c>
      <c r="C31" s="218">
        <f>('GAAP Beg Depreciation'!K$122)*(Summary!$C$38/((SUM(Summary!$C$24:$C$27)+Summary!$C$38)))</f>
        <v>624931.89555267256</v>
      </c>
      <c r="D31" s="218">
        <f>('GAAP Beg Depreciation'!L$122)*(Summary!$C$38/((SUM(Summary!$C$24:$C$27)+Summary!$C$38)))</f>
        <v>624931.89555267256</v>
      </c>
      <c r="E31" s="218">
        <f>('GAAP Beg Depreciation'!M$122)*(Summary!$C$38/((SUM(Summary!$C$24:$C$27)+Summary!$C$38)))</f>
        <v>623625.19215194893</v>
      </c>
      <c r="F31" s="218">
        <f>('GAAP Beg Depreciation'!N$122)*(Summary!$C$38/((SUM(Summary!$C$24:$C$27)+Summary!$C$38)))</f>
        <v>618899.53973228519</v>
      </c>
      <c r="G31" s="218">
        <f>('GAAP Beg Depreciation'!O$122)*(Summary!$C$38/((SUM(Summary!$C$24:$C$27)+Summary!$C$38)))</f>
        <v>618833.74347776291</v>
      </c>
      <c r="H31" s="218">
        <f>('GAAP Beg Depreciation'!P$122)*(Summary!$C$38/((SUM(Summary!$C$24:$C$27)+Summary!$C$38)))</f>
        <v>618766.51483337057</v>
      </c>
      <c r="I31" s="218">
        <f>('GAAP Beg Depreciation'!Q$122)*(Summary!$C$38/((SUM(Summary!$C$24:$C$27)+Summary!$C$38)))</f>
        <v>618766.51483337057</v>
      </c>
      <c r="J31" s="218">
        <f>('GAAP Beg Depreciation'!R$122)*(Summary!$C$38/((SUM(Summary!$C$24:$C$27)+Summary!$C$38)))</f>
        <v>521423.55300319317</v>
      </c>
      <c r="K31" s="218">
        <f>('GAAP Beg Depreciation'!S$122)*(Summary!$C$38/((SUM(Summary!$C$24:$C$27)+Summary!$C$38)))</f>
        <v>447962.45759566047</v>
      </c>
      <c r="L31" s="218">
        <f>('GAAP Beg Depreciation'!T$122)*(Summary!$C$38/((SUM(Summary!$C$24:$C$27)+Summary!$C$38)))</f>
        <v>413017.14785316202</v>
      </c>
      <c r="M31" s="218">
        <f>('GAAP Beg Depreciation'!U$122)*(Summary!$C$38/((SUM(Summary!$C$24:$C$27)+Summary!$C$38)))</f>
        <v>409983.58544413885</v>
      </c>
      <c r="N31" s="218">
        <f>('GAAP Beg Depreciation'!V$122)*(Summary!$C$38/((SUM(Summary!$C$24:$C$27)+Summary!$C$38)))</f>
        <v>409983.58544413885</v>
      </c>
      <c r="O31" s="218">
        <f>('GAAP Beg Depreciation'!W$122)*(Summary!$C$38/((SUM(Summary!$C$24:$C$27)+Summary!$C$38)))</f>
        <v>409983.58544413885</v>
      </c>
      <c r="P31" s="218">
        <f>('GAAP Beg Depreciation'!X$122)*(Summary!$C$38/((SUM(Summary!$C$24:$C$27)+Summary!$C$38)))</f>
        <v>326312.84838519059</v>
      </c>
      <c r="Q31" s="218">
        <f>('GAAP Beg Depreciation'!Y$122)*(Summary!$C$38/((SUM(Summary!$C$24:$C$27)+Summary!$C$38)))</f>
        <v>211992.76605277898</v>
      </c>
      <c r="R31" s="218">
        <f>('GAAP Beg Depreciation'!Z$122)*(Summary!$C$38/((SUM(Summary!$C$24:$C$27)+Summary!$C$38)))</f>
        <v>38224.467427538919</v>
      </c>
      <c r="S31" s="218">
        <f>('GAAP Beg Depreciation'!AA$122)*(Summary!$C$38/((SUM(Summary!$C$24:$C$27)+Summary!$C$38)))</f>
        <v>27287.614735477426</v>
      </c>
      <c r="T31" s="218">
        <f>('GAAP Beg Depreciation'!AB$122)*(Summary!$C$38/((SUM(Summary!$C$24:$C$27)+Summary!$C$38)))</f>
        <v>26541.168572464019</v>
      </c>
      <c r="U31" s="218">
        <f>('GAAP Beg Depreciation'!AC$122)*(Summary!$C$38/((SUM(Summary!$C$24:$C$27)+Summary!$C$38)))</f>
        <v>26541.168572464019</v>
      </c>
      <c r="V31" s="218">
        <f>('GAAP Beg Depreciation'!AD$122)*(Summary!$C$38/((SUM(Summary!$C$24:$C$27)+Summary!$C$38)))</f>
        <v>25902.76993445593</v>
      </c>
      <c r="W31" s="218">
        <f>('GAAP Beg Depreciation'!AE$122)*(Summary!$C$38/((SUM(Summary!$C$24:$C$27)+Summary!$C$38)))</f>
        <v>23908.520000427412</v>
      </c>
      <c r="X31" s="218">
        <f>('GAAP Beg Depreciation'!AF$122)*(Summary!$C$38/((SUM(Summary!$C$24:$C$27)+Summary!$C$38)))</f>
        <v>23209.018753353568</v>
      </c>
      <c r="Y31" s="218">
        <f>('GAAP Beg Depreciation'!AG$122)*(Summary!$C$38/((SUM(Summary!$C$24:$C$27)+Summary!$C$38)))</f>
        <v>23209.018753353568</v>
      </c>
      <c r="Z31" s="218">
        <f>('GAAP Beg Depreciation'!AH$122)*(Summary!$C$38/((SUM(Summary!$C$24:$C$27)+Summary!$C$38)))</f>
        <v>23209.018753353568</v>
      </c>
      <c r="AA31" s="218">
        <f>('GAAP Beg Depreciation'!AI$122)*(Summary!$C$38/((SUM(Summary!$C$24:$C$27)+Summary!$C$38)))</f>
        <v>23209.018753353568</v>
      </c>
      <c r="AB31" s="218">
        <f>('GAAP Beg Depreciation'!AJ$122)*(Summary!$C$38/((SUM(Summary!$C$24:$C$27)+Summary!$C$38)))</f>
        <v>23209.018753353568</v>
      </c>
      <c r="AC31" s="218">
        <f>('GAAP Beg Depreciation'!AK$122)*(Summary!$C$38/((SUM(Summary!$C$24:$C$27)+Summary!$C$38)))</f>
        <v>23209.018753353568</v>
      </c>
      <c r="AD31" s="218">
        <f>('GAAP Beg Depreciation'!AL$122)*(Summary!$C$38/((SUM(Summary!$C$24:$C$27)+Summary!$C$38)))</f>
        <v>23209.018753353568</v>
      </c>
      <c r="AE31" s="218">
        <f>('GAAP Beg Depreciation'!AM$122)*(Summary!$C$38/((SUM(Summary!$C$24:$C$27)+Summary!$C$38)))</f>
        <v>23209.018753353568</v>
      </c>
      <c r="AF31" s="218">
        <f>('GAAP Beg Depreciation'!AN$122)*(Summary!$C$38/((SUM(Summary!$C$24:$C$27)+Summary!$C$38)))</f>
        <v>23209.018753353568</v>
      </c>
      <c r="AG31" s="218">
        <f>('GAAP Beg Depreciation'!AO$122)*(Summary!$C$38/((SUM(Summary!$C$24:$C$27)+Summary!$C$38)))</f>
        <v>278.37922962332414</v>
      </c>
    </row>
    <row r="32" spans="1:33" x14ac:dyDescent="0.2">
      <c r="A32">
        <v>23</v>
      </c>
      <c r="B32" t="s">
        <v>76</v>
      </c>
      <c r="C32" s="218">
        <f>('GAAP Beg Depreciation'!K$121)*(Summary!$C$39/((SUM(Summary!$C$28:$C$33)+SUM(Summary!$C$39:$C$42))))</f>
        <v>572001.5066983226</v>
      </c>
      <c r="D32" s="218">
        <f>('GAAP Beg Depreciation'!L$121)*(Summary!$C$39/((SUM(Summary!$C$28:$C$33)+SUM(Summary!$C$39:$C$42))))</f>
        <v>572001.5066983226</v>
      </c>
      <c r="E32" s="218">
        <f>('GAAP Beg Depreciation'!M$121)*(Summary!$C$39/((SUM(Summary!$C$28:$C$33)+SUM(Summary!$C$39:$C$42))))</f>
        <v>570960.76430815202</v>
      </c>
      <c r="F32" s="218">
        <f>('GAAP Beg Depreciation'!N$121)*(Summary!$C$39/((SUM(Summary!$C$28:$C$33)+SUM(Summary!$C$39:$C$42))))</f>
        <v>567196.95165439078</v>
      </c>
      <c r="G32" s="218">
        <f>('GAAP Beg Depreciation'!O$121)*(Summary!$C$39/((SUM(Summary!$C$28:$C$33)+SUM(Summary!$C$39:$C$42))))</f>
        <v>551040.93661045912</v>
      </c>
      <c r="H32" s="218">
        <f>('GAAP Beg Depreciation'!P$121)*(Summary!$C$39/((SUM(Summary!$C$28:$C$33)+SUM(Summary!$C$39:$C$42))))</f>
        <v>504656.48851103697</v>
      </c>
      <c r="I32" s="218">
        <f>('GAAP Beg Depreciation'!Q$121)*(Summary!$C$39/((SUM(Summary!$C$28:$C$33)+SUM(Summary!$C$39:$C$42))))</f>
        <v>504656.48851103697</v>
      </c>
      <c r="J32" s="218">
        <f>('GAAP Beg Depreciation'!R$121)*(Summary!$C$39/((SUM(Summary!$C$28:$C$33)+SUM(Summary!$C$39:$C$42))))</f>
        <v>281970.24379906012</v>
      </c>
      <c r="K32" s="218">
        <f>('GAAP Beg Depreciation'!S$121)*(Summary!$C$39/((SUM(Summary!$C$28:$C$33)+SUM(Summary!$C$39:$C$42))))</f>
        <v>88462.724234149355</v>
      </c>
      <c r="L32" s="218">
        <f>('GAAP Beg Depreciation'!T$121)*(Summary!$C$39/((SUM(Summary!$C$28:$C$33)+SUM(Summary!$C$39:$C$42))))</f>
        <v>88268.027354949998</v>
      </c>
      <c r="M32" s="218">
        <f>('GAAP Beg Depreciation'!U$121)*(Summary!$C$39/((SUM(Summary!$C$28:$C$33)+SUM(Summary!$C$39:$C$42))))</f>
        <v>80883.132135291264</v>
      </c>
      <c r="N32" s="218">
        <f>('GAAP Beg Depreciation'!V$121)*(Summary!$C$39/((SUM(Summary!$C$28:$C$33)+SUM(Summary!$C$39:$C$42))))</f>
        <v>25260.878780500909</v>
      </c>
      <c r="O32" s="218">
        <f>('GAAP Beg Depreciation'!W$121)*(Summary!$C$39/((SUM(Summary!$C$28:$C$33)+SUM(Summary!$C$39:$C$42))))</f>
        <v>25260.878780500909</v>
      </c>
      <c r="P32" s="218">
        <f>('GAAP Beg Depreciation'!X$121)*(Summary!$C$39/((SUM(Summary!$C$28:$C$33)+SUM(Summary!$C$39:$C$42))))</f>
        <v>25260.878780500909</v>
      </c>
      <c r="Q32" s="218">
        <f>('GAAP Beg Depreciation'!Y$121)*(Summary!$C$39/((SUM(Summary!$C$28:$C$33)+SUM(Summary!$C$39:$C$42))))</f>
        <v>25260.878780500909</v>
      </c>
      <c r="R32" s="218">
        <f>('GAAP Beg Depreciation'!Z$121)*(Summary!$C$39/((SUM(Summary!$C$28:$C$33)+SUM(Summary!$C$39:$C$42))))</f>
        <v>25260.878780500909</v>
      </c>
      <c r="S32" s="218">
        <f>('GAAP Beg Depreciation'!AA$121)*(Summary!$C$39/((SUM(Summary!$C$28:$C$33)+SUM(Summary!$C$39:$C$42))))</f>
        <v>24910.491404661036</v>
      </c>
      <c r="T32" s="218">
        <f>('GAAP Beg Depreciation'!AB$121)*(Summary!$C$39/((SUM(Summary!$C$28:$C$33)+SUM(Summary!$C$39:$C$42))))</f>
        <v>23963.249381450023</v>
      </c>
      <c r="U32" s="218">
        <f>('GAAP Beg Depreciation'!AC$121)*(Summary!$C$39/((SUM(Summary!$C$28:$C$33)+SUM(Summary!$C$39:$C$42))))</f>
        <v>23963.249381450023</v>
      </c>
      <c r="V32" s="218">
        <f>('GAAP Beg Depreciation'!AD$121)*(Summary!$C$39/((SUM(Summary!$C$28:$C$33)+SUM(Summary!$C$39:$C$42))))</f>
        <v>23963.249381450023</v>
      </c>
      <c r="W32" s="218">
        <f>('GAAP Beg Depreciation'!AE$121)*(Summary!$C$39/((SUM(Summary!$C$28:$C$33)+SUM(Summary!$C$39:$C$42))))</f>
        <v>23963.249381450023</v>
      </c>
      <c r="X32" s="218">
        <f>('GAAP Beg Depreciation'!AF$121)*(Summary!$C$39/((SUM(Summary!$C$28:$C$33)+SUM(Summary!$C$39:$C$42))))</f>
        <v>23963.249381450023</v>
      </c>
      <c r="Y32" s="218">
        <f>('GAAP Beg Depreciation'!AG$121)*(Summary!$C$39/((SUM(Summary!$C$28:$C$33)+SUM(Summary!$C$39:$C$42))))</f>
        <v>23963.249381450023</v>
      </c>
      <c r="Z32" s="218">
        <f>('GAAP Beg Depreciation'!AH$121)*(Summary!$C$39/((SUM(Summary!$C$28:$C$33)+SUM(Summary!$C$39:$C$42))))</f>
        <v>23741.664130780475</v>
      </c>
      <c r="AA32" s="218">
        <f>('GAAP Beg Depreciation'!AI$121)*(Summary!$C$39/((SUM(Summary!$C$28:$C$33)+SUM(Summary!$C$39:$C$42))))</f>
        <v>22332.174908866269</v>
      </c>
      <c r="AB32" s="218">
        <f>('GAAP Beg Depreciation'!AJ$121)*(Summary!$C$39/((SUM(Summary!$C$28:$C$33)+SUM(Summary!$C$39:$C$42))))</f>
        <v>22332.174908866269</v>
      </c>
      <c r="AC32" s="218">
        <f>('GAAP Beg Depreciation'!AK$121)*(Summary!$C$39/((SUM(Summary!$C$28:$C$33)+SUM(Summary!$C$39:$C$42))))</f>
        <v>22332.174908866269</v>
      </c>
      <c r="AD32" s="218">
        <f>('GAAP Beg Depreciation'!AL$121)*(Summary!$C$39/((SUM(Summary!$C$28:$C$33)+SUM(Summary!$C$39:$C$42))))</f>
        <v>22332.174908866269</v>
      </c>
      <c r="AE32" s="218">
        <f>('GAAP Beg Depreciation'!AM$121)*(Summary!$C$39/((SUM(Summary!$C$28:$C$33)+SUM(Summary!$C$39:$C$42))))</f>
        <v>22332.174908866269</v>
      </c>
      <c r="AF32" s="218">
        <f>('GAAP Beg Depreciation'!AN$121)*(Summary!$C$39/((SUM(Summary!$C$28:$C$33)+SUM(Summary!$C$39:$C$42))))</f>
        <v>22332.174908866269</v>
      </c>
      <c r="AG32" s="218">
        <f>('GAAP Beg Depreciation'!AO$121)*(Summary!$C$39/((SUM(Summary!$C$28:$C$33)+SUM(Summary!$C$39:$C$42))))</f>
        <v>615.38354555278863</v>
      </c>
    </row>
    <row r="33" spans="1:33" x14ac:dyDescent="0.2">
      <c r="A33">
        <v>24</v>
      </c>
      <c r="B33" t="s">
        <v>77</v>
      </c>
      <c r="C33" s="218">
        <f>('GAAP Beg Depreciation'!K$121)*(Summary!$C$40/((SUM(Summary!$C$28:$C$33)+SUM(Summary!$C$39:$C$42))))</f>
        <v>572001.5066983226</v>
      </c>
      <c r="D33" s="218">
        <f>('GAAP Beg Depreciation'!L$121)*(Summary!$C$40/((SUM(Summary!$C$28:$C$33)+SUM(Summary!$C$39:$C$42))))</f>
        <v>572001.5066983226</v>
      </c>
      <c r="E33" s="218">
        <f>('GAAP Beg Depreciation'!M$121)*(Summary!$C$40/((SUM(Summary!$C$28:$C$33)+SUM(Summary!$C$39:$C$42))))</f>
        <v>570960.76430815202</v>
      </c>
      <c r="F33" s="218">
        <f>('GAAP Beg Depreciation'!N$121)*(Summary!$C$40/((SUM(Summary!$C$28:$C$33)+SUM(Summary!$C$39:$C$42))))</f>
        <v>567196.95165439078</v>
      </c>
      <c r="G33" s="218">
        <f>('GAAP Beg Depreciation'!O$121)*(Summary!$C$40/((SUM(Summary!$C$28:$C$33)+SUM(Summary!$C$39:$C$42))))</f>
        <v>551040.93661045912</v>
      </c>
      <c r="H33" s="218">
        <f>('GAAP Beg Depreciation'!P$121)*(Summary!$C$40/((SUM(Summary!$C$28:$C$33)+SUM(Summary!$C$39:$C$42))))</f>
        <v>504656.48851103697</v>
      </c>
      <c r="I33" s="218">
        <f>('GAAP Beg Depreciation'!Q$121)*(Summary!$C$40/((SUM(Summary!$C$28:$C$33)+SUM(Summary!$C$39:$C$42))))</f>
        <v>504656.48851103697</v>
      </c>
      <c r="J33" s="218">
        <f>('GAAP Beg Depreciation'!R$121)*(Summary!$C$40/((SUM(Summary!$C$28:$C$33)+SUM(Summary!$C$39:$C$42))))</f>
        <v>281970.24379906012</v>
      </c>
      <c r="K33" s="218">
        <f>('GAAP Beg Depreciation'!S$121)*(Summary!$C$40/((SUM(Summary!$C$28:$C$33)+SUM(Summary!$C$39:$C$42))))</f>
        <v>88462.724234149355</v>
      </c>
      <c r="L33" s="218">
        <f>('GAAP Beg Depreciation'!T$121)*(Summary!$C$40/((SUM(Summary!$C$28:$C$33)+SUM(Summary!$C$39:$C$42))))</f>
        <v>88268.027354949998</v>
      </c>
      <c r="M33" s="218">
        <f>('GAAP Beg Depreciation'!U$121)*(Summary!$C$40/((SUM(Summary!$C$28:$C$33)+SUM(Summary!$C$39:$C$42))))</f>
        <v>80883.132135291264</v>
      </c>
      <c r="N33" s="218">
        <f>('GAAP Beg Depreciation'!V$121)*(Summary!$C$40/((SUM(Summary!$C$28:$C$33)+SUM(Summary!$C$39:$C$42))))</f>
        <v>25260.878780500909</v>
      </c>
      <c r="O33" s="218">
        <f>('GAAP Beg Depreciation'!W$121)*(Summary!$C$40/((SUM(Summary!$C$28:$C$33)+SUM(Summary!$C$39:$C$42))))</f>
        <v>25260.878780500909</v>
      </c>
      <c r="P33" s="218">
        <f>('GAAP Beg Depreciation'!X$121)*(Summary!$C$40/((SUM(Summary!$C$28:$C$33)+SUM(Summary!$C$39:$C$42))))</f>
        <v>25260.878780500909</v>
      </c>
      <c r="Q33" s="218">
        <f>('GAAP Beg Depreciation'!Y$121)*(Summary!$C$40/((SUM(Summary!$C$28:$C$33)+SUM(Summary!$C$39:$C$42))))</f>
        <v>25260.878780500909</v>
      </c>
      <c r="R33" s="218">
        <f>('GAAP Beg Depreciation'!Z$121)*(Summary!$C$40/((SUM(Summary!$C$28:$C$33)+SUM(Summary!$C$39:$C$42))))</f>
        <v>25260.878780500909</v>
      </c>
      <c r="S33" s="218">
        <f>('GAAP Beg Depreciation'!AA$121)*(Summary!$C$40/((SUM(Summary!$C$28:$C$33)+SUM(Summary!$C$39:$C$42))))</f>
        <v>24910.491404661036</v>
      </c>
      <c r="T33" s="218">
        <f>('GAAP Beg Depreciation'!AB$121)*(Summary!$C$40/((SUM(Summary!$C$28:$C$33)+SUM(Summary!$C$39:$C$42))))</f>
        <v>23963.249381450023</v>
      </c>
      <c r="U33" s="218">
        <f>('GAAP Beg Depreciation'!AC$121)*(Summary!$C$40/((SUM(Summary!$C$28:$C$33)+SUM(Summary!$C$39:$C$42))))</f>
        <v>23963.249381450023</v>
      </c>
      <c r="V33" s="218">
        <f>('GAAP Beg Depreciation'!AD$121)*(Summary!$C$40/((SUM(Summary!$C$28:$C$33)+SUM(Summary!$C$39:$C$42))))</f>
        <v>23963.249381450023</v>
      </c>
      <c r="W33" s="218">
        <f>('GAAP Beg Depreciation'!AE$121)*(Summary!$C$40/((SUM(Summary!$C$28:$C$33)+SUM(Summary!$C$39:$C$42))))</f>
        <v>23963.249381450023</v>
      </c>
      <c r="X33" s="218">
        <f>('GAAP Beg Depreciation'!AF$121)*(Summary!$C$40/((SUM(Summary!$C$28:$C$33)+SUM(Summary!$C$39:$C$42))))</f>
        <v>23963.249381450023</v>
      </c>
      <c r="Y33" s="218">
        <f>('GAAP Beg Depreciation'!AG$121)*(Summary!$C$40/((SUM(Summary!$C$28:$C$33)+SUM(Summary!$C$39:$C$42))))</f>
        <v>23963.249381450023</v>
      </c>
      <c r="Z33" s="218">
        <f>('GAAP Beg Depreciation'!AH$121)*(Summary!$C$40/((SUM(Summary!$C$28:$C$33)+SUM(Summary!$C$39:$C$42))))</f>
        <v>23741.664130780475</v>
      </c>
      <c r="AA33" s="218">
        <f>('GAAP Beg Depreciation'!AI$121)*(Summary!$C$40/((SUM(Summary!$C$28:$C$33)+SUM(Summary!$C$39:$C$42))))</f>
        <v>22332.174908866269</v>
      </c>
      <c r="AB33" s="218">
        <f>('GAAP Beg Depreciation'!AJ$121)*(Summary!$C$40/((SUM(Summary!$C$28:$C$33)+SUM(Summary!$C$39:$C$42))))</f>
        <v>22332.174908866269</v>
      </c>
      <c r="AC33" s="218">
        <f>('GAAP Beg Depreciation'!AK$121)*(Summary!$C$40/((SUM(Summary!$C$28:$C$33)+SUM(Summary!$C$39:$C$42))))</f>
        <v>22332.174908866269</v>
      </c>
      <c r="AD33" s="218">
        <f>('GAAP Beg Depreciation'!AL$121)*(Summary!$C$40/((SUM(Summary!$C$28:$C$33)+SUM(Summary!$C$39:$C$42))))</f>
        <v>22332.174908866269</v>
      </c>
      <c r="AE33" s="218">
        <f>('GAAP Beg Depreciation'!AM$121)*(Summary!$C$40/((SUM(Summary!$C$28:$C$33)+SUM(Summary!$C$39:$C$42))))</f>
        <v>22332.174908866269</v>
      </c>
      <c r="AF33" s="218">
        <f>('GAAP Beg Depreciation'!AN$121)*(Summary!$C$40/((SUM(Summary!$C$28:$C$33)+SUM(Summary!$C$39:$C$42))))</f>
        <v>22332.174908866269</v>
      </c>
      <c r="AG33" s="218">
        <f>('GAAP Beg Depreciation'!AO$121)*(Summary!$C$40/((SUM(Summary!$C$28:$C$33)+SUM(Summary!$C$39:$C$42))))</f>
        <v>615.38354555278863</v>
      </c>
    </row>
    <row r="34" spans="1:33" x14ac:dyDescent="0.2">
      <c r="A34">
        <v>25</v>
      </c>
      <c r="B34" t="s">
        <v>78</v>
      </c>
      <c r="C34" s="218">
        <f>('GAAP Beg Depreciation'!K$121)*(Summary!$C$41/((SUM(Summary!$C$28:$C$33)+SUM(Summary!$C$39:$C$42))))</f>
        <v>572001.5066983226</v>
      </c>
      <c r="D34" s="218">
        <f>('GAAP Beg Depreciation'!L$121)*(Summary!$C$41/((SUM(Summary!$C$28:$C$33)+SUM(Summary!$C$39:$C$42))))</f>
        <v>572001.5066983226</v>
      </c>
      <c r="E34" s="218">
        <f>('GAAP Beg Depreciation'!M$121)*(Summary!$C$41/((SUM(Summary!$C$28:$C$33)+SUM(Summary!$C$39:$C$42))))</f>
        <v>570960.76430815202</v>
      </c>
      <c r="F34" s="218">
        <f>('GAAP Beg Depreciation'!N$121)*(Summary!$C$41/((SUM(Summary!$C$28:$C$33)+SUM(Summary!$C$39:$C$42))))</f>
        <v>567196.95165439078</v>
      </c>
      <c r="G34" s="218">
        <f>('GAAP Beg Depreciation'!O$121)*(Summary!$C$41/((SUM(Summary!$C$28:$C$33)+SUM(Summary!$C$39:$C$42))))</f>
        <v>551040.93661045912</v>
      </c>
      <c r="H34" s="218">
        <f>('GAAP Beg Depreciation'!P$121)*(Summary!$C$41/((SUM(Summary!$C$28:$C$33)+SUM(Summary!$C$39:$C$42))))</f>
        <v>504656.48851103697</v>
      </c>
      <c r="I34" s="218">
        <f>('GAAP Beg Depreciation'!Q$121)*(Summary!$C$41/((SUM(Summary!$C$28:$C$33)+SUM(Summary!$C$39:$C$42))))</f>
        <v>504656.48851103697</v>
      </c>
      <c r="J34" s="218">
        <f>('GAAP Beg Depreciation'!R$121)*(Summary!$C$41/((SUM(Summary!$C$28:$C$33)+SUM(Summary!$C$39:$C$42))))</f>
        <v>281970.24379906012</v>
      </c>
      <c r="K34" s="218">
        <f>('GAAP Beg Depreciation'!S$121)*(Summary!$C$41/((SUM(Summary!$C$28:$C$33)+SUM(Summary!$C$39:$C$42))))</f>
        <v>88462.724234149355</v>
      </c>
      <c r="L34" s="218">
        <f>('GAAP Beg Depreciation'!T$121)*(Summary!$C$41/((SUM(Summary!$C$28:$C$33)+SUM(Summary!$C$39:$C$42))))</f>
        <v>88268.027354949998</v>
      </c>
      <c r="M34" s="218">
        <f>('GAAP Beg Depreciation'!U$121)*(Summary!$C$41/((SUM(Summary!$C$28:$C$33)+SUM(Summary!$C$39:$C$42))))</f>
        <v>80883.132135291264</v>
      </c>
      <c r="N34" s="218">
        <f>('GAAP Beg Depreciation'!V$121)*(Summary!$C$41/((SUM(Summary!$C$28:$C$33)+SUM(Summary!$C$39:$C$42))))</f>
        <v>25260.878780500909</v>
      </c>
      <c r="O34" s="218">
        <f>('GAAP Beg Depreciation'!W$121)*(Summary!$C$41/((SUM(Summary!$C$28:$C$33)+SUM(Summary!$C$39:$C$42))))</f>
        <v>25260.878780500909</v>
      </c>
      <c r="P34" s="218">
        <f>('GAAP Beg Depreciation'!X$121)*(Summary!$C$41/((SUM(Summary!$C$28:$C$33)+SUM(Summary!$C$39:$C$42))))</f>
        <v>25260.878780500909</v>
      </c>
      <c r="Q34" s="218">
        <f>('GAAP Beg Depreciation'!Y$121)*(Summary!$C$41/((SUM(Summary!$C$28:$C$33)+SUM(Summary!$C$39:$C$42))))</f>
        <v>25260.878780500909</v>
      </c>
      <c r="R34" s="218">
        <f>('GAAP Beg Depreciation'!Z$121)*(Summary!$C$41/((SUM(Summary!$C$28:$C$33)+SUM(Summary!$C$39:$C$42))))</f>
        <v>25260.878780500909</v>
      </c>
      <c r="S34" s="218">
        <f>('GAAP Beg Depreciation'!AA$121)*(Summary!$C$41/((SUM(Summary!$C$28:$C$33)+SUM(Summary!$C$39:$C$42))))</f>
        <v>24910.491404661036</v>
      </c>
      <c r="T34" s="218">
        <f>('GAAP Beg Depreciation'!AB$121)*(Summary!$C$41/((SUM(Summary!$C$28:$C$33)+SUM(Summary!$C$39:$C$42))))</f>
        <v>23963.249381450023</v>
      </c>
      <c r="U34" s="218">
        <f>('GAAP Beg Depreciation'!AC$121)*(Summary!$C$41/((SUM(Summary!$C$28:$C$33)+SUM(Summary!$C$39:$C$42))))</f>
        <v>23963.249381450023</v>
      </c>
      <c r="V34" s="218">
        <f>('GAAP Beg Depreciation'!AD$121)*(Summary!$C$41/((SUM(Summary!$C$28:$C$33)+SUM(Summary!$C$39:$C$42))))</f>
        <v>23963.249381450023</v>
      </c>
      <c r="W34" s="218">
        <f>('GAAP Beg Depreciation'!AE$121)*(Summary!$C$41/((SUM(Summary!$C$28:$C$33)+SUM(Summary!$C$39:$C$42))))</f>
        <v>23963.249381450023</v>
      </c>
      <c r="X34" s="218">
        <f>('GAAP Beg Depreciation'!AF$121)*(Summary!$C$41/((SUM(Summary!$C$28:$C$33)+SUM(Summary!$C$39:$C$42))))</f>
        <v>23963.249381450023</v>
      </c>
      <c r="Y34" s="218">
        <f>('GAAP Beg Depreciation'!AG$121)*(Summary!$C$41/((SUM(Summary!$C$28:$C$33)+SUM(Summary!$C$39:$C$42))))</f>
        <v>23963.249381450023</v>
      </c>
      <c r="Z34" s="218">
        <f>('GAAP Beg Depreciation'!AH$121)*(Summary!$C$41/((SUM(Summary!$C$28:$C$33)+SUM(Summary!$C$39:$C$42))))</f>
        <v>23741.664130780475</v>
      </c>
      <c r="AA34" s="218">
        <f>('GAAP Beg Depreciation'!AI$121)*(Summary!$C$41/((SUM(Summary!$C$28:$C$33)+SUM(Summary!$C$39:$C$42))))</f>
        <v>22332.174908866269</v>
      </c>
      <c r="AB34" s="218">
        <f>('GAAP Beg Depreciation'!AJ$121)*(Summary!$C$41/((SUM(Summary!$C$28:$C$33)+SUM(Summary!$C$39:$C$42))))</f>
        <v>22332.174908866269</v>
      </c>
      <c r="AC34" s="218">
        <f>('GAAP Beg Depreciation'!AK$121)*(Summary!$C$41/((SUM(Summary!$C$28:$C$33)+SUM(Summary!$C$39:$C$42))))</f>
        <v>22332.174908866269</v>
      </c>
      <c r="AD34" s="218">
        <f>('GAAP Beg Depreciation'!AL$121)*(Summary!$C$41/((SUM(Summary!$C$28:$C$33)+SUM(Summary!$C$39:$C$42))))</f>
        <v>22332.174908866269</v>
      </c>
      <c r="AE34" s="218">
        <f>('GAAP Beg Depreciation'!AM$121)*(Summary!$C$41/((SUM(Summary!$C$28:$C$33)+SUM(Summary!$C$39:$C$42))))</f>
        <v>22332.174908866269</v>
      </c>
      <c r="AF34" s="218">
        <f>('GAAP Beg Depreciation'!AN$121)*(Summary!$C$41/((SUM(Summary!$C$28:$C$33)+SUM(Summary!$C$39:$C$42))))</f>
        <v>22332.174908866269</v>
      </c>
      <c r="AG34" s="218">
        <f>('GAAP Beg Depreciation'!AO$121)*(Summary!$C$41/((SUM(Summary!$C$28:$C$33)+SUM(Summary!$C$39:$C$42))))</f>
        <v>615.38354555278863</v>
      </c>
    </row>
    <row r="35" spans="1:33" x14ac:dyDescent="0.2">
      <c r="A35">
        <v>26</v>
      </c>
      <c r="B35" t="s">
        <v>79</v>
      </c>
      <c r="C35" s="218">
        <f>('GAAP Beg Depreciation'!K$121)*(Summary!$C$42/((SUM(Summary!$C$28:$C$33)+SUM(Summary!$C$39:$C$42))))</f>
        <v>572001.5066983226</v>
      </c>
      <c r="D35" s="218">
        <f>('GAAP Beg Depreciation'!L$121)*(Summary!$C$42/((SUM(Summary!$C$28:$C$33)+SUM(Summary!$C$39:$C$42))))</f>
        <v>572001.5066983226</v>
      </c>
      <c r="E35" s="218">
        <f>('GAAP Beg Depreciation'!M$121)*(Summary!$C$42/((SUM(Summary!$C$28:$C$33)+SUM(Summary!$C$39:$C$42))))</f>
        <v>570960.76430815202</v>
      </c>
      <c r="F35" s="218">
        <f>('GAAP Beg Depreciation'!N$121)*(Summary!$C$42/((SUM(Summary!$C$28:$C$33)+SUM(Summary!$C$39:$C$42))))</f>
        <v>567196.95165439078</v>
      </c>
      <c r="G35" s="218">
        <f>('GAAP Beg Depreciation'!O$121)*(Summary!$C$42/((SUM(Summary!$C$28:$C$33)+SUM(Summary!$C$39:$C$42))))</f>
        <v>551040.93661045912</v>
      </c>
      <c r="H35" s="218">
        <f>('GAAP Beg Depreciation'!P$121)*(Summary!$C$42/((SUM(Summary!$C$28:$C$33)+SUM(Summary!$C$39:$C$42))))</f>
        <v>504656.48851103697</v>
      </c>
      <c r="I35" s="218">
        <f>('GAAP Beg Depreciation'!Q$121)*(Summary!$C$42/((SUM(Summary!$C$28:$C$33)+SUM(Summary!$C$39:$C$42))))</f>
        <v>504656.48851103697</v>
      </c>
      <c r="J35" s="218">
        <f>('GAAP Beg Depreciation'!R$121)*(Summary!$C$42/((SUM(Summary!$C$28:$C$33)+SUM(Summary!$C$39:$C$42))))</f>
        <v>281970.24379906012</v>
      </c>
      <c r="K35" s="218">
        <f>('GAAP Beg Depreciation'!S$121)*(Summary!$C$42/((SUM(Summary!$C$28:$C$33)+SUM(Summary!$C$39:$C$42))))</f>
        <v>88462.724234149355</v>
      </c>
      <c r="L35" s="218">
        <f>('GAAP Beg Depreciation'!T$121)*(Summary!$C$42/((SUM(Summary!$C$28:$C$33)+SUM(Summary!$C$39:$C$42))))</f>
        <v>88268.027354949998</v>
      </c>
      <c r="M35" s="218">
        <f>('GAAP Beg Depreciation'!U$121)*(Summary!$C$42/((SUM(Summary!$C$28:$C$33)+SUM(Summary!$C$39:$C$42))))</f>
        <v>80883.132135291264</v>
      </c>
      <c r="N35" s="218">
        <f>('GAAP Beg Depreciation'!V$121)*(Summary!$C$42/((SUM(Summary!$C$28:$C$33)+SUM(Summary!$C$39:$C$42))))</f>
        <v>25260.878780500909</v>
      </c>
      <c r="O35" s="218">
        <f>('GAAP Beg Depreciation'!W$121)*(Summary!$C$42/((SUM(Summary!$C$28:$C$33)+SUM(Summary!$C$39:$C$42))))</f>
        <v>25260.878780500909</v>
      </c>
      <c r="P35" s="218">
        <f>('GAAP Beg Depreciation'!X$121)*(Summary!$C$42/((SUM(Summary!$C$28:$C$33)+SUM(Summary!$C$39:$C$42))))</f>
        <v>25260.878780500909</v>
      </c>
      <c r="Q35" s="218">
        <f>('GAAP Beg Depreciation'!Y$121)*(Summary!$C$42/((SUM(Summary!$C$28:$C$33)+SUM(Summary!$C$39:$C$42))))</f>
        <v>25260.878780500909</v>
      </c>
      <c r="R35" s="218">
        <f>('GAAP Beg Depreciation'!Z$121)*(Summary!$C$42/((SUM(Summary!$C$28:$C$33)+SUM(Summary!$C$39:$C$42))))</f>
        <v>25260.878780500909</v>
      </c>
      <c r="S35" s="218">
        <f>('GAAP Beg Depreciation'!AA$121)*(Summary!$C$42/((SUM(Summary!$C$28:$C$33)+SUM(Summary!$C$39:$C$42))))</f>
        <v>24910.491404661036</v>
      </c>
      <c r="T35" s="218">
        <f>('GAAP Beg Depreciation'!AB$121)*(Summary!$C$42/((SUM(Summary!$C$28:$C$33)+SUM(Summary!$C$39:$C$42))))</f>
        <v>23963.249381450023</v>
      </c>
      <c r="U35" s="218">
        <f>('GAAP Beg Depreciation'!AC$121)*(Summary!$C$42/((SUM(Summary!$C$28:$C$33)+SUM(Summary!$C$39:$C$42))))</f>
        <v>23963.249381450023</v>
      </c>
      <c r="V35" s="218">
        <f>('GAAP Beg Depreciation'!AD$121)*(Summary!$C$42/((SUM(Summary!$C$28:$C$33)+SUM(Summary!$C$39:$C$42))))</f>
        <v>23963.249381450023</v>
      </c>
      <c r="W35" s="218">
        <f>('GAAP Beg Depreciation'!AE$121)*(Summary!$C$42/((SUM(Summary!$C$28:$C$33)+SUM(Summary!$C$39:$C$42))))</f>
        <v>23963.249381450023</v>
      </c>
      <c r="X35" s="218">
        <f>('GAAP Beg Depreciation'!AF$121)*(Summary!$C$42/((SUM(Summary!$C$28:$C$33)+SUM(Summary!$C$39:$C$42))))</f>
        <v>23963.249381450023</v>
      </c>
      <c r="Y35" s="218">
        <f>('GAAP Beg Depreciation'!AG$121)*(Summary!$C$42/((SUM(Summary!$C$28:$C$33)+SUM(Summary!$C$39:$C$42))))</f>
        <v>23963.249381450023</v>
      </c>
      <c r="Z35" s="218">
        <f>('GAAP Beg Depreciation'!AH$121)*(Summary!$C$42/((SUM(Summary!$C$28:$C$33)+SUM(Summary!$C$39:$C$42))))</f>
        <v>23741.664130780475</v>
      </c>
      <c r="AA35" s="218">
        <f>('GAAP Beg Depreciation'!AI$121)*(Summary!$C$42/((SUM(Summary!$C$28:$C$33)+SUM(Summary!$C$39:$C$42))))</f>
        <v>22332.174908866269</v>
      </c>
      <c r="AB35" s="218">
        <f>('GAAP Beg Depreciation'!AJ$121)*(Summary!$C$42/((SUM(Summary!$C$28:$C$33)+SUM(Summary!$C$39:$C$42))))</f>
        <v>22332.174908866269</v>
      </c>
      <c r="AC35" s="218">
        <f>('GAAP Beg Depreciation'!AK$121)*(Summary!$C$42/((SUM(Summary!$C$28:$C$33)+SUM(Summary!$C$39:$C$42))))</f>
        <v>22332.174908866269</v>
      </c>
      <c r="AD35" s="218">
        <f>('GAAP Beg Depreciation'!AL$121)*(Summary!$C$42/((SUM(Summary!$C$28:$C$33)+SUM(Summary!$C$39:$C$42))))</f>
        <v>22332.174908866269</v>
      </c>
      <c r="AE35" s="218">
        <f>('GAAP Beg Depreciation'!AM$121)*(Summary!$C$42/((SUM(Summary!$C$28:$C$33)+SUM(Summary!$C$39:$C$42))))</f>
        <v>22332.174908866269</v>
      </c>
      <c r="AF35" s="218">
        <f>('GAAP Beg Depreciation'!AN$121)*(Summary!$C$42/((SUM(Summary!$C$28:$C$33)+SUM(Summary!$C$39:$C$42))))</f>
        <v>22332.174908866269</v>
      </c>
      <c r="AG35" s="218">
        <f>('GAAP Beg Depreciation'!AO$121)*(Summary!$C$42/((SUM(Summary!$C$28:$C$33)+SUM(Summary!$C$39:$C$42))))</f>
        <v>615.38354555278863</v>
      </c>
    </row>
    <row r="36" spans="1:33" x14ac:dyDescent="0.2">
      <c r="A36">
        <v>27</v>
      </c>
      <c r="B36" t="s">
        <v>80</v>
      </c>
      <c r="C36" s="218">
        <f>'GAAP Beg Depreciation'!K129/6</f>
        <v>1830222.4815308666</v>
      </c>
      <c r="D36" s="218">
        <f>'GAAP Beg Depreciation'!L129/6</f>
        <v>1830222.4815308666</v>
      </c>
      <c r="E36" s="218">
        <f>'GAAP Beg Depreciation'!M129/6</f>
        <v>1830222.4815308666</v>
      </c>
      <c r="F36" s="218">
        <f>'GAAP Beg Depreciation'!N129/6</f>
        <v>1830222.4815308666</v>
      </c>
      <c r="G36" s="218">
        <f>'GAAP Beg Depreciation'!O129/6</f>
        <v>1830222.4815308666</v>
      </c>
      <c r="H36" s="218">
        <f>'GAAP Beg Depreciation'!P129/6</f>
        <v>1830222.4815308666</v>
      </c>
      <c r="I36" s="218">
        <f>'GAAP Beg Depreciation'!Q129/6</f>
        <v>1830222.4815308666</v>
      </c>
      <c r="J36" s="218">
        <f>'GAAP Beg Depreciation'!R129/6</f>
        <v>1830222.4815308666</v>
      </c>
      <c r="K36" s="218">
        <f>'GAAP Beg Depreciation'!S129/6</f>
        <v>1830222.4815308666</v>
      </c>
      <c r="L36" s="218">
        <f>'GAAP Beg Depreciation'!T129/6</f>
        <v>1830222.4815308666</v>
      </c>
      <c r="M36" s="218">
        <f>'GAAP Beg Depreciation'!U129/6</f>
        <v>1830222.4815308666</v>
      </c>
      <c r="N36" s="218">
        <f>'GAAP Beg Depreciation'!V129/6</f>
        <v>1830222.4815308666</v>
      </c>
      <c r="O36" s="218">
        <f>'GAAP Beg Depreciation'!W129/6</f>
        <v>1830222.4815308666</v>
      </c>
      <c r="P36" s="218">
        <f>'GAAP Beg Depreciation'!X129/6</f>
        <v>1830222.4815308666</v>
      </c>
      <c r="Q36" s="218">
        <f>'GAAP Beg Depreciation'!Y129/6</f>
        <v>1830222.4815308666</v>
      </c>
      <c r="R36" s="218">
        <f>'GAAP Beg Depreciation'!Z129/6</f>
        <v>466825.51819753804</v>
      </c>
      <c r="S36" s="218">
        <f>'GAAP Beg Depreciation'!AA129/6</f>
        <v>78084.648197533257</v>
      </c>
      <c r="T36" s="218">
        <f>'GAAP Beg Depreciation'!AB129/6</f>
        <v>78084.648197533257</v>
      </c>
      <c r="U36" s="218">
        <f>'GAAP Beg Depreciation'!AC129/6</f>
        <v>78084.648197533257</v>
      </c>
      <c r="V36" s="218">
        <f>'GAAP Beg Depreciation'!AD129/6</f>
        <v>78084.648197533257</v>
      </c>
      <c r="W36" s="218">
        <f>'GAAP Beg Depreciation'!AE129/6</f>
        <v>29658.5</v>
      </c>
      <c r="X36" s="218">
        <f>'GAAP Beg Depreciation'!AF129/6</f>
        <v>29658.5</v>
      </c>
      <c r="Y36" s="218">
        <f>'GAAP Beg Depreciation'!AG129/6</f>
        <v>29658.5</v>
      </c>
      <c r="Z36" s="218">
        <f>'GAAP Beg Depreciation'!AH129/6</f>
        <v>29658.5</v>
      </c>
      <c r="AA36" s="218">
        <f>'GAAP Beg Depreciation'!AI129/6</f>
        <v>29658.5</v>
      </c>
      <c r="AB36" s="218">
        <f>'GAAP Beg Depreciation'!AJ129/6</f>
        <v>29658.5</v>
      </c>
      <c r="AC36" s="218">
        <f>'GAAP Beg Depreciation'!AK129/6</f>
        <v>29658.5</v>
      </c>
      <c r="AD36" s="218">
        <f>'GAAP Beg Depreciation'!AL129/6</f>
        <v>29658.5</v>
      </c>
      <c r="AE36" s="218">
        <f>'GAAP Beg Depreciation'!AM129/6</f>
        <v>29658.5</v>
      </c>
      <c r="AF36" s="218">
        <f>'GAAP Beg Depreciation'!AN129/6</f>
        <v>29658.5</v>
      </c>
      <c r="AG36" s="218">
        <f>'GAAP Beg Depreciation'!AO129/6</f>
        <v>29658.5</v>
      </c>
    </row>
    <row r="37" spans="1:33" x14ac:dyDescent="0.2">
      <c r="A37">
        <v>28</v>
      </c>
      <c r="B37" t="s">
        <v>81</v>
      </c>
      <c r="C37" s="218">
        <f>'GAAP Beg Depreciation'!K129/6</f>
        <v>1830222.4815308666</v>
      </c>
      <c r="D37" s="218">
        <f>'GAAP Beg Depreciation'!L129/6</f>
        <v>1830222.4815308666</v>
      </c>
      <c r="E37" s="218">
        <f>'GAAP Beg Depreciation'!M129/6</f>
        <v>1830222.4815308666</v>
      </c>
      <c r="F37" s="218">
        <f>'GAAP Beg Depreciation'!N129/6</f>
        <v>1830222.4815308666</v>
      </c>
      <c r="G37" s="218">
        <f>'GAAP Beg Depreciation'!O129/6</f>
        <v>1830222.4815308666</v>
      </c>
      <c r="H37" s="218">
        <f>'GAAP Beg Depreciation'!P129/6</f>
        <v>1830222.4815308666</v>
      </c>
      <c r="I37" s="218">
        <f>'GAAP Beg Depreciation'!Q129/6</f>
        <v>1830222.4815308666</v>
      </c>
      <c r="J37" s="218">
        <f>'GAAP Beg Depreciation'!R129/6</f>
        <v>1830222.4815308666</v>
      </c>
      <c r="K37" s="218">
        <f>'GAAP Beg Depreciation'!S129/6</f>
        <v>1830222.4815308666</v>
      </c>
      <c r="L37" s="218">
        <f>'GAAP Beg Depreciation'!T129/6</f>
        <v>1830222.4815308666</v>
      </c>
      <c r="M37" s="218">
        <f>'GAAP Beg Depreciation'!U129/6</f>
        <v>1830222.4815308666</v>
      </c>
      <c r="N37" s="218">
        <f>'GAAP Beg Depreciation'!V129/6</f>
        <v>1830222.4815308666</v>
      </c>
      <c r="O37" s="218">
        <f>'GAAP Beg Depreciation'!W129/6</f>
        <v>1830222.4815308666</v>
      </c>
      <c r="P37" s="218">
        <f>'GAAP Beg Depreciation'!X129/6</f>
        <v>1830222.4815308666</v>
      </c>
      <c r="Q37" s="218">
        <f>'GAAP Beg Depreciation'!Y129/6</f>
        <v>1830222.4815308666</v>
      </c>
      <c r="R37" s="218">
        <f>'GAAP Beg Depreciation'!Z129/6</f>
        <v>466825.51819753804</v>
      </c>
      <c r="S37" s="218">
        <f>'GAAP Beg Depreciation'!AA129/6</f>
        <v>78084.648197533257</v>
      </c>
      <c r="T37" s="218">
        <f>'GAAP Beg Depreciation'!AB129/6</f>
        <v>78084.648197533257</v>
      </c>
      <c r="U37" s="218">
        <f>'GAAP Beg Depreciation'!AC129/6</f>
        <v>78084.648197533257</v>
      </c>
      <c r="V37" s="218">
        <f>'GAAP Beg Depreciation'!AD129/6</f>
        <v>78084.648197533257</v>
      </c>
      <c r="W37" s="218">
        <f>'GAAP Beg Depreciation'!AE129/6</f>
        <v>29658.5</v>
      </c>
      <c r="X37" s="218">
        <f>'GAAP Beg Depreciation'!AF129/6</f>
        <v>29658.5</v>
      </c>
      <c r="Y37" s="218">
        <f>'GAAP Beg Depreciation'!AG129/6</f>
        <v>29658.5</v>
      </c>
      <c r="Z37" s="218">
        <f>'GAAP Beg Depreciation'!AH129/6</f>
        <v>29658.5</v>
      </c>
      <c r="AA37" s="218">
        <f>'GAAP Beg Depreciation'!AI129/6</f>
        <v>29658.5</v>
      </c>
      <c r="AB37" s="218">
        <f>'GAAP Beg Depreciation'!AJ129/6</f>
        <v>29658.5</v>
      </c>
      <c r="AC37" s="218">
        <f>'GAAP Beg Depreciation'!AK129/6</f>
        <v>29658.5</v>
      </c>
      <c r="AD37" s="218">
        <f>'GAAP Beg Depreciation'!AL129/6</f>
        <v>29658.5</v>
      </c>
      <c r="AE37" s="218">
        <f>'GAAP Beg Depreciation'!AM129/6</f>
        <v>29658.5</v>
      </c>
      <c r="AF37" s="218">
        <f>'GAAP Beg Depreciation'!AN129/6</f>
        <v>29658.5</v>
      </c>
      <c r="AG37" s="218">
        <f>'GAAP Beg Depreciation'!AO129/6</f>
        <v>29658.5</v>
      </c>
    </row>
    <row r="38" spans="1:33" x14ac:dyDescent="0.2">
      <c r="A38">
        <v>29</v>
      </c>
      <c r="B38" t="s">
        <v>82</v>
      </c>
      <c r="C38" s="218">
        <f>'GAAP Beg Depreciation'!K129/6</f>
        <v>1830222.4815308666</v>
      </c>
      <c r="D38" s="218">
        <f>'GAAP Beg Depreciation'!L129/6</f>
        <v>1830222.4815308666</v>
      </c>
      <c r="E38" s="218">
        <f>'GAAP Beg Depreciation'!M129/6</f>
        <v>1830222.4815308666</v>
      </c>
      <c r="F38" s="218">
        <f>'GAAP Beg Depreciation'!N129/6</f>
        <v>1830222.4815308666</v>
      </c>
      <c r="G38" s="218">
        <f>'GAAP Beg Depreciation'!O129/6</f>
        <v>1830222.4815308666</v>
      </c>
      <c r="H38" s="218">
        <f>'GAAP Beg Depreciation'!P129/6</f>
        <v>1830222.4815308666</v>
      </c>
      <c r="I38" s="218">
        <f>'GAAP Beg Depreciation'!Q129/6</f>
        <v>1830222.4815308666</v>
      </c>
      <c r="J38" s="218">
        <f>'GAAP Beg Depreciation'!R129/6</f>
        <v>1830222.4815308666</v>
      </c>
      <c r="K38" s="218">
        <f>'GAAP Beg Depreciation'!S129/6</f>
        <v>1830222.4815308666</v>
      </c>
      <c r="L38" s="218">
        <f>'GAAP Beg Depreciation'!T129/6</f>
        <v>1830222.4815308666</v>
      </c>
      <c r="M38" s="218">
        <f>'GAAP Beg Depreciation'!U129/6</f>
        <v>1830222.4815308666</v>
      </c>
      <c r="N38" s="218">
        <f>'GAAP Beg Depreciation'!V129/6</f>
        <v>1830222.4815308666</v>
      </c>
      <c r="O38" s="218">
        <f>'GAAP Beg Depreciation'!W129/6</f>
        <v>1830222.4815308666</v>
      </c>
      <c r="P38" s="218">
        <f>'GAAP Beg Depreciation'!X129/6</f>
        <v>1830222.4815308666</v>
      </c>
      <c r="Q38" s="218">
        <f>'GAAP Beg Depreciation'!Y129/6</f>
        <v>1830222.4815308666</v>
      </c>
      <c r="R38" s="218">
        <f>'GAAP Beg Depreciation'!Z129/6</f>
        <v>466825.51819753804</v>
      </c>
      <c r="S38" s="218">
        <f>'GAAP Beg Depreciation'!AA129/6</f>
        <v>78084.648197533257</v>
      </c>
      <c r="T38" s="218">
        <f>'GAAP Beg Depreciation'!AB129/6</f>
        <v>78084.648197533257</v>
      </c>
      <c r="U38" s="218">
        <f>'GAAP Beg Depreciation'!AC129/6</f>
        <v>78084.648197533257</v>
      </c>
      <c r="V38" s="218">
        <f>'GAAP Beg Depreciation'!AD129/6</f>
        <v>78084.648197533257</v>
      </c>
      <c r="W38" s="218">
        <f>'GAAP Beg Depreciation'!AE129/6</f>
        <v>29658.5</v>
      </c>
      <c r="X38" s="218">
        <f>'GAAP Beg Depreciation'!AF129/6</f>
        <v>29658.5</v>
      </c>
      <c r="Y38" s="218">
        <f>'GAAP Beg Depreciation'!AG129/6</f>
        <v>29658.5</v>
      </c>
      <c r="Z38" s="218">
        <f>'GAAP Beg Depreciation'!AH129/6</f>
        <v>29658.5</v>
      </c>
      <c r="AA38" s="218">
        <f>'GAAP Beg Depreciation'!AI129/6</f>
        <v>29658.5</v>
      </c>
      <c r="AB38" s="218">
        <f>'GAAP Beg Depreciation'!AJ129/6</f>
        <v>29658.5</v>
      </c>
      <c r="AC38" s="218">
        <f>'GAAP Beg Depreciation'!AK129/6</f>
        <v>29658.5</v>
      </c>
      <c r="AD38" s="218">
        <f>'GAAP Beg Depreciation'!AL129/6</f>
        <v>29658.5</v>
      </c>
      <c r="AE38" s="218">
        <f>'GAAP Beg Depreciation'!AM129/6</f>
        <v>29658.5</v>
      </c>
      <c r="AF38" s="218">
        <f>'GAAP Beg Depreciation'!AN129/6</f>
        <v>29658.5</v>
      </c>
      <c r="AG38" s="218">
        <f>'GAAP Beg Depreciation'!AO129/6</f>
        <v>29658.5</v>
      </c>
    </row>
    <row r="39" spans="1:33" x14ac:dyDescent="0.2">
      <c r="A39">
        <v>30</v>
      </c>
      <c r="B39" t="s">
        <v>83</v>
      </c>
      <c r="C39" s="218">
        <f>'GAAP Beg Depreciation'!K129/6</f>
        <v>1830222.4815308666</v>
      </c>
      <c r="D39" s="218">
        <f>'GAAP Beg Depreciation'!L129/6</f>
        <v>1830222.4815308666</v>
      </c>
      <c r="E39" s="218">
        <f>'GAAP Beg Depreciation'!M129/6</f>
        <v>1830222.4815308666</v>
      </c>
      <c r="F39" s="218">
        <f>'GAAP Beg Depreciation'!N129/6</f>
        <v>1830222.4815308666</v>
      </c>
      <c r="G39" s="218">
        <f>'GAAP Beg Depreciation'!O129/6</f>
        <v>1830222.4815308666</v>
      </c>
      <c r="H39" s="218">
        <f>'GAAP Beg Depreciation'!P129/6</f>
        <v>1830222.4815308666</v>
      </c>
      <c r="I39" s="218">
        <f>'GAAP Beg Depreciation'!Q129/6</f>
        <v>1830222.4815308666</v>
      </c>
      <c r="J39" s="218">
        <f>'GAAP Beg Depreciation'!R129/6</f>
        <v>1830222.4815308666</v>
      </c>
      <c r="K39" s="218">
        <f>'GAAP Beg Depreciation'!S129/6</f>
        <v>1830222.4815308666</v>
      </c>
      <c r="L39" s="218">
        <f>'GAAP Beg Depreciation'!T129/6</f>
        <v>1830222.4815308666</v>
      </c>
      <c r="M39" s="218">
        <f>'GAAP Beg Depreciation'!U129/6</f>
        <v>1830222.4815308666</v>
      </c>
      <c r="N39" s="218">
        <f>'GAAP Beg Depreciation'!V129/6</f>
        <v>1830222.4815308666</v>
      </c>
      <c r="O39" s="218">
        <f>'GAAP Beg Depreciation'!W129/6</f>
        <v>1830222.4815308666</v>
      </c>
      <c r="P39" s="218">
        <f>'GAAP Beg Depreciation'!X129/6</f>
        <v>1830222.4815308666</v>
      </c>
      <c r="Q39" s="218">
        <f>'GAAP Beg Depreciation'!Y129/6</f>
        <v>1830222.4815308666</v>
      </c>
      <c r="R39" s="218">
        <f>'GAAP Beg Depreciation'!Z129/6</f>
        <v>466825.51819753804</v>
      </c>
      <c r="S39" s="218">
        <f>'GAAP Beg Depreciation'!AA129/6</f>
        <v>78084.648197533257</v>
      </c>
      <c r="T39" s="218">
        <f>'GAAP Beg Depreciation'!AB129/6</f>
        <v>78084.648197533257</v>
      </c>
      <c r="U39" s="218">
        <f>'GAAP Beg Depreciation'!AC129/6</f>
        <v>78084.648197533257</v>
      </c>
      <c r="V39" s="218">
        <f>'GAAP Beg Depreciation'!AD129/6</f>
        <v>78084.648197533257</v>
      </c>
      <c r="W39" s="218">
        <f>'GAAP Beg Depreciation'!AE129/6</f>
        <v>29658.5</v>
      </c>
      <c r="X39" s="218">
        <f>'GAAP Beg Depreciation'!AF129/6</f>
        <v>29658.5</v>
      </c>
      <c r="Y39" s="218">
        <f>'GAAP Beg Depreciation'!AG129/6</f>
        <v>29658.5</v>
      </c>
      <c r="Z39" s="218">
        <f>'GAAP Beg Depreciation'!AH129/6</f>
        <v>29658.5</v>
      </c>
      <c r="AA39" s="218">
        <f>'GAAP Beg Depreciation'!AI129/6</f>
        <v>29658.5</v>
      </c>
      <c r="AB39" s="218">
        <f>'GAAP Beg Depreciation'!AJ129/6</f>
        <v>29658.5</v>
      </c>
      <c r="AC39" s="218">
        <f>'GAAP Beg Depreciation'!AK129/6</f>
        <v>29658.5</v>
      </c>
      <c r="AD39" s="218">
        <f>'GAAP Beg Depreciation'!AL129/6</f>
        <v>29658.5</v>
      </c>
      <c r="AE39" s="218">
        <f>'GAAP Beg Depreciation'!AM129/6</f>
        <v>29658.5</v>
      </c>
      <c r="AF39" s="218">
        <f>'GAAP Beg Depreciation'!AN129/6</f>
        <v>29658.5</v>
      </c>
      <c r="AG39" s="218">
        <f>'GAAP Beg Depreciation'!AO129/6</f>
        <v>29658.5</v>
      </c>
    </row>
    <row r="40" spans="1:33" x14ac:dyDescent="0.2">
      <c r="A40">
        <v>31</v>
      </c>
      <c r="B40" t="s">
        <v>84</v>
      </c>
      <c r="C40" s="218">
        <f>'GAAP Beg Depreciation'!K129/6</f>
        <v>1830222.4815308666</v>
      </c>
      <c r="D40" s="218">
        <f>'GAAP Beg Depreciation'!L129/6</f>
        <v>1830222.4815308666</v>
      </c>
      <c r="E40" s="218">
        <f>'GAAP Beg Depreciation'!M129/6</f>
        <v>1830222.4815308666</v>
      </c>
      <c r="F40" s="218">
        <f>'GAAP Beg Depreciation'!N129/6</f>
        <v>1830222.4815308666</v>
      </c>
      <c r="G40" s="218">
        <f>'GAAP Beg Depreciation'!O129/6</f>
        <v>1830222.4815308666</v>
      </c>
      <c r="H40" s="218">
        <f>'GAAP Beg Depreciation'!P129/6</f>
        <v>1830222.4815308666</v>
      </c>
      <c r="I40" s="218">
        <f>'GAAP Beg Depreciation'!Q129/6</f>
        <v>1830222.4815308666</v>
      </c>
      <c r="J40" s="218">
        <f>'GAAP Beg Depreciation'!R129/6</f>
        <v>1830222.4815308666</v>
      </c>
      <c r="K40" s="218">
        <f>'GAAP Beg Depreciation'!S129/6</f>
        <v>1830222.4815308666</v>
      </c>
      <c r="L40" s="218">
        <f>'GAAP Beg Depreciation'!T129/6</f>
        <v>1830222.4815308666</v>
      </c>
      <c r="M40" s="218">
        <f>'GAAP Beg Depreciation'!U129/6</f>
        <v>1830222.4815308666</v>
      </c>
      <c r="N40" s="218">
        <f>'GAAP Beg Depreciation'!V129/6</f>
        <v>1830222.4815308666</v>
      </c>
      <c r="O40" s="218">
        <f>'GAAP Beg Depreciation'!W129/6</f>
        <v>1830222.4815308666</v>
      </c>
      <c r="P40" s="218">
        <f>'GAAP Beg Depreciation'!X129/6</f>
        <v>1830222.4815308666</v>
      </c>
      <c r="Q40" s="218">
        <f>'GAAP Beg Depreciation'!Y129/6</f>
        <v>1830222.4815308666</v>
      </c>
      <c r="R40" s="218">
        <f>'GAAP Beg Depreciation'!Z129/6</f>
        <v>466825.51819753804</v>
      </c>
      <c r="S40" s="218">
        <f>'GAAP Beg Depreciation'!AA129/6</f>
        <v>78084.648197533257</v>
      </c>
      <c r="T40" s="218">
        <f>'GAAP Beg Depreciation'!AB129/6</f>
        <v>78084.648197533257</v>
      </c>
      <c r="U40" s="218">
        <f>'GAAP Beg Depreciation'!AC129/6</f>
        <v>78084.648197533257</v>
      </c>
      <c r="V40" s="218">
        <f>'GAAP Beg Depreciation'!AD129/6</f>
        <v>78084.648197533257</v>
      </c>
      <c r="W40" s="218">
        <f>'GAAP Beg Depreciation'!AE129/6</f>
        <v>29658.5</v>
      </c>
      <c r="X40" s="218">
        <f>'GAAP Beg Depreciation'!AF129/6</f>
        <v>29658.5</v>
      </c>
      <c r="Y40" s="218">
        <f>'GAAP Beg Depreciation'!AG129/6</f>
        <v>29658.5</v>
      </c>
      <c r="Z40" s="218">
        <f>'GAAP Beg Depreciation'!AH129/6</f>
        <v>29658.5</v>
      </c>
      <c r="AA40" s="218">
        <f>'GAAP Beg Depreciation'!AI129/6</f>
        <v>29658.5</v>
      </c>
      <c r="AB40" s="218">
        <f>'GAAP Beg Depreciation'!AJ129/6</f>
        <v>29658.5</v>
      </c>
      <c r="AC40" s="218">
        <f>'GAAP Beg Depreciation'!AK129/6</f>
        <v>29658.5</v>
      </c>
      <c r="AD40" s="218">
        <f>'GAAP Beg Depreciation'!AL129/6</f>
        <v>29658.5</v>
      </c>
      <c r="AE40" s="218">
        <f>'GAAP Beg Depreciation'!AM129/6</f>
        <v>29658.5</v>
      </c>
      <c r="AF40" s="218">
        <f>'GAAP Beg Depreciation'!AN129/6</f>
        <v>29658.5</v>
      </c>
      <c r="AG40" s="218">
        <f>'GAAP Beg Depreciation'!AO129/6</f>
        <v>29658.5</v>
      </c>
    </row>
    <row r="41" spans="1:33" x14ac:dyDescent="0.2">
      <c r="A41">
        <v>32</v>
      </c>
      <c r="B41" t="s">
        <v>85</v>
      </c>
      <c r="C41" s="218">
        <f>'GAAP Beg Depreciation'!K129/6</f>
        <v>1830222.4815308666</v>
      </c>
      <c r="D41" s="218">
        <f>'GAAP Beg Depreciation'!L129/6</f>
        <v>1830222.4815308666</v>
      </c>
      <c r="E41" s="218">
        <f>'GAAP Beg Depreciation'!M129/6</f>
        <v>1830222.4815308666</v>
      </c>
      <c r="F41" s="218">
        <f>'GAAP Beg Depreciation'!N129/6</f>
        <v>1830222.4815308666</v>
      </c>
      <c r="G41" s="218">
        <f>'GAAP Beg Depreciation'!O129/6</f>
        <v>1830222.4815308666</v>
      </c>
      <c r="H41" s="218">
        <f>'GAAP Beg Depreciation'!P129/6</f>
        <v>1830222.4815308666</v>
      </c>
      <c r="I41" s="218">
        <f>'GAAP Beg Depreciation'!Q129/6</f>
        <v>1830222.4815308666</v>
      </c>
      <c r="J41" s="218">
        <f>'GAAP Beg Depreciation'!R129/6</f>
        <v>1830222.4815308666</v>
      </c>
      <c r="K41" s="218">
        <f>'GAAP Beg Depreciation'!S129/6</f>
        <v>1830222.4815308666</v>
      </c>
      <c r="L41" s="218">
        <f>'GAAP Beg Depreciation'!T129/6</f>
        <v>1830222.4815308666</v>
      </c>
      <c r="M41" s="218">
        <f>'GAAP Beg Depreciation'!U129/6</f>
        <v>1830222.4815308666</v>
      </c>
      <c r="N41" s="218">
        <f>'GAAP Beg Depreciation'!V129/6</f>
        <v>1830222.4815308666</v>
      </c>
      <c r="O41" s="218">
        <f>'GAAP Beg Depreciation'!W129/6</f>
        <v>1830222.4815308666</v>
      </c>
      <c r="P41" s="218">
        <f>'GAAP Beg Depreciation'!X129/6</f>
        <v>1830222.4815308666</v>
      </c>
      <c r="Q41" s="218">
        <f>'GAAP Beg Depreciation'!Y129/6</f>
        <v>1830222.4815308666</v>
      </c>
      <c r="R41" s="218">
        <f>'GAAP Beg Depreciation'!Z129/6</f>
        <v>466825.51819753804</v>
      </c>
      <c r="S41" s="218">
        <f>'GAAP Beg Depreciation'!AA129/6</f>
        <v>78084.648197533257</v>
      </c>
      <c r="T41" s="218">
        <f>'GAAP Beg Depreciation'!AB129/6</f>
        <v>78084.648197533257</v>
      </c>
      <c r="U41" s="218">
        <f>'GAAP Beg Depreciation'!AC129/6</f>
        <v>78084.648197533257</v>
      </c>
      <c r="V41" s="218">
        <f>'GAAP Beg Depreciation'!AD129/6</f>
        <v>78084.648197533257</v>
      </c>
      <c r="W41" s="218">
        <f>'GAAP Beg Depreciation'!AE129/6</f>
        <v>29658.5</v>
      </c>
      <c r="X41" s="218">
        <f>'GAAP Beg Depreciation'!AF129/6</f>
        <v>29658.5</v>
      </c>
      <c r="Y41" s="218">
        <f>'GAAP Beg Depreciation'!AG129/6</f>
        <v>29658.5</v>
      </c>
      <c r="Z41" s="218">
        <f>'GAAP Beg Depreciation'!AH129/6</f>
        <v>29658.5</v>
      </c>
      <c r="AA41" s="218">
        <f>'GAAP Beg Depreciation'!AI129/6</f>
        <v>29658.5</v>
      </c>
      <c r="AB41" s="218">
        <f>'GAAP Beg Depreciation'!AJ129/6</f>
        <v>29658.5</v>
      </c>
      <c r="AC41" s="218">
        <f>'GAAP Beg Depreciation'!AK129/6</f>
        <v>29658.5</v>
      </c>
      <c r="AD41" s="218">
        <f>'GAAP Beg Depreciation'!AL129/6</f>
        <v>29658.5</v>
      </c>
      <c r="AE41" s="218">
        <f>'GAAP Beg Depreciation'!AM129/6</f>
        <v>29658.5</v>
      </c>
      <c r="AF41" s="218">
        <f>'GAAP Beg Depreciation'!AN129/6</f>
        <v>29658.5</v>
      </c>
      <c r="AG41" s="218">
        <f>'GAAP Beg Depreciation'!AO129/6</f>
        <v>29658.5</v>
      </c>
    </row>
    <row r="42" spans="1:33" ht="13.5" thickBot="1" x14ac:dyDescent="0.25">
      <c r="A42" s="199">
        <v>33</v>
      </c>
      <c r="B42" s="199" t="s">
        <v>181</v>
      </c>
      <c r="C42" s="254">
        <f>'GAAP Beg Depreciation'!K130</f>
        <v>10846000</v>
      </c>
      <c r="D42" s="254">
        <f>'GAAP Beg Depreciation'!L130</f>
        <v>10846000</v>
      </c>
      <c r="E42" s="254">
        <f>'GAAP Beg Depreciation'!M130</f>
        <v>10846000</v>
      </c>
      <c r="F42" s="254">
        <f>'GAAP Beg Depreciation'!N130</f>
        <v>10846000</v>
      </c>
      <c r="G42" s="254">
        <f>'GAAP Beg Depreciation'!O130</f>
        <v>10846000</v>
      </c>
      <c r="H42" s="254">
        <f>'GAAP Beg Depreciation'!P130</f>
        <v>10846000</v>
      </c>
      <c r="I42" s="254">
        <f>'GAAP Beg Depreciation'!Q130</f>
        <v>10846000</v>
      </c>
      <c r="J42" s="254">
        <f>'GAAP Beg Depreciation'!R130</f>
        <v>10846000</v>
      </c>
      <c r="K42" s="254">
        <f>'GAAP Beg Depreciation'!S130</f>
        <v>10846000</v>
      </c>
      <c r="L42" s="254">
        <f>'GAAP Beg Depreciation'!T130</f>
        <v>10846000</v>
      </c>
      <c r="M42" s="254">
        <f>'GAAP Beg Depreciation'!U130</f>
        <v>10846000</v>
      </c>
      <c r="N42" s="254">
        <f>'GAAP Beg Depreciation'!V130</f>
        <v>10846000</v>
      </c>
      <c r="O42" s="254">
        <f>'GAAP Beg Depreciation'!W130</f>
        <v>10846000</v>
      </c>
      <c r="P42" s="254">
        <f>'GAAP Beg Depreciation'!X130</f>
        <v>10846000</v>
      </c>
      <c r="Q42" s="254">
        <f>'GAAP Beg Depreciation'!Y130</f>
        <v>10846000</v>
      </c>
      <c r="R42" s="254">
        <f>'GAAP Beg Depreciation'!Z130</f>
        <v>10846000</v>
      </c>
      <c r="S42" s="254">
        <f>'GAAP Beg Depreciation'!AA130</f>
        <v>10846000</v>
      </c>
      <c r="T42" s="254">
        <f>'GAAP Beg Depreciation'!AB130</f>
        <v>10846000</v>
      </c>
      <c r="U42" s="254">
        <f>'GAAP Beg Depreciation'!AC130</f>
        <v>10846000</v>
      </c>
      <c r="V42" s="254">
        <f>'GAAP Beg Depreciation'!AD130</f>
        <v>10846000</v>
      </c>
      <c r="W42" s="254">
        <f>'GAAP Beg Depreciation'!AE130</f>
        <v>10846000</v>
      </c>
      <c r="X42" s="254">
        <f>'GAAP Beg Depreciation'!AF130</f>
        <v>10846000</v>
      </c>
      <c r="Y42" s="254">
        <f>'GAAP Beg Depreciation'!AG130</f>
        <v>10846000</v>
      </c>
      <c r="Z42" s="254">
        <f>'GAAP Beg Depreciation'!AH130</f>
        <v>10846000</v>
      </c>
      <c r="AA42" s="254">
        <f>'GAAP Beg Depreciation'!AI130</f>
        <v>10846000</v>
      </c>
      <c r="AB42" s="254">
        <f>'GAAP Beg Depreciation'!AJ130</f>
        <v>10846000</v>
      </c>
      <c r="AC42" s="254">
        <f>'GAAP Beg Depreciation'!AK130</f>
        <v>10846000</v>
      </c>
      <c r="AD42" s="254">
        <f>'GAAP Beg Depreciation'!AL130</f>
        <v>10846000</v>
      </c>
      <c r="AE42" s="254">
        <f>'GAAP Beg Depreciation'!AM130</f>
        <v>10846000</v>
      </c>
      <c r="AF42" s="254">
        <f>'GAAP Beg Depreciation'!AN130</f>
        <v>10846000</v>
      </c>
      <c r="AG42" s="254">
        <f>'GAAP Beg Depreciation'!AO130</f>
        <v>10846000</v>
      </c>
    </row>
    <row r="43" spans="1:33" ht="13.5" thickTop="1" x14ac:dyDescent="0.2">
      <c r="B43" t="s">
        <v>135</v>
      </c>
      <c r="C43" s="224">
        <f>SUM(C10:C42)</f>
        <v>109536999.99999994</v>
      </c>
      <c r="D43" s="224">
        <f t="shared" ref="D43:V43" si="0">SUM(D10:D42)</f>
        <v>109536999.99999994</v>
      </c>
      <c r="E43" s="224">
        <f t="shared" si="0"/>
        <v>109493759.15999995</v>
      </c>
      <c r="F43" s="224">
        <f t="shared" si="0"/>
        <v>109337379.99999993</v>
      </c>
      <c r="G43" s="224">
        <f t="shared" si="0"/>
        <v>108939707.47999994</v>
      </c>
      <c r="H43" s="224">
        <f t="shared" si="0"/>
        <v>107100337.43999994</v>
      </c>
      <c r="I43" s="224">
        <f t="shared" si="0"/>
        <v>107100337.43999994</v>
      </c>
      <c r="J43" s="224">
        <f t="shared" si="0"/>
        <v>100863630.6399999</v>
      </c>
      <c r="K43" s="224">
        <f t="shared" si="0"/>
        <v>95628227.709999919</v>
      </c>
      <c r="L43" s="224">
        <f t="shared" si="0"/>
        <v>95045985.849999949</v>
      </c>
      <c r="M43" s="224">
        <f t="shared" si="0"/>
        <v>94842379.129999906</v>
      </c>
      <c r="N43" s="224">
        <f t="shared" si="0"/>
        <v>93686880.429999918</v>
      </c>
      <c r="O43" s="224">
        <f t="shared" si="0"/>
        <v>93686880.429999918</v>
      </c>
      <c r="P43" s="224">
        <f t="shared" si="0"/>
        <v>92299671.539999917</v>
      </c>
      <c r="Q43" s="224">
        <f t="shared" si="0"/>
        <v>88422021.709999919</v>
      </c>
      <c r="R43" s="224">
        <f t="shared" si="0"/>
        <v>73281047.51000002</v>
      </c>
      <c r="S43" s="224">
        <f t="shared" si="0"/>
        <v>60805899.719999783</v>
      </c>
      <c r="T43" s="224">
        <f t="shared" si="0"/>
        <v>54310766.089999966</v>
      </c>
      <c r="U43" s="224">
        <f t="shared" si="0"/>
        <v>51059137.709999956</v>
      </c>
      <c r="V43" s="224">
        <f t="shared" si="0"/>
        <v>51048574.909999959</v>
      </c>
    </row>
    <row r="54" spans="1:22" x14ac:dyDescent="0.2">
      <c r="B54" s="10"/>
      <c r="C54" s="7"/>
    </row>
    <row r="55" spans="1:22" x14ac:dyDescent="0.2">
      <c r="B55" s="10"/>
      <c r="C55" s="133">
        <v>2000</v>
      </c>
      <c r="D55" s="135">
        <v>2001</v>
      </c>
      <c r="E55" s="135">
        <v>2002</v>
      </c>
      <c r="F55" s="135">
        <v>2003</v>
      </c>
      <c r="G55" s="135">
        <v>2004</v>
      </c>
      <c r="H55" s="135">
        <v>2005</v>
      </c>
      <c r="I55" s="135">
        <v>2006</v>
      </c>
      <c r="J55" s="135">
        <v>2007</v>
      </c>
      <c r="K55" s="135">
        <v>2008</v>
      </c>
      <c r="L55" s="135">
        <v>2009</v>
      </c>
      <c r="M55" s="135">
        <v>2010</v>
      </c>
      <c r="N55" s="135">
        <v>2011</v>
      </c>
      <c r="O55" s="135">
        <v>2012</v>
      </c>
      <c r="P55" s="135">
        <v>2013</v>
      </c>
      <c r="Q55" s="135">
        <v>2014</v>
      </c>
      <c r="R55" s="135">
        <v>2015</v>
      </c>
      <c r="S55" s="135">
        <v>2016</v>
      </c>
      <c r="T55" s="135">
        <v>2017</v>
      </c>
      <c r="U55" s="135">
        <v>2018</v>
      </c>
      <c r="V55" s="135">
        <v>2019</v>
      </c>
    </row>
    <row r="56" spans="1:22" x14ac:dyDescent="0.2">
      <c r="A56" s="81" t="s">
        <v>209</v>
      </c>
      <c r="B56" s="10"/>
      <c r="C56" s="140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</row>
    <row r="57" spans="1:22" ht="13.5" thickBot="1" x14ac:dyDescent="0.25">
      <c r="B57" s="10" t="s">
        <v>144</v>
      </c>
      <c r="C57" s="247">
        <f>-VLOOKUP(IS!$B$1,CapAds,C55-1997)*-1</f>
        <v>0</v>
      </c>
      <c r="D57" s="247">
        <f>-VLOOKUP(IS!$B$1,CapAds,D55-1997)*-1</f>
        <v>0</v>
      </c>
      <c r="E57" s="247">
        <f>-VLOOKUP(IS!$B$1,CapAds,E55-1997)*-1</f>
        <v>0</v>
      </c>
      <c r="F57" s="247">
        <f>-VLOOKUP(IS!$B$1,CapAds,F55-1997)*-1</f>
        <v>0</v>
      </c>
      <c r="G57" s="247">
        <f>-VLOOKUP(IS!$B$1,CapAds,G55-1997)*-1</f>
        <v>0</v>
      </c>
      <c r="H57" s="247">
        <f>-VLOOKUP(IS!$B$1,CapAds,H55-1997)*-1</f>
        <v>0</v>
      </c>
      <c r="I57" s="247">
        <f>-VLOOKUP(IS!$B$1,CapAds,I55-1997)*-1</f>
        <v>0</v>
      </c>
      <c r="J57" s="247">
        <f>-VLOOKUP(IS!$B$1,CapAds,J55-1997)*-1</f>
        <v>0</v>
      </c>
      <c r="K57" s="247">
        <f>-VLOOKUP(IS!$B$1,CapAds,K55-1997)*-1</f>
        <v>0</v>
      </c>
      <c r="L57" s="247">
        <f>-VLOOKUP(IS!$B$1,CapAds,L55-1997)*-1</f>
        <v>0</v>
      </c>
      <c r="M57" s="247">
        <f>-VLOOKUP(IS!$B$1,CapAds,M55-1997)*-1</f>
        <v>0</v>
      </c>
      <c r="N57" s="247">
        <f>-VLOOKUP(IS!$B$1,CapAds,N55-1997)*-1</f>
        <v>0</v>
      </c>
      <c r="O57" s="247">
        <f>-VLOOKUP(IS!$B$1,CapAds,O55-1997)*-1</f>
        <v>0</v>
      </c>
      <c r="P57" s="247">
        <f>-VLOOKUP(IS!$B$1,CapAds,P55-1997)*-1</f>
        <v>0</v>
      </c>
      <c r="Q57" s="247">
        <f>-VLOOKUP(IS!$B$1,CapAds,Q55-1997)*-1</f>
        <v>0</v>
      </c>
      <c r="R57" s="247">
        <f>-VLOOKUP(IS!$B$1,CapAds,R55-1997)*-1</f>
        <v>0</v>
      </c>
      <c r="S57" s="247">
        <f>-VLOOKUP(IS!$B$1,CapAds,S55-1997)*-1</f>
        <v>0</v>
      </c>
      <c r="T57" s="247">
        <f>-VLOOKUP(IS!$B$1,CapAds,T55-1997)*-1</f>
        <v>0</v>
      </c>
      <c r="U57" s="247">
        <f>-VLOOKUP(IS!$B$1,CapAds,U55-1997)*-1</f>
        <v>0</v>
      </c>
      <c r="V57" s="247">
        <f>-VLOOKUP(IS!$B$1,CapAds,V55-1997)*-1</f>
        <v>0</v>
      </c>
    </row>
    <row r="58" spans="1:22" ht="13.5" thickTop="1" x14ac:dyDescent="0.2">
      <c r="A58" t="s">
        <v>210</v>
      </c>
      <c r="B58" s="3">
        <f>+Assumptions!L20</f>
        <v>20</v>
      </c>
      <c r="C58" s="150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</row>
    <row r="59" spans="1:22" x14ac:dyDescent="0.2">
      <c r="B59" s="10"/>
      <c r="C59" s="150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</row>
    <row r="60" spans="1:22" x14ac:dyDescent="0.2">
      <c r="B60" s="10"/>
      <c r="C60" s="140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</row>
    <row r="61" spans="1:22" x14ac:dyDescent="0.2">
      <c r="B61" s="10"/>
      <c r="C61" s="140">
        <f>IF((C55-$C$55)&gt;$B$58,0,$C$57/$B$58)</f>
        <v>0</v>
      </c>
      <c r="D61" s="140">
        <f t="shared" ref="D61:V61" si="1">IF((D55-$C$55)&gt;$B$58,0,$C$57/$B$58)</f>
        <v>0</v>
      </c>
      <c r="E61" s="140">
        <f t="shared" si="1"/>
        <v>0</v>
      </c>
      <c r="F61" s="140">
        <f t="shared" si="1"/>
        <v>0</v>
      </c>
      <c r="G61" s="140">
        <f t="shared" si="1"/>
        <v>0</v>
      </c>
      <c r="H61" s="140">
        <f t="shared" si="1"/>
        <v>0</v>
      </c>
      <c r="I61" s="140">
        <f t="shared" si="1"/>
        <v>0</v>
      </c>
      <c r="J61" s="140">
        <f t="shared" si="1"/>
        <v>0</v>
      </c>
      <c r="K61" s="140">
        <f t="shared" si="1"/>
        <v>0</v>
      </c>
      <c r="L61" s="140">
        <f t="shared" si="1"/>
        <v>0</v>
      </c>
      <c r="M61" s="140">
        <f t="shared" si="1"/>
        <v>0</v>
      </c>
      <c r="N61" s="140">
        <f t="shared" si="1"/>
        <v>0</v>
      </c>
      <c r="O61" s="140">
        <f t="shared" si="1"/>
        <v>0</v>
      </c>
      <c r="P61" s="140">
        <f t="shared" si="1"/>
        <v>0</v>
      </c>
      <c r="Q61" s="140">
        <f t="shared" si="1"/>
        <v>0</v>
      </c>
      <c r="R61" s="140">
        <f t="shared" si="1"/>
        <v>0</v>
      </c>
      <c r="S61" s="140">
        <f t="shared" si="1"/>
        <v>0</v>
      </c>
      <c r="T61" s="140">
        <f t="shared" si="1"/>
        <v>0</v>
      </c>
      <c r="U61" s="140">
        <f t="shared" si="1"/>
        <v>0</v>
      </c>
      <c r="V61" s="140">
        <f t="shared" si="1"/>
        <v>0</v>
      </c>
    </row>
    <row r="62" spans="1:22" x14ac:dyDescent="0.2">
      <c r="B62" s="10"/>
      <c r="C62" s="142"/>
      <c r="D62" s="140">
        <f>IF((D$55-$D$55)&gt;$B$58,0,$D$57/$B$58)</f>
        <v>0</v>
      </c>
      <c r="E62" s="140">
        <f t="shared" ref="E62:V62" si="2">IF((E$55-$D$55)&gt;$B$58,0,$D$57/$B$58)</f>
        <v>0</v>
      </c>
      <c r="F62" s="140">
        <f t="shared" si="2"/>
        <v>0</v>
      </c>
      <c r="G62" s="140">
        <f t="shared" si="2"/>
        <v>0</v>
      </c>
      <c r="H62" s="140">
        <f t="shared" si="2"/>
        <v>0</v>
      </c>
      <c r="I62" s="140">
        <f t="shared" si="2"/>
        <v>0</v>
      </c>
      <c r="J62" s="140">
        <f t="shared" si="2"/>
        <v>0</v>
      </c>
      <c r="K62" s="140">
        <f t="shared" si="2"/>
        <v>0</v>
      </c>
      <c r="L62" s="140">
        <f t="shared" si="2"/>
        <v>0</v>
      </c>
      <c r="M62" s="140">
        <f t="shared" si="2"/>
        <v>0</v>
      </c>
      <c r="N62" s="140">
        <f t="shared" si="2"/>
        <v>0</v>
      </c>
      <c r="O62" s="140">
        <f t="shared" si="2"/>
        <v>0</v>
      </c>
      <c r="P62" s="140">
        <f t="shared" si="2"/>
        <v>0</v>
      </c>
      <c r="Q62" s="140">
        <f t="shared" si="2"/>
        <v>0</v>
      </c>
      <c r="R62" s="140">
        <f t="shared" si="2"/>
        <v>0</v>
      </c>
      <c r="S62" s="140">
        <f t="shared" si="2"/>
        <v>0</v>
      </c>
      <c r="T62" s="140">
        <f t="shared" si="2"/>
        <v>0</v>
      </c>
      <c r="U62" s="140">
        <f t="shared" si="2"/>
        <v>0</v>
      </c>
      <c r="V62" s="140">
        <f t="shared" si="2"/>
        <v>0</v>
      </c>
    </row>
    <row r="63" spans="1:22" x14ac:dyDescent="0.2">
      <c r="B63" s="10"/>
      <c r="C63" s="142"/>
      <c r="D63" s="143"/>
      <c r="E63" s="140">
        <f>IF((E$55-$E$55)&gt;$B$58,0,$E$57/$B$58)</f>
        <v>0</v>
      </c>
      <c r="F63" s="140">
        <f t="shared" ref="F63:V63" si="3">IF((F$55-$E$55)&gt;$B$58,0,$E$57/$B$58)</f>
        <v>0</v>
      </c>
      <c r="G63" s="140">
        <f t="shared" si="3"/>
        <v>0</v>
      </c>
      <c r="H63" s="140">
        <f t="shared" si="3"/>
        <v>0</v>
      </c>
      <c r="I63" s="140">
        <f t="shared" si="3"/>
        <v>0</v>
      </c>
      <c r="J63" s="140">
        <f t="shared" si="3"/>
        <v>0</v>
      </c>
      <c r="K63" s="140">
        <f t="shared" si="3"/>
        <v>0</v>
      </c>
      <c r="L63" s="140">
        <f t="shared" si="3"/>
        <v>0</v>
      </c>
      <c r="M63" s="140">
        <f t="shared" si="3"/>
        <v>0</v>
      </c>
      <c r="N63" s="140">
        <f t="shared" si="3"/>
        <v>0</v>
      </c>
      <c r="O63" s="140">
        <f t="shared" si="3"/>
        <v>0</v>
      </c>
      <c r="P63" s="140">
        <f t="shared" si="3"/>
        <v>0</v>
      </c>
      <c r="Q63" s="140">
        <f t="shared" si="3"/>
        <v>0</v>
      </c>
      <c r="R63" s="140">
        <f t="shared" si="3"/>
        <v>0</v>
      </c>
      <c r="S63" s="140">
        <f t="shared" si="3"/>
        <v>0</v>
      </c>
      <c r="T63" s="140">
        <f t="shared" si="3"/>
        <v>0</v>
      </c>
      <c r="U63" s="140">
        <f t="shared" si="3"/>
        <v>0</v>
      </c>
      <c r="V63" s="140">
        <f t="shared" si="3"/>
        <v>0</v>
      </c>
    </row>
    <row r="64" spans="1:22" x14ac:dyDescent="0.2">
      <c r="B64" s="10"/>
      <c r="C64" s="142"/>
      <c r="D64" s="143"/>
      <c r="E64" s="143"/>
      <c r="F64" s="140">
        <f>IF((F$55-$F$55)&gt;$B$58,0,$F$57/$B$58)</f>
        <v>0</v>
      </c>
      <c r="G64" s="140">
        <f t="shared" ref="G64:V64" si="4">IF((G$55-$F$55)&gt;$B$58,0,$F$57/$B$58)</f>
        <v>0</v>
      </c>
      <c r="H64" s="140">
        <f t="shared" si="4"/>
        <v>0</v>
      </c>
      <c r="I64" s="140">
        <f t="shared" si="4"/>
        <v>0</v>
      </c>
      <c r="J64" s="140">
        <f t="shared" si="4"/>
        <v>0</v>
      </c>
      <c r="K64" s="140">
        <f t="shared" si="4"/>
        <v>0</v>
      </c>
      <c r="L64" s="140">
        <f t="shared" si="4"/>
        <v>0</v>
      </c>
      <c r="M64" s="140">
        <f t="shared" si="4"/>
        <v>0</v>
      </c>
      <c r="N64" s="140">
        <f t="shared" si="4"/>
        <v>0</v>
      </c>
      <c r="O64" s="140">
        <f t="shared" si="4"/>
        <v>0</v>
      </c>
      <c r="P64" s="140">
        <f t="shared" si="4"/>
        <v>0</v>
      </c>
      <c r="Q64" s="140">
        <f t="shared" si="4"/>
        <v>0</v>
      </c>
      <c r="R64" s="140">
        <f t="shared" si="4"/>
        <v>0</v>
      </c>
      <c r="S64" s="140">
        <f t="shared" si="4"/>
        <v>0</v>
      </c>
      <c r="T64" s="140">
        <f t="shared" si="4"/>
        <v>0</v>
      </c>
      <c r="U64" s="140">
        <f t="shared" si="4"/>
        <v>0</v>
      </c>
      <c r="V64" s="140">
        <f t="shared" si="4"/>
        <v>0</v>
      </c>
    </row>
    <row r="65" spans="2:22" x14ac:dyDescent="0.2">
      <c r="B65" s="10"/>
      <c r="C65" s="142"/>
      <c r="D65" s="143"/>
      <c r="E65" s="143"/>
      <c r="F65" s="143"/>
      <c r="G65" s="140">
        <f>IF((G$55-$G$55)&gt;$B$58,0,$G$57/$B$58)</f>
        <v>0</v>
      </c>
      <c r="H65" s="140">
        <f t="shared" ref="H65:V65" si="5">IF((H$55-$G$55)&gt;$B$58,0,$G$57/$B$58)</f>
        <v>0</v>
      </c>
      <c r="I65" s="140">
        <f t="shared" si="5"/>
        <v>0</v>
      </c>
      <c r="J65" s="140">
        <f t="shared" si="5"/>
        <v>0</v>
      </c>
      <c r="K65" s="140">
        <f t="shared" si="5"/>
        <v>0</v>
      </c>
      <c r="L65" s="140">
        <f t="shared" si="5"/>
        <v>0</v>
      </c>
      <c r="M65" s="140">
        <f t="shared" si="5"/>
        <v>0</v>
      </c>
      <c r="N65" s="140">
        <f t="shared" si="5"/>
        <v>0</v>
      </c>
      <c r="O65" s="140">
        <f t="shared" si="5"/>
        <v>0</v>
      </c>
      <c r="P65" s="140">
        <f t="shared" si="5"/>
        <v>0</v>
      </c>
      <c r="Q65" s="140">
        <f t="shared" si="5"/>
        <v>0</v>
      </c>
      <c r="R65" s="140">
        <f t="shared" si="5"/>
        <v>0</v>
      </c>
      <c r="S65" s="140">
        <f t="shared" si="5"/>
        <v>0</v>
      </c>
      <c r="T65" s="140">
        <f t="shared" si="5"/>
        <v>0</v>
      </c>
      <c r="U65" s="140">
        <f t="shared" si="5"/>
        <v>0</v>
      </c>
      <c r="V65" s="140">
        <f t="shared" si="5"/>
        <v>0</v>
      </c>
    </row>
    <row r="66" spans="2:22" x14ac:dyDescent="0.2">
      <c r="B66" s="10"/>
      <c r="C66" s="142"/>
      <c r="D66" s="143"/>
      <c r="E66" s="143"/>
      <c r="F66" s="143"/>
      <c r="G66" s="143"/>
      <c r="H66" s="140">
        <f>IF((H$55-$H$55)&gt;$B$58,0,$H$57/$B$58)</f>
        <v>0</v>
      </c>
      <c r="I66" s="140">
        <f t="shared" ref="I66:V66" si="6">IF((I$55-$H$55)&gt;$B$58,0,$H$57/$B$58)</f>
        <v>0</v>
      </c>
      <c r="J66" s="140">
        <f t="shared" si="6"/>
        <v>0</v>
      </c>
      <c r="K66" s="140">
        <f t="shared" si="6"/>
        <v>0</v>
      </c>
      <c r="L66" s="140">
        <f t="shared" si="6"/>
        <v>0</v>
      </c>
      <c r="M66" s="140">
        <f t="shared" si="6"/>
        <v>0</v>
      </c>
      <c r="N66" s="140">
        <f t="shared" si="6"/>
        <v>0</v>
      </c>
      <c r="O66" s="140">
        <f t="shared" si="6"/>
        <v>0</v>
      </c>
      <c r="P66" s="140">
        <f t="shared" si="6"/>
        <v>0</v>
      </c>
      <c r="Q66" s="140">
        <f t="shared" si="6"/>
        <v>0</v>
      </c>
      <c r="R66" s="140">
        <f t="shared" si="6"/>
        <v>0</v>
      </c>
      <c r="S66" s="140">
        <f t="shared" si="6"/>
        <v>0</v>
      </c>
      <c r="T66" s="140">
        <f t="shared" si="6"/>
        <v>0</v>
      </c>
      <c r="U66" s="140">
        <f t="shared" si="6"/>
        <v>0</v>
      </c>
      <c r="V66" s="140">
        <f t="shared" si="6"/>
        <v>0</v>
      </c>
    </row>
    <row r="67" spans="2:22" x14ac:dyDescent="0.2">
      <c r="B67" s="10"/>
      <c r="C67" s="142"/>
      <c r="D67" s="143"/>
      <c r="E67" s="143"/>
      <c r="F67" s="143"/>
      <c r="G67" s="143"/>
      <c r="H67" s="143"/>
      <c r="I67" s="140">
        <f>IF((I$55-$I$55)&gt;$B$58,0,$I$57/$B$58)</f>
        <v>0</v>
      </c>
      <c r="J67" s="140">
        <f t="shared" ref="J67:V67" si="7">IF((J$55-$I$55)&gt;$B$58,0,$I$57/$B$58)</f>
        <v>0</v>
      </c>
      <c r="K67" s="140">
        <f t="shared" si="7"/>
        <v>0</v>
      </c>
      <c r="L67" s="140">
        <f t="shared" si="7"/>
        <v>0</v>
      </c>
      <c r="M67" s="140">
        <f t="shared" si="7"/>
        <v>0</v>
      </c>
      <c r="N67" s="140">
        <f t="shared" si="7"/>
        <v>0</v>
      </c>
      <c r="O67" s="140">
        <f t="shared" si="7"/>
        <v>0</v>
      </c>
      <c r="P67" s="140">
        <f t="shared" si="7"/>
        <v>0</v>
      </c>
      <c r="Q67" s="140">
        <f t="shared" si="7"/>
        <v>0</v>
      </c>
      <c r="R67" s="140">
        <f t="shared" si="7"/>
        <v>0</v>
      </c>
      <c r="S67" s="140">
        <f t="shared" si="7"/>
        <v>0</v>
      </c>
      <c r="T67" s="140">
        <f t="shared" si="7"/>
        <v>0</v>
      </c>
      <c r="U67" s="140">
        <f t="shared" si="7"/>
        <v>0</v>
      </c>
      <c r="V67" s="140">
        <f t="shared" si="7"/>
        <v>0</v>
      </c>
    </row>
    <row r="68" spans="2:22" x14ac:dyDescent="0.2">
      <c r="B68" s="10"/>
      <c r="C68" s="142"/>
      <c r="D68" s="143"/>
      <c r="E68" s="143"/>
      <c r="F68" s="143"/>
      <c r="G68" s="143"/>
      <c r="H68" s="143"/>
      <c r="I68" s="143"/>
      <c r="J68" s="140">
        <f>IF((J$55-$J$55)&gt;$B$58,0,$J$57/$B$58)</f>
        <v>0</v>
      </c>
      <c r="K68" s="140">
        <f t="shared" ref="K68:V68" si="8">IF((K$55-$J$55)&gt;$B$58,0,$J$57/$B$58)</f>
        <v>0</v>
      </c>
      <c r="L68" s="140">
        <f t="shared" si="8"/>
        <v>0</v>
      </c>
      <c r="M68" s="140">
        <f t="shared" si="8"/>
        <v>0</v>
      </c>
      <c r="N68" s="140">
        <f t="shared" si="8"/>
        <v>0</v>
      </c>
      <c r="O68" s="140">
        <f t="shared" si="8"/>
        <v>0</v>
      </c>
      <c r="P68" s="140">
        <f t="shared" si="8"/>
        <v>0</v>
      </c>
      <c r="Q68" s="140">
        <f t="shared" si="8"/>
        <v>0</v>
      </c>
      <c r="R68" s="140">
        <f t="shared" si="8"/>
        <v>0</v>
      </c>
      <c r="S68" s="140">
        <f t="shared" si="8"/>
        <v>0</v>
      </c>
      <c r="T68" s="140">
        <f t="shared" si="8"/>
        <v>0</v>
      </c>
      <c r="U68" s="140">
        <f t="shared" si="8"/>
        <v>0</v>
      </c>
      <c r="V68" s="140">
        <f t="shared" si="8"/>
        <v>0</v>
      </c>
    </row>
    <row r="69" spans="2:22" x14ac:dyDescent="0.2">
      <c r="B69" s="10"/>
      <c r="C69" s="142"/>
      <c r="D69" s="143"/>
      <c r="E69" s="143"/>
      <c r="F69" s="143"/>
      <c r="G69" s="143"/>
      <c r="H69" s="143"/>
      <c r="I69" s="143"/>
      <c r="J69" s="143"/>
      <c r="K69" s="140">
        <f>IF((K$55-$K$55)&gt;$B$58,0,$K$57/$B$58)</f>
        <v>0</v>
      </c>
      <c r="L69" s="140">
        <f t="shared" ref="L69:V69" si="9">IF((L$55-$K$55)&gt;$B$58,0,$K$57/$B$58)</f>
        <v>0</v>
      </c>
      <c r="M69" s="140">
        <f t="shared" si="9"/>
        <v>0</v>
      </c>
      <c r="N69" s="140">
        <f t="shared" si="9"/>
        <v>0</v>
      </c>
      <c r="O69" s="140">
        <f t="shared" si="9"/>
        <v>0</v>
      </c>
      <c r="P69" s="140">
        <f t="shared" si="9"/>
        <v>0</v>
      </c>
      <c r="Q69" s="140">
        <f t="shared" si="9"/>
        <v>0</v>
      </c>
      <c r="R69" s="140">
        <f t="shared" si="9"/>
        <v>0</v>
      </c>
      <c r="S69" s="140">
        <f t="shared" si="9"/>
        <v>0</v>
      </c>
      <c r="T69" s="140">
        <f t="shared" si="9"/>
        <v>0</v>
      </c>
      <c r="U69" s="140">
        <f t="shared" si="9"/>
        <v>0</v>
      </c>
      <c r="V69" s="140">
        <f t="shared" si="9"/>
        <v>0</v>
      </c>
    </row>
    <row r="70" spans="2:22" x14ac:dyDescent="0.2">
      <c r="B70" s="10"/>
      <c r="C70" s="142"/>
      <c r="D70" s="143"/>
      <c r="E70" s="143"/>
      <c r="F70" s="143"/>
      <c r="G70" s="143"/>
      <c r="H70" s="143"/>
      <c r="I70" s="143"/>
      <c r="J70" s="143"/>
      <c r="K70" s="143"/>
      <c r="L70" s="140">
        <f>IF((L$55-$L$55)&gt;$B$58,0,$L$57/$B$58)</f>
        <v>0</v>
      </c>
      <c r="M70" s="140">
        <f t="shared" ref="M70:V70" si="10">IF((M$55-$L$55)&gt;$B$58,0,$L$57/$B$58)</f>
        <v>0</v>
      </c>
      <c r="N70" s="140">
        <f t="shared" si="10"/>
        <v>0</v>
      </c>
      <c r="O70" s="140">
        <f t="shared" si="10"/>
        <v>0</v>
      </c>
      <c r="P70" s="140">
        <f t="shared" si="10"/>
        <v>0</v>
      </c>
      <c r="Q70" s="140">
        <f t="shared" si="10"/>
        <v>0</v>
      </c>
      <c r="R70" s="140">
        <f t="shared" si="10"/>
        <v>0</v>
      </c>
      <c r="S70" s="140">
        <f t="shared" si="10"/>
        <v>0</v>
      </c>
      <c r="T70" s="140">
        <f t="shared" si="10"/>
        <v>0</v>
      </c>
      <c r="U70" s="140">
        <f t="shared" si="10"/>
        <v>0</v>
      </c>
      <c r="V70" s="140">
        <f t="shared" si="10"/>
        <v>0</v>
      </c>
    </row>
    <row r="71" spans="2:22" x14ac:dyDescent="0.2">
      <c r="B71" s="10"/>
      <c r="C71" s="142"/>
      <c r="D71" s="143"/>
      <c r="E71" s="143"/>
      <c r="F71" s="143"/>
      <c r="G71" s="143"/>
      <c r="H71" s="143"/>
      <c r="I71" s="143"/>
      <c r="J71" s="143"/>
      <c r="K71" s="143"/>
      <c r="L71" s="143"/>
      <c r="M71" s="140">
        <f>IF((M$55-$M$55)&gt;$B$58,0,$M$57/$B$58)</f>
        <v>0</v>
      </c>
      <c r="N71" s="140">
        <f t="shared" ref="N71:V71" si="11">IF((N$55-$M$55)&gt;$B$58,0,$M$57/$B$58)</f>
        <v>0</v>
      </c>
      <c r="O71" s="140">
        <f t="shared" si="11"/>
        <v>0</v>
      </c>
      <c r="P71" s="140">
        <f t="shared" si="11"/>
        <v>0</v>
      </c>
      <c r="Q71" s="140">
        <f t="shared" si="11"/>
        <v>0</v>
      </c>
      <c r="R71" s="140">
        <f t="shared" si="11"/>
        <v>0</v>
      </c>
      <c r="S71" s="140">
        <f t="shared" si="11"/>
        <v>0</v>
      </c>
      <c r="T71" s="140">
        <f t="shared" si="11"/>
        <v>0</v>
      </c>
      <c r="U71" s="140">
        <f t="shared" si="11"/>
        <v>0</v>
      </c>
      <c r="V71" s="140">
        <f t="shared" si="11"/>
        <v>0</v>
      </c>
    </row>
    <row r="72" spans="2:22" x14ac:dyDescent="0.2">
      <c r="B72" s="10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36"/>
      <c r="N72" s="140">
        <f>IF((N$55-$N$55)&gt;$B$58,0,$N$57/$B$58)</f>
        <v>0</v>
      </c>
      <c r="O72" s="140">
        <f t="shared" ref="O72:V72" si="12">IF((O$55-$N$55)&gt;$B$58,0,$N$57/$B$58)</f>
        <v>0</v>
      </c>
      <c r="P72" s="140">
        <f t="shared" si="12"/>
        <v>0</v>
      </c>
      <c r="Q72" s="140">
        <f t="shared" si="12"/>
        <v>0</v>
      </c>
      <c r="R72" s="140">
        <f t="shared" si="12"/>
        <v>0</v>
      </c>
      <c r="S72" s="140">
        <f t="shared" si="12"/>
        <v>0</v>
      </c>
      <c r="T72" s="140">
        <f t="shared" si="12"/>
        <v>0</v>
      </c>
      <c r="U72" s="140">
        <f t="shared" si="12"/>
        <v>0</v>
      </c>
      <c r="V72" s="140">
        <f t="shared" si="12"/>
        <v>0</v>
      </c>
    </row>
    <row r="73" spans="2:22" x14ac:dyDescent="0.2">
      <c r="B73" s="10"/>
      <c r="C73" s="142"/>
      <c r="D73" s="143"/>
      <c r="E73" s="143"/>
      <c r="F73" s="143"/>
      <c r="G73" s="143"/>
      <c r="H73" s="143"/>
      <c r="I73" s="143"/>
      <c r="J73" s="143"/>
      <c r="K73" s="143"/>
      <c r="L73" s="143"/>
      <c r="M73" s="136"/>
      <c r="N73" s="136"/>
      <c r="O73" s="140">
        <f>IF((O$55-$O$55)&gt;$B$58,0,$O$57/$B$58)</f>
        <v>0</v>
      </c>
      <c r="P73" s="140">
        <f t="shared" ref="P73:V73" si="13">IF((P$55-$O$55)&gt;$B$58,0,$O$57/$B$58)</f>
        <v>0</v>
      </c>
      <c r="Q73" s="140">
        <f t="shared" si="13"/>
        <v>0</v>
      </c>
      <c r="R73" s="140">
        <f t="shared" si="13"/>
        <v>0</v>
      </c>
      <c r="S73" s="140">
        <f t="shared" si="13"/>
        <v>0</v>
      </c>
      <c r="T73" s="140">
        <f t="shared" si="13"/>
        <v>0</v>
      </c>
      <c r="U73" s="140">
        <f t="shared" si="13"/>
        <v>0</v>
      </c>
      <c r="V73" s="140">
        <f t="shared" si="13"/>
        <v>0</v>
      </c>
    </row>
    <row r="74" spans="2:22" x14ac:dyDescent="0.2">
      <c r="B74" s="10"/>
      <c r="C74" s="142"/>
      <c r="D74" s="143"/>
      <c r="E74" s="143"/>
      <c r="F74" s="143"/>
      <c r="G74" s="143"/>
      <c r="H74" s="143"/>
      <c r="I74" s="143"/>
      <c r="J74" s="143"/>
      <c r="K74" s="143"/>
      <c r="L74" s="143"/>
      <c r="M74" s="136"/>
      <c r="N74" s="136"/>
      <c r="O74" s="136"/>
      <c r="P74" s="140">
        <f>IF((P$55-$P$55)&gt;$B$58,0,$P$57/$B$58)</f>
        <v>0</v>
      </c>
      <c r="Q74" s="140">
        <f t="shared" ref="Q74:V74" si="14">IF((Q$55-$P$55)&gt;$B$58,0,$P$57/$B$58)</f>
        <v>0</v>
      </c>
      <c r="R74" s="140">
        <f t="shared" si="14"/>
        <v>0</v>
      </c>
      <c r="S74" s="140">
        <f t="shared" si="14"/>
        <v>0</v>
      </c>
      <c r="T74" s="140">
        <f t="shared" si="14"/>
        <v>0</v>
      </c>
      <c r="U74" s="140">
        <f t="shared" si="14"/>
        <v>0</v>
      </c>
      <c r="V74" s="140">
        <f t="shared" si="14"/>
        <v>0</v>
      </c>
    </row>
    <row r="75" spans="2:22" x14ac:dyDescent="0.2">
      <c r="B75" s="10"/>
      <c r="C75" s="142"/>
      <c r="D75" s="143"/>
      <c r="E75" s="143"/>
      <c r="F75" s="143"/>
      <c r="G75" s="143"/>
      <c r="H75" s="143"/>
      <c r="I75" s="143"/>
      <c r="J75" s="143"/>
      <c r="K75" s="143"/>
      <c r="L75" s="143"/>
      <c r="M75" s="136"/>
      <c r="N75" s="136"/>
      <c r="O75" s="136"/>
      <c r="P75" s="136"/>
      <c r="Q75" s="140">
        <f t="shared" ref="Q75:V75" si="15">IF((Q$55-$Q$55)&gt;$B$58,0,$Q$57/$B$58)</f>
        <v>0</v>
      </c>
      <c r="R75" s="140">
        <f t="shared" si="15"/>
        <v>0</v>
      </c>
      <c r="S75" s="140">
        <f t="shared" si="15"/>
        <v>0</v>
      </c>
      <c r="T75" s="140">
        <f t="shared" si="15"/>
        <v>0</v>
      </c>
      <c r="U75" s="140">
        <f t="shared" si="15"/>
        <v>0</v>
      </c>
      <c r="V75" s="140">
        <f t="shared" si="15"/>
        <v>0</v>
      </c>
    </row>
    <row r="76" spans="2:22" x14ac:dyDescent="0.2">
      <c r="B76" s="10"/>
      <c r="C76" s="142"/>
      <c r="D76" s="143"/>
      <c r="E76" s="143"/>
      <c r="F76" s="143"/>
      <c r="G76" s="143"/>
      <c r="H76" s="143"/>
      <c r="I76" s="143"/>
      <c r="J76" s="143"/>
      <c r="K76" s="143"/>
      <c r="L76" s="143"/>
      <c r="M76" s="136"/>
      <c r="N76" s="136"/>
      <c r="O76" s="136"/>
      <c r="P76" s="136"/>
      <c r="Q76" s="136"/>
      <c r="R76" s="140">
        <f>IF((R$55-$R$55)&gt;$B$58,0,$R$57/$B$58)</f>
        <v>0</v>
      </c>
      <c r="S76" s="140">
        <f>IF((S$55-$R$55)&gt;$B$58,0,$R$57/$B$58)</f>
        <v>0</v>
      </c>
      <c r="T76" s="140">
        <f>IF((T$55-$R$55)&gt;$B$58,0,$R$57/$B$58)</f>
        <v>0</v>
      </c>
      <c r="U76" s="140">
        <f>IF((U$55-$R$55)&gt;$B$58,0,$R$57/$B$58)</f>
        <v>0</v>
      </c>
      <c r="V76" s="140">
        <f>IF((V$55-$R$55)&gt;$B$58,0,$R$57/$B$58)</f>
        <v>0</v>
      </c>
    </row>
    <row r="77" spans="2:22" x14ac:dyDescent="0.2">
      <c r="B77" s="10"/>
      <c r="C77" s="142"/>
      <c r="D77" s="143"/>
      <c r="E77" s="143"/>
      <c r="F77" s="143"/>
      <c r="G77" s="143"/>
      <c r="H77" s="143"/>
      <c r="I77" s="143"/>
      <c r="J77" s="143"/>
      <c r="K77" s="143"/>
      <c r="L77" s="143"/>
      <c r="M77" s="136"/>
      <c r="N77" s="136"/>
      <c r="O77" s="136"/>
      <c r="P77" s="136"/>
      <c r="Q77" s="136"/>
      <c r="R77" s="136"/>
      <c r="S77" s="140">
        <f>IF((S$55-$S$55)&gt;$B$58,0,$S$57/$B$58)</f>
        <v>0</v>
      </c>
      <c r="T77" s="140">
        <f>IF((T$55-$S$55)&gt;$B$58,0,$S$57/$B$58)</f>
        <v>0</v>
      </c>
      <c r="U77" s="140">
        <f>IF((U$55-$S$55)&gt;$B$58,0,$S$57/$B$58)</f>
        <v>0</v>
      </c>
      <c r="V77" s="140">
        <f>IF((V$55-$S$55)&gt;$B$58,0,$S$57/$B$58)</f>
        <v>0</v>
      </c>
    </row>
    <row r="78" spans="2:22" x14ac:dyDescent="0.2">
      <c r="B78" s="10"/>
      <c r="C78" s="142"/>
      <c r="D78" s="143"/>
      <c r="E78" s="143"/>
      <c r="F78" s="143"/>
      <c r="G78" s="143"/>
      <c r="H78" s="143"/>
      <c r="I78" s="143"/>
      <c r="J78" s="143"/>
      <c r="K78" s="143"/>
      <c r="L78" s="143"/>
      <c r="M78" s="136"/>
      <c r="N78" s="136"/>
      <c r="O78" s="136"/>
      <c r="P78" s="136"/>
      <c r="Q78" s="136"/>
      <c r="R78" s="136"/>
      <c r="S78" s="136"/>
      <c r="T78" s="140">
        <f>IF((T$55-$T$55)&gt;$B$58,0,$T$57/$B$58)</f>
        <v>0</v>
      </c>
      <c r="U78" s="140">
        <f>IF((U$55-$T$55)&gt;$B$58,0,$T$57/$B$58)</f>
        <v>0</v>
      </c>
      <c r="V78" s="140">
        <f>IF((V$55-$T$55)&gt;$B$58,0,$T$57/$B$58)</f>
        <v>0</v>
      </c>
    </row>
    <row r="79" spans="2:22" x14ac:dyDescent="0.2">
      <c r="B79" s="10"/>
      <c r="C79" s="142"/>
      <c r="D79" s="143"/>
      <c r="E79" s="143"/>
      <c r="F79" s="143"/>
      <c r="G79" s="143"/>
      <c r="H79" s="143"/>
      <c r="I79" s="143"/>
      <c r="J79" s="143"/>
      <c r="K79" s="143"/>
      <c r="L79" s="143"/>
      <c r="M79" s="136"/>
      <c r="N79" s="136"/>
      <c r="O79" s="136"/>
      <c r="P79" s="136"/>
      <c r="Q79" s="136"/>
      <c r="R79" s="136"/>
      <c r="S79" s="136"/>
      <c r="T79" s="136"/>
      <c r="U79" s="140">
        <f>IF((U$55-$U$55)&gt;$B$58,0,$U$57/$B$58)</f>
        <v>0</v>
      </c>
      <c r="V79" s="140">
        <f>IF((V$55-$U$55)&gt;$B$58,0,$U$57/$B$58)</f>
        <v>0</v>
      </c>
    </row>
    <row r="80" spans="2:22" x14ac:dyDescent="0.2">
      <c r="B80" s="10"/>
      <c r="C80" s="144"/>
      <c r="D80" s="145"/>
      <c r="E80" s="145"/>
      <c r="F80" s="145"/>
      <c r="G80" s="145"/>
      <c r="H80" s="145"/>
      <c r="I80" s="145"/>
      <c r="J80" s="145"/>
      <c r="K80" s="145"/>
      <c r="L80" s="145"/>
      <c r="M80" s="146"/>
      <c r="N80" s="146"/>
      <c r="O80" s="146"/>
      <c r="P80" s="146"/>
      <c r="Q80" s="146"/>
      <c r="R80" s="146"/>
      <c r="S80" s="146"/>
      <c r="T80" s="146"/>
      <c r="U80" s="146"/>
      <c r="V80" s="140">
        <f>IF((V$55-$V$55)&gt;$B$58,0,$V$57/$B$58)</f>
        <v>0</v>
      </c>
    </row>
    <row r="81" spans="1:22" ht="13.5" thickBot="1" x14ac:dyDescent="0.25">
      <c r="A81" s="2" t="s">
        <v>236</v>
      </c>
      <c r="B81" s="10"/>
      <c r="C81" s="147">
        <f t="shared" ref="C81:V81" si="16">SUM(C61:C80)</f>
        <v>0</v>
      </c>
      <c r="D81" s="148">
        <f t="shared" si="16"/>
        <v>0</v>
      </c>
      <c r="E81" s="148">
        <f t="shared" si="16"/>
        <v>0</v>
      </c>
      <c r="F81" s="148">
        <f t="shared" si="16"/>
        <v>0</v>
      </c>
      <c r="G81" s="148">
        <f t="shared" si="16"/>
        <v>0</v>
      </c>
      <c r="H81" s="148">
        <f t="shared" si="16"/>
        <v>0</v>
      </c>
      <c r="I81" s="148">
        <f t="shared" si="16"/>
        <v>0</v>
      </c>
      <c r="J81" s="148">
        <f t="shared" si="16"/>
        <v>0</v>
      </c>
      <c r="K81" s="148">
        <f t="shared" si="16"/>
        <v>0</v>
      </c>
      <c r="L81" s="148">
        <f t="shared" si="16"/>
        <v>0</v>
      </c>
      <c r="M81" s="148">
        <f t="shared" si="16"/>
        <v>0</v>
      </c>
      <c r="N81" s="148">
        <f t="shared" si="16"/>
        <v>0</v>
      </c>
      <c r="O81" s="148">
        <f t="shared" si="16"/>
        <v>0</v>
      </c>
      <c r="P81" s="148">
        <f t="shared" si="16"/>
        <v>0</v>
      </c>
      <c r="Q81" s="148">
        <f t="shared" si="16"/>
        <v>0</v>
      </c>
      <c r="R81" s="148">
        <f t="shared" si="16"/>
        <v>0</v>
      </c>
      <c r="S81" s="148">
        <f t="shared" si="16"/>
        <v>0</v>
      </c>
      <c r="T81" s="148">
        <f t="shared" si="16"/>
        <v>0</v>
      </c>
      <c r="U81" s="148">
        <f t="shared" si="16"/>
        <v>0</v>
      </c>
      <c r="V81" s="149">
        <f t="shared" si="16"/>
        <v>0</v>
      </c>
    </row>
    <row r="82" spans="1:22" ht="13.5" thickTop="1" x14ac:dyDescent="0.2">
      <c r="B82" s="10"/>
      <c r="C82" s="7"/>
    </row>
    <row r="83" spans="1:22" x14ac:dyDescent="0.2">
      <c r="B83" s="10"/>
      <c r="C83" s="7"/>
    </row>
    <row r="84" spans="1:22" x14ac:dyDescent="0.2">
      <c r="B84" s="10"/>
      <c r="C84" s="12">
        <v>2000</v>
      </c>
      <c r="D84" s="12">
        <v>2001</v>
      </c>
      <c r="E84" s="12">
        <v>2002</v>
      </c>
      <c r="F84" s="12">
        <v>2003</v>
      </c>
      <c r="G84" s="12">
        <v>2004</v>
      </c>
      <c r="H84" s="12">
        <v>2005</v>
      </c>
      <c r="I84" s="12">
        <v>2006</v>
      </c>
      <c r="J84" s="12">
        <v>2007</v>
      </c>
      <c r="K84" s="12">
        <v>2008</v>
      </c>
      <c r="L84" s="12">
        <v>2009</v>
      </c>
      <c r="M84" s="12">
        <v>2010</v>
      </c>
      <c r="N84" s="12">
        <v>2011</v>
      </c>
      <c r="O84" s="12">
        <v>2012</v>
      </c>
      <c r="P84" s="12">
        <v>2013</v>
      </c>
      <c r="Q84" s="12">
        <v>2014</v>
      </c>
      <c r="R84" s="12">
        <v>2015</v>
      </c>
      <c r="S84" s="12">
        <v>2016</v>
      </c>
      <c r="T84" s="12">
        <v>2017</v>
      </c>
      <c r="U84" s="12">
        <v>2018</v>
      </c>
      <c r="V84" s="12">
        <v>2019</v>
      </c>
    </row>
    <row r="85" spans="1:22" x14ac:dyDescent="0.2">
      <c r="A85" s="81" t="s">
        <v>211</v>
      </c>
      <c r="B85" s="10"/>
      <c r="C85" s="7"/>
    </row>
    <row r="86" spans="1:22" ht="13.5" thickBot="1" x14ac:dyDescent="0.25">
      <c r="B86" s="10" t="s">
        <v>148</v>
      </c>
      <c r="C86" s="248">
        <f>-VLOOKUP(IS!$B$1,ECapAds,C84-1997)*-1</f>
        <v>0</v>
      </c>
      <c r="D86" s="248">
        <f>-VLOOKUP(IS!$B$1,ECapAds,D84-1997)*-1</f>
        <v>0</v>
      </c>
      <c r="E86" s="248">
        <f>-VLOOKUP(IS!$B$1,ECapAds,E84-1997)*-1</f>
        <v>0</v>
      </c>
      <c r="F86" s="248">
        <f>-VLOOKUP(IS!$B$1,ECapAds,F84-1997)*-1</f>
        <v>0</v>
      </c>
      <c r="G86" s="248">
        <f>-VLOOKUP(IS!$B$1,ECapAds,G84-1997)*-1</f>
        <v>0</v>
      </c>
      <c r="H86" s="248">
        <f>-VLOOKUP(IS!$B$1,ECapAds,H84-1997)*-1</f>
        <v>0</v>
      </c>
      <c r="I86" s="248">
        <f>-VLOOKUP(IS!$B$1,ECapAds,I84-1997)*-1</f>
        <v>0</v>
      </c>
      <c r="J86" s="248">
        <f>-VLOOKUP(IS!$B$1,ECapAds,J84-1997)*-1</f>
        <v>0</v>
      </c>
      <c r="K86" s="248">
        <f>-VLOOKUP(IS!$B$1,ECapAds,K84-1997)*-1</f>
        <v>0</v>
      </c>
      <c r="L86" s="248">
        <f>-VLOOKUP(IS!$B$1,ECapAds,L84-1997)*-1</f>
        <v>0</v>
      </c>
      <c r="M86" s="248">
        <f>-VLOOKUP(IS!$B$1,ECapAds,M84-1997)*-1</f>
        <v>0</v>
      </c>
      <c r="N86" s="248">
        <f>-VLOOKUP(IS!$B$1,ECapAds,N84-1997)*-1</f>
        <v>0</v>
      </c>
      <c r="O86" s="248">
        <f>-VLOOKUP(IS!$B$1,ECapAds,O84-1997)*-1</f>
        <v>0</v>
      </c>
      <c r="P86" s="248">
        <f>-VLOOKUP(IS!$B$1,ECapAds,P84-1997)*-1</f>
        <v>0</v>
      </c>
      <c r="Q86" s="248">
        <f>-VLOOKUP(IS!$B$1,ECapAds,Q84-1997)*-1</f>
        <v>0</v>
      </c>
      <c r="R86" s="248">
        <f>-VLOOKUP(IS!$B$1,ECapAds,R84-1997)*-1</f>
        <v>0</v>
      </c>
      <c r="S86" s="248">
        <f>-VLOOKUP(IS!$B$1,ECapAds,S84-1997)*-1</f>
        <v>0</v>
      </c>
      <c r="T86" s="248">
        <f>-VLOOKUP(IS!$B$1,ECapAds,T84-1997)*-1</f>
        <v>0</v>
      </c>
      <c r="U86" s="248">
        <f>-VLOOKUP(IS!$B$1,ECapAds,U84-1997)*-1</f>
        <v>0</v>
      </c>
      <c r="V86" s="248">
        <f>-VLOOKUP(IS!$B$1,ECapAds,V84-1997)*-1</f>
        <v>0</v>
      </c>
    </row>
    <row r="87" spans="1:22" ht="13.5" thickTop="1" x14ac:dyDescent="0.2">
      <c r="A87" t="s">
        <v>210</v>
      </c>
      <c r="B87" s="3">
        <f>Assumptions!L21</f>
        <v>20</v>
      </c>
      <c r="C87" s="150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 x14ac:dyDescent="0.2">
      <c r="B88" s="3"/>
      <c r="C88" s="150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 x14ac:dyDescent="0.2">
      <c r="B89" s="10"/>
      <c r="C89" s="140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</row>
    <row r="90" spans="1:22" x14ac:dyDescent="0.2">
      <c r="B90" s="10"/>
      <c r="C90" s="140">
        <f>IF((C84-$C$84)&gt;$B$58,0,$C$86/$B$58)</f>
        <v>0</v>
      </c>
      <c r="D90" s="140">
        <f t="shared" ref="D90:V90" si="17">IF((D84-$C$84)&gt;$B$58,0,$C$86/$B$58)</f>
        <v>0</v>
      </c>
      <c r="E90" s="140">
        <f t="shared" si="17"/>
        <v>0</v>
      </c>
      <c r="F90" s="140">
        <f t="shared" si="17"/>
        <v>0</v>
      </c>
      <c r="G90" s="140">
        <f t="shared" si="17"/>
        <v>0</v>
      </c>
      <c r="H90" s="140">
        <f t="shared" si="17"/>
        <v>0</v>
      </c>
      <c r="I90" s="140">
        <f t="shared" si="17"/>
        <v>0</v>
      </c>
      <c r="J90" s="140">
        <f t="shared" si="17"/>
        <v>0</v>
      </c>
      <c r="K90" s="140">
        <f t="shared" si="17"/>
        <v>0</v>
      </c>
      <c r="L90" s="140">
        <f t="shared" si="17"/>
        <v>0</v>
      </c>
      <c r="M90" s="140">
        <f t="shared" si="17"/>
        <v>0</v>
      </c>
      <c r="N90" s="140">
        <f t="shared" si="17"/>
        <v>0</v>
      </c>
      <c r="O90" s="140">
        <f t="shared" si="17"/>
        <v>0</v>
      </c>
      <c r="P90" s="140">
        <f t="shared" si="17"/>
        <v>0</v>
      </c>
      <c r="Q90" s="140">
        <f t="shared" si="17"/>
        <v>0</v>
      </c>
      <c r="R90" s="140">
        <f t="shared" si="17"/>
        <v>0</v>
      </c>
      <c r="S90" s="140">
        <f t="shared" si="17"/>
        <v>0</v>
      </c>
      <c r="T90" s="140">
        <f t="shared" si="17"/>
        <v>0</v>
      </c>
      <c r="U90" s="140">
        <f t="shared" si="17"/>
        <v>0</v>
      </c>
      <c r="V90" s="140">
        <f t="shared" si="17"/>
        <v>0</v>
      </c>
    </row>
    <row r="91" spans="1:22" x14ac:dyDescent="0.2">
      <c r="B91" s="10"/>
      <c r="C91" s="142"/>
      <c r="D91" s="140">
        <f>IF((D$84-$C$84)&gt;$B$58,0,$D$86/$B$58)</f>
        <v>0</v>
      </c>
      <c r="E91" s="140">
        <f t="shared" ref="E91:V91" si="18">IF((E$84-$C$84)&gt;$B$58,0,$D$86/$B$58)</f>
        <v>0</v>
      </c>
      <c r="F91" s="140">
        <f t="shared" si="18"/>
        <v>0</v>
      </c>
      <c r="G91" s="140">
        <f t="shared" si="18"/>
        <v>0</v>
      </c>
      <c r="H91" s="140">
        <f t="shared" si="18"/>
        <v>0</v>
      </c>
      <c r="I91" s="140">
        <f t="shared" si="18"/>
        <v>0</v>
      </c>
      <c r="J91" s="140">
        <f t="shared" si="18"/>
        <v>0</v>
      </c>
      <c r="K91" s="140">
        <f t="shared" si="18"/>
        <v>0</v>
      </c>
      <c r="L91" s="140">
        <f t="shared" si="18"/>
        <v>0</v>
      </c>
      <c r="M91" s="140">
        <f t="shared" si="18"/>
        <v>0</v>
      </c>
      <c r="N91" s="140">
        <f t="shared" si="18"/>
        <v>0</v>
      </c>
      <c r="O91" s="140">
        <f t="shared" si="18"/>
        <v>0</v>
      </c>
      <c r="P91" s="140">
        <f t="shared" si="18"/>
        <v>0</v>
      </c>
      <c r="Q91" s="140">
        <f t="shared" si="18"/>
        <v>0</v>
      </c>
      <c r="R91" s="140">
        <f t="shared" si="18"/>
        <v>0</v>
      </c>
      <c r="S91" s="140">
        <f t="shared" si="18"/>
        <v>0</v>
      </c>
      <c r="T91" s="140">
        <f t="shared" si="18"/>
        <v>0</v>
      </c>
      <c r="U91" s="140">
        <f t="shared" si="18"/>
        <v>0</v>
      </c>
      <c r="V91" s="140">
        <f t="shared" si="18"/>
        <v>0</v>
      </c>
    </row>
    <row r="92" spans="1:22" x14ac:dyDescent="0.2">
      <c r="B92" s="10"/>
      <c r="C92" s="142"/>
      <c r="D92" s="143"/>
      <c r="E92" s="140">
        <f>IF((E$84-$C$84)&gt;$B$58,0,$E$86/$B$58)</f>
        <v>0</v>
      </c>
      <c r="F92" s="140">
        <f t="shared" ref="F92:V92" si="19">IF((F$84-$C$84)&gt;$B$58,0,$E$86/$B$58)</f>
        <v>0</v>
      </c>
      <c r="G92" s="140">
        <f t="shared" si="19"/>
        <v>0</v>
      </c>
      <c r="H92" s="140">
        <f t="shared" si="19"/>
        <v>0</v>
      </c>
      <c r="I92" s="140">
        <f t="shared" si="19"/>
        <v>0</v>
      </c>
      <c r="J92" s="140">
        <f t="shared" si="19"/>
        <v>0</v>
      </c>
      <c r="K92" s="140">
        <f t="shared" si="19"/>
        <v>0</v>
      </c>
      <c r="L92" s="140">
        <f t="shared" si="19"/>
        <v>0</v>
      </c>
      <c r="M92" s="140">
        <f t="shared" si="19"/>
        <v>0</v>
      </c>
      <c r="N92" s="140">
        <f t="shared" si="19"/>
        <v>0</v>
      </c>
      <c r="O92" s="140">
        <f t="shared" si="19"/>
        <v>0</v>
      </c>
      <c r="P92" s="140">
        <f t="shared" si="19"/>
        <v>0</v>
      </c>
      <c r="Q92" s="140">
        <f t="shared" si="19"/>
        <v>0</v>
      </c>
      <c r="R92" s="140">
        <f t="shared" si="19"/>
        <v>0</v>
      </c>
      <c r="S92" s="140">
        <f t="shared" si="19"/>
        <v>0</v>
      </c>
      <c r="T92" s="140">
        <f t="shared" si="19"/>
        <v>0</v>
      </c>
      <c r="U92" s="140">
        <f t="shared" si="19"/>
        <v>0</v>
      </c>
      <c r="V92" s="140">
        <f t="shared" si="19"/>
        <v>0</v>
      </c>
    </row>
    <row r="93" spans="1:22" x14ac:dyDescent="0.2">
      <c r="B93" s="10"/>
      <c r="C93" s="142"/>
      <c r="D93" s="143"/>
      <c r="E93" s="143"/>
      <c r="F93" s="140">
        <f>IF((F$84-$C$84)&gt;$B$58,0,$G$86/$B$58)</f>
        <v>0</v>
      </c>
      <c r="G93" s="140">
        <f t="shared" ref="G93:V93" si="20">IF((G$84-$C$84)&gt;$B$58,0,$G$86/$B$58)</f>
        <v>0</v>
      </c>
      <c r="H93" s="140">
        <f t="shared" si="20"/>
        <v>0</v>
      </c>
      <c r="I93" s="140">
        <f t="shared" si="20"/>
        <v>0</v>
      </c>
      <c r="J93" s="140">
        <f t="shared" si="20"/>
        <v>0</v>
      </c>
      <c r="K93" s="140">
        <f t="shared" si="20"/>
        <v>0</v>
      </c>
      <c r="L93" s="140">
        <f t="shared" si="20"/>
        <v>0</v>
      </c>
      <c r="M93" s="140">
        <f t="shared" si="20"/>
        <v>0</v>
      </c>
      <c r="N93" s="140">
        <f t="shared" si="20"/>
        <v>0</v>
      </c>
      <c r="O93" s="140">
        <f t="shared" si="20"/>
        <v>0</v>
      </c>
      <c r="P93" s="140">
        <f t="shared" si="20"/>
        <v>0</v>
      </c>
      <c r="Q93" s="140">
        <f t="shared" si="20"/>
        <v>0</v>
      </c>
      <c r="R93" s="140">
        <f t="shared" si="20"/>
        <v>0</v>
      </c>
      <c r="S93" s="140">
        <f t="shared" si="20"/>
        <v>0</v>
      </c>
      <c r="T93" s="140">
        <f t="shared" si="20"/>
        <v>0</v>
      </c>
      <c r="U93" s="140">
        <f t="shared" si="20"/>
        <v>0</v>
      </c>
      <c r="V93" s="140">
        <f t="shared" si="20"/>
        <v>0</v>
      </c>
    </row>
    <row r="94" spans="1:22" x14ac:dyDescent="0.2">
      <c r="B94" s="10"/>
      <c r="C94" s="142"/>
      <c r="D94" s="143"/>
      <c r="E94" s="143"/>
      <c r="F94" s="143"/>
      <c r="G94" s="140">
        <f>IF((G$84-$C$84)&gt;$B$58,0,$H$86/$B$58)</f>
        <v>0</v>
      </c>
      <c r="H94" s="140">
        <f t="shared" ref="H94:V95" si="21">IF((H$84-$C$84)&gt;$B$58,0,$H$86/$B$58)</f>
        <v>0</v>
      </c>
      <c r="I94" s="140">
        <f t="shared" si="21"/>
        <v>0</v>
      </c>
      <c r="J94" s="140">
        <f t="shared" si="21"/>
        <v>0</v>
      </c>
      <c r="K94" s="140">
        <f t="shared" si="21"/>
        <v>0</v>
      </c>
      <c r="L94" s="140">
        <f t="shared" si="21"/>
        <v>0</v>
      </c>
      <c r="M94" s="140">
        <f t="shared" si="21"/>
        <v>0</v>
      </c>
      <c r="N94" s="140">
        <f t="shared" si="21"/>
        <v>0</v>
      </c>
      <c r="O94" s="140">
        <f t="shared" si="21"/>
        <v>0</v>
      </c>
      <c r="P94" s="140">
        <f t="shared" si="21"/>
        <v>0</v>
      </c>
      <c r="Q94" s="140">
        <f t="shared" si="21"/>
        <v>0</v>
      </c>
      <c r="R94" s="140">
        <f t="shared" si="21"/>
        <v>0</v>
      </c>
      <c r="S94" s="140">
        <f t="shared" si="21"/>
        <v>0</v>
      </c>
      <c r="T94" s="140">
        <f t="shared" si="21"/>
        <v>0</v>
      </c>
      <c r="U94" s="140">
        <f t="shared" si="21"/>
        <v>0</v>
      </c>
      <c r="V94" s="140">
        <f t="shared" si="21"/>
        <v>0</v>
      </c>
    </row>
    <row r="95" spans="1:22" x14ac:dyDescent="0.2">
      <c r="B95" s="10"/>
      <c r="C95" s="142"/>
      <c r="D95" s="143"/>
      <c r="E95" s="143"/>
      <c r="F95" s="143"/>
      <c r="G95" s="143"/>
      <c r="H95" s="140">
        <f>IF((H$84-$C$84)&gt;$B$58,0,$H$86/$B$58)</f>
        <v>0</v>
      </c>
      <c r="I95" s="140">
        <f t="shared" si="21"/>
        <v>0</v>
      </c>
      <c r="J95" s="140">
        <f t="shared" si="21"/>
        <v>0</v>
      </c>
      <c r="K95" s="140">
        <f t="shared" si="21"/>
        <v>0</v>
      </c>
      <c r="L95" s="140">
        <f t="shared" si="21"/>
        <v>0</v>
      </c>
      <c r="M95" s="140">
        <f t="shared" si="21"/>
        <v>0</v>
      </c>
      <c r="N95" s="140">
        <f t="shared" si="21"/>
        <v>0</v>
      </c>
      <c r="O95" s="140">
        <f t="shared" si="21"/>
        <v>0</v>
      </c>
      <c r="P95" s="140">
        <f t="shared" si="21"/>
        <v>0</v>
      </c>
      <c r="Q95" s="140">
        <f t="shared" si="21"/>
        <v>0</v>
      </c>
      <c r="R95" s="140">
        <f t="shared" si="21"/>
        <v>0</v>
      </c>
      <c r="S95" s="140">
        <f t="shared" si="21"/>
        <v>0</v>
      </c>
      <c r="T95" s="140">
        <f t="shared" si="21"/>
        <v>0</v>
      </c>
      <c r="U95" s="140">
        <f t="shared" si="21"/>
        <v>0</v>
      </c>
      <c r="V95" s="140">
        <f t="shared" si="21"/>
        <v>0</v>
      </c>
    </row>
    <row r="96" spans="1:22" x14ac:dyDescent="0.2">
      <c r="B96" s="10"/>
      <c r="C96" s="142"/>
      <c r="D96" s="143"/>
      <c r="E96" s="143"/>
      <c r="F96" s="143"/>
      <c r="G96" s="143"/>
      <c r="H96" s="143"/>
      <c r="I96" s="140">
        <f>IF((I$84-$C$84)&gt;$B$58,0,$I$86/$B$58)</f>
        <v>0</v>
      </c>
      <c r="J96" s="140">
        <f t="shared" ref="J96:V96" si="22">IF((J$84-$C$84)&gt;$B$58,0,$I$86/$B$58)</f>
        <v>0</v>
      </c>
      <c r="K96" s="140">
        <f t="shared" si="22"/>
        <v>0</v>
      </c>
      <c r="L96" s="140">
        <f t="shared" si="22"/>
        <v>0</v>
      </c>
      <c r="M96" s="140">
        <f t="shared" si="22"/>
        <v>0</v>
      </c>
      <c r="N96" s="140">
        <f t="shared" si="22"/>
        <v>0</v>
      </c>
      <c r="O96" s="140">
        <f t="shared" si="22"/>
        <v>0</v>
      </c>
      <c r="P96" s="140">
        <f t="shared" si="22"/>
        <v>0</v>
      </c>
      <c r="Q96" s="140">
        <f t="shared" si="22"/>
        <v>0</v>
      </c>
      <c r="R96" s="140">
        <f t="shared" si="22"/>
        <v>0</v>
      </c>
      <c r="S96" s="140">
        <f t="shared" si="22"/>
        <v>0</v>
      </c>
      <c r="T96" s="140">
        <f t="shared" si="22"/>
        <v>0</v>
      </c>
      <c r="U96" s="140">
        <f t="shared" si="22"/>
        <v>0</v>
      </c>
      <c r="V96" s="140">
        <f t="shared" si="22"/>
        <v>0</v>
      </c>
    </row>
    <row r="97" spans="1:22" x14ac:dyDescent="0.2">
      <c r="B97" s="10"/>
      <c r="C97" s="142"/>
      <c r="D97" s="143"/>
      <c r="E97" s="143"/>
      <c r="F97" s="143"/>
      <c r="G97" s="143"/>
      <c r="H97" s="143"/>
      <c r="I97" s="143"/>
      <c r="J97" s="140">
        <f>IF((J$84-$C$84)&gt;$B$58,0,$J$86/$B$58)</f>
        <v>0</v>
      </c>
      <c r="K97" s="140">
        <f t="shared" ref="K97:V97" si="23">IF((K$84-$C$84)&gt;$B$58,0,$J$86/$B$58)</f>
        <v>0</v>
      </c>
      <c r="L97" s="140">
        <f t="shared" si="23"/>
        <v>0</v>
      </c>
      <c r="M97" s="140">
        <f t="shared" si="23"/>
        <v>0</v>
      </c>
      <c r="N97" s="140">
        <f t="shared" si="23"/>
        <v>0</v>
      </c>
      <c r="O97" s="140">
        <f t="shared" si="23"/>
        <v>0</v>
      </c>
      <c r="P97" s="140">
        <f t="shared" si="23"/>
        <v>0</v>
      </c>
      <c r="Q97" s="140">
        <f t="shared" si="23"/>
        <v>0</v>
      </c>
      <c r="R97" s="140">
        <f t="shared" si="23"/>
        <v>0</v>
      </c>
      <c r="S97" s="140">
        <f t="shared" si="23"/>
        <v>0</v>
      </c>
      <c r="T97" s="140">
        <f t="shared" si="23"/>
        <v>0</v>
      </c>
      <c r="U97" s="140">
        <f t="shared" si="23"/>
        <v>0</v>
      </c>
      <c r="V97" s="140">
        <f t="shared" si="23"/>
        <v>0</v>
      </c>
    </row>
    <row r="98" spans="1:22" x14ac:dyDescent="0.2">
      <c r="B98" s="10"/>
      <c r="C98" s="142"/>
      <c r="D98" s="143"/>
      <c r="E98" s="143"/>
      <c r="F98" s="143"/>
      <c r="G98" s="143"/>
      <c r="H98" s="143"/>
      <c r="I98" s="143"/>
      <c r="J98" s="143"/>
      <c r="K98" s="140">
        <f>IF((K$84-$C$84)&gt;$B$58,0,$K$86/$B$58)</f>
        <v>0</v>
      </c>
      <c r="L98" s="140">
        <f t="shared" ref="L98:V98" si="24">IF((L$84-$C$84)&gt;$B$58,0,$K$86/$B$58)</f>
        <v>0</v>
      </c>
      <c r="M98" s="140">
        <f t="shared" si="24"/>
        <v>0</v>
      </c>
      <c r="N98" s="140">
        <f t="shared" si="24"/>
        <v>0</v>
      </c>
      <c r="O98" s="140">
        <f t="shared" si="24"/>
        <v>0</v>
      </c>
      <c r="P98" s="140">
        <f t="shared" si="24"/>
        <v>0</v>
      </c>
      <c r="Q98" s="140">
        <f t="shared" si="24"/>
        <v>0</v>
      </c>
      <c r="R98" s="140">
        <f t="shared" si="24"/>
        <v>0</v>
      </c>
      <c r="S98" s="140">
        <f t="shared" si="24"/>
        <v>0</v>
      </c>
      <c r="T98" s="140">
        <f t="shared" si="24"/>
        <v>0</v>
      </c>
      <c r="U98" s="140">
        <f t="shared" si="24"/>
        <v>0</v>
      </c>
      <c r="V98" s="140">
        <f t="shared" si="24"/>
        <v>0</v>
      </c>
    </row>
    <row r="99" spans="1:22" x14ac:dyDescent="0.2">
      <c r="B99" s="10"/>
      <c r="C99" s="142"/>
      <c r="D99" s="143"/>
      <c r="E99" s="143"/>
      <c r="F99" s="143"/>
      <c r="G99" s="143"/>
      <c r="H99" s="143"/>
      <c r="I99" s="143"/>
      <c r="J99" s="143"/>
      <c r="K99" s="143"/>
      <c r="L99" s="140">
        <f>IF((L$84-$C$84)&gt;$B$58,0,$L$86/$B$58)</f>
        <v>0</v>
      </c>
      <c r="M99" s="140">
        <f t="shared" ref="M99:V99" si="25">IF((M$84-$C$84)&gt;$B$58,0,$L$86/$B$58)</f>
        <v>0</v>
      </c>
      <c r="N99" s="140">
        <f t="shared" si="25"/>
        <v>0</v>
      </c>
      <c r="O99" s="140">
        <f t="shared" si="25"/>
        <v>0</v>
      </c>
      <c r="P99" s="140">
        <f t="shared" si="25"/>
        <v>0</v>
      </c>
      <c r="Q99" s="140">
        <f t="shared" si="25"/>
        <v>0</v>
      </c>
      <c r="R99" s="140">
        <f t="shared" si="25"/>
        <v>0</v>
      </c>
      <c r="S99" s="140">
        <f t="shared" si="25"/>
        <v>0</v>
      </c>
      <c r="T99" s="140">
        <f t="shared" si="25"/>
        <v>0</v>
      </c>
      <c r="U99" s="140">
        <f t="shared" si="25"/>
        <v>0</v>
      </c>
      <c r="V99" s="140">
        <f t="shared" si="25"/>
        <v>0</v>
      </c>
    </row>
    <row r="100" spans="1:22" x14ac:dyDescent="0.2">
      <c r="B100" s="10"/>
      <c r="C100" s="142"/>
      <c r="D100" s="143"/>
      <c r="E100" s="143"/>
      <c r="F100" s="143"/>
      <c r="G100" s="143"/>
      <c r="H100" s="143"/>
      <c r="I100" s="143"/>
      <c r="J100" s="143"/>
      <c r="K100" s="143"/>
      <c r="L100" s="143"/>
      <c r="M100" s="140">
        <f>IF((M$84-$C$84)&gt;$B$58,0,$M$86/$B$58)</f>
        <v>0</v>
      </c>
      <c r="N100" s="140">
        <f t="shared" ref="N100:V100" si="26">IF((N$84-$C$84)&gt;$B$58,0,$M$86/$B$58)</f>
        <v>0</v>
      </c>
      <c r="O100" s="140">
        <f t="shared" si="26"/>
        <v>0</v>
      </c>
      <c r="P100" s="140">
        <f t="shared" si="26"/>
        <v>0</v>
      </c>
      <c r="Q100" s="140">
        <f t="shared" si="26"/>
        <v>0</v>
      </c>
      <c r="R100" s="140">
        <f t="shared" si="26"/>
        <v>0</v>
      </c>
      <c r="S100" s="140">
        <f t="shared" si="26"/>
        <v>0</v>
      </c>
      <c r="T100" s="140">
        <f t="shared" si="26"/>
        <v>0</v>
      </c>
      <c r="U100" s="140">
        <f t="shared" si="26"/>
        <v>0</v>
      </c>
      <c r="V100" s="140">
        <f t="shared" si="26"/>
        <v>0</v>
      </c>
    </row>
    <row r="101" spans="1:22" x14ac:dyDescent="0.2">
      <c r="B101" s="10"/>
      <c r="C101" s="142"/>
      <c r="D101" s="143"/>
      <c r="E101" s="143"/>
      <c r="F101" s="143"/>
      <c r="G101" s="143"/>
      <c r="H101" s="143"/>
      <c r="I101" s="143"/>
      <c r="J101" s="143"/>
      <c r="K101" s="143"/>
      <c r="L101" s="143"/>
      <c r="M101" s="136"/>
      <c r="N101" s="140">
        <f>IF((N$84-$C$84)&gt;$B$58,0,$N$86/$B$58)</f>
        <v>0</v>
      </c>
      <c r="O101" s="140">
        <f t="shared" ref="O101:V101" si="27">IF((O$84-$C$84)&gt;$B$58,0,$N$86/$B$58)</f>
        <v>0</v>
      </c>
      <c r="P101" s="140">
        <f t="shared" si="27"/>
        <v>0</v>
      </c>
      <c r="Q101" s="140">
        <f t="shared" si="27"/>
        <v>0</v>
      </c>
      <c r="R101" s="140">
        <f t="shared" si="27"/>
        <v>0</v>
      </c>
      <c r="S101" s="140">
        <f t="shared" si="27"/>
        <v>0</v>
      </c>
      <c r="T101" s="140">
        <f t="shared" si="27"/>
        <v>0</v>
      </c>
      <c r="U101" s="140">
        <f t="shared" si="27"/>
        <v>0</v>
      </c>
      <c r="V101" s="140">
        <f t="shared" si="27"/>
        <v>0</v>
      </c>
    </row>
    <row r="102" spans="1:22" x14ac:dyDescent="0.2">
      <c r="B102" s="10"/>
      <c r="C102" s="142"/>
      <c r="D102" s="143"/>
      <c r="E102" s="143"/>
      <c r="F102" s="143"/>
      <c r="G102" s="143"/>
      <c r="H102" s="143"/>
      <c r="I102" s="143"/>
      <c r="J102" s="143"/>
      <c r="K102" s="143"/>
      <c r="L102" s="143"/>
      <c r="M102" s="136"/>
      <c r="N102" s="136"/>
      <c r="O102" s="140">
        <f>IF((O$84-$C$84)&gt;$B$58,0,$O$86/$B$58)</f>
        <v>0</v>
      </c>
      <c r="P102" s="140">
        <f t="shared" ref="P102:V102" si="28">IF((P$84-$C$84)&gt;$B$58,0,$O$86/$B$58)</f>
        <v>0</v>
      </c>
      <c r="Q102" s="140">
        <f t="shared" si="28"/>
        <v>0</v>
      </c>
      <c r="R102" s="140">
        <f t="shared" si="28"/>
        <v>0</v>
      </c>
      <c r="S102" s="140">
        <f t="shared" si="28"/>
        <v>0</v>
      </c>
      <c r="T102" s="140">
        <f t="shared" si="28"/>
        <v>0</v>
      </c>
      <c r="U102" s="140">
        <f t="shared" si="28"/>
        <v>0</v>
      </c>
      <c r="V102" s="140">
        <f t="shared" si="28"/>
        <v>0</v>
      </c>
    </row>
    <row r="103" spans="1:22" x14ac:dyDescent="0.2">
      <c r="B103" s="10"/>
      <c r="C103" s="142"/>
      <c r="D103" s="143"/>
      <c r="E103" s="143"/>
      <c r="F103" s="143"/>
      <c r="G103" s="143"/>
      <c r="H103" s="143"/>
      <c r="I103" s="143"/>
      <c r="J103" s="143"/>
      <c r="K103" s="143"/>
      <c r="L103" s="143"/>
      <c r="M103" s="136"/>
      <c r="N103" s="136"/>
      <c r="O103" s="136"/>
      <c r="P103" s="140">
        <f>IF((P$84-$C$84)&gt;$B$58,0,$P$86/$B$58)</f>
        <v>0</v>
      </c>
      <c r="Q103" s="140">
        <f t="shared" ref="Q103:V103" si="29">IF((Q$84-$C$84)&gt;$B$58,0,$P$86/$B$58)</f>
        <v>0</v>
      </c>
      <c r="R103" s="140">
        <f t="shared" si="29"/>
        <v>0</v>
      </c>
      <c r="S103" s="140">
        <f t="shared" si="29"/>
        <v>0</v>
      </c>
      <c r="T103" s="140">
        <f t="shared" si="29"/>
        <v>0</v>
      </c>
      <c r="U103" s="140">
        <f t="shared" si="29"/>
        <v>0</v>
      </c>
      <c r="V103" s="140">
        <f t="shared" si="29"/>
        <v>0</v>
      </c>
    </row>
    <row r="104" spans="1:22" x14ac:dyDescent="0.2">
      <c r="B104" s="10"/>
      <c r="C104" s="142"/>
      <c r="D104" s="143"/>
      <c r="E104" s="143"/>
      <c r="F104" s="143"/>
      <c r="G104" s="143"/>
      <c r="H104" s="143"/>
      <c r="I104" s="143"/>
      <c r="J104" s="143"/>
      <c r="K104" s="143"/>
      <c r="L104" s="143"/>
      <c r="M104" s="136"/>
      <c r="N104" s="136"/>
      <c r="O104" s="136"/>
      <c r="P104" s="136"/>
      <c r="Q104" s="140">
        <f t="shared" ref="Q104:V104" si="30">IF((Q$84-$C$84)&gt;$B$58,0,$Q$86/$B$58)</f>
        <v>0</v>
      </c>
      <c r="R104" s="140">
        <f t="shared" si="30"/>
        <v>0</v>
      </c>
      <c r="S104" s="140">
        <f t="shared" si="30"/>
        <v>0</v>
      </c>
      <c r="T104" s="140">
        <f t="shared" si="30"/>
        <v>0</v>
      </c>
      <c r="U104" s="140">
        <f t="shared" si="30"/>
        <v>0</v>
      </c>
      <c r="V104" s="140">
        <f t="shared" si="30"/>
        <v>0</v>
      </c>
    </row>
    <row r="105" spans="1:22" x14ac:dyDescent="0.2">
      <c r="B105" s="10"/>
      <c r="C105" s="142"/>
      <c r="D105" s="143"/>
      <c r="E105" s="143"/>
      <c r="F105" s="143"/>
      <c r="G105" s="143"/>
      <c r="H105" s="143"/>
      <c r="I105" s="143"/>
      <c r="J105" s="143"/>
      <c r="K105" s="143"/>
      <c r="L105" s="143"/>
      <c r="M105" s="136"/>
      <c r="N105" s="136"/>
      <c r="O105" s="136"/>
      <c r="P105" s="136"/>
      <c r="Q105" s="136"/>
      <c r="R105" s="140">
        <f>IF((R$84-$C$84)&gt;$B$58,0,$R$86/$B$58)</f>
        <v>0</v>
      </c>
      <c r="S105" s="140">
        <f>IF((S$84-$C$84)&gt;$B$58,0,$R$86/$B$58)</f>
        <v>0</v>
      </c>
      <c r="T105" s="140">
        <f>IF((T$84-$C$84)&gt;$B$58,0,$R$86/$B$58)</f>
        <v>0</v>
      </c>
      <c r="U105" s="140">
        <f>IF((U$84-$C$84)&gt;$B$58,0,$R$86/$B$58)</f>
        <v>0</v>
      </c>
      <c r="V105" s="140">
        <f>IF((V$84-$C$84)&gt;$B$58,0,$R$86/$B$58)</f>
        <v>0</v>
      </c>
    </row>
    <row r="106" spans="1:22" x14ac:dyDescent="0.2">
      <c r="B106" s="10"/>
      <c r="C106" s="142"/>
      <c r="D106" s="143"/>
      <c r="E106" s="143"/>
      <c r="F106" s="143"/>
      <c r="G106" s="143"/>
      <c r="H106" s="143"/>
      <c r="I106" s="143"/>
      <c r="J106" s="143"/>
      <c r="K106" s="143"/>
      <c r="L106" s="143"/>
      <c r="M106" s="136"/>
      <c r="N106" s="136"/>
      <c r="O106" s="136"/>
      <c r="P106" s="136"/>
      <c r="Q106" s="136"/>
      <c r="R106" s="136"/>
      <c r="S106" s="140">
        <f>IF((S$84-$C$84)&gt;$B$58,0,$S$86/$B$58)</f>
        <v>0</v>
      </c>
      <c r="T106" s="140">
        <f>IF((T$84-$C$84)&gt;$B$58,0,$S$86/$B$58)</f>
        <v>0</v>
      </c>
      <c r="U106" s="140">
        <f>IF((U$84-$C$84)&gt;$B$58,0,$S$86/$B$58)</f>
        <v>0</v>
      </c>
      <c r="V106" s="140">
        <f>IF((V$84-$C$84)&gt;$B$58,0,$S$86/$B$58)</f>
        <v>0</v>
      </c>
    </row>
    <row r="107" spans="1:22" x14ac:dyDescent="0.2">
      <c r="B107" s="10"/>
      <c r="C107" s="142"/>
      <c r="D107" s="143"/>
      <c r="E107" s="143"/>
      <c r="F107" s="143"/>
      <c r="G107" s="143"/>
      <c r="H107" s="143"/>
      <c r="I107" s="143"/>
      <c r="J107" s="143"/>
      <c r="K107" s="143"/>
      <c r="L107" s="143"/>
      <c r="M107" s="136"/>
      <c r="N107" s="136"/>
      <c r="O107" s="136"/>
      <c r="P107" s="136"/>
      <c r="Q107" s="136"/>
      <c r="R107" s="136"/>
      <c r="S107" s="136"/>
      <c r="T107" s="140">
        <f>IF((T$84-$C$84)&gt;$B$58,0,$T$86/$B$58)</f>
        <v>0</v>
      </c>
      <c r="U107" s="140">
        <f>IF((U$84-$C$84)&gt;$B$58,0,$T$86/$B$58)</f>
        <v>0</v>
      </c>
      <c r="V107" s="140">
        <f>IF((V$84-$C$84)&gt;$B$58,0,$T$86/$B$58)</f>
        <v>0</v>
      </c>
    </row>
    <row r="108" spans="1:22" x14ac:dyDescent="0.2">
      <c r="B108" s="10"/>
      <c r="C108" s="142"/>
      <c r="D108" s="143"/>
      <c r="E108" s="143"/>
      <c r="F108" s="143"/>
      <c r="G108" s="143"/>
      <c r="H108" s="143"/>
      <c r="I108" s="143"/>
      <c r="J108" s="143"/>
      <c r="K108" s="143"/>
      <c r="L108" s="143"/>
      <c r="M108" s="136"/>
      <c r="N108" s="136"/>
      <c r="O108" s="136"/>
      <c r="P108" s="136"/>
      <c r="Q108" s="136"/>
      <c r="R108" s="136"/>
      <c r="S108" s="136"/>
      <c r="T108" s="136"/>
      <c r="U108" s="140">
        <f>IF((U$84-$C$84)&gt;$B$58,0,$U$86/$B$58)</f>
        <v>0</v>
      </c>
      <c r="V108" s="140">
        <f>IF((V$84-$C$84)&gt;$B$58,0,$U$86/$B$58)</f>
        <v>0</v>
      </c>
    </row>
    <row r="109" spans="1:22" x14ac:dyDescent="0.2">
      <c r="B109" s="10"/>
      <c r="C109" s="144"/>
      <c r="D109" s="145"/>
      <c r="E109" s="145"/>
      <c r="F109" s="145"/>
      <c r="G109" s="145"/>
      <c r="H109" s="145"/>
      <c r="I109" s="145"/>
      <c r="J109" s="145"/>
      <c r="K109" s="145"/>
      <c r="L109" s="145"/>
      <c r="M109" s="146"/>
      <c r="N109" s="146"/>
      <c r="O109" s="146"/>
      <c r="P109" s="146"/>
      <c r="Q109" s="146"/>
      <c r="R109" s="146"/>
      <c r="S109" s="146"/>
      <c r="T109" s="146"/>
      <c r="U109" s="146"/>
      <c r="V109" s="140">
        <f>IF((V$84-$C$84)&gt;$B$58,0,$V$86/$B$58)</f>
        <v>0</v>
      </c>
    </row>
    <row r="110" spans="1:22" ht="13.5" thickBot="1" x14ac:dyDescent="0.25">
      <c r="A110" s="2" t="s">
        <v>235</v>
      </c>
      <c r="B110" s="10"/>
      <c r="C110" s="147">
        <f t="shared" ref="C110:V110" si="31">SUM(C90:C109)</f>
        <v>0</v>
      </c>
      <c r="D110" s="148">
        <f t="shared" si="31"/>
        <v>0</v>
      </c>
      <c r="E110" s="148">
        <f t="shared" si="31"/>
        <v>0</v>
      </c>
      <c r="F110" s="148">
        <f t="shared" si="31"/>
        <v>0</v>
      </c>
      <c r="G110" s="148">
        <f t="shared" si="31"/>
        <v>0</v>
      </c>
      <c r="H110" s="148">
        <f t="shared" si="31"/>
        <v>0</v>
      </c>
      <c r="I110" s="148">
        <f t="shared" si="31"/>
        <v>0</v>
      </c>
      <c r="J110" s="148">
        <f t="shared" si="31"/>
        <v>0</v>
      </c>
      <c r="K110" s="148">
        <f t="shared" si="31"/>
        <v>0</v>
      </c>
      <c r="L110" s="148">
        <f t="shared" si="31"/>
        <v>0</v>
      </c>
      <c r="M110" s="148">
        <f t="shared" si="31"/>
        <v>0</v>
      </c>
      <c r="N110" s="148">
        <f t="shared" si="31"/>
        <v>0</v>
      </c>
      <c r="O110" s="148">
        <f t="shared" si="31"/>
        <v>0</v>
      </c>
      <c r="P110" s="148">
        <f t="shared" si="31"/>
        <v>0</v>
      </c>
      <c r="Q110" s="148">
        <f t="shared" si="31"/>
        <v>0</v>
      </c>
      <c r="R110" s="148">
        <f t="shared" si="31"/>
        <v>0</v>
      </c>
      <c r="S110" s="148">
        <f t="shared" si="31"/>
        <v>0</v>
      </c>
      <c r="T110" s="148">
        <f t="shared" si="31"/>
        <v>0</v>
      </c>
      <c r="U110" s="148">
        <f t="shared" si="31"/>
        <v>0</v>
      </c>
      <c r="V110" s="148">
        <f t="shared" si="31"/>
        <v>0</v>
      </c>
    </row>
    <row r="111" spans="1:22" ht="13.5" thickTop="1" x14ac:dyDescent="0.2">
      <c r="B111" s="10"/>
      <c r="C111" s="7"/>
    </row>
    <row r="112" spans="1:22" x14ac:dyDescent="0.2">
      <c r="A112" s="2" t="s">
        <v>146</v>
      </c>
      <c r="B112" s="10"/>
      <c r="C112" s="7">
        <f>VLOOKUP(IS!$B$1,BookDep,C84-1997)</f>
        <v>10846000</v>
      </c>
      <c r="D112" s="7">
        <f>VLOOKUP(IS!$B$1,BookDep,D84-1997)</f>
        <v>10846000</v>
      </c>
      <c r="E112" s="7">
        <f>VLOOKUP(IS!$B$1,BookDep,E84-1997)</f>
        <v>10846000</v>
      </c>
      <c r="F112" s="7">
        <f>VLOOKUP(IS!$B$1,BookDep,F84-1997)</f>
        <v>10846000</v>
      </c>
      <c r="G112" s="7">
        <f>VLOOKUP(IS!$B$1,BookDep,G84-1997)</f>
        <v>10846000</v>
      </c>
      <c r="H112" s="7">
        <f>VLOOKUP(IS!$B$1,BookDep,H84-1997)</f>
        <v>10846000</v>
      </c>
      <c r="I112" s="7">
        <f>VLOOKUP(IS!$B$1,BookDep,I84-1997)</f>
        <v>10846000</v>
      </c>
      <c r="J112" s="7">
        <f>VLOOKUP(IS!$B$1,BookDep,J84-1997)</f>
        <v>10846000</v>
      </c>
      <c r="K112" s="7">
        <f>VLOOKUP(IS!$B$1,BookDep,K84-1997)</f>
        <v>10846000</v>
      </c>
      <c r="L112" s="7">
        <f>VLOOKUP(IS!$B$1,BookDep,L84-1997)</f>
        <v>10846000</v>
      </c>
      <c r="M112" s="7">
        <f>VLOOKUP(IS!$B$1,BookDep,M84-1997)</f>
        <v>10846000</v>
      </c>
      <c r="N112" s="7">
        <f>VLOOKUP(IS!$B$1,BookDep,N84-1997)</f>
        <v>10846000</v>
      </c>
      <c r="O112" s="7">
        <f>VLOOKUP(IS!$B$1,BookDep,O84-1997)</f>
        <v>10846000</v>
      </c>
      <c r="P112" s="7">
        <f>VLOOKUP(IS!$B$1,BookDep,P84-1997)</f>
        <v>10846000</v>
      </c>
      <c r="Q112" s="7">
        <f>VLOOKUP(IS!$B$1,BookDep,Q84-1997)</f>
        <v>10846000</v>
      </c>
      <c r="R112" s="7">
        <f>VLOOKUP(IS!$B$1,BookDep,R84-1997)</f>
        <v>10846000</v>
      </c>
      <c r="S112" s="7">
        <f>VLOOKUP(IS!$B$1,BookDep,S84-1997)</f>
        <v>10846000</v>
      </c>
      <c r="T112" s="7">
        <f>VLOOKUP(IS!$B$1,BookDep,T84-1997)</f>
        <v>10846000</v>
      </c>
      <c r="U112" s="7">
        <f>VLOOKUP(IS!$B$1,BookDep,U84-1997)</f>
        <v>10846000</v>
      </c>
      <c r="V112" s="7">
        <f>VLOOKUP(IS!$B$1,BookDep,V84-1997)</f>
        <v>10846000</v>
      </c>
    </row>
    <row r="113" spans="1:22" x14ac:dyDescent="0.2">
      <c r="B113" s="4"/>
    </row>
    <row r="114" spans="1:22" x14ac:dyDescent="0.2">
      <c r="A114" t="s">
        <v>234</v>
      </c>
      <c r="B114" s="4"/>
      <c r="C114" s="7">
        <f>C112+C81+C110</f>
        <v>10846000</v>
      </c>
      <c r="D114" s="7">
        <f t="shared" ref="D114:V114" si="32">D112+D81+D110</f>
        <v>10846000</v>
      </c>
      <c r="E114" s="7">
        <f t="shared" si="32"/>
        <v>10846000</v>
      </c>
      <c r="F114" s="7">
        <f t="shared" si="32"/>
        <v>10846000</v>
      </c>
      <c r="G114" s="7">
        <f t="shared" si="32"/>
        <v>10846000</v>
      </c>
      <c r="H114" s="7">
        <f t="shared" si="32"/>
        <v>10846000</v>
      </c>
      <c r="I114" s="7">
        <f t="shared" si="32"/>
        <v>10846000</v>
      </c>
      <c r="J114" s="7">
        <f t="shared" si="32"/>
        <v>10846000</v>
      </c>
      <c r="K114" s="7">
        <f t="shared" si="32"/>
        <v>10846000</v>
      </c>
      <c r="L114" s="7">
        <f t="shared" si="32"/>
        <v>10846000</v>
      </c>
      <c r="M114" s="7">
        <f t="shared" si="32"/>
        <v>10846000</v>
      </c>
      <c r="N114" s="7">
        <f t="shared" si="32"/>
        <v>10846000</v>
      </c>
      <c r="O114" s="7">
        <f t="shared" si="32"/>
        <v>10846000</v>
      </c>
      <c r="P114" s="7">
        <f t="shared" si="32"/>
        <v>10846000</v>
      </c>
      <c r="Q114" s="7">
        <f t="shared" si="32"/>
        <v>10846000</v>
      </c>
      <c r="R114" s="7">
        <f t="shared" si="32"/>
        <v>10846000</v>
      </c>
      <c r="S114" s="7">
        <f t="shared" si="32"/>
        <v>10846000</v>
      </c>
      <c r="T114" s="7">
        <f t="shared" si="32"/>
        <v>10846000</v>
      </c>
      <c r="U114" s="7">
        <f t="shared" si="32"/>
        <v>10846000</v>
      </c>
      <c r="V114" s="7">
        <f t="shared" si="32"/>
        <v>10846000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132"/>
  <sheetViews>
    <sheetView showGridLines="0" workbookViewId="0"/>
  </sheetViews>
  <sheetFormatPr defaultRowHeight="12.75" x14ac:dyDescent="0.2"/>
  <cols>
    <col min="1" max="2" width="9.140625" style="378"/>
    <col min="3" max="4" width="10.42578125" style="378" customWidth="1"/>
    <col min="5" max="5" width="37.140625" style="378" bestFit="1" customWidth="1"/>
    <col min="6" max="6" width="10.42578125" style="378" hidden="1" customWidth="1"/>
    <col min="7" max="7" width="28.5703125" style="378" hidden="1" customWidth="1"/>
    <col min="8" max="8" width="10.42578125" style="378" hidden="1" customWidth="1"/>
    <col min="9" max="9" width="16.5703125" style="378" bestFit="1" customWidth="1"/>
    <col min="10" max="10" width="17.85546875" style="378" bestFit="1" customWidth="1"/>
    <col min="11" max="11" width="16.140625" style="378" bestFit="1" customWidth="1"/>
    <col min="12" max="18" width="14.85546875" style="378" bestFit="1" customWidth="1"/>
    <col min="19" max="21" width="13.85546875" style="378" bestFit="1" customWidth="1"/>
    <col min="22" max="30" width="11.28515625" style="378" bestFit="1" customWidth="1"/>
    <col min="31" max="39" width="11.28515625" style="378" customWidth="1"/>
    <col min="40" max="41" width="11.28515625" style="378" bestFit="1" customWidth="1"/>
    <col min="42" max="42" width="9.140625" style="378"/>
    <col min="43" max="43" width="11.28515625" style="378" bestFit="1" customWidth="1"/>
    <col min="44" max="16384" width="9.140625" style="378"/>
  </cols>
  <sheetData>
    <row r="1" spans="1:43" x14ac:dyDescent="0.2">
      <c r="A1" s="401"/>
    </row>
    <row r="3" spans="1:43" x14ac:dyDescent="0.2">
      <c r="K3" s="378">
        <v>2000</v>
      </c>
      <c r="L3" s="378">
        <v>2001</v>
      </c>
      <c r="M3" s="378">
        <f t="shared" ref="M3:AO3" si="0">+L3+1</f>
        <v>2002</v>
      </c>
      <c r="N3" s="378">
        <f t="shared" si="0"/>
        <v>2003</v>
      </c>
      <c r="O3" s="378">
        <f t="shared" si="0"/>
        <v>2004</v>
      </c>
      <c r="P3" s="378">
        <f t="shared" si="0"/>
        <v>2005</v>
      </c>
      <c r="Q3" s="378">
        <f t="shared" si="0"/>
        <v>2006</v>
      </c>
      <c r="R3" s="378">
        <f t="shared" si="0"/>
        <v>2007</v>
      </c>
      <c r="S3" s="378">
        <f t="shared" si="0"/>
        <v>2008</v>
      </c>
      <c r="T3" s="378">
        <f t="shared" si="0"/>
        <v>2009</v>
      </c>
      <c r="U3" s="378">
        <f t="shared" si="0"/>
        <v>2010</v>
      </c>
      <c r="V3" s="378">
        <f t="shared" si="0"/>
        <v>2011</v>
      </c>
      <c r="W3" s="378">
        <f t="shared" si="0"/>
        <v>2012</v>
      </c>
      <c r="X3" s="378">
        <f t="shared" si="0"/>
        <v>2013</v>
      </c>
      <c r="Y3" s="378">
        <f t="shared" si="0"/>
        <v>2014</v>
      </c>
      <c r="Z3" s="378">
        <f t="shared" si="0"/>
        <v>2015</v>
      </c>
      <c r="AA3" s="378">
        <f t="shared" si="0"/>
        <v>2016</v>
      </c>
      <c r="AB3" s="378">
        <f t="shared" si="0"/>
        <v>2017</v>
      </c>
      <c r="AC3" s="378">
        <f t="shared" si="0"/>
        <v>2018</v>
      </c>
      <c r="AD3" s="378">
        <f t="shared" si="0"/>
        <v>2019</v>
      </c>
      <c r="AE3" s="378">
        <f t="shared" si="0"/>
        <v>2020</v>
      </c>
      <c r="AF3" s="378">
        <f t="shared" si="0"/>
        <v>2021</v>
      </c>
      <c r="AG3" s="378">
        <f t="shared" si="0"/>
        <v>2022</v>
      </c>
      <c r="AH3" s="378">
        <f t="shared" si="0"/>
        <v>2023</v>
      </c>
      <c r="AI3" s="378">
        <f t="shared" si="0"/>
        <v>2024</v>
      </c>
      <c r="AJ3" s="378">
        <f t="shared" si="0"/>
        <v>2025</v>
      </c>
      <c r="AK3" s="378">
        <f t="shared" si="0"/>
        <v>2026</v>
      </c>
      <c r="AL3" s="378">
        <f t="shared" si="0"/>
        <v>2027</v>
      </c>
      <c r="AM3" s="378">
        <f t="shared" si="0"/>
        <v>2028</v>
      </c>
      <c r="AN3" s="378">
        <f t="shared" si="0"/>
        <v>2029</v>
      </c>
      <c r="AO3" s="378">
        <f t="shared" si="0"/>
        <v>2030</v>
      </c>
    </row>
    <row r="4" spans="1:43" x14ac:dyDescent="0.2">
      <c r="C4" s="379"/>
      <c r="D4" s="379"/>
      <c r="E4" s="380" t="s">
        <v>238</v>
      </c>
      <c r="F4" s="379"/>
      <c r="G4" s="380" t="s">
        <v>239</v>
      </c>
      <c r="H4" s="379"/>
      <c r="I4" s="381" t="s">
        <v>240</v>
      </c>
      <c r="J4" s="379"/>
      <c r="K4" s="380" t="s">
        <v>241</v>
      </c>
    </row>
    <row r="5" spans="1:43" x14ac:dyDescent="0.2">
      <c r="C5" s="379"/>
      <c r="D5" s="379"/>
      <c r="E5" s="380" t="s">
        <v>242</v>
      </c>
      <c r="F5" s="379"/>
      <c r="G5" s="380" t="s">
        <v>243</v>
      </c>
      <c r="H5" s="379"/>
      <c r="I5" s="381" t="s">
        <v>244</v>
      </c>
      <c r="J5" s="379"/>
      <c r="K5" s="382" t="s">
        <v>304</v>
      </c>
    </row>
    <row r="6" spans="1:43" x14ac:dyDescent="0.2">
      <c r="C6" s="379"/>
      <c r="D6" s="379"/>
      <c r="E6" s="379"/>
      <c r="F6" s="379"/>
      <c r="G6" s="379"/>
      <c r="H6" s="379"/>
      <c r="I6" s="379"/>
      <c r="J6" s="379"/>
      <c r="K6" s="379"/>
    </row>
    <row r="7" spans="1:43" x14ac:dyDescent="0.2">
      <c r="C7" s="383" t="s">
        <v>245</v>
      </c>
      <c r="D7" s="379"/>
      <c r="E7" s="384">
        <v>267332298.70000002</v>
      </c>
      <c r="F7" s="379"/>
      <c r="G7" s="384">
        <v>202790196.47000003</v>
      </c>
      <c r="H7" s="379"/>
      <c r="I7" s="379">
        <v>64542102.229999989</v>
      </c>
      <c r="J7" s="378">
        <f>E7/K7</f>
        <v>30.919679350102779</v>
      </c>
      <c r="K7" s="384">
        <v>8646024.2899999991</v>
      </c>
      <c r="L7" s="378">
        <f t="shared" ref="L7:Q8" si="1">+K7</f>
        <v>8646024.2899999991</v>
      </c>
      <c r="M7" s="378">
        <f t="shared" si="1"/>
        <v>8646024.2899999991</v>
      </c>
      <c r="N7" s="378">
        <f t="shared" si="1"/>
        <v>8646024.2899999991</v>
      </c>
      <c r="O7" s="378">
        <f t="shared" si="1"/>
        <v>8646024.2899999991</v>
      </c>
      <c r="P7" s="378">
        <f t="shared" si="1"/>
        <v>8646024.2899999991</v>
      </c>
      <c r="Q7" s="378">
        <f t="shared" si="1"/>
        <v>8646024.2899999991</v>
      </c>
      <c r="R7" s="378">
        <f>$I7-SUM($K7:Q7)</f>
        <v>4019932.1999999955</v>
      </c>
      <c r="AQ7" s="378">
        <f>I7-SUM(K7:AP7)</f>
        <v>0</v>
      </c>
    </row>
    <row r="8" spans="1:43" x14ac:dyDescent="0.2">
      <c r="C8" s="383" t="s">
        <v>246</v>
      </c>
      <c r="D8" s="379"/>
      <c r="E8" s="385">
        <v>41629218.700000003</v>
      </c>
      <c r="F8" s="379"/>
      <c r="G8" s="384">
        <v>27429665.800000001</v>
      </c>
      <c r="H8" s="379"/>
      <c r="I8" s="379">
        <v>14199552.900000002</v>
      </c>
      <c r="J8" s="378">
        <f>E8/K8</f>
        <v>31.914325149001609</v>
      </c>
      <c r="K8" s="384">
        <v>1304405.42</v>
      </c>
      <c r="L8" s="378">
        <f t="shared" si="1"/>
        <v>1304405.42</v>
      </c>
      <c r="M8" s="378">
        <f t="shared" si="1"/>
        <v>1304405.42</v>
      </c>
      <c r="N8" s="378">
        <f t="shared" si="1"/>
        <v>1304405.42</v>
      </c>
      <c r="O8" s="378">
        <f t="shared" si="1"/>
        <v>1304405.42</v>
      </c>
      <c r="P8" s="378">
        <f t="shared" si="1"/>
        <v>1304405.42</v>
      </c>
      <c r="Q8" s="378">
        <f t="shared" si="1"/>
        <v>1304405.42</v>
      </c>
      <c r="R8" s="378">
        <f>+Q8</f>
        <v>1304405.42</v>
      </c>
      <c r="S8" s="378">
        <f>+R8</f>
        <v>1304405.42</v>
      </c>
      <c r="T8" s="378">
        <f>+S8</f>
        <v>1304405.42</v>
      </c>
      <c r="U8" s="378">
        <f>$I8-SUM($K8:T8)</f>
        <v>1155498.700000003</v>
      </c>
      <c r="AQ8" s="378">
        <f>I8-SUM(K8:AP8)</f>
        <v>0</v>
      </c>
    </row>
    <row r="9" spans="1:43" x14ac:dyDescent="0.2">
      <c r="C9" s="383" t="s">
        <v>247</v>
      </c>
      <c r="D9" s="379"/>
      <c r="E9" s="384">
        <v>29527809.940000001</v>
      </c>
      <c r="F9" s="379"/>
      <c r="G9" s="384">
        <v>23367346.379999999</v>
      </c>
      <c r="H9" s="379"/>
      <c r="I9" s="379">
        <v>6160463.5600000024</v>
      </c>
      <c r="J9" s="378">
        <f>E9/K9</f>
        <v>22.72737414073686</v>
      </c>
      <c r="K9" s="384">
        <v>1299217.8400000001</v>
      </c>
      <c r="L9" s="378">
        <f t="shared" ref="L9:N10" si="2">+K9</f>
        <v>1299217.8400000001</v>
      </c>
      <c r="M9" s="378">
        <f t="shared" si="2"/>
        <v>1299217.8400000001</v>
      </c>
      <c r="N9" s="378">
        <f t="shared" si="2"/>
        <v>1299217.8400000001</v>
      </c>
      <c r="O9" s="378">
        <f>$I9-SUM($K9:N9)</f>
        <v>963592.20000000205</v>
      </c>
      <c r="P9" s="378">
        <f>$I9-SUM($K9:O9)</f>
        <v>0</v>
      </c>
      <c r="Q9" s="378">
        <f>$I9-SUM($K9:P9)</f>
        <v>0</v>
      </c>
      <c r="R9" s="378">
        <f>$I9-SUM($K9:Q9)</f>
        <v>0</v>
      </c>
      <c r="S9" s="378">
        <f>$I9-SUM($K9:R9)</f>
        <v>0</v>
      </c>
      <c r="T9" s="378">
        <f>$I9-SUM($K9:S9)</f>
        <v>0</v>
      </c>
      <c r="AQ9" s="378">
        <f>I9-SUM(K9:AP9)</f>
        <v>0</v>
      </c>
    </row>
    <row r="10" spans="1:43" x14ac:dyDescent="0.2">
      <c r="C10" s="383" t="s">
        <v>248</v>
      </c>
      <c r="D10" s="379"/>
      <c r="E10" s="384">
        <v>728364.83</v>
      </c>
      <c r="F10" s="379"/>
      <c r="G10" s="384">
        <v>277374.78999999998</v>
      </c>
      <c r="H10" s="379"/>
      <c r="I10" s="379">
        <v>450990.04</v>
      </c>
      <c r="J10" s="378">
        <f>E10/K10</f>
        <v>27.019506250695549</v>
      </c>
      <c r="K10" s="384">
        <v>26957</v>
      </c>
      <c r="L10" s="378">
        <f t="shared" si="2"/>
        <v>26957</v>
      </c>
      <c r="M10" s="378">
        <f t="shared" si="2"/>
        <v>26957</v>
      </c>
      <c r="N10" s="378">
        <f t="shared" si="2"/>
        <v>26957</v>
      </c>
      <c r="O10" s="378">
        <f t="shared" ref="O10:Z10" si="3">+N10</f>
        <v>26957</v>
      </c>
      <c r="P10" s="378">
        <f t="shared" si="3"/>
        <v>26957</v>
      </c>
      <c r="Q10" s="378">
        <f t="shared" si="3"/>
        <v>26957</v>
      </c>
      <c r="R10" s="378">
        <f t="shared" si="3"/>
        <v>26957</v>
      </c>
      <c r="S10" s="378">
        <f t="shared" si="3"/>
        <v>26957</v>
      </c>
      <c r="T10" s="378">
        <f t="shared" si="3"/>
        <v>26957</v>
      </c>
      <c r="U10" s="378">
        <f t="shared" si="3"/>
        <v>26957</v>
      </c>
      <c r="V10" s="378">
        <f t="shared" si="3"/>
        <v>26957</v>
      </c>
      <c r="W10" s="378">
        <f t="shared" si="3"/>
        <v>26957</v>
      </c>
      <c r="X10" s="378">
        <f t="shared" si="3"/>
        <v>26957</v>
      </c>
      <c r="Y10" s="378">
        <f t="shared" si="3"/>
        <v>26957</v>
      </c>
      <c r="Z10" s="378">
        <f t="shared" si="3"/>
        <v>26957</v>
      </c>
      <c r="AA10" s="378">
        <f>$I10-SUM($K10:Z10)</f>
        <v>19678.039999999979</v>
      </c>
      <c r="AQ10" s="378">
        <f>I10-SUM(K10:AP10)</f>
        <v>0</v>
      </c>
    </row>
    <row r="11" spans="1:43" x14ac:dyDescent="0.2">
      <c r="C11" s="386" t="s">
        <v>249</v>
      </c>
      <c r="D11" s="379"/>
      <c r="E11" s="384">
        <v>499048.03</v>
      </c>
      <c r="F11" s="379"/>
      <c r="G11" s="384">
        <v>221238.45</v>
      </c>
      <c r="H11" s="379"/>
      <c r="I11" s="379">
        <v>277809.58</v>
      </c>
      <c r="J11" s="378">
        <f>E11/K11</f>
        <v>4.9999802624987479</v>
      </c>
      <c r="K11" s="384">
        <v>99810</v>
      </c>
      <c r="L11" s="378">
        <f>+K11</f>
        <v>99810</v>
      </c>
      <c r="M11" s="378">
        <f>$I11-SUM($K11:L11)</f>
        <v>78189.580000000016</v>
      </c>
      <c r="N11" s="378">
        <f>$I11-SUM($K11:M11)</f>
        <v>0</v>
      </c>
      <c r="O11" s="378">
        <f>$I11-SUM($K11:N11)</f>
        <v>0</v>
      </c>
      <c r="P11" s="378">
        <f>$I11-SUM($K11:O11)</f>
        <v>0</v>
      </c>
      <c r="Q11" s="378">
        <f>$I11-SUM($K11:P11)</f>
        <v>0</v>
      </c>
      <c r="R11" s="378">
        <f>$I11-SUM($K11:Q11)</f>
        <v>0</v>
      </c>
      <c r="S11" s="378">
        <f>$I11-SUM($K11:R11)</f>
        <v>0</v>
      </c>
      <c r="T11" s="378">
        <f>$I11-SUM($K11:S11)</f>
        <v>0</v>
      </c>
      <c r="U11" s="378">
        <f>$I11-SUM($K11:T11)</f>
        <v>0</v>
      </c>
      <c r="V11" s="378">
        <f>$I11-SUM($K11:U11)</f>
        <v>0</v>
      </c>
      <c r="W11" s="378">
        <f>$I11-SUM($K11:V11)</f>
        <v>0</v>
      </c>
      <c r="X11" s="378">
        <f>$I11-SUM($K11:W11)</f>
        <v>0</v>
      </c>
      <c r="Y11" s="378">
        <f>$I11-SUM($K11:X11)</f>
        <v>0</v>
      </c>
      <c r="Z11" s="378">
        <f>$I11-SUM($K11:Y11)</f>
        <v>0</v>
      </c>
      <c r="AQ11" s="378">
        <f>I11-SUM(K11:AP11)</f>
        <v>0</v>
      </c>
    </row>
    <row r="12" spans="1:43" x14ac:dyDescent="0.2">
      <c r="C12" s="386"/>
      <c r="D12" s="379"/>
      <c r="E12" s="384"/>
      <c r="F12" s="379"/>
      <c r="G12" s="384"/>
      <c r="H12" s="379"/>
      <c r="I12" s="379"/>
      <c r="J12" s="379"/>
      <c r="K12" s="384"/>
    </row>
    <row r="13" spans="1:43" ht="13.5" thickBot="1" x14ac:dyDescent="0.25">
      <c r="C13" s="383" t="s">
        <v>250</v>
      </c>
      <c r="D13" s="379"/>
      <c r="E13" s="387">
        <f>SUM(E7:E12)</f>
        <v>339716740.19999999</v>
      </c>
      <c r="F13" s="379"/>
      <c r="G13" s="387">
        <f>SUM(G7:G12)</f>
        <v>254085821.89000002</v>
      </c>
      <c r="H13" s="379"/>
      <c r="I13" s="387">
        <f>SUM(I7:I12)</f>
        <v>85630918.310000002</v>
      </c>
      <c r="J13" s="379"/>
      <c r="K13" s="387">
        <f t="shared" ref="K13:AO13" si="4">SUM(K7:K12)</f>
        <v>11376414.549999999</v>
      </c>
      <c r="L13" s="387">
        <f t="shared" si="4"/>
        <v>11376414.549999999</v>
      </c>
      <c r="M13" s="387">
        <f t="shared" si="4"/>
        <v>11354794.129999999</v>
      </c>
      <c r="N13" s="387">
        <f t="shared" si="4"/>
        <v>11276604.549999999</v>
      </c>
      <c r="O13" s="387">
        <f t="shared" si="4"/>
        <v>10940978.91</v>
      </c>
      <c r="P13" s="387">
        <f t="shared" si="4"/>
        <v>9977386.709999999</v>
      </c>
      <c r="Q13" s="387">
        <f t="shared" si="4"/>
        <v>9977386.709999999</v>
      </c>
      <c r="R13" s="387">
        <f t="shared" si="4"/>
        <v>5351294.6199999955</v>
      </c>
      <c r="S13" s="387">
        <f t="shared" si="4"/>
        <v>1331362.42</v>
      </c>
      <c r="T13" s="387">
        <f t="shared" si="4"/>
        <v>1331362.42</v>
      </c>
      <c r="U13" s="387">
        <f t="shared" si="4"/>
        <v>1182455.700000003</v>
      </c>
      <c r="V13" s="387">
        <f t="shared" si="4"/>
        <v>26957</v>
      </c>
      <c r="W13" s="387">
        <f t="shared" si="4"/>
        <v>26957</v>
      </c>
      <c r="X13" s="387">
        <f t="shared" si="4"/>
        <v>26957</v>
      </c>
      <c r="Y13" s="387">
        <f t="shared" si="4"/>
        <v>26957</v>
      </c>
      <c r="Z13" s="387">
        <f t="shared" si="4"/>
        <v>26957</v>
      </c>
      <c r="AA13" s="387">
        <f t="shared" si="4"/>
        <v>19678.039999999979</v>
      </c>
      <c r="AB13" s="387">
        <f t="shared" si="4"/>
        <v>0</v>
      </c>
      <c r="AC13" s="387">
        <f t="shared" si="4"/>
        <v>0</v>
      </c>
      <c r="AD13" s="387">
        <f t="shared" si="4"/>
        <v>0</v>
      </c>
      <c r="AE13" s="387">
        <f t="shared" si="4"/>
        <v>0</v>
      </c>
      <c r="AF13" s="387">
        <f t="shared" si="4"/>
        <v>0</v>
      </c>
      <c r="AG13" s="387">
        <f t="shared" si="4"/>
        <v>0</v>
      </c>
      <c r="AH13" s="387">
        <f t="shared" si="4"/>
        <v>0</v>
      </c>
      <c r="AI13" s="387">
        <f t="shared" si="4"/>
        <v>0</v>
      </c>
      <c r="AJ13" s="387">
        <f t="shared" si="4"/>
        <v>0</v>
      </c>
      <c r="AK13" s="387">
        <f t="shared" si="4"/>
        <v>0</v>
      </c>
      <c r="AL13" s="387">
        <f t="shared" si="4"/>
        <v>0</v>
      </c>
      <c r="AM13" s="387">
        <f t="shared" si="4"/>
        <v>0</v>
      </c>
      <c r="AN13" s="387">
        <f t="shared" si="4"/>
        <v>0</v>
      </c>
      <c r="AO13" s="387">
        <f t="shared" si="4"/>
        <v>0</v>
      </c>
      <c r="AQ13" s="387">
        <f>SUM(AQ7:AQ12)</f>
        <v>0</v>
      </c>
    </row>
    <row r="14" spans="1:43" ht="13.5" thickTop="1" x14ac:dyDescent="0.2">
      <c r="C14" s="383"/>
      <c r="D14" s="379"/>
      <c r="E14" s="388"/>
      <c r="F14" s="379"/>
      <c r="G14" s="388"/>
      <c r="H14" s="379"/>
      <c r="I14" s="388"/>
      <c r="J14" s="379"/>
      <c r="K14" s="388"/>
      <c r="L14" s="388"/>
      <c r="M14" s="388"/>
      <c r="N14" s="388"/>
      <c r="O14" s="388"/>
      <c r="P14" s="388"/>
      <c r="Q14" s="388"/>
      <c r="R14" s="388"/>
      <c r="S14" s="388"/>
      <c r="T14" s="388"/>
      <c r="U14" s="388"/>
      <c r="V14" s="388"/>
      <c r="W14" s="388"/>
      <c r="X14" s="388"/>
      <c r="Y14" s="388"/>
      <c r="Z14" s="388"/>
      <c r="AA14" s="388"/>
      <c r="AB14" s="388"/>
      <c r="AC14" s="38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Q14" s="388"/>
    </row>
    <row r="15" spans="1:43" x14ac:dyDescent="0.2">
      <c r="C15" s="383"/>
      <c r="D15" s="379"/>
      <c r="E15" s="384"/>
      <c r="F15" s="379"/>
      <c r="G15" s="384"/>
      <c r="H15" s="379"/>
      <c r="I15" s="379"/>
      <c r="J15" s="379"/>
      <c r="K15" s="384"/>
    </row>
    <row r="16" spans="1:43" x14ac:dyDescent="0.2">
      <c r="C16" s="383" t="s">
        <v>251</v>
      </c>
      <c r="D16" s="379"/>
      <c r="E16" s="384">
        <v>101656562.08</v>
      </c>
      <c r="F16" s="379"/>
      <c r="G16" s="384">
        <v>80658493.270000011</v>
      </c>
      <c r="H16" s="379"/>
      <c r="I16" s="379">
        <v>20998068.809999987</v>
      </c>
      <c r="J16" s="378">
        <f t="shared" ref="J16:J23" si="5">E16/K16</f>
        <v>35.97080280771695</v>
      </c>
      <c r="K16" s="384">
        <v>2826085.44</v>
      </c>
      <c r="L16" s="378">
        <f t="shared" ref="L16:Q22" si="6">+K16</f>
        <v>2826085.44</v>
      </c>
      <c r="M16" s="378">
        <f t="shared" si="6"/>
        <v>2826085.44</v>
      </c>
      <c r="N16" s="378">
        <f t="shared" si="6"/>
        <v>2826085.44</v>
      </c>
      <c r="O16" s="378">
        <f t="shared" si="6"/>
        <v>2826085.44</v>
      </c>
      <c r="P16" s="378">
        <f t="shared" si="6"/>
        <v>2826085.44</v>
      </c>
      <c r="Q16" s="378">
        <f t="shared" si="6"/>
        <v>2826085.44</v>
      </c>
      <c r="R16" s="378">
        <f>$I16-SUM($K16:Q16)</f>
        <v>1215470.7299999855</v>
      </c>
      <c r="S16" s="378">
        <f>$I16-SUM($K16:R16)</f>
        <v>0</v>
      </c>
      <c r="T16" s="378">
        <f>$I16-SUM($K16:S16)</f>
        <v>0</v>
      </c>
      <c r="U16" s="378">
        <f>$I16-SUM($K16:T16)</f>
        <v>0</v>
      </c>
      <c r="V16" s="378">
        <f>$I16-SUM($K16:U16)</f>
        <v>0</v>
      </c>
      <c r="W16" s="378">
        <f>$I16-SUM($K16:V16)</f>
        <v>0</v>
      </c>
      <c r="X16" s="378">
        <f>$I16-SUM($K16:W16)</f>
        <v>0</v>
      </c>
      <c r="Y16" s="378">
        <f>$I16-SUM($K16:X16)</f>
        <v>0</v>
      </c>
      <c r="Z16" s="378">
        <f>$I16-SUM($K16:Y16)</f>
        <v>0</v>
      </c>
      <c r="AQ16" s="378">
        <f t="shared" ref="AQ16:AQ23" si="7">I16-SUM(K16:AP16)</f>
        <v>0</v>
      </c>
    </row>
    <row r="17" spans="3:43" x14ac:dyDescent="0.2">
      <c r="C17" s="383" t="s">
        <v>252</v>
      </c>
      <c r="D17" s="379"/>
      <c r="E17" s="379">
        <v>104767572.52</v>
      </c>
      <c r="F17" s="379"/>
      <c r="G17" s="379">
        <v>58797583.689999998</v>
      </c>
      <c r="H17" s="379"/>
      <c r="I17" s="379">
        <v>45969988.829999998</v>
      </c>
      <c r="J17" s="378">
        <f t="shared" si="5"/>
        <v>34.320386266831136</v>
      </c>
      <c r="K17" s="379">
        <v>3052633.84</v>
      </c>
      <c r="L17" s="378">
        <f t="shared" si="6"/>
        <v>3052633.84</v>
      </c>
      <c r="M17" s="378">
        <f t="shared" si="6"/>
        <v>3052633.84</v>
      </c>
      <c r="N17" s="378">
        <f t="shared" si="6"/>
        <v>3052633.84</v>
      </c>
      <c r="O17" s="378">
        <f t="shared" si="6"/>
        <v>3052633.84</v>
      </c>
      <c r="P17" s="378">
        <f t="shared" si="6"/>
        <v>3052633.84</v>
      </c>
      <c r="Q17" s="378">
        <f t="shared" si="6"/>
        <v>3052633.84</v>
      </c>
      <c r="R17" s="378">
        <f t="shared" ref="R17:Y17" si="8">+Q17</f>
        <v>3052633.84</v>
      </c>
      <c r="S17" s="378">
        <f t="shared" si="8"/>
        <v>3052633.84</v>
      </c>
      <c r="T17" s="378">
        <f t="shared" si="8"/>
        <v>3052633.84</v>
      </c>
      <c r="U17" s="378">
        <f t="shared" si="8"/>
        <v>3052633.84</v>
      </c>
      <c r="V17" s="378">
        <f t="shared" si="8"/>
        <v>3052633.84</v>
      </c>
      <c r="W17" s="378">
        <f t="shared" si="8"/>
        <v>3052633.84</v>
      </c>
      <c r="X17" s="378">
        <f t="shared" si="8"/>
        <v>3052633.84</v>
      </c>
      <c r="Y17" s="378">
        <f t="shared" si="8"/>
        <v>3052633.84</v>
      </c>
      <c r="Z17" s="378">
        <f>$I17-SUM($K17:Y17)</f>
        <v>180481.22999998927</v>
      </c>
      <c r="AQ17" s="378">
        <f t="shared" si="7"/>
        <v>0</v>
      </c>
    </row>
    <row r="18" spans="3:43" x14ac:dyDescent="0.2">
      <c r="C18" s="383" t="s">
        <v>253</v>
      </c>
      <c r="D18" s="379"/>
      <c r="E18" s="384">
        <v>110887720.01000001</v>
      </c>
      <c r="F18" s="379"/>
      <c r="G18" s="384">
        <v>66476325.450000003</v>
      </c>
      <c r="H18" s="379"/>
      <c r="I18" s="379">
        <v>44411394.560000002</v>
      </c>
      <c r="J18" s="378">
        <f t="shared" si="5"/>
        <v>33.898924373481712</v>
      </c>
      <c r="K18" s="384">
        <v>3271127.98</v>
      </c>
      <c r="L18" s="378">
        <f t="shared" si="6"/>
        <v>3271127.98</v>
      </c>
      <c r="M18" s="378">
        <f t="shared" si="6"/>
        <v>3271127.98</v>
      </c>
      <c r="N18" s="378">
        <f t="shared" si="6"/>
        <v>3271127.98</v>
      </c>
      <c r="O18" s="378">
        <f t="shared" si="6"/>
        <v>3271127.98</v>
      </c>
      <c r="P18" s="378">
        <f t="shared" si="6"/>
        <v>3271127.98</v>
      </c>
      <c r="Q18" s="378">
        <f t="shared" si="6"/>
        <v>3271127.98</v>
      </c>
      <c r="R18" s="378">
        <f t="shared" ref="R18:W18" si="9">+Q18</f>
        <v>3271127.98</v>
      </c>
      <c r="S18" s="378">
        <f t="shared" si="9"/>
        <v>3271127.98</v>
      </c>
      <c r="T18" s="378">
        <f t="shared" si="9"/>
        <v>3271127.98</v>
      </c>
      <c r="U18" s="378">
        <f t="shared" si="9"/>
        <v>3271127.98</v>
      </c>
      <c r="V18" s="378">
        <f t="shared" si="9"/>
        <v>3271127.98</v>
      </c>
      <c r="W18" s="378">
        <f t="shared" si="9"/>
        <v>3271127.98</v>
      </c>
      <c r="X18" s="378">
        <f>$I18-SUM($K18:W18)</f>
        <v>1886730.8200000077</v>
      </c>
      <c r="Y18" s="378">
        <f>$I18-SUM($K18:X18)</f>
        <v>0</v>
      </c>
      <c r="Z18" s="378">
        <f>$I18-SUM($K18:Y18)</f>
        <v>0</v>
      </c>
      <c r="AQ18" s="378">
        <f t="shared" si="7"/>
        <v>0</v>
      </c>
    </row>
    <row r="19" spans="3:43" x14ac:dyDescent="0.2">
      <c r="C19" s="383" t="s">
        <v>254</v>
      </c>
      <c r="D19" s="379"/>
      <c r="E19" s="384">
        <v>13838129.02</v>
      </c>
      <c r="F19" s="379"/>
      <c r="G19" s="384">
        <v>8132427.6399999997</v>
      </c>
      <c r="H19" s="379"/>
      <c r="I19" s="379">
        <v>5705701.3799999999</v>
      </c>
      <c r="J19" s="378">
        <f t="shared" si="5"/>
        <v>22.021566388738353</v>
      </c>
      <c r="K19" s="384">
        <v>628389.86</v>
      </c>
      <c r="L19" s="378">
        <f t="shared" si="6"/>
        <v>628389.86</v>
      </c>
      <c r="M19" s="378">
        <f t="shared" si="6"/>
        <v>628389.86</v>
      </c>
      <c r="N19" s="378">
        <f t="shared" si="6"/>
        <v>628389.86</v>
      </c>
      <c r="O19" s="378">
        <f t="shared" si="6"/>
        <v>628389.86</v>
      </c>
      <c r="P19" s="378">
        <f t="shared" si="6"/>
        <v>628389.86</v>
      </c>
      <c r="Q19" s="378">
        <f t="shared" si="6"/>
        <v>628389.86</v>
      </c>
      <c r="R19" s="378">
        <f t="shared" ref="R19:S22" si="10">+Q19</f>
        <v>628389.86</v>
      </c>
      <c r="S19" s="378">
        <f t="shared" si="10"/>
        <v>628389.86</v>
      </c>
      <c r="T19" s="378">
        <f>$I19-SUM($K19:S19)</f>
        <v>50192.639999999665</v>
      </c>
      <c r="U19" s="378">
        <f>$I19-SUM($K19:T19)</f>
        <v>0</v>
      </c>
      <c r="V19" s="378">
        <f>$I19-SUM($K19:U19)</f>
        <v>0</v>
      </c>
      <c r="W19" s="378">
        <f>$I19-SUM($K19:V19)</f>
        <v>0</v>
      </c>
      <c r="X19" s="378">
        <f>$I19-SUM($K19:W19)</f>
        <v>0</v>
      </c>
      <c r="Y19" s="378">
        <f>$I19-SUM($K19:X19)</f>
        <v>0</v>
      </c>
      <c r="Z19" s="378">
        <f>$I19-SUM($K19:Y19)</f>
        <v>0</v>
      </c>
      <c r="AQ19" s="378">
        <f t="shared" si="7"/>
        <v>0</v>
      </c>
    </row>
    <row r="20" spans="3:43" x14ac:dyDescent="0.2">
      <c r="C20" s="383" t="s">
        <v>255</v>
      </c>
      <c r="D20" s="379"/>
      <c r="E20" s="384">
        <v>347266.14</v>
      </c>
      <c r="F20" s="379"/>
      <c r="G20" s="384">
        <v>129667.61</v>
      </c>
      <c r="H20" s="379"/>
      <c r="I20" s="379">
        <v>217598.53</v>
      </c>
      <c r="J20" s="378">
        <f t="shared" si="5"/>
        <v>27.070949485500467</v>
      </c>
      <c r="K20" s="384">
        <v>12828</v>
      </c>
      <c r="L20" s="378">
        <f t="shared" si="6"/>
        <v>12828</v>
      </c>
      <c r="M20" s="378">
        <f t="shared" si="6"/>
        <v>12828</v>
      </c>
      <c r="N20" s="378">
        <f t="shared" si="6"/>
        <v>12828</v>
      </c>
      <c r="O20" s="378">
        <f t="shared" si="6"/>
        <v>12828</v>
      </c>
      <c r="P20" s="378">
        <f t="shared" si="6"/>
        <v>12828</v>
      </c>
      <c r="Q20" s="378">
        <f t="shared" si="6"/>
        <v>12828</v>
      </c>
      <c r="R20" s="378">
        <f t="shared" si="10"/>
        <v>12828</v>
      </c>
      <c r="S20" s="378">
        <f t="shared" si="10"/>
        <v>12828</v>
      </c>
      <c r="T20" s="378">
        <f t="shared" ref="T20:Z20" si="11">+S20</f>
        <v>12828</v>
      </c>
      <c r="U20" s="378">
        <f t="shared" si="11"/>
        <v>12828</v>
      </c>
      <c r="V20" s="378">
        <f t="shared" si="11"/>
        <v>12828</v>
      </c>
      <c r="W20" s="378">
        <f t="shared" si="11"/>
        <v>12828</v>
      </c>
      <c r="X20" s="378">
        <f t="shared" si="11"/>
        <v>12828</v>
      </c>
      <c r="Y20" s="378">
        <f t="shared" si="11"/>
        <v>12828</v>
      </c>
      <c r="Z20" s="378">
        <f t="shared" si="11"/>
        <v>12828</v>
      </c>
      <c r="AA20" s="378">
        <f>$I20-SUM($K20:Z20)</f>
        <v>12350.529999999999</v>
      </c>
      <c r="AQ20" s="378">
        <f t="shared" si="7"/>
        <v>0</v>
      </c>
    </row>
    <row r="21" spans="3:43" x14ac:dyDescent="0.2">
      <c r="C21" s="383" t="s">
        <v>256</v>
      </c>
      <c r="D21" s="379"/>
      <c r="E21" s="384">
        <v>120233.58</v>
      </c>
      <c r="F21" s="379"/>
      <c r="G21" s="384">
        <v>64410.33</v>
      </c>
      <c r="H21" s="379"/>
      <c r="I21" s="379">
        <v>55823.25</v>
      </c>
      <c r="J21" s="378">
        <f t="shared" si="5"/>
        <v>30.980051533110025</v>
      </c>
      <c r="K21" s="384">
        <v>3881</v>
      </c>
      <c r="L21" s="378">
        <f t="shared" si="6"/>
        <v>3881</v>
      </c>
      <c r="M21" s="378">
        <f t="shared" si="6"/>
        <v>3881</v>
      </c>
      <c r="N21" s="378">
        <f t="shared" si="6"/>
        <v>3881</v>
      </c>
      <c r="O21" s="378">
        <f t="shared" si="6"/>
        <v>3881</v>
      </c>
      <c r="P21" s="378">
        <f t="shared" si="6"/>
        <v>3881</v>
      </c>
      <c r="Q21" s="378">
        <f t="shared" si="6"/>
        <v>3881</v>
      </c>
      <c r="R21" s="378">
        <f t="shared" si="10"/>
        <v>3881</v>
      </c>
      <c r="S21" s="378">
        <f t="shared" si="10"/>
        <v>3881</v>
      </c>
      <c r="T21" s="378">
        <f t="shared" ref="T21:X22" si="12">+S21</f>
        <v>3881</v>
      </c>
      <c r="U21" s="378">
        <f t="shared" si="12"/>
        <v>3881</v>
      </c>
      <c r="V21" s="378">
        <f t="shared" si="12"/>
        <v>3881</v>
      </c>
      <c r="W21" s="378">
        <f t="shared" si="12"/>
        <v>3881</v>
      </c>
      <c r="X21" s="378">
        <f t="shared" si="12"/>
        <v>3881</v>
      </c>
      <c r="Y21" s="378">
        <f>$I21-SUM($K21:X21)</f>
        <v>1489.25</v>
      </c>
      <c r="Z21" s="378">
        <f>$I21-SUM($K21:Y21)</f>
        <v>0</v>
      </c>
      <c r="AQ21" s="378">
        <f t="shared" si="7"/>
        <v>0</v>
      </c>
    </row>
    <row r="22" spans="3:43" x14ac:dyDescent="0.2">
      <c r="C22" s="383" t="s">
        <v>257</v>
      </c>
      <c r="D22" s="379"/>
      <c r="E22" s="384">
        <v>120233.58</v>
      </c>
      <c r="F22" s="379"/>
      <c r="G22" s="384">
        <v>64410.33</v>
      </c>
      <c r="H22" s="379"/>
      <c r="I22" s="379">
        <v>55823.25</v>
      </c>
      <c r="J22" s="378">
        <f t="shared" si="5"/>
        <v>30.980051533110025</v>
      </c>
      <c r="K22" s="384">
        <v>3881</v>
      </c>
      <c r="L22" s="378">
        <f t="shared" si="6"/>
        <v>3881</v>
      </c>
      <c r="M22" s="378">
        <f t="shared" si="6"/>
        <v>3881</v>
      </c>
      <c r="N22" s="378">
        <f t="shared" si="6"/>
        <v>3881</v>
      </c>
      <c r="O22" s="378">
        <f t="shared" si="6"/>
        <v>3881</v>
      </c>
      <c r="P22" s="378">
        <f t="shared" si="6"/>
        <v>3881</v>
      </c>
      <c r="Q22" s="378">
        <f t="shared" si="6"/>
        <v>3881</v>
      </c>
      <c r="R22" s="378">
        <f t="shared" si="10"/>
        <v>3881</v>
      </c>
      <c r="S22" s="378">
        <f t="shared" si="10"/>
        <v>3881</v>
      </c>
      <c r="T22" s="378">
        <f t="shared" si="12"/>
        <v>3881</v>
      </c>
      <c r="U22" s="378">
        <f t="shared" si="12"/>
        <v>3881</v>
      </c>
      <c r="V22" s="378">
        <f t="shared" si="12"/>
        <v>3881</v>
      </c>
      <c r="W22" s="378">
        <f t="shared" si="12"/>
        <v>3881</v>
      </c>
      <c r="X22" s="378">
        <f t="shared" si="12"/>
        <v>3881</v>
      </c>
      <c r="Y22" s="378">
        <f>$I22-SUM($K22:X22)</f>
        <v>1489.25</v>
      </c>
      <c r="Z22" s="378">
        <f>$I22-SUM($K22:Y22)</f>
        <v>0</v>
      </c>
      <c r="AQ22" s="378">
        <f t="shared" si="7"/>
        <v>0</v>
      </c>
    </row>
    <row r="23" spans="3:43" x14ac:dyDescent="0.2">
      <c r="C23" s="386" t="s">
        <v>258</v>
      </c>
      <c r="D23" s="379"/>
      <c r="E23" s="384">
        <v>499048.03</v>
      </c>
      <c r="F23" s="379"/>
      <c r="G23" s="385">
        <v>221238.45</v>
      </c>
      <c r="H23" s="379"/>
      <c r="I23" s="379">
        <v>277809.58</v>
      </c>
      <c r="J23" s="378">
        <f t="shared" si="5"/>
        <v>4.9999802624987479</v>
      </c>
      <c r="K23" s="384">
        <v>99810</v>
      </c>
      <c r="L23" s="378">
        <f>+K23</f>
        <v>99810</v>
      </c>
      <c r="M23" s="378">
        <f>$I23-SUM($K23:L23)</f>
        <v>78189.580000000016</v>
      </c>
      <c r="N23" s="378">
        <f>$I23-SUM($K23:M23)</f>
        <v>0</v>
      </c>
      <c r="O23" s="378">
        <f>$I23-SUM($K23:N23)</f>
        <v>0</v>
      </c>
      <c r="P23" s="378">
        <f>$I23-SUM($K23:O23)</f>
        <v>0</v>
      </c>
      <c r="Q23" s="378">
        <f>$I23-SUM($K23:P23)</f>
        <v>0</v>
      </c>
      <c r="R23" s="378">
        <f>$I23-SUM($K23:Q23)</f>
        <v>0</v>
      </c>
      <c r="S23" s="378">
        <f>$I23-SUM($K23:R23)</f>
        <v>0</v>
      </c>
      <c r="T23" s="378">
        <f>$I23-SUM($K23:S23)</f>
        <v>0</v>
      </c>
      <c r="U23" s="378">
        <f>$I23-SUM($K23:T23)</f>
        <v>0</v>
      </c>
      <c r="V23" s="378">
        <f>$I23-SUM($K23:U23)</f>
        <v>0</v>
      </c>
      <c r="W23" s="378">
        <f>$I23-SUM($K23:V23)</f>
        <v>0</v>
      </c>
      <c r="X23" s="378">
        <f>$I23-SUM($K23:W23)</f>
        <v>0</v>
      </c>
      <c r="Y23" s="378">
        <f>$I23-SUM($K23:X23)</f>
        <v>0</v>
      </c>
      <c r="Z23" s="378">
        <f>$I23-SUM($K23:Y23)</f>
        <v>0</v>
      </c>
      <c r="AQ23" s="378">
        <f t="shared" si="7"/>
        <v>0</v>
      </c>
    </row>
    <row r="24" spans="3:43" x14ac:dyDescent="0.2">
      <c r="C24" s="386"/>
      <c r="D24" s="379"/>
      <c r="E24" s="384"/>
      <c r="F24" s="379"/>
      <c r="G24" s="385"/>
      <c r="H24" s="379"/>
      <c r="I24" s="379"/>
      <c r="J24" s="379"/>
      <c r="K24" s="384"/>
    </row>
    <row r="25" spans="3:43" ht="13.5" thickBot="1" x14ac:dyDescent="0.25">
      <c r="C25" s="383" t="s">
        <v>259</v>
      </c>
      <c r="D25" s="379"/>
      <c r="E25" s="387">
        <f>SUM(E16:E24)</f>
        <v>332236764.95999992</v>
      </c>
      <c r="F25" s="379"/>
      <c r="G25" s="387">
        <f>SUM(G16:G24)</f>
        <v>214544556.77000004</v>
      </c>
      <c r="H25" s="379"/>
      <c r="I25" s="387">
        <f>SUM(I16:I24)</f>
        <v>117692208.18999998</v>
      </c>
      <c r="J25" s="378">
        <f>E25/K25</f>
        <v>33.563889748895043</v>
      </c>
      <c r="K25" s="387">
        <f t="shared" ref="K25:AO25" si="13">SUM(K16:K24)</f>
        <v>9898637.1199999992</v>
      </c>
      <c r="L25" s="387">
        <f t="shared" si="13"/>
        <v>9898637.1199999992</v>
      </c>
      <c r="M25" s="387">
        <f t="shared" si="13"/>
        <v>9877016.6999999993</v>
      </c>
      <c r="N25" s="387">
        <f t="shared" si="13"/>
        <v>9798827.1199999992</v>
      </c>
      <c r="O25" s="387">
        <f t="shared" si="13"/>
        <v>9798827.1199999992</v>
      </c>
      <c r="P25" s="387">
        <f t="shared" si="13"/>
        <v>9798827.1199999992</v>
      </c>
      <c r="Q25" s="387">
        <f t="shared" si="13"/>
        <v>9798827.1199999992</v>
      </c>
      <c r="R25" s="387">
        <f t="shared" si="13"/>
        <v>8188212.4099999862</v>
      </c>
      <c r="S25" s="387">
        <f t="shared" si="13"/>
        <v>6972741.6800000006</v>
      </c>
      <c r="T25" s="387">
        <f t="shared" si="13"/>
        <v>6394544.46</v>
      </c>
      <c r="U25" s="387">
        <f t="shared" si="13"/>
        <v>6344351.8200000003</v>
      </c>
      <c r="V25" s="387">
        <f t="shared" si="13"/>
        <v>6344351.8200000003</v>
      </c>
      <c r="W25" s="387">
        <f t="shared" si="13"/>
        <v>6344351.8200000003</v>
      </c>
      <c r="X25" s="387">
        <f t="shared" si="13"/>
        <v>4959954.6600000076</v>
      </c>
      <c r="Y25" s="387">
        <f t="shared" si="13"/>
        <v>3068440.34</v>
      </c>
      <c r="Z25" s="387">
        <f t="shared" si="13"/>
        <v>193309.22999998927</v>
      </c>
      <c r="AA25" s="387">
        <f t="shared" si="13"/>
        <v>12350.529999999999</v>
      </c>
      <c r="AB25" s="387">
        <f t="shared" si="13"/>
        <v>0</v>
      </c>
      <c r="AC25" s="387">
        <f t="shared" si="13"/>
        <v>0</v>
      </c>
      <c r="AD25" s="387">
        <f t="shared" si="13"/>
        <v>0</v>
      </c>
      <c r="AE25" s="387">
        <f t="shared" si="13"/>
        <v>0</v>
      </c>
      <c r="AF25" s="387">
        <f t="shared" si="13"/>
        <v>0</v>
      </c>
      <c r="AG25" s="387">
        <f t="shared" si="13"/>
        <v>0</v>
      </c>
      <c r="AH25" s="387">
        <f t="shared" si="13"/>
        <v>0</v>
      </c>
      <c r="AI25" s="387">
        <f t="shared" si="13"/>
        <v>0</v>
      </c>
      <c r="AJ25" s="387">
        <f t="shared" si="13"/>
        <v>0</v>
      </c>
      <c r="AK25" s="387">
        <f t="shared" si="13"/>
        <v>0</v>
      </c>
      <c r="AL25" s="387">
        <f t="shared" si="13"/>
        <v>0</v>
      </c>
      <c r="AM25" s="387">
        <f t="shared" si="13"/>
        <v>0</v>
      </c>
      <c r="AN25" s="387">
        <f t="shared" si="13"/>
        <v>0</v>
      </c>
      <c r="AO25" s="387">
        <f t="shared" si="13"/>
        <v>0</v>
      </c>
      <c r="AQ25" s="387">
        <f>SUM(AQ16:AQ24)</f>
        <v>0</v>
      </c>
    </row>
    <row r="26" spans="3:43" ht="13.5" thickTop="1" x14ac:dyDescent="0.2">
      <c r="C26" s="383"/>
      <c r="D26" s="379"/>
      <c r="E26" s="384"/>
      <c r="F26" s="379"/>
      <c r="G26" s="384"/>
      <c r="H26" s="379"/>
      <c r="I26" s="379"/>
      <c r="J26" s="379"/>
      <c r="K26" s="384"/>
    </row>
    <row r="27" spans="3:43" ht="13.5" thickBot="1" x14ac:dyDescent="0.25">
      <c r="C27" s="383" t="s">
        <v>260</v>
      </c>
      <c r="D27" s="379"/>
      <c r="E27" s="389">
        <v>23042394.82</v>
      </c>
      <c r="F27" s="379"/>
      <c r="G27" s="389">
        <v>18425234.450000003</v>
      </c>
      <c r="H27" s="379"/>
      <c r="I27" s="390">
        <v>4617160.37</v>
      </c>
      <c r="J27" s="378">
        <f>E27/K27</f>
        <v>24.627843787457635</v>
      </c>
      <c r="K27" s="389">
        <v>935623.72</v>
      </c>
      <c r="L27" s="391">
        <f>+K27</f>
        <v>935623.72</v>
      </c>
      <c r="M27" s="391">
        <f>+L27</f>
        <v>935623.72</v>
      </c>
      <c r="N27" s="391">
        <f>+M27</f>
        <v>935623.72</v>
      </c>
      <c r="O27" s="391">
        <f>$I27-SUM($K27:N27)</f>
        <v>874665.49000000022</v>
      </c>
      <c r="P27" s="391">
        <f>$I27-SUM($K27:O27)</f>
        <v>0</v>
      </c>
      <c r="Q27" s="391">
        <f>$I27-SUM($K27:P27)</f>
        <v>0</v>
      </c>
      <c r="R27" s="391">
        <f>$I27-SUM($K27:Q27)</f>
        <v>0</v>
      </c>
      <c r="S27" s="391">
        <f>$I27-SUM($K27:R27)</f>
        <v>0</v>
      </c>
      <c r="T27" s="391">
        <f>$I27-SUM($K27:S27)</f>
        <v>0</v>
      </c>
      <c r="U27" s="391">
        <f>$I27-SUM($K27:T27)</f>
        <v>0</v>
      </c>
      <c r="V27" s="391">
        <f>$I27-SUM($K27:U27)</f>
        <v>0</v>
      </c>
      <c r="W27" s="391">
        <f>$I27-SUM($K27:V27)</f>
        <v>0</v>
      </c>
      <c r="X27" s="391">
        <f>$I27-SUM($K27:W27)</f>
        <v>0</v>
      </c>
      <c r="Y27" s="391">
        <f>$I27-SUM($K27:X27)</f>
        <v>0</v>
      </c>
      <c r="Z27" s="391">
        <f>$I27-SUM($K27:Y27)</f>
        <v>0</v>
      </c>
      <c r="AA27" s="391"/>
      <c r="AB27" s="391"/>
      <c r="AC27" s="391"/>
      <c r="AD27" s="391"/>
      <c r="AE27" s="391"/>
      <c r="AF27" s="391"/>
      <c r="AG27" s="391"/>
      <c r="AH27" s="391"/>
      <c r="AI27" s="391"/>
      <c r="AJ27" s="391"/>
      <c r="AK27" s="391"/>
      <c r="AL27" s="391"/>
      <c r="AM27" s="391"/>
      <c r="AN27" s="391"/>
      <c r="AO27" s="391"/>
      <c r="AQ27" s="391">
        <f>I27-SUM(K27:AP27)</f>
        <v>0</v>
      </c>
    </row>
    <row r="28" spans="3:43" ht="13.5" thickTop="1" x14ac:dyDescent="0.2">
      <c r="C28" s="383"/>
      <c r="D28" s="379"/>
      <c r="E28" s="384"/>
      <c r="F28" s="379"/>
      <c r="G28" s="384"/>
      <c r="H28" s="379"/>
      <c r="I28" s="379"/>
      <c r="K28" s="384"/>
    </row>
    <row r="29" spans="3:43" x14ac:dyDescent="0.2">
      <c r="C29" s="383"/>
      <c r="D29" s="379"/>
      <c r="E29" s="384"/>
      <c r="F29" s="379"/>
      <c r="G29" s="384"/>
      <c r="H29" s="379"/>
      <c r="I29" s="379"/>
      <c r="J29" s="379"/>
      <c r="K29" s="384"/>
    </row>
    <row r="30" spans="3:43" ht="13.5" thickBot="1" x14ac:dyDescent="0.25">
      <c r="C30" s="383" t="s">
        <v>261</v>
      </c>
      <c r="D30" s="379"/>
      <c r="E30" s="389">
        <v>276947196.91000003</v>
      </c>
      <c r="F30" s="379"/>
      <c r="G30" s="389">
        <v>136762044.41999999</v>
      </c>
      <c r="H30" s="379"/>
      <c r="I30" s="390">
        <v>140185152.49000004</v>
      </c>
      <c r="J30" s="378">
        <f>E30/K30</f>
        <v>30.792700151357966</v>
      </c>
      <c r="K30" s="389">
        <v>8993923.7400000002</v>
      </c>
      <c r="L30" s="391">
        <f t="shared" ref="L30:Y30" si="14">+K30</f>
        <v>8993923.7400000002</v>
      </c>
      <c r="M30" s="391">
        <f t="shared" si="14"/>
        <v>8993923.7400000002</v>
      </c>
      <c r="N30" s="391">
        <f t="shared" si="14"/>
        <v>8993923.7400000002</v>
      </c>
      <c r="O30" s="391">
        <f t="shared" si="14"/>
        <v>8993923.7400000002</v>
      </c>
      <c r="P30" s="391">
        <f t="shared" si="14"/>
        <v>8993923.7400000002</v>
      </c>
      <c r="Q30" s="391">
        <f t="shared" si="14"/>
        <v>8993923.7400000002</v>
      </c>
      <c r="R30" s="391">
        <f t="shared" si="14"/>
        <v>8993923.7400000002</v>
      </c>
      <c r="S30" s="391">
        <f t="shared" si="14"/>
        <v>8993923.7400000002</v>
      </c>
      <c r="T30" s="391">
        <f t="shared" si="14"/>
        <v>8993923.7400000002</v>
      </c>
      <c r="U30" s="391">
        <f t="shared" si="14"/>
        <v>8993923.7400000002</v>
      </c>
      <c r="V30" s="391">
        <f t="shared" si="14"/>
        <v>8993923.7400000002</v>
      </c>
      <c r="W30" s="391">
        <f t="shared" si="14"/>
        <v>8993923.7400000002</v>
      </c>
      <c r="X30" s="391">
        <f t="shared" si="14"/>
        <v>8993923.7400000002</v>
      </c>
      <c r="Y30" s="391">
        <f t="shared" si="14"/>
        <v>8993923.7400000002</v>
      </c>
      <c r="Z30" s="391">
        <f>$I30-SUM($K30:Y30)</f>
        <v>5276296.3900000751</v>
      </c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Q30" s="391">
        <f>I30-SUM(K30:AP30)</f>
        <v>0</v>
      </c>
    </row>
    <row r="31" spans="3:43" ht="13.5" thickTop="1" x14ac:dyDescent="0.2">
      <c r="C31" s="383"/>
      <c r="D31" s="379"/>
      <c r="E31" s="384"/>
      <c r="F31" s="379"/>
      <c r="G31" s="384"/>
      <c r="H31" s="379"/>
      <c r="I31" s="379"/>
      <c r="J31" s="379"/>
      <c r="K31" s="384"/>
    </row>
    <row r="32" spans="3:43" ht="13.5" thickBot="1" x14ac:dyDescent="0.25">
      <c r="C32" s="383" t="s">
        <v>262</v>
      </c>
      <c r="D32" s="379"/>
      <c r="E32" s="389">
        <v>74539066.459999993</v>
      </c>
      <c r="F32" s="379"/>
      <c r="G32" s="389">
        <v>41309729.700000003</v>
      </c>
      <c r="H32" s="379"/>
      <c r="I32" s="390">
        <v>33229336.75999999</v>
      </c>
      <c r="J32" s="378">
        <f>E32/K32</f>
        <v>31.755910153932454</v>
      </c>
      <c r="K32" s="389">
        <v>2347250.2000000002</v>
      </c>
      <c r="L32" s="391">
        <f t="shared" ref="L32:X32" si="15">+K32</f>
        <v>2347250.2000000002</v>
      </c>
      <c r="M32" s="391">
        <f t="shared" si="15"/>
        <v>2347250.2000000002</v>
      </c>
      <c r="N32" s="391">
        <f t="shared" si="15"/>
        <v>2347250.2000000002</v>
      </c>
      <c r="O32" s="391">
        <f t="shared" si="15"/>
        <v>2347250.2000000002</v>
      </c>
      <c r="P32" s="391">
        <f t="shared" si="15"/>
        <v>2347250.2000000002</v>
      </c>
      <c r="Q32" s="391">
        <f t="shared" si="15"/>
        <v>2347250.2000000002</v>
      </c>
      <c r="R32" s="391">
        <f t="shared" si="15"/>
        <v>2347250.2000000002</v>
      </c>
      <c r="S32" s="391">
        <f t="shared" si="15"/>
        <v>2347250.2000000002</v>
      </c>
      <c r="T32" s="391">
        <f t="shared" si="15"/>
        <v>2347250.2000000002</v>
      </c>
      <c r="U32" s="391">
        <f t="shared" si="15"/>
        <v>2347250.2000000002</v>
      </c>
      <c r="V32" s="391">
        <f t="shared" si="15"/>
        <v>2347250.2000000002</v>
      </c>
      <c r="W32" s="391">
        <f t="shared" si="15"/>
        <v>2347250.2000000002</v>
      </c>
      <c r="X32" s="391">
        <f t="shared" si="15"/>
        <v>2347250.2000000002</v>
      </c>
      <c r="Y32" s="391">
        <f>$I32-SUM($K32:X32)</f>
        <v>367833.95999999717</v>
      </c>
      <c r="Z32" s="391">
        <f>$I32-SUM($K32:Y32)</f>
        <v>0</v>
      </c>
      <c r="AA32" s="391"/>
      <c r="AB32" s="391"/>
      <c r="AC32" s="391"/>
      <c r="AD32" s="391"/>
      <c r="AE32" s="391"/>
      <c r="AF32" s="391"/>
      <c r="AG32" s="391"/>
      <c r="AH32" s="391"/>
      <c r="AI32" s="391"/>
      <c r="AJ32" s="391"/>
      <c r="AK32" s="391"/>
      <c r="AL32" s="391"/>
      <c r="AM32" s="391"/>
      <c r="AN32" s="391"/>
      <c r="AO32" s="391"/>
      <c r="AQ32" s="391">
        <f>I32-SUM(K32:AP32)</f>
        <v>0</v>
      </c>
    </row>
    <row r="33" spans="3:43" ht="13.5" thickTop="1" x14ac:dyDescent="0.2">
      <c r="C33" s="383"/>
      <c r="D33" s="379"/>
      <c r="E33" s="384"/>
      <c r="F33" s="379"/>
      <c r="G33" s="384"/>
      <c r="H33" s="379"/>
      <c r="I33" s="379"/>
      <c r="J33" s="379"/>
      <c r="K33" s="384"/>
    </row>
    <row r="34" spans="3:43" ht="13.5" thickBot="1" x14ac:dyDescent="0.25">
      <c r="C34" s="383" t="s">
        <v>263</v>
      </c>
      <c r="D34" s="379"/>
      <c r="E34" s="389">
        <v>333008286.97999996</v>
      </c>
      <c r="F34" s="379"/>
      <c r="G34" s="389">
        <v>181244908.27000004</v>
      </c>
      <c r="H34" s="379"/>
      <c r="I34" s="390">
        <v>151763378.70999992</v>
      </c>
      <c r="J34" s="378">
        <f>E34/K34</f>
        <v>36.197674430991277</v>
      </c>
      <c r="K34" s="389">
        <v>9199714.9600000009</v>
      </c>
      <c r="L34" s="391">
        <f t="shared" ref="L34:Z34" si="16">+K34</f>
        <v>9199714.9600000009</v>
      </c>
      <c r="M34" s="391">
        <f t="shared" si="16"/>
        <v>9199714.9600000009</v>
      </c>
      <c r="N34" s="391">
        <f t="shared" si="16"/>
        <v>9199714.9600000009</v>
      </c>
      <c r="O34" s="391">
        <f t="shared" si="16"/>
        <v>9199714.9600000009</v>
      </c>
      <c r="P34" s="391">
        <f t="shared" si="16"/>
        <v>9199714.9600000009</v>
      </c>
      <c r="Q34" s="391">
        <f t="shared" si="16"/>
        <v>9199714.9600000009</v>
      </c>
      <c r="R34" s="391">
        <f t="shared" si="16"/>
        <v>9199714.9600000009</v>
      </c>
      <c r="S34" s="391">
        <f t="shared" si="16"/>
        <v>9199714.9600000009</v>
      </c>
      <c r="T34" s="391">
        <f t="shared" si="16"/>
        <v>9199714.9600000009</v>
      </c>
      <c r="U34" s="391">
        <f t="shared" si="16"/>
        <v>9199714.9600000009</v>
      </c>
      <c r="V34" s="391">
        <f t="shared" si="16"/>
        <v>9199714.9600000009</v>
      </c>
      <c r="W34" s="391">
        <f t="shared" si="16"/>
        <v>9199714.9600000009</v>
      </c>
      <c r="X34" s="391">
        <f t="shared" si="16"/>
        <v>9199714.9600000009</v>
      </c>
      <c r="Y34" s="391">
        <f t="shared" si="16"/>
        <v>9199714.9600000009</v>
      </c>
      <c r="Z34" s="391">
        <f t="shared" si="16"/>
        <v>9199714.9600000009</v>
      </c>
      <c r="AA34" s="391">
        <f>$I34-SUM($K34:Z34)</f>
        <v>4567939.349999845</v>
      </c>
      <c r="AB34" s="391"/>
      <c r="AC34" s="391"/>
      <c r="AD34" s="391"/>
      <c r="AE34" s="391"/>
      <c r="AF34" s="391"/>
      <c r="AG34" s="391"/>
      <c r="AH34" s="391"/>
      <c r="AI34" s="391"/>
      <c r="AJ34" s="391"/>
      <c r="AK34" s="391"/>
      <c r="AL34" s="391"/>
      <c r="AM34" s="391"/>
      <c r="AN34" s="391"/>
      <c r="AO34" s="391"/>
      <c r="AQ34" s="391">
        <f>I34-SUM(K34:AP34)</f>
        <v>0</v>
      </c>
    </row>
    <row r="35" spans="3:43" ht="13.5" thickTop="1" x14ac:dyDescent="0.2">
      <c r="C35" s="383"/>
      <c r="D35" s="379"/>
      <c r="E35" s="384"/>
      <c r="F35" s="379"/>
      <c r="G35" s="384"/>
      <c r="H35" s="379"/>
      <c r="I35" s="379"/>
      <c r="J35" s="379"/>
      <c r="K35" s="384"/>
    </row>
    <row r="36" spans="3:43" ht="13.5" thickBot="1" x14ac:dyDescent="0.25">
      <c r="C36" s="383" t="s">
        <v>264</v>
      </c>
      <c r="D36" s="379"/>
      <c r="E36" s="389">
        <v>186552063.12</v>
      </c>
      <c r="F36" s="379"/>
      <c r="G36" s="389">
        <v>95886825.739999995</v>
      </c>
      <c r="H36" s="379"/>
      <c r="I36" s="390">
        <v>90665237.38000001</v>
      </c>
      <c r="J36" s="378">
        <f>E36/K36</f>
        <v>36.280221230083292</v>
      </c>
      <c r="K36" s="389">
        <v>5141977</v>
      </c>
      <c r="L36" s="391">
        <f t="shared" ref="L36:AA36" si="17">+K36</f>
        <v>5141977</v>
      </c>
      <c r="M36" s="391">
        <f t="shared" si="17"/>
        <v>5141977</v>
      </c>
      <c r="N36" s="391">
        <f t="shared" si="17"/>
        <v>5141977</v>
      </c>
      <c r="O36" s="391">
        <f t="shared" si="17"/>
        <v>5141977</v>
      </c>
      <c r="P36" s="391">
        <f t="shared" si="17"/>
        <v>5141977</v>
      </c>
      <c r="Q36" s="391">
        <f t="shared" si="17"/>
        <v>5141977</v>
      </c>
      <c r="R36" s="391">
        <f t="shared" si="17"/>
        <v>5141977</v>
      </c>
      <c r="S36" s="391">
        <f t="shared" si="17"/>
        <v>5141977</v>
      </c>
      <c r="T36" s="391">
        <f t="shared" si="17"/>
        <v>5141977</v>
      </c>
      <c r="U36" s="391">
        <f t="shared" si="17"/>
        <v>5141977</v>
      </c>
      <c r="V36" s="391">
        <f t="shared" si="17"/>
        <v>5141977</v>
      </c>
      <c r="W36" s="391">
        <f t="shared" si="17"/>
        <v>5141977</v>
      </c>
      <c r="X36" s="391">
        <f t="shared" si="17"/>
        <v>5141977</v>
      </c>
      <c r="Y36" s="391">
        <f t="shared" si="17"/>
        <v>5141977</v>
      </c>
      <c r="Z36" s="391">
        <f t="shared" si="17"/>
        <v>5141977</v>
      </c>
      <c r="AA36" s="391">
        <f t="shared" si="17"/>
        <v>5141977</v>
      </c>
      <c r="AB36" s="391">
        <f>$I36-SUM($K36:AA36)</f>
        <v>3251628.3800000101</v>
      </c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Q36" s="391">
        <f>I36-SUM(K36:AP36)</f>
        <v>0</v>
      </c>
    </row>
    <row r="37" spans="3:43" ht="13.5" thickTop="1" x14ac:dyDescent="0.2">
      <c r="C37" s="383"/>
      <c r="D37" s="379"/>
      <c r="E37" s="384"/>
      <c r="F37" s="379"/>
      <c r="G37" s="384"/>
      <c r="H37" s="379"/>
      <c r="I37" s="379"/>
      <c r="J37" s="379"/>
      <c r="K37" s="384"/>
    </row>
    <row r="38" spans="3:43" ht="13.5" thickBot="1" x14ac:dyDescent="0.25">
      <c r="C38" s="383" t="s">
        <v>265</v>
      </c>
      <c r="D38" s="379"/>
      <c r="E38" s="389">
        <v>1222316424.1200001</v>
      </c>
      <c r="F38" s="379"/>
      <c r="G38" s="389">
        <v>310808658.04000002</v>
      </c>
      <c r="H38" s="379"/>
      <c r="I38" s="390">
        <v>911507766.08000016</v>
      </c>
      <c r="J38" s="378">
        <f>E38/K38</f>
        <v>33.882373724573633</v>
      </c>
      <c r="K38" s="389">
        <v>36075289</v>
      </c>
      <c r="L38" s="391">
        <f t="shared" ref="L38:AI38" si="18">+K38</f>
        <v>36075289</v>
      </c>
      <c r="M38" s="391">
        <f t="shared" si="18"/>
        <v>36075289</v>
      </c>
      <c r="N38" s="391">
        <f t="shared" si="18"/>
        <v>36075289</v>
      </c>
      <c r="O38" s="391">
        <f t="shared" si="18"/>
        <v>36075289</v>
      </c>
      <c r="P38" s="391">
        <f t="shared" si="18"/>
        <v>36075289</v>
      </c>
      <c r="Q38" s="391">
        <f t="shared" si="18"/>
        <v>36075289</v>
      </c>
      <c r="R38" s="391">
        <f t="shared" si="18"/>
        <v>36075289</v>
      </c>
      <c r="S38" s="391">
        <f t="shared" si="18"/>
        <v>36075289</v>
      </c>
      <c r="T38" s="391">
        <f t="shared" si="18"/>
        <v>36075289</v>
      </c>
      <c r="U38" s="391">
        <f t="shared" si="18"/>
        <v>36075289</v>
      </c>
      <c r="V38" s="391">
        <f t="shared" si="18"/>
        <v>36075289</v>
      </c>
      <c r="W38" s="391">
        <f t="shared" si="18"/>
        <v>36075289</v>
      </c>
      <c r="X38" s="391">
        <f t="shared" si="18"/>
        <v>36075289</v>
      </c>
      <c r="Y38" s="391">
        <f t="shared" si="18"/>
        <v>36075289</v>
      </c>
      <c r="Z38" s="391">
        <f t="shared" si="18"/>
        <v>36075289</v>
      </c>
      <c r="AA38" s="391">
        <f t="shared" si="18"/>
        <v>36075289</v>
      </c>
      <c r="AB38" s="391">
        <f t="shared" si="18"/>
        <v>36075289</v>
      </c>
      <c r="AC38" s="391">
        <f t="shared" si="18"/>
        <v>36075289</v>
      </c>
      <c r="AD38" s="391">
        <f t="shared" si="18"/>
        <v>36075289</v>
      </c>
      <c r="AE38" s="391">
        <f t="shared" si="18"/>
        <v>36075289</v>
      </c>
      <c r="AF38" s="391">
        <f t="shared" si="18"/>
        <v>36075289</v>
      </c>
      <c r="AG38" s="391">
        <f t="shared" si="18"/>
        <v>36075289</v>
      </c>
      <c r="AH38" s="391">
        <f t="shared" si="18"/>
        <v>36075289</v>
      </c>
      <c r="AI38" s="391">
        <f t="shared" si="18"/>
        <v>36075289</v>
      </c>
      <c r="AJ38" s="391">
        <f>$I38-SUM($K38:AI38)</f>
        <v>9625541.0800001621</v>
      </c>
      <c r="AK38" s="391">
        <f>$I38-SUM($K38:AJ38)</f>
        <v>0</v>
      </c>
      <c r="AL38" s="391">
        <f>$I38-SUM($K38:AK38)</f>
        <v>0</v>
      </c>
      <c r="AM38" s="391">
        <f>$I38-SUM($K38:AL38)</f>
        <v>0</v>
      </c>
      <c r="AN38" s="391">
        <f>$I38-SUM($K38:AM38)</f>
        <v>0</v>
      </c>
      <c r="AO38" s="391"/>
      <c r="AQ38" s="391">
        <f>I38-SUM(K38:AP38)</f>
        <v>0</v>
      </c>
    </row>
    <row r="39" spans="3:43" ht="13.5" thickTop="1" x14ac:dyDescent="0.2">
      <c r="C39" s="383"/>
      <c r="D39" s="379"/>
      <c r="E39" s="384"/>
      <c r="F39" s="379"/>
      <c r="G39" s="384"/>
      <c r="H39" s="379"/>
      <c r="I39" s="379"/>
      <c r="J39" s="379"/>
      <c r="K39" s="384"/>
    </row>
    <row r="40" spans="3:43" ht="13.5" thickBot="1" x14ac:dyDescent="0.25">
      <c r="C40" s="383" t="s">
        <v>266</v>
      </c>
      <c r="D40" s="379"/>
      <c r="E40" s="389">
        <v>237857577.15000001</v>
      </c>
      <c r="F40" s="379"/>
      <c r="G40" s="389">
        <v>77832726.929999977</v>
      </c>
      <c r="H40" s="379"/>
      <c r="I40" s="390">
        <v>160024850.22000003</v>
      </c>
      <c r="J40" s="378">
        <f>E40/K40</f>
        <v>22.625462889287533</v>
      </c>
      <c r="K40" s="389">
        <v>10512827</v>
      </c>
      <c r="L40" s="391">
        <f t="shared" ref="L40:Y40" si="19">+K40</f>
        <v>10512827</v>
      </c>
      <c r="M40" s="391">
        <f t="shared" si="19"/>
        <v>10512827</v>
      </c>
      <c r="N40" s="391">
        <f t="shared" si="19"/>
        <v>10512827</v>
      </c>
      <c r="O40" s="391">
        <f t="shared" si="19"/>
        <v>10512827</v>
      </c>
      <c r="P40" s="391">
        <f t="shared" si="19"/>
        <v>10512827</v>
      </c>
      <c r="Q40" s="391">
        <f t="shared" si="19"/>
        <v>10512827</v>
      </c>
      <c r="R40" s="391">
        <f t="shared" si="19"/>
        <v>10512827</v>
      </c>
      <c r="S40" s="391">
        <f t="shared" si="19"/>
        <v>10512827</v>
      </c>
      <c r="T40" s="391">
        <f t="shared" si="19"/>
        <v>10512827</v>
      </c>
      <c r="U40" s="391">
        <f t="shared" si="19"/>
        <v>10512827</v>
      </c>
      <c r="V40" s="391">
        <f t="shared" si="19"/>
        <v>10512827</v>
      </c>
      <c r="W40" s="391">
        <f t="shared" si="19"/>
        <v>10512827</v>
      </c>
      <c r="X40" s="391">
        <f t="shared" si="19"/>
        <v>10512827</v>
      </c>
      <c r="Y40" s="391">
        <f t="shared" si="19"/>
        <v>10512827</v>
      </c>
      <c r="Z40" s="391">
        <f>$I40-SUM($K40:Y40)</f>
        <v>2332445.2200000286</v>
      </c>
      <c r="AA40" s="391">
        <f>$I40-SUM($K40:Z40)</f>
        <v>0</v>
      </c>
      <c r="AB40" s="391">
        <f>$I40-SUM($K40:AA40)</f>
        <v>0</v>
      </c>
      <c r="AC40" s="391">
        <f>$I40-SUM($K40:AB40)</f>
        <v>0</v>
      </c>
      <c r="AD40" s="391">
        <f>$I40-SUM($K40:AC40)</f>
        <v>0</v>
      </c>
      <c r="AE40" s="391">
        <f>$I40-SUM($K40:AD40)</f>
        <v>0</v>
      </c>
      <c r="AF40" s="391">
        <f>$I40-SUM($K40:AE40)</f>
        <v>0</v>
      </c>
      <c r="AG40" s="391">
        <f>$I40-SUM($K40:AF40)</f>
        <v>0</v>
      </c>
      <c r="AH40" s="391">
        <f>$I40-SUM($K40:AG40)</f>
        <v>0</v>
      </c>
      <c r="AI40" s="391">
        <f>$I40-SUM($K40:AH40)</f>
        <v>0</v>
      </c>
      <c r="AJ40" s="391">
        <f>$I40-SUM($K40:AI40)</f>
        <v>0</v>
      </c>
      <c r="AK40" s="391">
        <f>$I40-SUM($K40:AJ40)</f>
        <v>0</v>
      </c>
      <c r="AL40" s="391">
        <f>$I40-SUM($K40:AK40)</f>
        <v>0</v>
      </c>
      <c r="AM40" s="391">
        <f>$I40-SUM($K40:AL40)</f>
        <v>0</v>
      </c>
      <c r="AN40" s="391">
        <f>$I40-SUM($K40:AM40)</f>
        <v>0</v>
      </c>
      <c r="AO40" s="391"/>
      <c r="AQ40" s="391">
        <f>I40-SUM(K40:AP40)</f>
        <v>0</v>
      </c>
    </row>
    <row r="41" spans="3:43" ht="13.5" thickTop="1" x14ac:dyDescent="0.2">
      <c r="C41" s="379"/>
      <c r="D41" s="379"/>
      <c r="E41" s="385"/>
      <c r="F41" s="379"/>
      <c r="G41" s="385"/>
      <c r="H41" s="379"/>
      <c r="I41" s="379"/>
      <c r="J41" s="379"/>
      <c r="K41" s="379"/>
      <c r="AQ41" s="378">
        <f>I41-SUM(K41:AP41)</f>
        <v>0</v>
      </c>
    </row>
    <row r="42" spans="3:43" ht="13.5" thickBot="1" x14ac:dyDescent="0.25">
      <c r="C42" s="383" t="s">
        <v>267</v>
      </c>
      <c r="D42" s="379"/>
      <c r="E42" s="392">
        <f>+E13+E25+E27+E30+E32+E34+E36+E38+E40</f>
        <v>3026216514.7199998</v>
      </c>
      <c r="F42" s="379"/>
      <c r="G42" s="392">
        <f>+G13+G25+G27+G30+G32+G34+G36+G38+G40</f>
        <v>1330900506.2100003</v>
      </c>
      <c r="H42" s="393">
        <f>SUM(H7:H40)</f>
        <v>0</v>
      </c>
      <c r="I42" s="392">
        <f>+I13+I25+I27+I30+I32+I34+I36+I38+I40</f>
        <v>1695316008.51</v>
      </c>
      <c r="J42" s="378">
        <f>E42/K42</f>
        <v>32.029672229725982</v>
      </c>
      <c r="K42" s="392">
        <f t="shared" ref="K42:AO42" si="20">+K13+K25+K27+K30+K32+K34+K36+K38+K40</f>
        <v>94481657.289999992</v>
      </c>
      <c r="L42" s="392">
        <f t="shared" si="20"/>
        <v>94481657.289999992</v>
      </c>
      <c r="M42" s="392">
        <f t="shared" si="20"/>
        <v>94438416.450000003</v>
      </c>
      <c r="N42" s="392">
        <f t="shared" si="20"/>
        <v>94282037.289999992</v>
      </c>
      <c r="O42" s="392">
        <f t="shared" si="20"/>
        <v>93885453.420000002</v>
      </c>
      <c r="P42" s="392">
        <f t="shared" si="20"/>
        <v>92047195.730000004</v>
      </c>
      <c r="Q42" s="392">
        <f t="shared" si="20"/>
        <v>92047195.730000004</v>
      </c>
      <c r="R42" s="392">
        <f t="shared" si="20"/>
        <v>85810488.929999977</v>
      </c>
      <c r="S42" s="392">
        <f t="shared" si="20"/>
        <v>80575086</v>
      </c>
      <c r="T42" s="392">
        <f t="shared" si="20"/>
        <v>79996888.780000001</v>
      </c>
      <c r="U42" s="392">
        <f t="shared" si="20"/>
        <v>79797789.420000002</v>
      </c>
      <c r="V42" s="392">
        <f t="shared" si="20"/>
        <v>78642290.719999999</v>
      </c>
      <c r="W42" s="392">
        <f t="shared" si="20"/>
        <v>78642290.719999999</v>
      </c>
      <c r="X42" s="392">
        <f t="shared" si="20"/>
        <v>77257893.560000002</v>
      </c>
      <c r="Y42" s="392">
        <f t="shared" si="20"/>
        <v>73386963</v>
      </c>
      <c r="Z42" s="392">
        <f t="shared" si="20"/>
        <v>58245988.800000094</v>
      </c>
      <c r="AA42" s="392">
        <f t="shared" si="20"/>
        <v>45817233.919999845</v>
      </c>
      <c r="AB42" s="392">
        <f t="shared" si="20"/>
        <v>39326917.38000001</v>
      </c>
      <c r="AC42" s="392">
        <f t="shared" si="20"/>
        <v>36075289</v>
      </c>
      <c r="AD42" s="392">
        <f t="shared" si="20"/>
        <v>36075289</v>
      </c>
      <c r="AE42" s="392">
        <f t="shared" si="20"/>
        <v>36075289</v>
      </c>
      <c r="AF42" s="392">
        <f t="shared" si="20"/>
        <v>36075289</v>
      </c>
      <c r="AG42" s="392">
        <f t="shared" si="20"/>
        <v>36075289</v>
      </c>
      <c r="AH42" s="392">
        <f t="shared" si="20"/>
        <v>36075289</v>
      </c>
      <c r="AI42" s="392">
        <f t="shared" si="20"/>
        <v>36075289</v>
      </c>
      <c r="AJ42" s="392">
        <f t="shared" si="20"/>
        <v>9625541.0800001621</v>
      </c>
      <c r="AK42" s="392">
        <f t="shared" si="20"/>
        <v>0</v>
      </c>
      <c r="AL42" s="392">
        <f t="shared" si="20"/>
        <v>0</v>
      </c>
      <c r="AM42" s="392">
        <f t="shared" si="20"/>
        <v>0</v>
      </c>
      <c r="AN42" s="392">
        <f t="shared" si="20"/>
        <v>0</v>
      </c>
      <c r="AO42" s="392">
        <f t="shared" si="20"/>
        <v>0</v>
      </c>
      <c r="AQ42" s="392">
        <f>+AQ13+AQ25+AQ27+AQ30+AQ32+AQ34+AQ36+AQ38+AQ40</f>
        <v>0</v>
      </c>
    </row>
    <row r="43" spans="3:43" ht="13.5" thickTop="1" x14ac:dyDescent="0.2">
      <c r="E43" s="385"/>
      <c r="F43" s="379"/>
      <c r="G43" s="385"/>
      <c r="H43" s="379"/>
      <c r="I43" s="385"/>
      <c r="J43" s="379"/>
      <c r="K43" s="385"/>
    </row>
    <row r="44" spans="3:43" x14ac:dyDescent="0.2">
      <c r="C44" s="379"/>
      <c r="D44" s="379"/>
      <c r="E44" s="379"/>
      <c r="F44" s="379"/>
      <c r="G44" s="379"/>
      <c r="H44" s="379"/>
      <c r="I44" s="379"/>
      <c r="J44" s="379"/>
      <c r="K44" s="379"/>
    </row>
    <row r="45" spans="3:43" x14ac:dyDescent="0.2">
      <c r="C45" s="394"/>
      <c r="D45" s="379"/>
      <c r="E45" s="379"/>
      <c r="F45" s="379"/>
      <c r="G45" s="379"/>
      <c r="H45" s="379"/>
      <c r="I45" s="379"/>
      <c r="J45" s="379"/>
      <c r="K45" s="379"/>
    </row>
    <row r="46" spans="3:43" x14ac:dyDescent="0.2">
      <c r="C46" s="379"/>
      <c r="D46" s="379"/>
      <c r="E46" s="379"/>
      <c r="F46" s="379"/>
      <c r="G46" s="379"/>
      <c r="H46" s="379"/>
      <c r="I46" s="379"/>
      <c r="J46" s="379"/>
      <c r="K46" s="379"/>
    </row>
    <row r="47" spans="3:43" x14ac:dyDescent="0.2">
      <c r="C47" s="379"/>
      <c r="D47" s="379"/>
      <c r="E47" s="379"/>
      <c r="F47" s="379"/>
      <c r="G47" s="379"/>
      <c r="H47" s="379"/>
      <c r="I47" s="379"/>
      <c r="J47" s="379"/>
      <c r="K47" s="379"/>
    </row>
    <row r="51" spans="3:43" x14ac:dyDescent="0.2">
      <c r="D51" s="378" t="s">
        <v>268</v>
      </c>
    </row>
    <row r="53" spans="3:43" x14ac:dyDescent="0.2">
      <c r="F53" s="378" t="s">
        <v>269</v>
      </c>
    </row>
    <row r="54" spans="3:43" x14ac:dyDescent="0.2">
      <c r="E54" s="385"/>
      <c r="F54" s="385"/>
      <c r="G54" s="379"/>
      <c r="H54" s="385"/>
      <c r="I54" s="385"/>
      <c r="J54" s="379"/>
      <c r="K54" s="381">
        <v>2000</v>
      </c>
    </row>
    <row r="55" spans="3:43" x14ac:dyDescent="0.2">
      <c r="E55" s="380" t="s">
        <v>238</v>
      </c>
      <c r="F55" s="379"/>
      <c r="G55" s="380" t="s">
        <v>239</v>
      </c>
      <c r="H55" s="379"/>
      <c r="I55" s="381" t="s">
        <v>240</v>
      </c>
      <c r="J55" s="379"/>
      <c r="K55" s="380" t="s">
        <v>241</v>
      </c>
    </row>
    <row r="56" spans="3:43" x14ac:dyDescent="0.2">
      <c r="E56" s="380" t="s">
        <v>242</v>
      </c>
      <c r="F56" s="379"/>
      <c r="G56" s="380" t="s">
        <v>243</v>
      </c>
      <c r="H56" s="379"/>
      <c r="I56" s="381" t="s">
        <v>244</v>
      </c>
      <c r="J56" s="379"/>
      <c r="K56" s="382" t="s">
        <v>304</v>
      </c>
    </row>
    <row r="57" spans="3:43" x14ac:dyDescent="0.2">
      <c r="AQ57" s="378">
        <f>I57-SUM(K57:AP57)</f>
        <v>0</v>
      </c>
    </row>
    <row r="58" spans="3:43" x14ac:dyDescent="0.2">
      <c r="C58" s="378" t="s">
        <v>270</v>
      </c>
      <c r="E58" s="378">
        <v>299012.98</v>
      </c>
      <c r="G58" s="378">
        <v>217537.62</v>
      </c>
      <c r="I58" s="378">
        <v>81475.360000000001</v>
      </c>
      <c r="J58" s="378">
        <f>E58/K58</f>
        <v>34.96409962581852</v>
      </c>
      <c r="K58" s="378">
        <v>8552</v>
      </c>
      <c r="L58" s="378">
        <f t="shared" ref="L58:S60" si="21">+K58</f>
        <v>8552</v>
      </c>
      <c r="M58" s="378">
        <f t="shared" si="21"/>
        <v>8552</v>
      </c>
      <c r="N58" s="378">
        <f t="shared" si="21"/>
        <v>8552</v>
      </c>
      <c r="O58" s="378">
        <f t="shared" si="21"/>
        <v>8552</v>
      </c>
      <c r="P58" s="378">
        <f t="shared" si="21"/>
        <v>8552</v>
      </c>
      <c r="Q58" s="378">
        <f t="shared" si="21"/>
        <v>8552</v>
      </c>
      <c r="R58" s="378">
        <f t="shared" si="21"/>
        <v>8552</v>
      </c>
      <c r="S58" s="378">
        <f t="shared" si="21"/>
        <v>8552</v>
      </c>
      <c r="T58" s="378">
        <f>$I58-SUM($K58:S58)</f>
        <v>4507.3600000000006</v>
      </c>
      <c r="U58" s="378">
        <f>$I58-SUM($K58:T58)</f>
        <v>0</v>
      </c>
      <c r="V58" s="378">
        <f>$I58-SUM($K58:U58)</f>
        <v>0</v>
      </c>
      <c r="W58" s="378">
        <f>$I58-SUM($K58:V58)</f>
        <v>0</v>
      </c>
      <c r="X58" s="378">
        <f>$I58-SUM($K58:W58)</f>
        <v>0</v>
      </c>
      <c r="Y58" s="378">
        <f>$I58-SUM($K58:X58)</f>
        <v>0</v>
      </c>
      <c r="Z58" s="378">
        <f>$I58-SUM($K58:Y58)</f>
        <v>0</v>
      </c>
      <c r="AA58" s="378">
        <f>$I58-SUM($K58:Z58)</f>
        <v>0</v>
      </c>
      <c r="AB58" s="378">
        <f>$I58-SUM($K58:AA58)</f>
        <v>0</v>
      </c>
      <c r="AC58" s="378">
        <f>$I58-SUM($K58:AB58)</f>
        <v>0</v>
      </c>
      <c r="AD58" s="378">
        <f>$I58-SUM($K58:AC58)</f>
        <v>0</v>
      </c>
      <c r="AE58" s="378">
        <f>$I58-SUM($K58:AD58)</f>
        <v>0</v>
      </c>
      <c r="AF58" s="378">
        <f>$I58-SUM($K58:AE58)</f>
        <v>0</v>
      </c>
      <c r="AG58" s="378">
        <f>$I58-SUM($K58:AF58)</f>
        <v>0</v>
      </c>
      <c r="AH58" s="378">
        <f>$I58-SUM($K58:AG58)</f>
        <v>0</v>
      </c>
      <c r="AI58" s="378">
        <f>$I58-SUM($K58:AH58)</f>
        <v>0</v>
      </c>
      <c r="AJ58" s="378">
        <f>$I58-SUM($K58:AI58)</f>
        <v>0</v>
      </c>
      <c r="AK58" s="378">
        <f>$I58-SUM($K58:AJ58)</f>
        <v>0</v>
      </c>
      <c r="AL58" s="378">
        <f>$I58-SUM($K58:AK58)</f>
        <v>0</v>
      </c>
      <c r="AM58" s="378">
        <f>$I58-SUM($K58:AL58)</f>
        <v>0</v>
      </c>
      <c r="AN58" s="378">
        <f>$I58-SUM($K58:AM58)</f>
        <v>0</v>
      </c>
      <c r="AO58" s="378">
        <f>$I58-SUM($K58:AN58)</f>
        <v>0</v>
      </c>
      <c r="AQ58" s="378">
        <f>I58-SUM(K58:AP58)</f>
        <v>0</v>
      </c>
    </row>
    <row r="59" spans="3:43" x14ac:dyDescent="0.2">
      <c r="C59" s="378" t="s">
        <v>271</v>
      </c>
      <c r="E59" s="378">
        <v>760980.54</v>
      </c>
      <c r="G59" s="378">
        <v>311234.11</v>
      </c>
      <c r="I59" s="378">
        <v>449746.43</v>
      </c>
      <c r="J59" s="378">
        <f>I59/K59</f>
        <v>35.180415362953688</v>
      </c>
      <c r="K59" s="378">
        <v>12784</v>
      </c>
      <c r="L59" s="378">
        <f t="shared" si="21"/>
        <v>12784</v>
      </c>
      <c r="M59" s="378">
        <f t="shared" si="21"/>
        <v>12784</v>
      </c>
      <c r="N59" s="378">
        <f t="shared" si="21"/>
        <v>12784</v>
      </c>
      <c r="O59" s="378">
        <f t="shared" si="21"/>
        <v>12784</v>
      </c>
      <c r="P59" s="378">
        <f t="shared" si="21"/>
        <v>12784</v>
      </c>
      <c r="Q59" s="378">
        <f t="shared" si="21"/>
        <v>12784</v>
      </c>
      <c r="R59" s="378">
        <f t="shared" si="21"/>
        <v>12784</v>
      </c>
      <c r="S59" s="378">
        <f t="shared" si="21"/>
        <v>12784</v>
      </c>
      <c r="T59" s="378">
        <f t="shared" ref="T59:AO59" si="22">+S59</f>
        <v>12784</v>
      </c>
      <c r="U59" s="378">
        <f t="shared" si="22"/>
        <v>12784</v>
      </c>
      <c r="V59" s="378">
        <f t="shared" si="22"/>
        <v>12784</v>
      </c>
      <c r="W59" s="378">
        <f t="shared" si="22"/>
        <v>12784</v>
      </c>
      <c r="X59" s="378">
        <f t="shared" si="22"/>
        <v>12784</v>
      </c>
      <c r="Y59" s="378">
        <f t="shared" si="22"/>
        <v>12784</v>
      </c>
      <c r="Z59" s="378">
        <f t="shared" si="22"/>
        <v>12784</v>
      </c>
      <c r="AA59" s="378">
        <f t="shared" si="22"/>
        <v>12784</v>
      </c>
      <c r="AB59" s="378">
        <f t="shared" si="22"/>
        <v>12784</v>
      </c>
      <c r="AC59" s="378">
        <f t="shared" si="22"/>
        <v>12784</v>
      </c>
      <c r="AD59" s="378">
        <f t="shared" si="22"/>
        <v>12784</v>
      </c>
      <c r="AE59" s="378">
        <f t="shared" si="22"/>
        <v>12784</v>
      </c>
      <c r="AF59" s="378">
        <f t="shared" si="22"/>
        <v>12784</v>
      </c>
      <c r="AG59" s="378">
        <f t="shared" si="22"/>
        <v>12784</v>
      </c>
      <c r="AH59" s="378">
        <f t="shared" si="22"/>
        <v>12784</v>
      </c>
      <c r="AI59" s="378">
        <f t="shared" si="22"/>
        <v>12784</v>
      </c>
      <c r="AJ59" s="378">
        <f t="shared" si="22"/>
        <v>12784</v>
      </c>
      <c r="AK59" s="378">
        <f t="shared" si="22"/>
        <v>12784</v>
      </c>
      <c r="AL59" s="378">
        <f t="shared" si="22"/>
        <v>12784</v>
      </c>
      <c r="AM59" s="378">
        <f t="shared" si="22"/>
        <v>12784</v>
      </c>
      <c r="AN59" s="378">
        <f t="shared" si="22"/>
        <v>12784</v>
      </c>
      <c r="AO59" s="378">
        <f t="shared" si="22"/>
        <v>12784</v>
      </c>
      <c r="AQ59" s="378">
        <f>I59-SUM(K59:AP59)</f>
        <v>53442.429999999993</v>
      </c>
    </row>
    <row r="60" spans="3:43" x14ac:dyDescent="0.2">
      <c r="C60" s="378" t="s">
        <v>272</v>
      </c>
      <c r="E60" s="378">
        <v>2016876.51</v>
      </c>
      <c r="G60" s="378">
        <v>1208263.73</v>
      </c>
      <c r="I60" s="378">
        <v>808612.78</v>
      </c>
      <c r="J60" s="378">
        <f>I60/K60</f>
        <v>23.864147680321096</v>
      </c>
      <c r="K60" s="378">
        <v>33884</v>
      </c>
      <c r="L60" s="378">
        <f t="shared" si="21"/>
        <v>33884</v>
      </c>
      <c r="M60" s="378">
        <f t="shared" si="21"/>
        <v>33884</v>
      </c>
      <c r="N60" s="378">
        <f t="shared" si="21"/>
        <v>33884</v>
      </c>
      <c r="O60" s="378">
        <f t="shared" si="21"/>
        <v>33884</v>
      </c>
      <c r="P60" s="378">
        <f t="shared" si="21"/>
        <v>33884</v>
      </c>
      <c r="Q60" s="378">
        <f t="shared" si="21"/>
        <v>33884</v>
      </c>
      <c r="R60" s="378">
        <f t="shared" si="21"/>
        <v>33884</v>
      </c>
      <c r="S60" s="378">
        <f t="shared" si="21"/>
        <v>33884</v>
      </c>
      <c r="T60" s="378">
        <f t="shared" ref="T60:AG60" si="23">+S60</f>
        <v>33884</v>
      </c>
      <c r="U60" s="378">
        <f t="shared" si="23"/>
        <v>33884</v>
      </c>
      <c r="V60" s="378">
        <f t="shared" si="23"/>
        <v>33884</v>
      </c>
      <c r="W60" s="378">
        <f t="shared" si="23"/>
        <v>33884</v>
      </c>
      <c r="X60" s="378">
        <f t="shared" si="23"/>
        <v>33884</v>
      </c>
      <c r="Y60" s="378">
        <f t="shared" si="23"/>
        <v>33884</v>
      </c>
      <c r="Z60" s="378">
        <f t="shared" si="23"/>
        <v>33884</v>
      </c>
      <c r="AA60" s="378">
        <f t="shared" si="23"/>
        <v>33884</v>
      </c>
      <c r="AB60" s="378">
        <f t="shared" si="23"/>
        <v>33884</v>
      </c>
      <c r="AC60" s="378">
        <f t="shared" si="23"/>
        <v>33884</v>
      </c>
      <c r="AD60" s="378">
        <f t="shared" si="23"/>
        <v>33884</v>
      </c>
      <c r="AE60" s="378">
        <f t="shared" si="23"/>
        <v>33884</v>
      </c>
      <c r="AF60" s="378">
        <f t="shared" si="23"/>
        <v>33884</v>
      </c>
      <c r="AG60" s="378">
        <f t="shared" si="23"/>
        <v>33884</v>
      </c>
      <c r="AH60" s="378">
        <f>$I60-SUM($K60:AG60)</f>
        <v>29280.780000000028</v>
      </c>
      <c r="AI60" s="378">
        <f>$I60-SUM($K60:AH60)</f>
        <v>0</v>
      </c>
      <c r="AJ60" s="378">
        <f>$I60-SUM($K60:AI60)</f>
        <v>0</v>
      </c>
      <c r="AK60" s="378">
        <f>$I60-SUM($K60:AJ60)</f>
        <v>0</v>
      </c>
      <c r="AL60" s="378">
        <f>$I60-SUM($K60:AK60)</f>
        <v>0</v>
      </c>
      <c r="AM60" s="378">
        <f>$I60-SUM($K60:AL60)</f>
        <v>0</v>
      </c>
      <c r="AN60" s="378">
        <f>$I60-SUM($K60:AM60)</f>
        <v>0</v>
      </c>
      <c r="AO60" s="378">
        <f>$I60-SUM($K60:AN60)</f>
        <v>0</v>
      </c>
      <c r="AQ60" s="378">
        <f>I60-SUM(K60:AP60)</f>
        <v>0</v>
      </c>
    </row>
    <row r="62" spans="3:43" ht="13.5" thickBot="1" x14ac:dyDescent="0.25">
      <c r="C62" s="378" t="s">
        <v>273</v>
      </c>
      <c r="E62" s="395">
        <f>SUM(E58:E60)</f>
        <v>3076870.0300000003</v>
      </c>
      <c r="G62" s="395">
        <f>SUM(G58:G60)</f>
        <v>1737035.46</v>
      </c>
      <c r="I62" s="395">
        <f>SUM(I58:I60)</f>
        <v>1339834.57</v>
      </c>
      <c r="K62" s="395">
        <f t="shared" ref="K62:AO62" si="24">SUM(K58:K60)</f>
        <v>55220</v>
      </c>
      <c r="L62" s="395">
        <f t="shared" si="24"/>
        <v>55220</v>
      </c>
      <c r="M62" s="395">
        <f t="shared" si="24"/>
        <v>55220</v>
      </c>
      <c r="N62" s="395">
        <f t="shared" si="24"/>
        <v>55220</v>
      </c>
      <c r="O62" s="395">
        <f t="shared" si="24"/>
        <v>55220</v>
      </c>
      <c r="P62" s="395">
        <f t="shared" si="24"/>
        <v>55220</v>
      </c>
      <c r="Q62" s="395">
        <f t="shared" si="24"/>
        <v>55220</v>
      </c>
      <c r="R62" s="395">
        <f t="shared" si="24"/>
        <v>55220</v>
      </c>
      <c r="S62" s="395">
        <f t="shared" si="24"/>
        <v>55220</v>
      </c>
      <c r="T62" s="395">
        <f t="shared" si="24"/>
        <v>51175.360000000001</v>
      </c>
      <c r="U62" s="395">
        <f t="shared" si="24"/>
        <v>46668</v>
      </c>
      <c r="V62" s="395">
        <f t="shared" si="24"/>
        <v>46668</v>
      </c>
      <c r="W62" s="395">
        <f t="shared" si="24"/>
        <v>46668</v>
      </c>
      <c r="X62" s="395">
        <f t="shared" si="24"/>
        <v>46668</v>
      </c>
      <c r="Y62" s="395">
        <f t="shared" si="24"/>
        <v>46668</v>
      </c>
      <c r="Z62" s="395">
        <f t="shared" si="24"/>
        <v>46668</v>
      </c>
      <c r="AA62" s="395">
        <f t="shared" si="24"/>
        <v>46668</v>
      </c>
      <c r="AB62" s="395">
        <f t="shared" si="24"/>
        <v>46668</v>
      </c>
      <c r="AC62" s="395">
        <f t="shared" si="24"/>
        <v>46668</v>
      </c>
      <c r="AD62" s="395">
        <f t="shared" si="24"/>
        <v>46668</v>
      </c>
      <c r="AE62" s="395">
        <f t="shared" si="24"/>
        <v>46668</v>
      </c>
      <c r="AF62" s="395">
        <f t="shared" si="24"/>
        <v>46668</v>
      </c>
      <c r="AG62" s="395">
        <f t="shared" si="24"/>
        <v>46668</v>
      </c>
      <c r="AH62" s="395">
        <f t="shared" si="24"/>
        <v>42064.780000000028</v>
      </c>
      <c r="AI62" s="395">
        <f t="shared" si="24"/>
        <v>12784</v>
      </c>
      <c r="AJ62" s="395">
        <f t="shared" si="24"/>
        <v>12784</v>
      </c>
      <c r="AK62" s="395">
        <f t="shared" si="24"/>
        <v>12784</v>
      </c>
      <c r="AL62" s="395">
        <f t="shared" si="24"/>
        <v>12784</v>
      </c>
      <c r="AM62" s="395">
        <f t="shared" si="24"/>
        <v>12784</v>
      </c>
      <c r="AN62" s="395">
        <f t="shared" si="24"/>
        <v>12784</v>
      </c>
      <c r="AO62" s="395">
        <f t="shared" si="24"/>
        <v>12784</v>
      </c>
      <c r="AQ62" s="395">
        <f>SUM(AQ58:AQ60)</f>
        <v>53442.429999999993</v>
      </c>
    </row>
    <row r="63" spans="3:43" ht="13.5" thickTop="1" x14ac:dyDescent="0.2"/>
    <row r="64" spans="3:43" x14ac:dyDescent="0.2">
      <c r="C64" s="378" t="s">
        <v>274</v>
      </c>
      <c r="E64" s="378">
        <v>1408063.74</v>
      </c>
      <c r="G64" s="378">
        <v>613206.54</v>
      </c>
      <c r="I64" s="378">
        <v>794857.2</v>
      </c>
      <c r="J64" s="378">
        <f>E64/K64</f>
        <v>34.964707605969558</v>
      </c>
      <c r="K64" s="378">
        <v>40271</v>
      </c>
      <c r="L64" s="378">
        <f t="shared" ref="L64:AC64" si="25">+K64</f>
        <v>40271</v>
      </c>
      <c r="M64" s="378">
        <f t="shared" si="25"/>
        <v>40271</v>
      </c>
      <c r="N64" s="378">
        <f t="shared" si="25"/>
        <v>40271</v>
      </c>
      <c r="O64" s="378">
        <f t="shared" si="25"/>
        <v>40271</v>
      </c>
      <c r="P64" s="378">
        <f t="shared" si="25"/>
        <v>40271</v>
      </c>
      <c r="Q64" s="378">
        <f t="shared" si="25"/>
        <v>40271</v>
      </c>
      <c r="R64" s="378">
        <f t="shared" si="25"/>
        <v>40271</v>
      </c>
      <c r="S64" s="378">
        <f t="shared" si="25"/>
        <v>40271</v>
      </c>
      <c r="T64" s="378">
        <f t="shared" si="25"/>
        <v>40271</v>
      </c>
      <c r="U64" s="378">
        <f t="shared" si="25"/>
        <v>40271</v>
      </c>
      <c r="V64" s="378">
        <f t="shared" si="25"/>
        <v>40271</v>
      </c>
      <c r="W64" s="378">
        <f t="shared" si="25"/>
        <v>40271</v>
      </c>
      <c r="X64" s="378">
        <f t="shared" si="25"/>
        <v>40271</v>
      </c>
      <c r="Y64" s="378">
        <f t="shared" si="25"/>
        <v>40271</v>
      </c>
      <c r="Z64" s="378">
        <f t="shared" si="25"/>
        <v>40271</v>
      </c>
      <c r="AA64" s="378">
        <f t="shared" si="25"/>
        <v>40271</v>
      </c>
      <c r="AB64" s="378">
        <f t="shared" si="25"/>
        <v>40271</v>
      </c>
      <c r="AC64" s="378">
        <f t="shared" si="25"/>
        <v>40271</v>
      </c>
      <c r="AD64" s="378">
        <f>$I64-SUM($K64:AC64)</f>
        <v>29708.199999999953</v>
      </c>
      <c r="AE64" s="378">
        <f>$I64-SUM($K64:AD64)</f>
        <v>0</v>
      </c>
      <c r="AF64" s="378">
        <f>$I64-SUM($K64:AE64)</f>
        <v>0</v>
      </c>
      <c r="AG64" s="378">
        <f>$I64-SUM($K64:AF64)</f>
        <v>0</v>
      </c>
      <c r="AH64" s="378">
        <f>$I64-SUM($K64:AG64)</f>
        <v>0</v>
      </c>
      <c r="AI64" s="378">
        <f>$I64-SUM($K64:AH64)</f>
        <v>0</v>
      </c>
      <c r="AJ64" s="378">
        <f>$I64-SUM($K64:AI64)</f>
        <v>0</v>
      </c>
      <c r="AK64" s="378">
        <f>$I64-SUM($K64:AJ64)</f>
        <v>0</v>
      </c>
      <c r="AL64" s="378">
        <f>$I64-SUM($K64:AK64)</f>
        <v>0</v>
      </c>
      <c r="AM64" s="378">
        <f>$I64-SUM($K64:AL64)</f>
        <v>0</v>
      </c>
      <c r="AN64" s="378">
        <f>$I64-SUM($K64:AM64)</f>
        <v>0</v>
      </c>
      <c r="AO64" s="378">
        <f>$I64-SUM($K64:AN64)</f>
        <v>0</v>
      </c>
      <c r="AQ64" s="378">
        <f>I64-SUM(K64:AP64)</f>
        <v>0</v>
      </c>
    </row>
    <row r="65" spans="3:43" x14ac:dyDescent="0.2">
      <c r="C65" s="378" t="s">
        <v>275</v>
      </c>
      <c r="E65" s="378">
        <v>274153.31</v>
      </c>
      <c r="G65" s="378">
        <v>116273.59</v>
      </c>
      <c r="I65" s="378">
        <v>157879.72</v>
      </c>
      <c r="J65" s="378">
        <f>E65/K65</f>
        <v>59.520909683022147</v>
      </c>
      <c r="K65" s="378">
        <v>4606</v>
      </c>
      <c r="L65" s="378">
        <f t="shared" ref="L65:AC65" si="26">+K65</f>
        <v>4606</v>
      </c>
      <c r="M65" s="378">
        <f t="shared" si="26"/>
        <v>4606</v>
      </c>
      <c r="N65" s="378">
        <f t="shared" si="26"/>
        <v>4606</v>
      </c>
      <c r="O65" s="378">
        <f t="shared" si="26"/>
        <v>4606</v>
      </c>
      <c r="P65" s="378">
        <f t="shared" si="26"/>
        <v>4606</v>
      </c>
      <c r="Q65" s="378">
        <f t="shared" si="26"/>
        <v>4606</v>
      </c>
      <c r="R65" s="378">
        <f t="shared" si="26"/>
        <v>4606</v>
      </c>
      <c r="S65" s="378">
        <f t="shared" si="26"/>
        <v>4606</v>
      </c>
      <c r="T65" s="378">
        <f t="shared" si="26"/>
        <v>4606</v>
      </c>
      <c r="U65" s="378">
        <f t="shared" si="26"/>
        <v>4606</v>
      </c>
      <c r="V65" s="378">
        <f t="shared" si="26"/>
        <v>4606</v>
      </c>
      <c r="W65" s="378">
        <f t="shared" si="26"/>
        <v>4606</v>
      </c>
      <c r="X65" s="378">
        <f t="shared" si="26"/>
        <v>4606</v>
      </c>
      <c r="Y65" s="378">
        <f t="shared" si="26"/>
        <v>4606</v>
      </c>
      <c r="Z65" s="378">
        <f t="shared" si="26"/>
        <v>4606</v>
      </c>
      <c r="AA65" s="378">
        <f t="shared" si="26"/>
        <v>4606</v>
      </c>
      <c r="AB65" s="378">
        <f t="shared" si="26"/>
        <v>4606</v>
      </c>
      <c r="AC65" s="378">
        <f t="shared" si="26"/>
        <v>4606</v>
      </c>
      <c r="AD65" s="378">
        <f t="shared" ref="AD65:AO65" si="27">+AC65</f>
        <v>4606</v>
      </c>
      <c r="AE65" s="378">
        <f t="shared" si="27"/>
        <v>4606</v>
      </c>
      <c r="AF65" s="378">
        <f t="shared" si="27"/>
        <v>4606</v>
      </c>
      <c r="AG65" s="378">
        <f t="shared" si="27"/>
        <v>4606</v>
      </c>
      <c r="AH65" s="378">
        <f t="shared" si="27"/>
        <v>4606</v>
      </c>
      <c r="AI65" s="378">
        <f t="shared" si="27"/>
        <v>4606</v>
      </c>
      <c r="AJ65" s="378">
        <f t="shared" si="27"/>
        <v>4606</v>
      </c>
      <c r="AK65" s="378">
        <f t="shared" si="27"/>
        <v>4606</v>
      </c>
      <c r="AL65" s="378">
        <f t="shared" si="27"/>
        <v>4606</v>
      </c>
      <c r="AM65" s="378">
        <f t="shared" si="27"/>
        <v>4606</v>
      </c>
      <c r="AN65" s="378">
        <f t="shared" si="27"/>
        <v>4606</v>
      </c>
      <c r="AO65" s="378">
        <f t="shared" si="27"/>
        <v>4606</v>
      </c>
      <c r="AQ65" s="378">
        <f>I65-SUM(K65:AP65)</f>
        <v>15093.720000000001</v>
      </c>
    </row>
    <row r="66" spans="3:43" x14ac:dyDescent="0.2">
      <c r="C66" s="378" t="s">
        <v>276</v>
      </c>
      <c r="E66" s="378">
        <v>884614.94</v>
      </c>
      <c r="G66" s="378">
        <v>575801.15</v>
      </c>
      <c r="I66" s="378">
        <v>308813.78999999998</v>
      </c>
      <c r="J66" s="378">
        <f>E66/K66</f>
        <v>59.521931099448253</v>
      </c>
      <c r="K66" s="378">
        <v>14862</v>
      </c>
      <c r="L66" s="378">
        <f t="shared" ref="L66:AC66" si="28">+K66</f>
        <v>14862</v>
      </c>
      <c r="M66" s="378">
        <f t="shared" si="28"/>
        <v>14862</v>
      </c>
      <c r="N66" s="378">
        <f t="shared" si="28"/>
        <v>14862</v>
      </c>
      <c r="O66" s="378">
        <f t="shared" si="28"/>
        <v>14862</v>
      </c>
      <c r="P66" s="378">
        <f t="shared" si="28"/>
        <v>14862</v>
      </c>
      <c r="Q66" s="378">
        <f t="shared" si="28"/>
        <v>14862</v>
      </c>
      <c r="R66" s="378">
        <f t="shared" si="28"/>
        <v>14862</v>
      </c>
      <c r="S66" s="378">
        <f t="shared" si="28"/>
        <v>14862</v>
      </c>
      <c r="T66" s="378">
        <f t="shared" si="28"/>
        <v>14862</v>
      </c>
      <c r="U66" s="378">
        <f t="shared" si="28"/>
        <v>14862</v>
      </c>
      <c r="V66" s="378">
        <f t="shared" si="28"/>
        <v>14862</v>
      </c>
      <c r="W66" s="378">
        <f t="shared" si="28"/>
        <v>14862</v>
      </c>
      <c r="X66" s="378">
        <f t="shared" si="28"/>
        <v>14862</v>
      </c>
      <c r="Y66" s="378">
        <f t="shared" si="28"/>
        <v>14862</v>
      </c>
      <c r="Z66" s="378">
        <f t="shared" si="28"/>
        <v>14862</v>
      </c>
      <c r="AA66" s="378">
        <f t="shared" si="28"/>
        <v>14862</v>
      </c>
      <c r="AB66" s="378">
        <f t="shared" si="28"/>
        <v>14862</v>
      </c>
      <c r="AC66" s="378">
        <f t="shared" si="28"/>
        <v>14862</v>
      </c>
      <c r="AD66" s="378">
        <f>+AC66</f>
        <v>14862</v>
      </c>
      <c r="AE66" s="378">
        <f>$I66-SUM($K66:AD66)</f>
        <v>11573.789999999979</v>
      </c>
      <c r="AF66" s="378">
        <f>$I66-SUM($K66:AE66)</f>
        <v>0</v>
      </c>
      <c r="AG66" s="378">
        <f>$I66-SUM($K66:AF66)</f>
        <v>0</v>
      </c>
      <c r="AH66" s="378">
        <f>$I66-SUM($K66:AG66)</f>
        <v>0</v>
      </c>
      <c r="AI66" s="378">
        <f>$I66-SUM($K66:AH66)</f>
        <v>0</v>
      </c>
      <c r="AJ66" s="378">
        <f>$I66-SUM($K66:AI66)</f>
        <v>0</v>
      </c>
      <c r="AK66" s="378">
        <f>$I66-SUM($K66:AJ66)</f>
        <v>0</v>
      </c>
      <c r="AL66" s="378">
        <f>$I66-SUM($K66:AK66)</f>
        <v>0</v>
      </c>
      <c r="AM66" s="378">
        <f>$I66-SUM($K66:AL66)</f>
        <v>0</v>
      </c>
      <c r="AN66" s="378">
        <f>$I66-SUM($K66:AM66)</f>
        <v>0</v>
      </c>
      <c r="AO66" s="378">
        <f>$I66-SUM($K66:AN66)</f>
        <v>0</v>
      </c>
      <c r="AQ66" s="378">
        <f>I66-SUM(K66:AP66)</f>
        <v>0</v>
      </c>
    </row>
    <row r="67" spans="3:43" x14ac:dyDescent="0.2">
      <c r="C67" s="378" t="s">
        <v>277</v>
      </c>
      <c r="E67" s="378">
        <v>131002.14</v>
      </c>
      <c r="G67" s="378">
        <v>121085.79</v>
      </c>
      <c r="I67" s="378">
        <v>9916.3500000000058</v>
      </c>
      <c r="J67" s="378">
        <f>E67/K67</f>
        <v>59.519373012267152</v>
      </c>
      <c r="K67" s="378">
        <v>2201</v>
      </c>
      <c r="L67" s="378">
        <f>+K67</f>
        <v>2201</v>
      </c>
      <c r="M67" s="378">
        <f>+L67</f>
        <v>2201</v>
      </c>
      <c r="N67" s="378">
        <f>+M67</f>
        <v>2201</v>
      </c>
      <c r="O67" s="378">
        <f>$I67-SUM($K67:N67)</f>
        <v>1112.3500000000058</v>
      </c>
      <c r="P67" s="378">
        <f>$I67-SUM($K67:O67)</f>
        <v>0</v>
      </c>
      <c r="Q67" s="378">
        <f>$I67-SUM($K67:P67)</f>
        <v>0</v>
      </c>
      <c r="R67" s="378">
        <f>$I67-SUM($K67:Q67)</f>
        <v>0</v>
      </c>
      <c r="S67" s="378">
        <f>$I67-SUM($K67:R67)</f>
        <v>0</v>
      </c>
      <c r="T67" s="378">
        <f>$I67-SUM($K67:S67)</f>
        <v>0</v>
      </c>
      <c r="U67" s="378">
        <f>$I67-SUM($K67:T67)</f>
        <v>0</v>
      </c>
      <c r="V67" s="378">
        <f>$I67-SUM($K67:U67)</f>
        <v>0</v>
      </c>
      <c r="W67" s="378">
        <f>$I67-SUM($K67:V67)</f>
        <v>0</v>
      </c>
      <c r="X67" s="378">
        <f>$I67-SUM($K67:W67)</f>
        <v>0</v>
      </c>
      <c r="Y67" s="378">
        <f>$I67-SUM($K67:X67)</f>
        <v>0</v>
      </c>
      <c r="Z67" s="378">
        <f>$I67-SUM($K67:Y67)</f>
        <v>0</v>
      </c>
      <c r="AA67" s="378">
        <f>$I67-SUM($K67:Z67)</f>
        <v>0</v>
      </c>
      <c r="AB67" s="378">
        <f>$I67-SUM($K67:AA67)</f>
        <v>0</v>
      </c>
      <c r="AC67" s="378">
        <f>$I67-SUM($K67:AB67)</f>
        <v>0</v>
      </c>
      <c r="AD67" s="378">
        <f>$I67-SUM($K67:AC67)</f>
        <v>0</v>
      </c>
      <c r="AE67" s="378">
        <f>$I67-SUM($K67:AD67)</f>
        <v>0</v>
      </c>
      <c r="AF67" s="378">
        <f>$I67-SUM($K67:AE67)</f>
        <v>0</v>
      </c>
      <c r="AG67" s="378">
        <f>$I67-SUM($K67:AF67)</f>
        <v>0</v>
      </c>
      <c r="AH67" s="378">
        <f>$I67-SUM($K67:AG67)</f>
        <v>0</v>
      </c>
      <c r="AI67" s="378">
        <f>$I67-SUM($K67:AH67)</f>
        <v>0</v>
      </c>
      <c r="AJ67" s="378">
        <f>$I67-SUM($K67:AI67)</f>
        <v>0</v>
      </c>
      <c r="AK67" s="378">
        <f>$I67-SUM($K67:AJ67)</f>
        <v>0</v>
      </c>
      <c r="AL67" s="378">
        <f>$I67-SUM($K67:AK67)</f>
        <v>0</v>
      </c>
      <c r="AM67" s="378">
        <f>$I67-SUM($K67:AL67)</f>
        <v>0</v>
      </c>
      <c r="AN67" s="378">
        <f>$I67-SUM($K67:AM67)</f>
        <v>0</v>
      </c>
      <c r="AO67" s="378">
        <f>$I67-SUM($K67:AN67)</f>
        <v>0</v>
      </c>
      <c r="AQ67" s="378">
        <f>I67-SUM(K67:AP67)</f>
        <v>0</v>
      </c>
    </row>
    <row r="69" spans="3:43" ht="13.5" thickBot="1" x14ac:dyDescent="0.25">
      <c r="C69" s="378" t="s">
        <v>278</v>
      </c>
      <c r="E69" s="395">
        <f>SUM(E64:E68)</f>
        <v>2697834.1300000004</v>
      </c>
      <c r="G69" s="395">
        <f>SUM(G64:G68)</f>
        <v>1426367.07</v>
      </c>
      <c r="I69" s="395">
        <f>SUM(I64:I68)</f>
        <v>1271467.06</v>
      </c>
      <c r="J69" s="378">
        <f>E69/K69</f>
        <v>43.555604294478535</v>
      </c>
      <c r="K69" s="395">
        <f t="shared" ref="K69:AO69" si="29">SUM(K64:K68)</f>
        <v>61940</v>
      </c>
      <c r="L69" s="395">
        <f t="shared" si="29"/>
        <v>61940</v>
      </c>
      <c r="M69" s="395">
        <f t="shared" si="29"/>
        <v>61940</v>
      </c>
      <c r="N69" s="395">
        <f t="shared" si="29"/>
        <v>61940</v>
      </c>
      <c r="O69" s="395">
        <f t="shared" si="29"/>
        <v>60851.350000000006</v>
      </c>
      <c r="P69" s="395">
        <f t="shared" si="29"/>
        <v>59739</v>
      </c>
      <c r="Q69" s="395">
        <f t="shared" si="29"/>
        <v>59739</v>
      </c>
      <c r="R69" s="395">
        <f t="shared" si="29"/>
        <v>59739</v>
      </c>
      <c r="S69" s="395">
        <f t="shared" si="29"/>
        <v>59739</v>
      </c>
      <c r="T69" s="395">
        <f t="shared" si="29"/>
        <v>59739</v>
      </c>
      <c r="U69" s="395">
        <f t="shared" si="29"/>
        <v>59739</v>
      </c>
      <c r="V69" s="395">
        <f t="shared" si="29"/>
        <v>59739</v>
      </c>
      <c r="W69" s="395">
        <f t="shared" si="29"/>
        <v>59739</v>
      </c>
      <c r="X69" s="395">
        <f t="shared" si="29"/>
        <v>59739</v>
      </c>
      <c r="Y69" s="395">
        <f t="shared" si="29"/>
        <v>59739</v>
      </c>
      <c r="Z69" s="395">
        <f t="shared" si="29"/>
        <v>59739</v>
      </c>
      <c r="AA69" s="395">
        <f t="shared" si="29"/>
        <v>59739</v>
      </c>
      <c r="AB69" s="395">
        <f t="shared" si="29"/>
        <v>59739</v>
      </c>
      <c r="AC69" s="395">
        <f t="shared" si="29"/>
        <v>59739</v>
      </c>
      <c r="AD69" s="395">
        <f t="shared" si="29"/>
        <v>49176.199999999953</v>
      </c>
      <c r="AE69" s="395">
        <f t="shared" si="29"/>
        <v>16179.789999999979</v>
      </c>
      <c r="AF69" s="395">
        <f t="shared" si="29"/>
        <v>4606</v>
      </c>
      <c r="AG69" s="395">
        <f t="shared" si="29"/>
        <v>4606</v>
      </c>
      <c r="AH69" s="395">
        <f t="shared" si="29"/>
        <v>4606</v>
      </c>
      <c r="AI69" s="395">
        <f t="shared" si="29"/>
        <v>4606</v>
      </c>
      <c r="AJ69" s="395">
        <f t="shared" si="29"/>
        <v>4606</v>
      </c>
      <c r="AK69" s="395">
        <f t="shared" si="29"/>
        <v>4606</v>
      </c>
      <c r="AL69" s="395">
        <f t="shared" si="29"/>
        <v>4606</v>
      </c>
      <c r="AM69" s="395">
        <f t="shared" si="29"/>
        <v>4606</v>
      </c>
      <c r="AN69" s="395">
        <f t="shared" si="29"/>
        <v>4606</v>
      </c>
      <c r="AO69" s="395">
        <f t="shared" si="29"/>
        <v>4606</v>
      </c>
      <c r="AQ69" s="395">
        <f>SUM(AQ64:AQ68)</f>
        <v>15093.720000000001</v>
      </c>
    </row>
    <row r="70" spans="3:43" ht="13.5" thickTop="1" x14ac:dyDescent="0.2"/>
    <row r="71" spans="3:43" ht="13.5" thickBot="1" x14ac:dyDescent="0.25">
      <c r="C71" s="383" t="s">
        <v>279</v>
      </c>
      <c r="D71" s="379"/>
      <c r="E71" s="389">
        <v>1701565.31</v>
      </c>
      <c r="F71" s="379"/>
      <c r="G71" s="389">
        <v>462851.05</v>
      </c>
      <c r="H71" s="379"/>
      <c r="I71" s="390">
        <v>1238714.26</v>
      </c>
      <c r="J71" s="378">
        <f>E71/K71</f>
        <v>59.524428391520324</v>
      </c>
      <c r="K71" s="389">
        <v>28586</v>
      </c>
      <c r="L71" s="391">
        <f t="shared" ref="L71:AO71" si="30">+K71</f>
        <v>28586</v>
      </c>
      <c r="M71" s="391">
        <f t="shared" si="30"/>
        <v>28586</v>
      </c>
      <c r="N71" s="391">
        <f t="shared" si="30"/>
        <v>28586</v>
      </c>
      <c r="O71" s="391">
        <f t="shared" si="30"/>
        <v>28586</v>
      </c>
      <c r="P71" s="391">
        <f t="shared" si="30"/>
        <v>28586</v>
      </c>
      <c r="Q71" s="391">
        <f t="shared" si="30"/>
        <v>28586</v>
      </c>
      <c r="R71" s="391">
        <f t="shared" si="30"/>
        <v>28586</v>
      </c>
      <c r="S71" s="391">
        <f t="shared" si="30"/>
        <v>28586</v>
      </c>
      <c r="T71" s="391">
        <f t="shared" si="30"/>
        <v>28586</v>
      </c>
      <c r="U71" s="391">
        <f t="shared" si="30"/>
        <v>28586</v>
      </c>
      <c r="V71" s="391">
        <f t="shared" si="30"/>
        <v>28586</v>
      </c>
      <c r="W71" s="391">
        <f t="shared" si="30"/>
        <v>28586</v>
      </c>
      <c r="X71" s="391">
        <f t="shared" si="30"/>
        <v>28586</v>
      </c>
      <c r="Y71" s="391">
        <f t="shared" si="30"/>
        <v>28586</v>
      </c>
      <c r="Z71" s="391">
        <f t="shared" si="30"/>
        <v>28586</v>
      </c>
      <c r="AA71" s="391">
        <f t="shared" si="30"/>
        <v>28586</v>
      </c>
      <c r="AB71" s="391">
        <f t="shared" si="30"/>
        <v>28586</v>
      </c>
      <c r="AC71" s="391">
        <f t="shared" si="30"/>
        <v>28586</v>
      </c>
      <c r="AD71" s="391">
        <f t="shared" si="30"/>
        <v>28586</v>
      </c>
      <c r="AE71" s="391">
        <f t="shared" si="30"/>
        <v>28586</v>
      </c>
      <c r="AF71" s="391">
        <f t="shared" si="30"/>
        <v>28586</v>
      </c>
      <c r="AG71" s="391">
        <f t="shared" si="30"/>
        <v>28586</v>
      </c>
      <c r="AH71" s="391">
        <f t="shared" si="30"/>
        <v>28586</v>
      </c>
      <c r="AI71" s="391">
        <f t="shared" si="30"/>
        <v>28586</v>
      </c>
      <c r="AJ71" s="391">
        <f t="shared" si="30"/>
        <v>28586</v>
      </c>
      <c r="AK71" s="391">
        <f t="shared" si="30"/>
        <v>28586</v>
      </c>
      <c r="AL71" s="391">
        <f t="shared" si="30"/>
        <v>28586</v>
      </c>
      <c r="AM71" s="391">
        <f t="shared" si="30"/>
        <v>28586</v>
      </c>
      <c r="AN71" s="391">
        <f t="shared" si="30"/>
        <v>28586</v>
      </c>
      <c r="AO71" s="391">
        <f t="shared" si="30"/>
        <v>28586</v>
      </c>
      <c r="AQ71" s="391">
        <f>I71-SUM(K71:AP71)</f>
        <v>352548.26</v>
      </c>
    </row>
    <row r="72" spans="3:43" ht="13.5" thickTop="1" x14ac:dyDescent="0.2"/>
    <row r="73" spans="3:43" ht="13.5" thickBot="1" x14ac:dyDescent="0.25">
      <c r="C73" s="383" t="s">
        <v>280</v>
      </c>
      <c r="D73" s="379"/>
      <c r="E73" s="389">
        <v>1790576.07</v>
      </c>
      <c r="F73" s="379"/>
      <c r="G73" s="389">
        <v>966398.98</v>
      </c>
      <c r="H73" s="379"/>
      <c r="I73" s="390">
        <v>824177.09</v>
      </c>
      <c r="J73" s="378">
        <f>E73/K73</f>
        <v>34.965359695372001</v>
      </c>
      <c r="K73" s="389">
        <v>51210</v>
      </c>
      <c r="L73" s="391">
        <f t="shared" ref="L73:Z73" si="31">+K73</f>
        <v>51210</v>
      </c>
      <c r="M73" s="391">
        <f t="shared" si="31"/>
        <v>51210</v>
      </c>
      <c r="N73" s="391">
        <f t="shared" si="31"/>
        <v>51210</v>
      </c>
      <c r="O73" s="391">
        <f t="shared" si="31"/>
        <v>51210</v>
      </c>
      <c r="P73" s="391">
        <f t="shared" si="31"/>
        <v>51210</v>
      </c>
      <c r="Q73" s="391">
        <f t="shared" si="31"/>
        <v>51210</v>
      </c>
      <c r="R73" s="391">
        <f t="shared" si="31"/>
        <v>51210</v>
      </c>
      <c r="S73" s="391">
        <f t="shared" si="31"/>
        <v>51210</v>
      </c>
      <c r="T73" s="391">
        <f t="shared" si="31"/>
        <v>51210</v>
      </c>
      <c r="U73" s="391">
        <f t="shared" si="31"/>
        <v>51210</v>
      </c>
      <c r="V73" s="391">
        <f t="shared" si="31"/>
        <v>51210</v>
      </c>
      <c r="W73" s="391">
        <f t="shared" si="31"/>
        <v>51210</v>
      </c>
      <c r="X73" s="391">
        <f t="shared" si="31"/>
        <v>51210</v>
      </c>
      <c r="Y73" s="391">
        <f t="shared" si="31"/>
        <v>51210</v>
      </c>
      <c r="Z73" s="391">
        <f t="shared" si="31"/>
        <v>51210</v>
      </c>
      <c r="AA73" s="391">
        <f>$I73-SUM($K73:Z73)</f>
        <v>4817.0899999999674</v>
      </c>
      <c r="AB73" s="391">
        <f>$I73-SUM($K73:AA73)</f>
        <v>0</v>
      </c>
      <c r="AC73" s="391">
        <f>$I73-SUM($K73:AB73)</f>
        <v>0</v>
      </c>
      <c r="AD73" s="391">
        <f>$I73-SUM($K73:AC73)</f>
        <v>0</v>
      </c>
      <c r="AE73" s="391">
        <f>$I73-SUM($K73:AD73)</f>
        <v>0</v>
      </c>
      <c r="AF73" s="391">
        <f>$I73-SUM($K73:AE73)</f>
        <v>0</v>
      </c>
      <c r="AG73" s="391">
        <f>$I73-SUM($K73:AF73)</f>
        <v>0</v>
      </c>
      <c r="AH73" s="391">
        <f>$I73-SUM($K73:AG73)</f>
        <v>0</v>
      </c>
      <c r="AI73" s="391">
        <f>$I73-SUM($K73:AH73)</f>
        <v>0</v>
      </c>
      <c r="AJ73" s="391">
        <f>$I73-SUM($K73:AI73)</f>
        <v>0</v>
      </c>
      <c r="AK73" s="391">
        <f>$I73-SUM($K73:AJ73)</f>
        <v>0</v>
      </c>
      <c r="AL73" s="391">
        <f>$I73-SUM($K73:AK73)</f>
        <v>0</v>
      </c>
      <c r="AM73" s="391">
        <f>$I73-SUM($K73:AL73)</f>
        <v>0</v>
      </c>
      <c r="AN73" s="391">
        <f>$I73-SUM($K73:AM73)</f>
        <v>0</v>
      </c>
      <c r="AO73" s="391">
        <f>$I73-SUM($K73:AN73)</f>
        <v>0</v>
      </c>
      <c r="AQ73" s="391">
        <f>I73-SUM(K73:AP73)</f>
        <v>0</v>
      </c>
    </row>
    <row r="74" spans="3:43" ht="13.5" thickTop="1" x14ac:dyDescent="0.2"/>
    <row r="75" spans="3:43" ht="13.5" thickBot="1" x14ac:dyDescent="0.25">
      <c r="C75" s="383" t="s">
        <v>281</v>
      </c>
      <c r="D75" s="379"/>
      <c r="E75" s="389">
        <v>333253.61</v>
      </c>
      <c r="F75" s="379"/>
      <c r="G75" s="389">
        <v>202631.34</v>
      </c>
      <c r="H75" s="379"/>
      <c r="I75" s="390">
        <v>130622.27</v>
      </c>
      <c r="J75" s="378">
        <f>E75/K75</f>
        <v>34.965230301122652</v>
      </c>
      <c r="K75" s="389">
        <v>9531</v>
      </c>
      <c r="L75" s="391">
        <f t="shared" ref="L75:W75" si="32">+K75</f>
        <v>9531</v>
      </c>
      <c r="M75" s="391">
        <f t="shared" si="32"/>
        <v>9531</v>
      </c>
      <c r="N75" s="391">
        <f t="shared" si="32"/>
        <v>9531</v>
      </c>
      <c r="O75" s="391">
        <f t="shared" si="32"/>
        <v>9531</v>
      </c>
      <c r="P75" s="391">
        <f t="shared" si="32"/>
        <v>9531</v>
      </c>
      <c r="Q75" s="391">
        <f t="shared" si="32"/>
        <v>9531</v>
      </c>
      <c r="R75" s="391">
        <f t="shared" si="32"/>
        <v>9531</v>
      </c>
      <c r="S75" s="391">
        <f t="shared" si="32"/>
        <v>9531</v>
      </c>
      <c r="T75" s="391">
        <f t="shared" si="32"/>
        <v>9531</v>
      </c>
      <c r="U75" s="391">
        <f t="shared" si="32"/>
        <v>9531</v>
      </c>
      <c r="V75" s="391">
        <f t="shared" si="32"/>
        <v>9531</v>
      </c>
      <c r="W75" s="391">
        <f t="shared" si="32"/>
        <v>9531</v>
      </c>
      <c r="X75" s="391">
        <f>$I75-SUM($K75:W75)</f>
        <v>6719.2700000000041</v>
      </c>
      <c r="Y75" s="391">
        <f>$I75-SUM($K75:X75)</f>
        <v>0</v>
      </c>
      <c r="Z75" s="391">
        <f>$I75-SUM($K75:Y75)</f>
        <v>0</v>
      </c>
      <c r="AA75" s="391">
        <f>$I75-SUM($K75:Z75)</f>
        <v>0</v>
      </c>
      <c r="AB75" s="391">
        <f>$I75-SUM($K75:AA75)</f>
        <v>0</v>
      </c>
      <c r="AC75" s="391">
        <f>$I75-SUM($K75:AB75)</f>
        <v>0</v>
      </c>
      <c r="AD75" s="391">
        <f>$I75-SUM($K75:AC75)</f>
        <v>0</v>
      </c>
      <c r="AE75" s="391">
        <f>$I75-SUM($K75:AD75)</f>
        <v>0</v>
      </c>
      <c r="AF75" s="391">
        <f>$I75-SUM($K75:AE75)</f>
        <v>0</v>
      </c>
      <c r="AG75" s="391">
        <f>$I75-SUM($K75:AF75)</f>
        <v>0</v>
      </c>
      <c r="AH75" s="391">
        <f>$I75-SUM($K75:AG75)</f>
        <v>0</v>
      </c>
      <c r="AI75" s="391">
        <f>$I75-SUM($K75:AH75)</f>
        <v>0</v>
      </c>
      <c r="AJ75" s="391">
        <f>$I75-SUM($K75:AI75)</f>
        <v>0</v>
      </c>
      <c r="AK75" s="391">
        <f>$I75-SUM($K75:AJ75)</f>
        <v>0</v>
      </c>
      <c r="AL75" s="391">
        <f>$I75-SUM($K75:AK75)</f>
        <v>0</v>
      </c>
      <c r="AM75" s="391">
        <f>$I75-SUM($K75:AL75)</f>
        <v>0</v>
      </c>
      <c r="AN75" s="391">
        <f>$I75-SUM($K75:AM75)</f>
        <v>0</v>
      </c>
      <c r="AO75" s="391">
        <f>$I75-SUM($K75:AN75)</f>
        <v>0</v>
      </c>
      <c r="AQ75" s="391">
        <f>I75-SUM(K75:AP75)</f>
        <v>0</v>
      </c>
    </row>
    <row r="76" spans="3:43" ht="13.5" thickTop="1" x14ac:dyDescent="0.2"/>
    <row r="77" spans="3:43" ht="13.5" thickBot="1" x14ac:dyDescent="0.25">
      <c r="C77" s="383" t="s">
        <v>282</v>
      </c>
      <c r="D77" s="379"/>
      <c r="E77" s="389">
        <v>3150960.7</v>
      </c>
      <c r="F77" s="379"/>
      <c r="G77" s="389">
        <v>294928.84000000003</v>
      </c>
      <c r="H77" s="379"/>
      <c r="I77" s="390">
        <v>2856031.86</v>
      </c>
      <c r="J77" s="378">
        <f>E77/K77</f>
        <v>59.523966676741729</v>
      </c>
      <c r="K77" s="389">
        <v>52936</v>
      </c>
      <c r="L77" s="391">
        <f t="shared" ref="L77:AO77" si="33">+K77</f>
        <v>52936</v>
      </c>
      <c r="M77" s="391">
        <f t="shared" si="33"/>
        <v>52936</v>
      </c>
      <c r="N77" s="391">
        <f t="shared" si="33"/>
        <v>52936</v>
      </c>
      <c r="O77" s="391">
        <f t="shared" si="33"/>
        <v>52936</v>
      </c>
      <c r="P77" s="391">
        <f t="shared" si="33"/>
        <v>52936</v>
      </c>
      <c r="Q77" s="391">
        <f t="shared" si="33"/>
        <v>52936</v>
      </c>
      <c r="R77" s="391">
        <f t="shared" si="33"/>
        <v>52936</v>
      </c>
      <c r="S77" s="391">
        <f t="shared" si="33"/>
        <v>52936</v>
      </c>
      <c r="T77" s="391">
        <f t="shared" si="33"/>
        <v>52936</v>
      </c>
      <c r="U77" s="391">
        <f t="shared" si="33"/>
        <v>52936</v>
      </c>
      <c r="V77" s="391">
        <f t="shared" si="33"/>
        <v>52936</v>
      </c>
      <c r="W77" s="391">
        <f t="shared" si="33"/>
        <v>52936</v>
      </c>
      <c r="X77" s="391">
        <f t="shared" si="33"/>
        <v>52936</v>
      </c>
      <c r="Y77" s="391">
        <f t="shared" si="33"/>
        <v>52936</v>
      </c>
      <c r="Z77" s="391">
        <f t="shared" si="33"/>
        <v>52936</v>
      </c>
      <c r="AA77" s="391">
        <f t="shared" si="33"/>
        <v>52936</v>
      </c>
      <c r="AB77" s="391">
        <f t="shared" si="33"/>
        <v>52936</v>
      </c>
      <c r="AC77" s="391">
        <f t="shared" si="33"/>
        <v>52936</v>
      </c>
      <c r="AD77" s="391">
        <f t="shared" si="33"/>
        <v>52936</v>
      </c>
      <c r="AE77" s="391">
        <f t="shared" si="33"/>
        <v>52936</v>
      </c>
      <c r="AF77" s="391">
        <f t="shared" si="33"/>
        <v>52936</v>
      </c>
      <c r="AG77" s="391">
        <f t="shared" si="33"/>
        <v>52936</v>
      </c>
      <c r="AH77" s="391">
        <f t="shared" si="33"/>
        <v>52936</v>
      </c>
      <c r="AI77" s="391">
        <f t="shared" si="33"/>
        <v>52936</v>
      </c>
      <c r="AJ77" s="391">
        <f t="shared" si="33"/>
        <v>52936</v>
      </c>
      <c r="AK77" s="391">
        <f t="shared" si="33"/>
        <v>52936</v>
      </c>
      <c r="AL77" s="391">
        <f t="shared" si="33"/>
        <v>52936</v>
      </c>
      <c r="AM77" s="391">
        <f t="shared" si="33"/>
        <v>52936</v>
      </c>
      <c r="AN77" s="391">
        <f t="shared" si="33"/>
        <v>52936</v>
      </c>
      <c r="AO77" s="391">
        <f t="shared" si="33"/>
        <v>52936</v>
      </c>
      <c r="AQ77" s="391">
        <f>I77-SUM(K77:AP77)</f>
        <v>1215015.8599999999</v>
      </c>
    </row>
    <row r="78" spans="3:43" ht="13.5" thickTop="1" x14ac:dyDescent="0.2"/>
    <row r="79" spans="3:43" ht="13.5" thickBot="1" x14ac:dyDescent="0.25">
      <c r="C79" s="383" t="s">
        <v>283</v>
      </c>
      <c r="D79" s="379"/>
      <c r="E79" s="389">
        <v>2260582.98</v>
      </c>
      <c r="F79" s="379"/>
      <c r="G79" s="389">
        <v>540594.73</v>
      </c>
      <c r="H79" s="379"/>
      <c r="I79" s="390">
        <v>1719988.25</v>
      </c>
      <c r="J79" s="378">
        <f>E79/K79</f>
        <v>34.964858243236975</v>
      </c>
      <c r="K79" s="389">
        <v>64653</v>
      </c>
      <c r="L79" s="391">
        <f t="shared" ref="L79:AJ79" si="34">+K79</f>
        <v>64653</v>
      </c>
      <c r="M79" s="391">
        <f t="shared" si="34"/>
        <v>64653</v>
      </c>
      <c r="N79" s="391">
        <f t="shared" si="34"/>
        <v>64653</v>
      </c>
      <c r="O79" s="391">
        <f t="shared" si="34"/>
        <v>64653</v>
      </c>
      <c r="P79" s="391">
        <f t="shared" si="34"/>
        <v>64653</v>
      </c>
      <c r="Q79" s="391">
        <f t="shared" si="34"/>
        <v>64653</v>
      </c>
      <c r="R79" s="391">
        <f t="shared" si="34"/>
        <v>64653</v>
      </c>
      <c r="S79" s="391">
        <f t="shared" si="34"/>
        <v>64653</v>
      </c>
      <c r="T79" s="391">
        <f t="shared" si="34"/>
        <v>64653</v>
      </c>
      <c r="U79" s="391">
        <f t="shared" si="34"/>
        <v>64653</v>
      </c>
      <c r="V79" s="391">
        <f t="shared" si="34"/>
        <v>64653</v>
      </c>
      <c r="W79" s="391">
        <f t="shared" si="34"/>
        <v>64653</v>
      </c>
      <c r="X79" s="391">
        <f t="shared" si="34"/>
        <v>64653</v>
      </c>
      <c r="Y79" s="391">
        <f t="shared" si="34"/>
        <v>64653</v>
      </c>
      <c r="Z79" s="391">
        <f t="shared" si="34"/>
        <v>64653</v>
      </c>
      <c r="AA79" s="391">
        <f t="shared" si="34"/>
        <v>64653</v>
      </c>
      <c r="AB79" s="391">
        <f t="shared" si="34"/>
        <v>64653</v>
      </c>
      <c r="AC79" s="391">
        <f t="shared" si="34"/>
        <v>64653</v>
      </c>
      <c r="AD79" s="391">
        <f t="shared" si="34"/>
        <v>64653</v>
      </c>
      <c r="AE79" s="391">
        <f t="shared" si="34"/>
        <v>64653</v>
      </c>
      <c r="AF79" s="391">
        <f t="shared" si="34"/>
        <v>64653</v>
      </c>
      <c r="AG79" s="391">
        <f t="shared" si="34"/>
        <v>64653</v>
      </c>
      <c r="AH79" s="391">
        <f t="shared" si="34"/>
        <v>64653</v>
      </c>
      <c r="AI79" s="391">
        <f t="shared" si="34"/>
        <v>64653</v>
      </c>
      <c r="AJ79" s="391">
        <f t="shared" si="34"/>
        <v>64653</v>
      </c>
      <c r="AK79" s="391">
        <f>$I79-SUM($K79:AJ79)</f>
        <v>39010.25</v>
      </c>
      <c r="AL79" s="391">
        <f>$I79-SUM($K79:AK79)</f>
        <v>0</v>
      </c>
      <c r="AM79" s="391">
        <f>$I79-SUM($K79:AL79)</f>
        <v>0</v>
      </c>
      <c r="AN79" s="391">
        <f>$I79-SUM($K79:AM79)</f>
        <v>0</v>
      </c>
      <c r="AO79" s="391">
        <f>$I79-SUM($K79:AN79)</f>
        <v>0</v>
      </c>
      <c r="AQ79" s="391">
        <f>I79-SUM(K79:AP79)</f>
        <v>0</v>
      </c>
    </row>
    <row r="80" spans="3:43" ht="13.5" thickTop="1" x14ac:dyDescent="0.2"/>
    <row r="81" spans="3:43" ht="13.5" thickBot="1" x14ac:dyDescent="0.25">
      <c r="C81" s="383" t="s">
        <v>284</v>
      </c>
      <c r="D81" s="379"/>
      <c r="E81" s="389">
        <v>10592322</v>
      </c>
      <c r="F81" s="379"/>
      <c r="G81" s="389">
        <v>1056315.42</v>
      </c>
      <c r="H81" s="379"/>
      <c r="I81" s="390">
        <v>9536006.5800000001</v>
      </c>
      <c r="J81" s="378">
        <f>E81/K81</f>
        <v>59.52381273496637</v>
      </c>
      <c r="K81" s="389">
        <v>177951</v>
      </c>
      <c r="L81" s="391">
        <f t="shared" ref="L81:AO81" si="35">+K81</f>
        <v>177951</v>
      </c>
      <c r="M81" s="391">
        <f t="shared" si="35"/>
        <v>177951</v>
      </c>
      <c r="N81" s="391">
        <f t="shared" si="35"/>
        <v>177951</v>
      </c>
      <c r="O81" s="391">
        <f t="shared" si="35"/>
        <v>177951</v>
      </c>
      <c r="P81" s="391">
        <f t="shared" si="35"/>
        <v>177951</v>
      </c>
      <c r="Q81" s="391">
        <f t="shared" si="35"/>
        <v>177951</v>
      </c>
      <c r="R81" s="391">
        <f t="shared" si="35"/>
        <v>177951</v>
      </c>
      <c r="S81" s="391">
        <f t="shared" si="35"/>
        <v>177951</v>
      </c>
      <c r="T81" s="391">
        <f t="shared" si="35"/>
        <v>177951</v>
      </c>
      <c r="U81" s="391">
        <f t="shared" si="35"/>
        <v>177951</v>
      </c>
      <c r="V81" s="391">
        <f t="shared" si="35"/>
        <v>177951</v>
      </c>
      <c r="W81" s="391">
        <f t="shared" si="35"/>
        <v>177951</v>
      </c>
      <c r="X81" s="391">
        <f t="shared" si="35"/>
        <v>177951</v>
      </c>
      <c r="Y81" s="391">
        <f t="shared" si="35"/>
        <v>177951</v>
      </c>
      <c r="Z81" s="391">
        <f t="shared" si="35"/>
        <v>177951</v>
      </c>
      <c r="AA81" s="391">
        <f t="shared" si="35"/>
        <v>177951</v>
      </c>
      <c r="AB81" s="391">
        <f t="shared" si="35"/>
        <v>177951</v>
      </c>
      <c r="AC81" s="391">
        <f t="shared" si="35"/>
        <v>177951</v>
      </c>
      <c r="AD81" s="391">
        <f t="shared" si="35"/>
        <v>177951</v>
      </c>
      <c r="AE81" s="391">
        <f t="shared" si="35"/>
        <v>177951</v>
      </c>
      <c r="AF81" s="391">
        <f t="shared" si="35"/>
        <v>177951</v>
      </c>
      <c r="AG81" s="391">
        <f t="shared" si="35"/>
        <v>177951</v>
      </c>
      <c r="AH81" s="391">
        <f t="shared" si="35"/>
        <v>177951</v>
      </c>
      <c r="AI81" s="391">
        <f t="shared" si="35"/>
        <v>177951</v>
      </c>
      <c r="AJ81" s="391">
        <f t="shared" si="35"/>
        <v>177951</v>
      </c>
      <c r="AK81" s="391">
        <f t="shared" si="35"/>
        <v>177951</v>
      </c>
      <c r="AL81" s="391">
        <f t="shared" si="35"/>
        <v>177951</v>
      </c>
      <c r="AM81" s="391">
        <f t="shared" si="35"/>
        <v>177951</v>
      </c>
      <c r="AN81" s="391">
        <f t="shared" si="35"/>
        <v>177951</v>
      </c>
      <c r="AO81" s="391">
        <f t="shared" si="35"/>
        <v>177951</v>
      </c>
      <c r="AQ81" s="391">
        <f>I81-SUM(K81:AP81)</f>
        <v>4019525.58</v>
      </c>
    </row>
    <row r="82" spans="3:43" ht="13.5" thickTop="1" x14ac:dyDescent="0.2">
      <c r="AQ82" s="378">
        <f>I82-SUM(K82:AP82)</f>
        <v>0</v>
      </c>
    </row>
    <row r="83" spans="3:43" ht="13.5" thickBot="1" x14ac:dyDescent="0.25">
      <c r="C83" s="378" t="s">
        <v>285</v>
      </c>
      <c r="E83" s="395">
        <f>+E62+E69+E71+E73+E75+E77+E79+E81</f>
        <v>25603964.830000002</v>
      </c>
      <c r="G83" s="395">
        <f>+G62+G69+G71+G73+G75+G77+G79+G81</f>
        <v>6687122.8900000006</v>
      </c>
      <c r="I83" s="395">
        <f>+I62+I69+I71+I73+I75+I77+I79+I81</f>
        <v>18916841.939999998</v>
      </c>
      <c r="J83" s="378">
        <f>E83/K83</f>
        <v>51.001170913118223</v>
      </c>
      <c r="K83" s="395">
        <f t="shared" ref="K83:AO83" si="36">+K62+K69+K71+K73+K75+K77+K79+K81</f>
        <v>502027</v>
      </c>
      <c r="L83" s="395">
        <f t="shared" si="36"/>
        <v>502027</v>
      </c>
      <c r="M83" s="395">
        <f t="shared" si="36"/>
        <v>502027</v>
      </c>
      <c r="N83" s="395">
        <f t="shared" si="36"/>
        <v>502027</v>
      </c>
      <c r="O83" s="395">
        <f t="shared" si="36"/>
        <v>500938.35</v>
      </c>
      <c r="P83" s="395">
        <f t="shared" si="36"/>
        <v>499826</v>
      </c>
      <c r="Q83" s="395">
        <f t="shared" si="36"/>
        <v>499826</v>
      </c>
      <c r="R83" s="395">
        <f t="shared" si="36"/>
        <v>499826</v>
      </c>
      <c r="S83" s="395">
        <f t="shared" si="36"/>
        <v>499826</v>
      </c>
      <c r="T83" s="395">
        <f t="shared" si="36"/>
        <v>495781.36</v>
      </c>
      <c r="U83" s="395">
        <f t="shared" si="36"/>
        <v>491274</v>
      </c>
      <c r="V83" s="395">
        <f t="shared" si="36"/>
        <v>491274</v>
      </c>
      <c r="W83" s="395">
        <f t="shared" si="36"/>
        <v>491274</v>
      </c>
      <c r="X83" s="395">
        <f t="shared" si="36"/>
        <v>488462.27</v>
      </c>
      <c r="Y83" s="395">
        <f t="shared" si="36"/>
        <v>481743</v>
      </c>
      <c r="Z83" s="395">
        <f t="shared" si="36"/>
        <v>481743</v>
      </c>
      <c r="AA83" s="395">
        <f t="shared" si="36"/>
        <v>435350.08999999997</v>
      </c>
      <c r="AB83" s="395">
        <f t="shared" si="36"/>
        <v>430533</v>
      </c>
      <c r="AC83" s="395">
        <f t="shared" si="36"/>
        <v>430533</v>
      </c>
      <c r="AD83" s="395">
        <f t="shared" si="36"/>
        <v>419970.19999999995</v>
      </c>
      <c r="AE83" s="395">
        <f t="shared" si="36"/>
        <v>386973.79</v>
      </c>
      <c r="AF83" s="395">
        <f t="shared" si="36"/>
        <v>375400</v>
      </c>
      <c r="AG83" s="395">
        <f t="shared" si="36"/>
        <v>375400</v>
      </c>
      <c r="AH83" s="395">
        <f t="shared" si="36"/>
        <v>370796.78</v>
      </c>
      <c r="AI83" s="395">
        <f t="shared" si="36"/>
        <v>341516</v>
      </c>
      <c r="AJ83" s="395">
        <f t="shared" si="36"/>
        <v>341516</v>
      </c>
      <c r="AK83" s="395">
        <f t="shared" si="36"/>
        <v>315873.25</v>
      </c>
      <c r="AL83" s="395">
        <f t="shared" si="36"/>
        <v>276863</v>
      </c>
      <c r="AM83" s="395">
        <f t="shared" si="36"/>
        <v>276863</v>
      </c>
      <c r="AN83" s="395">
        <f t="shared" si="36"/>
        <v>276863</v>
      </c>
      <c r="AO83" s="395">
        <f t="shared" si="36"/>
        <v>276863</v>
      </c>
      <c r="AQ83" s="395">
        <f>+AQ62+AQ69+AQ71+AQ73+AQ75+AQ77+AQ79+AQ81</f>
        <v>5655625.8499999996</v>
      </c>
    </row>
    <row r="84" spans="3:43" ht="13.5" thickTop="1" x14ac:dyDescent="0.2"/>
    <row r="86" spans="3:43" ht="13.5" thickBot="1" x14ac:dyDescent="0.25">
      <c r="E86" s="391">
        <f>+E83+E42</f>
        <v>3051820479.5499997</v>
      </c>
      <c r="G86" s="391">
        <f>+G83+G42</f>
        <v>1337587629.1000004</v>
      </c>
      <c r="I86" s="391">
        <f>+I83+I42</f>
        <v>1714232850.45</v>
      </c>
      <c r="J86" s="378">
        <f>E86/K86</f>
        <v>32.129944235815451</v>
      </c>
      <c r="K86" s="391">
        <f t="shared" ref="K86:AO86" si="37">+K83+K42</f>
        <v>94983684.289999992</v>
      </c>
      <c r="L86" s="391">
        <f t="shared" si="37"/>
        <v>94983684.289999992</v>
      </c>
      <c r="M86" s="391">
        <f t="shared" si="37"/>
        <v>94940443.450000003</v>
      </c>
      <c r="N86" s="391">
        <f t="shared" si="37"/>
        <v>94784064.289999992</v>
      </c>
      <c r="O86" s="391">
        <f t="shared" si="37"/>
        <v>94386391.769999996</v>
      </c>
      <c r="P86" s="391">
        <f t="shared" si="37"/>
        <v>92547021.730000004</v>
      </c>
      <c r="Q86" s="391">
        <f t="shared" si="37"/>
        <v>92547021.730000004</v>
      </c>
      <c r="R86" s="391">
        <f t="shared" si="37"/>
        <v>86310314.929999977</v>
      </c>
      <c r="S86" s="391">
        <f t="shared" si="37"/>
        <v>81074912</v>
      </c>
      <c r="T86" s="391">
        <f t="shared" si="37"/>
        <v>80492670.140000001</v>
      </c>
      <c r="U86" s="391">
        <f t="shared" si="37"/>
        <v>80289063.420000002</v>
      </c>
      <c r="V86" s="391">
        <f t="shared" si="37"/>
        <v>79133564.719999999</v>
      </c>
      <c r="W86" s="391">
        <f t="shared" si="37"/>
        <v>79133564.719999999</v>
      </c>
      <c r="X86" s="391">
        <f t="shared" si="37"/>
        <v>77746355.829999998</v>
      </c>
      <c r="Y86" s="391">
        <f t="shared" si="37"/>
        <v>73868706</v>
      </c>
      <c r="Z86" s="391">
        <f t="shared" si="37"/>
        <v>58727731.800000094</v>
      </c>
      <c r="AA86" s="391">
        <f t="shared" si="37"/>
        <v>46252584.009999849</v>
      </c>
      <c r="AB86" s="391">
        <f t="shared" si="37"/>
        <v>39757450.38000001</v>
      </c>
      <c r="AC86" s="391">
        <f t="shared" si="37"/>
        <v>36505822</v>
      </c>
      <c r="AD86" s="391">
        <f t="shared" si="37"/>
        <v>36495259.200000003</v>
      </c>
      <c r="AE86" s="391">
        <f t="shared" si="37"/>
        <v>36462262.789999999</v>
      </c>
      <c r="AF86" s="391">
        <f t="shared" si="37"/>
        <v>36450689</v>
      </c>
      <c r="AG86" s="391">
        <f t="shared" si="37"/>
        <v>36450689</v>
      </c>
      <c r="AH86" s="391">
        <f t="shared" si="37"/>
        <v>36446085.780000001</v>
      </c>
      <c r="AI86" s="391">
        <f t="shared" si="37"/>
        <v>36416805</v>
      </c>
      <c r="AJ86" s="391">
        <f t="shared" si="37"/>
        <v>9967057.0800001621</v>
      </c>
      <c r="AK86" s="391">
        <f t="shared" si="37"/>
        <v>315873.25</v>
      </c>
      <c r="AL86" s="391">
        <f t="shared" si="37"/>
        <v>276863</v>
      </c>
      <c r="AM86" s="391">
        <f t="shared" si="37"/>
        <v>276863</v>
      </c>
      <c r="AN86" s="391">
        <f t="shared" si="37"/>
        <v>276863</v>
      </c>
      <c r="AO86" s="391">
        <f t="shared" si="37"/>
        <v>276863</v>
      </c>
      <c r="AQ86" s="391">
        <f>+AQ83+AQ42</f>
        <v>5655625.8499999996</v>
      </c>
    </row>
    <row r="87" spans="3:43" ht="13.5" thickTop="1" x14ac:dyDescent="0.2"/>
    <row r="90" spans="3:43" x14ac:dyDescent="0.2">
      <c r="C90" s="396" t="s">
        <v>286</v>
      </c>
    </row>
    <row r="92" spans="3:43" x14ac:dyDescent="0.2">
      <c r="C92" s="397" t="s">
        <v>287</v>
      </c>
      <c r="E92" s="378">
        <f>+E13+E62</f>
        <v>342793610.22999996</v>
      </c>
      <c r="G92" s="378">
        <f>+G13+G62</f>
        <v>255822857.35000002</v>
      </c>
      <c r="I92" s="378">
        <f>+I13+I62</f>
        <v>86970752.879999995</v>
      </c>
      <c r="J92" s="378">
        <f t="shared" ref="J92:J100" si="38">E92/K92</f>
        <v>29.986403845458828</v>
      </c>
      <c r="K92" s="378">
        <f t="shared" ref="K92:AO92" si="39">+K13+K62</f>
        <v>11431634.549999999</v>
      </c>
      <c r="L92" s="378">
        <f t="shared" si="39"/>
        <v>11431634.549999999</v>
      </c>
      <c r="M92" s="378">
        <f t="shared" si="39"/>
        <v>11410014.129999999</v>
      </c>
      <c r="N92" s="378">
        <f t="shared" si="39"/>
        <v>11331824.549999999</v>
      </c>
      <c r="O92" s="378">
        <f t="shared" si="39"/>
        <v>10996198.91</v>
      </c>
      <c r="P92" s="378">
        <f t="shared" si="39"/>
        <v>10032606.709999999</v>
      </c>
      <c r="Q92" s="378">
        <f t="shared" si="39"/>
        <v>10032606.709999999</v>
      </c>
      <c r="R92" s="378">
        <f t="shared" si="39"/>
        <v>5406514.6199999955</v>
      </c>
      <c r="S92" s="378">
        <f t="shared" si="39"/>
        <v>1386582.42</v>
      </c>
      <c r="T92" s="378">
        <f t="shared" si="39"/>
        <v>1382537.78</v>
      </c>
      <c r="U92" s="378">
        <f t="shared" si="39"/>
        <v>1229123.700000003</v>
      </c>
      <c r="V92" s="378">
        <f t="shared" si="39"/>
        <v>73625</v>
      </c>
      <c r="W92" s="378">
        <f t="shared" si="39"/>
        <v>73625</v>
      </c>
      <c r="X92" s="378">
        <f t="shared" si="39"/>
        <v>73625</v>
      </c>
      <c r="Y92" s="378">
        <f t="shared" si="39"/>
        <v>73625</v>
      </c>
      <c r="Z92" s="378">
        <f t="shared" si="39"/>
        <v>73625</v>
      </c>
      <c r="AA92" s="378">
        <f t="shared" si="39"/>
        <v>66346.039999999979</v>
      </c>
      <c r="AB92" s="378">
        <f t="shared" si="39"/>
        <v>46668</v>
      </c>
      <c r="AC92" s="378">
        <f t="shared" si="39"/>
        <v>46668</v>
      </c>
      <c r="AD92" s="378">
        <f t="shared" si="39"/>
        <v>46668</v>
      </c>
      <c r="AE92" s="378">
        <f t="shared" si="39"/>
        <v>46668</v>
      </c>
      <c r="AF92" s="378">
        <f t="shared" si="39"/>
        <v>46668</v>
      </c>
      <c r="AG92" s="378">
        <f t="shared" si="39"/>
        <v>46668</v>
      </c>
      <c r="AH92" s="378">
        <f t="shared" si="39"/>
        <v>42064.780000000028</v>
      </c>
      <c r="AI92" s="378">
        <f t="shared" si="39"/>
        <v>12784</v>
      </c>
      <c r="AJ92" s="378">
        <f t="shared" si="39"/>
        <v>12784</v>
      </c>
      <c r="AK92" s="378">
        <f t="shared" si="39"/>
        <v>12784</v>
      </c>
      <c r="AL92" s="378">
        <f t="shared" si="39"/>
        <v>12784</v>
      </c>
      <c r="AM92" s="378">
        <f t="shared" si="39"/>
        <v>12784</v>
      </c>
      <c r="AN92" s="378">
        <f t="shared" si="39"/>
        <v>12784</v>
      </c>
      <c r="AO92" s="378">
        <f t="shared" si="39"/>
        <v>12784</v>
      </c>
      <c r="AQ92" s="378">
        <f t="shared" ref="AQ92:AQ100" si="40">I92-SUM(K92:AP92)</f>
        <v>53442.429999992251</v>
      </c>
    </row>
    <row r="93" spans="3:43" x14ac:dyDescent="0.2">
      <c r="C93" s="397" t="s">
        <v>288</v>
      </c>
      <c r="E93" s="378">
        <f>+E25+E69</f>
        <v>334934599.08999991</v>
      </c>
      <c r="G93" s="378">
        <f>+G25+G69</f>
        <v>215970923.84000003</v>
      </c>
      <c r="I93" s="378">
        <f>+I25+I69</f>
        <v>118963675.24999999</v>
      </c>
      <c r="J93" s="378">
        <f t="shared" si="38"/>
        <v>33.626023377448632</v>
      </c>
      <c r="K93" s="378">
        <f t="shared" ref="K93:AO93" si="41">+K25+K69</f>
        <v>9960577.1199999992</v>
      </c>
      <c r="L93" s="378">
        <f t="shared" si="41"/>
        <v>9960577.1199999992</v>
      </c>
      <c r="M93" s="378">
        <f t="shared" si="41"/>
        <v>9938956.6999999993</v>
      </c>
      <c r="N93" s="378">
        <f t="shared" si="41"/>
        <v>9860767.1199999992</v>
      </c>
      <c r="O93" s="378">
        <f t="shared" si="41"/>
        <v>9859678.4699999988</v>
      </c>
      <c r="P93" s="378">
        <f t="shared" si="41"/>
        <v>9858566.1199999992</v>
      </c>
      <c r="Q93" s="378">
        <f t="shared" si="41"/>
        <v>9858566.1199999992</v>
      </c>
      <c r="R93" s="378">
        <f t="shared" si="41"/>
        <v>8247951.4099999862</v>
      </c>
      <c r="S93" s="378">
        <f t="shared" si="41"/>
        <v>7032480.6800000006</v>
      </c>
      <c r="T93" s="378">
        <f t="shared" si="41"/>
        <v>6454283.46</v>
      </c>
      <c r="U93" s="378">
        <f t="shared" si="41"/>
        <v>6404090.8200000003</v>
      </c>
      <c r="V93" s="378">
        <f t="shared" si="41"/>
        <v>6404090.8200000003</v>
      </c>
      <c r="W93" s="378">
        <f t="shared" si="41"/>
        <v>6404090.8200000003</v>
      </c>
      <c r="X93" s="378">
        <f t="shared" si="41"/>
        <v>5019693.6600000076</v>
      </c>
      <c r="Y93" s="378">
        <f t="shared" si="41"/>
        <v>3128179.34</v>
      </c>
      <c r="Z93" s="378">
        <f t="shared" si="41"/>
        <v>253048.22999998927</v>
      </c>
      <c r="AA93" s="378">
        <f t="shared" si="41"/>
        <v>72089.53</v>
      </c>
      <c r="AB93" s="378">
        <f t="shared" si="41"/>
        <v>59739</v>
      </c>
      <c r="AC93" s="378">
        <f t="shared" si="41"/>
        <v>59739</v>
      </c>
      <c r="AD93" s="378">
        <f t="shared" si="41"/>
        <v>49176.199999999953</v>
      </c>
      <c r="AE93" s="378">
        <f t="shared" si="41"/>
        <v>16179.789999999979</v>
      </c>
      <c r="AF93" s="378">
        <f t="shared" si="41"/>
        <v>4606</v>
      </c>
      <c r="AG93" s="378">
        <f t="shared" si="41"/>
        <v>4606</v>
      </c>
      <c r="AH93" s="378">
        <f t="shared" si="41"/>
        <v>4606</v>
      </c>
      <c r="AI93" s="378">
        <f t="shared" si="41"/>
        <v>4606</v>
      </c>
      <c r="AJ93" s="378">
        <f t="shared" si="41"/>
        <v>4606</v>
      </c>
      <c r="AK93" s="378">
        <f t="shared" si="41"/>
        <v>4606</v>
      </c>
      <c r="AL93" s="378">
        <f t="shared" si="41"/>
        <v>4606</v>
      </c>
      <c r="AM93" s="378">
        <f t="shared" si="41"/>
        <v>4606</v>
      </c>
      <c r="AN93" s="378">
        <f t="shared" si="41"/>
        <v>4606</v>
      </c>
      <c r="AO93" s="378">
        <f t="shared" si="41"/>
        <v>4606</v>
      </c>
      <c r="AQ93" s="378">
        <f t="shared" si="40"/>
        <v>15093.719999998808</v>
      </c>
    </row>
    <row r="94" spans="3:43" x14ac:dyDescent="0.2">
      <c r="C94" s="383" t="s">
        <v>260</v>
      </c>
      <c r="E94" s="378">
        <f>+E27+E71</f>
        <v>24743960.129999999</v>
      </c>
      <c r="G94" s="378">
        <f>+G27+G71</f>
        <v>18888085.500000004</v>
      </c>
      <c r="I94" s="378">
        <f>+I27+I71</f>
        <v>5855874.6299999999</v>
      </c>
      <c r="J94" s="378">
        <f t="shared" si="38"/>
        <v>25.662425525019597</v>
      </c>
      <c r="K94" s="378">
        <f t="shared" ref="K94:AO94" si="42">+K27+K71</f>
        <v>964209.72</v>
      </c>
      <c r="L94" s="378">
        <f t="shared" si="42"/>
        <v>964209.72</v>
      </c>
      <c r="M94" s="378">
        <f t="shared" si="42"/>
        <v>964209.72</v>
      </c>
      <c r="N94" s="378">
        <f t="shared" si="42"/>
        <v>964209.72</v>
      </c>
      <c r="O94" s="378">
        <f t="shared" si="42"/>
        <v>903251.49000000022</v>
      </c>
      <c r="P94" s="378">
        <f t="shared" si="42"/>
        <v>28586</v>
      </c>
      <c r="Q94" s="378">
        <f t="shared" si="42"/>
        <v>28586</v>
      </c>
      <c r="R94" s="378">
        <f t="shared" si="42"/>
        <v>28586</v>
      </c>
      <c r="S94" s="378">
        <f t="shared" si="42"/>
        <v>28586</v>
      </c>
      <c r="T94" s="378">
        <f t="shared" si="42"/>
        <v>28586</v>
      </c>
      <c r="U94" s="378">
        <f t="shared" si="42"/>
        <v>28586</v>
      </c>
      <c r="V94" s="378">
        <f t="shared" si="42"/>
        <v>28586</v>
      </c>
      <c r="W94" s="378">
        <f t="shared" si="42"/>
        <v>28586</v>
      </c>
      <c r="X94" s="378">
        <f t="shared" si="42"/>
        <v>28586</v>
      </c>
      <c r="Y94" s="378">
        <f t="shared" si="42"/>
        <v>28586</v>
      </c>
      <c r="Z94" s="378">
        <f t="shared" si="42"/>
        <v>28586</v>
      </c>
      <c r="AA94" s="378">
        <f t="shared" si="42"/>
        <v>28586</v>
      </c>
      <c r="AB94" s="378">
        <f t="shared" si="42"/>
        <v>28586</v>
      </c>
      <c r="AC94" s="378">
        <f t="shared" si="42"/>
        <v>28586</v>
      </c>
      <c r="AD94" s="378">
        <f t="shared" si="42"/>
        <v>28586</v>
      </c>
      <c r="AE94" s="378">
        <f t="shared" si="42"/>
        <v>28586</v>
      </c>
      <c r="AF94" s="378">
        <f t="shared" si="42"/>
        <v>28586</v>
      </c>
      <c r="AG94" s="378">
        <f t="shared" si="42"/>
        <v>28586</v>
      </c>
      <c r="AH94" s="378">
        <f t="shared" si="42"/>
        <v>28586</v>
      </c>
      <c r="AI94" s="378">
        <f t="shared" si="42"/>
        <v>28586</v>
      </c>
      <c r="AJ94" s="378">
        <f t="shared" si="42"/>
        <v>28586</v>
      </c>
      <c r="AK94" s="378">
        <f t="shared" si="42"/>
        <v>28586</v>
      </c>
      <c r="AL94" s="378">
        <f t="shared" si="42"/>
        <v>28586</v>
      </c>
      <c r="AM94" s="378">
        <f t="shared" si="42"/>
        <v>28586</v>
      </c>
      <c r="AN94" s="378">
        <f t="shared" si="42"/>
        <v>28586</v>
      </c>
      <c r="AO94" s="378">
        <f t="shared" si="42"/>
        <v>28586</v>
      </c>
      <c r="AQ94" s="378">
        <f t="shared" si="40"/>
        <v>352548.25999999978</v>
      </c>
    </row>
    <row r="95" spans="3:43" x14ac:dyDescent="0.2">
      <c r="C95" s="383" t="s">
        <v>261</v>
      </c>
      <c r="E95" s="378">
        <f>+E30+E73</f>
        <v>278737772.98000002</v>
      </c>
      <c r="G95" s="378">
        <f>+G30+G73</f>
        <v>137728443.39999998</v>
      </c>
      <c r="I95" s="378">
        <f>+I30+I73</f>
        <v>141009329.58000004</v>
      </c>
      <c r="J95" s="378">
        <f t="shared" si="38"/>
        <v>30.816324113301615</v>
      </c>
      <c r="K95" s="378">
        <f t="shared" ref="K95:AO95" si="43">+K30+K73</f>
        <v>9045133.7400000002</v>
      </c>
      <c r="L95" s="378">
        <f t="shared" si="43"/>
        <v>9045133.7400000002</v>
      </c>
      <c r="M95" s="378">
        <f t="shared" si="43"/>
        <v>9045133.7400000002</v>
      </c>
      <c r="N95" s="378">
        <f t="shared" si="43"/>
        <v>9045133.7400000002</v>
      </c>
      <c r="O95" s="378">
        <f t="shared" si="43"/>
        <v>9045133.7400000002</v>
      </c>
      <c r="P95" s="378">
        <f t="shared" si="43"/>
        <v>9045133.7400000002</v>
      </c>
      <c r="Q95" s="378">
        <f t="shared" si="43"/>
        <v>9045133.7400000002</v>
      </c>
      <c r="R95" s="378">
        <f t="shared" si="43"/>
        <v>9045133.7400000002</v>
      </c>
      <c r="S95" s="378">
        <f t="shared" si="43"/>
        <v>9045133.7400000002</v>
      </c>
      <c r="T95" s="378">
        <f t="shared" si="43"/>
        <v>9045133.7400000002</v>
      </c>
      <c r="U95" s="378">
        <f t="shared" si="43"/>
        <v>9045133.7400000002</v>
      </c>
      <c r="V95" s="378">
        <f t="shared" si="43"/>
        <v>9045133.7400000002</v>
      </c>
      <c r="W95" s="378">
        <f t="shared" si="43"/>
        <v>9045133.7400000002</v>
      </c>
      <c r="X95" s="378">
        <f t="shared" si="43"/>
        <v>9045133.7400000002</v>
      </c>
      <c r="Y95" s="378">
        <f t="shared" si="43"/>
        <v>9045133.7400000002</v>
      </c>
      <c r="Z95" s="378">
        <f t="shared" si="43"/>
        <v>5327506.3900000751</v>
      </c>
      <c r="AA95" s="378">
        <f t="shared" si="43"/>
        <v>4817.0899999999674</v>
      </c>
      <c r="AB95" s="378">
        <f t="shared" si="43"/>
        <v>0</v>
      </c>
      <c r="AC95" s="378">
        <f t="shared" si="43"/>
        <v>0</v>
      </c>
      <c r="AD95" s="378">
        <f t="shared" si="43"/>
        <v>0</v>
      </c>
      <c r="AE95" s="378">
        <f t="shared" si="43"/>
        <v>0</v>
      </c>
      <c r="AF95" s="378">
        <f t="shared" si="43"/>
        <v>0</v>
      </c>
      <c r="AG95" s="378">
        <f t="shared" si="43"/>
        <v>0</v>
      </c>
      <c r="AH95" s="378">
        <f t="shared" si="43"/>
        <v>0</v>
      </c>
      <c r="AI95" s="378">
        <f t="shared" si="43"/>
        <v>0</v>
      </c>
      <c r="AJ95" s="378">
        <f t="shared" si="43"/>
        <v>0</v>
      </c>
      <c r="AK95" s="378">
        <f t="shared" si="43"/>
        <v>0</v>
      </c>
      <c r="AL95" s="378">
        <f t="shared" si="43"/>
        <v>0</v>
      </c>
      <c r="AM95" s="378">
        <f t="shared" si="43"/>
        <v>0</v>
      </c>
      <c r="AN95" s="378">
        <f t="shared" si="43"/>
        <v>0</v>
      </c>
      <c r="AO95" s="378">
        <f t="shared" si="43"/>
        <v>0</v>
      </c>
      <c r="AQ95" s="378">
        <f t="shared" si="40"/>
        <v>0</v>
      </c>
    </row>
    <row r="96" spans="3:43" x14ac:dyDescent="0.2">
      <c r="C96" s="383" t="s">
        <v>281</v>
      </c>
      <c r="E96" s="378">
        <f>+E32+E75</f>
        <v>74872320.069999993</v>
      </c>
      <c r="G96" s="378">
        <f>+G32+G75</f>
        <v>41512361.040000007</v>
      </c>
      <c r="I96" s="378">
        <f>+I32+I75</f>
        <v>33359959.02999999</v>
      </c>
      <c r="J96" s="378">
        <f t="shared" si="38"/>
        <v>31.768888885400134</v>
      </c>
      <c r="K96" s="378">
        <f t="shared" ref="K96:AO96" si="44">+K32+K75</f>
        <v>2356781.2000000002</v>
      </c>
      <c r="L96" s="378">
        <f t="shared" si="44"/>
        <v>2356781.2000000002</v>
      </c>
      <c r="M96" s="378">
        <f t="shared" si="44"/>
        <v>2356781.2000000002</v>
      </c>
      <c r="N96" s="378">
        <f t="shared" si="44"/>
        <v>2356781.2000000002</v>
      </c>
      <c r="O96" s="378">
        <f t="shared" si="44"/>
        <v>2356781.2000000002</v>
      </c>
      <c r="P96" s="378">
        <f t="shared" si="44"/>
        <v>2356781.2000000002</v>
      </c>
      <c r="Q96" s="378">
        <f t="shared" si="44"/>
        <v>2356781.2000000002</v>
      </c>
      <c r="R96" s="378">
        <f t="shared" si="44"/>
        <v>2356781.2000000002</v>
      </c>
      <c r="S96" s="378">
        <f t="shared" si="44"/>
        <v>2356781.2000000002</v>
      </c>
      <c r="T96" s="378">
        <f t="shared" si="44"/>
        <v>2356781.2000000002</v>
      </c>
      <c r="U96" s="378">
        <f t="shared" si="44"/>
        <v>2356781.2000000002</v>
      </c>
      <c r="V96" s="378">
        <f t="shared" si="44"/>
        <v>2356781.2000000002</v>
      </c>
      <c r="W96" s="378">
        <f t="shared" si="44"/>
        <v>2356781.2000000002</v>
      </c>
      <c r="X96" s="378">
        <f t="shared" si="44"/>
        <v>2353969.4700000002</v>
      </c>
      <c r="Y96" s="378">
        <f t="shared" si="44"/>
        <v>367833.95999999717</v>
      </c>
      <c r="Z96" s="378">
        <f t="shared" si="44"/>
        <v>0</v>
      </c>
      <c r="AA96" s="378">
        <f t="shared" si="44"/>
        <v>0</v>
      </c>
      <c r="AB96" s="378">
        <f t="shared" si="44"/>
        <v>0</v>
      </c>
      <c r="AC96" s="378">
        <f t="shared" si="44"/>
        <v>0</v>
      </c>
      <c r="AD96" s="378">
        <f t="shared" si="44"/>
        <v>0</v>
      </c>
      <c r="AE96" s="378">
        <f t="shared" si="44"/>
        <v>0</v>
      </c>
      <c r="AF96" s="378">
        <f t="shared" si="44"/>
        <v>0</v>
      </c>
      <c r="AG96" s="378">
        <f t="shared" si="44"/>
        <v>0</v>
      </c>
      <c r="AH96" s="378">
        <f t="shared" si="44"/>
        <v>0</v>
      </c>
      <c r="AI96" s="378">
        <f t="shared" si="44"/>
        <v>0</v>
      </c>
      <c r="AJ96" s="378">
        <f t="shared" si="44"/>
        <v>0</v>
      </c>
      <c r="AK96" s="378">
        <f t="shared" si="44"/>
        <v>0</v>
      </c>
      <c r="AL96" s="378">
        <f t="shared" si="44"/>
        <v>0</v>
      </c>
      <c r="AM96" s="378">
        <f t="shared" si="44"/>
        <v>0</v>
      </c>
      <c r="AN96" s="378">
        <f t="shared" si="44"/>
        <v>0</v>
      </c>
      <c r="AO96" s="378">
        <f t="shared" si="44"/>
        <v>0</v>
      </c>
      <c r="AQ96" s="378">
        <f t="shared" si="40"/>
        <v>0</v>
      </c>
    </row>
    <row r="97" spans="3:43" x14ac:dyDescent="0.2">
      <c r="C97" s="383" t="s">
        <v>282</v>
      </c>
      <c r="E97" s="378">
        <f>+E34+E77</f>
        <v>336159247.67999995</v>
      </c>
      <c r="G97" s="378">
        <f>+G34+G77</f>
        <v>181539837.11000004</v>
      </c>
      <c r="I97" s="378">
        <f>+I34+I77</f>
        <v>154619410.56999993</v>
      </c>
      <c r="J97" s="378">
        <f t="shared" si="38"/>
        <v>36.331128141896308</v>
      </c>
      <c r="K97" s="378">
        <f t="shared" ref="K97:AO97" si="45">+K34+K77</f>
        <v>9252650.9600000009</v>
      </c>
      <c r="L97" s="378">
        <f t="shared" si="45"/>
        <v>9252650.9600000009</v>
      </c>
      <c r="M97" s="378">
        <f t="shared" si="45"/>
        <v>9252650.9600000009</v>
      </c>
      <c r="N97" s="378">
        <f t="shared" si="45"/>
        <v>9252650.9600000009</v>
      </c>
      <c r="O97" s="378">
        <f t="shared" si="45"/>
        <v>9252650.9600000009</v>
      </c>
      <c r="P97" s="378">
        <f t="shared" si="45"/>
        <v>9252650.9600000009</v>
      </c>
      <c r="Q97" s="378">
        <f t="shared" si="45"/>
        <v>9252650.9600000009</v>
      </c>
      <c r="R97" s="378">
        <f t="shared" si="45"/>
        <v>9252650.9600000009</v>
      </c>
      <c r="S97" s="378">
        <f t="shared" si="45"/>
        <v>9252650.9600000009</v>
      </c>
      <c r="T97" s="378">
        <f t="shared" si="45"/>
        <v>9252650.9600000009</v>
      </c>
      <c r="U97" s="378">
        <f t="shared" si="45"/>
        <v>9252650.9600000009</v>
      </c>
      <c r="V97" s="378">
        <f t="shared" si="45"/>
        <v>9252650.9600000009</v>
      </c>
      <c r="W97" s="378">
        <f t="shared" si="45"/>
        <v>9252650.9600000009</v>
      </c>
      <c r="X97" s="378">
        <f t="shared" si="45"/>
        <v>9252650.9600000009</v>
      </c>
      <c r="Y97" s="378">
        <f t="shared" si="45"/>
        <v>9252650.9600000009</v>
      </c>
      <c r="Z97" s="378">
        <f t="shared" si="45"/>
        <v>9252650.9600000009</v>
      </c>
      <c r="AA97" s="378">
        <f t="shared" si="45"/>
        <v>4620875.349999845</v>
      </c>
      <c r="AB97" s="378">
        <f t="shared" si="45"/>
        <v>52936</v>
      </c>
      <c r="AC97" s="378">
        <f t="shared" si="45"/>
        <v>52936</v>
      </c>
      <c r="AD97" s="378">
        <f t="shared" si="45"/>
        <v>52936</v>
      </c>
      <c r="AE97" s="378">
        <f t="shared" si="45"/>
        <v>52936</v>
      </c>
      <c r="AF97" s="378">
        <f t="shared" si="45"/>
        <v>52936</v>
      </c>
      <c r="AG97" s="378">
        <f t="shared" si="45"/>
        <v>52936</v>
      </c>
      <c r="AH97" s="378">
        <f t="shared" si="45"/>
        <v>52936</v>
      </c>
      <c r="AI97" s="378">
        <f t="shared" si="45"/>
        <v>52936</v>
      </c>
      <c r="AJ97" s="378">
        <f t="shared" si="45"/>
        <v>52936</v>
      </c>
      <c r="AK97" s="378">
        <f t="shared" si="45"/>
        <v>52936</v>
      </c>
      <c r="AL97" s="378">
        <f t="shared" si="45"/>
        <v>52936</v>
      </c>
      <c r="AM97" s="378">
        <f t="shared" si="45"/>
        <v>52936</v>
      </c>
      <c r="AN97" s="378">
        <f t="shared" si="45"/>
        <v>52936</v>
      </c>
      <c r="AO97" s="378">
        <f t="shared" si="45"/>
        <v>52936</v>
      </c>
      <c r="AQ97" s="378">
        <f t="shared" si="40"/>
        <v>1215015.8600000143</v>
      </c>
    </row>
    <row r="98" spans="3:43" x14ac:dyDescent="0.2">
      <c r="C98" s="383" t="s">
        <v>264</v>
      </c>
      <c r="E98" s="378">
        <f>+E36</f>
        <v>186552063.12</v>
      </c>
      <c r="G98" s="378">
        <f>+G36</f>
        <v>95886825.739999995</v>
      </c>
      <c r="I98" s="378">
        <f>+I36</f>
        <v>90665237.38000001</v>
      </c>
      <c r="J98" s="378">
        <f t="shared" si="38"/>
        <v>36.280221230083292</v>
      </c>
      <c r="K98" s="378">
        <f t="shared" ref="K98:AO98" si="46">+K36</f>
        <v>5141977</v>
      </c>
      <c r="L98" s="378">
        <f t="shared" si="46"/>
        <v>5141977</v>
      </c>
      <c r="M98" s="378">
        <f t="shared" si="46"/>
        <v>5141977</v>
      </c>
      <c r="N98" s="378">
        <f t="shared" si="46"/>
        <v>5141977</v>
      </c>
      <c r="O98" s="378">
        <f t="shared" si="46"/>
        <v>5141977</v>
      </c>
      <c r="P98" s="378">
        <f t="shared" si="46"/>
        <v>5141977</v>
      </c>
      <c r="Q98" s="378">
        <f t="shared" si="46"/>
        <v>5141977</v>
      </c>
      <c r="R98" s="378">
        <f t="shared" si="46"/>
        <v>5141977</v>
      </c>
      <c r="S98" s="378">
        <f t="shared" si="46"/>
        <v>5141977</v>
      </c>
      <c r="T98" s="378">
        <f t="shared" si="46"/>
        <v>5141977</v>
      </c>
      <c r="U98" s="378">
        <f t="shared" si="46"/>
        <v>5141977</v>
      </c>
      <c r="V98" s="378">
        <f t="shared" si="46"/>
        <v>5141977</v>
      </c>
      <c r="W98" s="378">
        <f t="shared" si="46"/>
        <v>5141977</v>
      </c>
      <c r="X98" s="378">
        <f t="shared" si="46"/>
        <v>5141977</v>
      </c>
      <c r="Y98" s="378">
        <f t="shared" si="46"/>
        <v>5141977</v>
      </c>
      <c r="Z98" s="378">
        <f t="shared" si="46"/>
        <v>5141977</v>
      </c>
      <c r="AA98" s="378">
        <f t="shared" si="46"/>
        <v>5141977</v>
      </c>
      <c r="AB98" s="378">
        <f t="shared" si="46"/>
        <v>3251628.3800000101</v>
      </c>
      <c r="AC98" s="378">
        <f t="shared" si="46"/>
        <v>0</v>
      </c>
      <c r="AD98" s="378">
        <f t="shared" si="46"/>
        <v>0</v>
      </c>
      <c r="AE98" s="378">
        <f t="shared" si="46"/>
        <v>0</v>
      </c>
      <c r="AF98" s="378">
        <f t="shared" si="46"/>
        <v>0</v>
      </c>
      <c r="AG98" s="378">
        <f t="shared" si="46"/>
        <v>0</v>
      </c>
      <c r="AH98" s="378">
        <f t="shared" si="46"/>
        <v>0</v>
      </c>
      <c r="AI98" s="378">
        <f t="shared" si="46"/>
        <v>0</v>
      </c>
      <c r="AJ98" s="378">
        <f t="shared" si="46"/>
        <v>0</v>
      </c>
      <c r="AK98" s="378">
        <f t="shared" si="46"/>
        <v>0</v>
      </c>
      <c r="AL98" s="378">
        <f t="shared" si="46"/>
        <v>0</v>
      </c>
      <c r="AM98" s="378">
        <f t="shared" si="46"/>
        <v>0</v>
      </c>
      <c r="AN98" s="378">
        <f t="shared" si="46"/>
        <v>0</v>
      </c>
      <c r="AO98" s="378">
        <f t="shared" si="46"/>
        <v>0</v>
      </c>
      <c r="AQ98" s="378">
        <f t="shared" si="40"/>
        <v>0</v>
      </c>
    </row>
    <row r="99" spans="3:43" x14ac:dyDescent="0.2">
      <c r="C99" s="383" t="s">
        <v>283</v>
      </c>
      <c r="E99" s="378">
        <f>+E38+E79</f>
        <v>1224577007.1000001</v>
      </c>
      <c r="G99" s="378">
        <f>+G38+G79</f>
        <v>311349252.77000004</v>
      </c>
      <c r="I99" s="378">
        <f>+I38+I79</f>
        <v>913227754.33000016</v>
      </c>
      <c r="J99" s="378">
        <f t="shared" si="38"/>
        <v>33.884310248754694</v>
      </c>
      <c r="K99" s="378">
        <f t="shared" ref="K99:AO99" si="47">+K38+K79</f>
        <v>36139942</v>
      </c>
      <c r="L99" s="378">
        <f t="shared" si="47"/>
        <v>36139942</v>
      </c>
      <c r="M99" s="378">
        <f t="shared" si="47"/>
        <v>36139942</v>
      </c>
      <c r="N99" s="378">
        <f t="shared" si="47"/>
        <v>36139942</v>
      </c>
      <c r="O99" s="378">
        <f t="shared" si="47"/>
        <v>36139942</v>
      </c>
      <c r="P99" s="378">
        <f t="shared" si="47"/>
        <v>36139942</v>
      </c>
      <c r="Q99" s="378">
        <f t="shared" si="47"/>
        <v>36139942</v>
      </c>
      <c r="R99" s="378">
        <f t="shared" si="47"/>
        <v>36139942</v>
      </c>
      <c r="S99" s="378">
        <f t="shared" si="47"/>
        <v>36139942</v>
      </c>
      <c r="T99" s="378">
        <f t="shared" si="47"/>
        <v>36139942</v>
      </c>
      <c r="U99" s="378">
        <f t="shared" si="47"/>
        <v>36139942</v>
      </c>
      <c r="V99" s="378">
        <f t="shared" si="47"/>
        <v>36139942</v>
      </c>
      <c r="W99" s="378">
        <f t="shared" si="47"/>
        <v>36139942</v>
      </c>
      <c r="X99" s="378">
        <f t="shared" si="47"/>
        <v>36139942</v>
      </c>
      <c r="Y99" s="378">
        <f t="shared" si="47"/>
        <v>36139942</v>
      </c>
      <c r="Z99" s="378">
        <f t="shared" si="47"/>
        <v>36139942</v>
      </c>
      <c r="AA99" s="378">
        <f t="shared" si="47"/>
        <v>36139942</v>
      </c>
      <c r="AB99" s="378">
        <f t="shared" si="47"/>
        <v>36139942</v>
      </c>
      <c r="AC99" s="378">
        <f t="shared" si="47"/>
        <v>36139942</v>
      </c>
      <c r="AD99" s="378">
        <f t="shared" si="47"/>
        <v>36139942</v>
      </c>
      <c r="AE99" s="378">
        <f t="shared" si="47"/>
        <v>36139942</v>
      </c>
      <c r="AF99" s="378">
        <f t="shared" si="47"/>
        <v>36139942</v>
      </c>
      <c r="AG99" s="378">
        <f t="shared" si="47"/>
        <v>36139942</v>
      </c>
      <c r="AH99" s="378">
        <f t="shared" si="47"/>
        <v>36139942</v>
      </c>
      <c r="AI99" s="378">
        <f t="shared" si="47"/>
        <v>36139942</v>
      </c>
      <c r="AJ99" s="378">
        <f t="shared" si="47"/>
        <v>9690194.0800001621</v>
      </c>
      <c r="AK99" s="378">
        <f t="shared" si="47"/>
        <v>39010.25</v>
      </c>
      <c r="AL99" s="378">
        <f t="shared" si="47"/>
        <v>0</v>
      </c>
      <c r="AM99" s="378">
        <f t="shared" si="47"/>
        <v>0</v>
      </c>
      <c r="AN99" s="378">
        <f t="shared" si="47"/>
        <v>0</v>
      </c>
      <c r="AO99" s="378">
        <f t="shared" si="47"/>
        <v>0</v>
      </c>
      <c r="AQ99" s="378">
        <f t="shared" si="40"/>
        <v>0</v>
      </c>
    </row>
    <row r="100" spans="3:43" x14ac:dyDescent="0.2">
      <c r="C100" s="383" t="s">
        <v>284</v>
      </c>
      <c r="E100" s="378">
        <f>+E40+E81</f>
        <v>248449899.15000001</v>
      </c>
      <c r="G100" s="378">
        <f>+G40+G81</f>
        <v>78889042.349999979</v>
      </c>
      <c r="I100" s="378">
        <f>+I40+I81</f>
        <v>169560856.80000004</v>
      </c>
      <c r="J100" s="378">
        <f t="shared" si="38"/>
        <v>23.239646277380373</v>
      </c>
      <c r="K100" s="378">
        <f t="shared" ref="K100:AO100" si="48">+K40+K81</f>
        <v>10690778</v>
      </c>
      <c r="L100" s="378">
        <f t="shared" si="48"/>
        <v>10690778</v>
      </c>
      <c r="M100" s="378">
        <f t="shared" si="48"/>
        <v>10690778</v>
      </c>
      <c r="N100" s="378">
        <f t="shared" si="48"/>
        <v>10690778</v>
      </c>
      <c r="O100" s="378">
        <f t="shared" si="48"/>
        <v>10690778</v>
      </c>
      <c r="P100" s="378">
        <f t="shared" si="48"/>
        <v>10690778</v>
      </c>
      <c r="Q100" s="378">
        <f t="shared" si="48"/>
        <v>10690778</v>
      </c>
      <c r="R100" s="378">
        <f t="shared" si="48"/>
        <v>10690778</v>
      </c>
      <c r="S100" s="378">
        <f t="shared" si="48"/>
        <v>10690778</v>
      </c>
      <c r="T100" s="378">
        <f t="shared" si="48"/>
        <v>10690778</v>
      </c>
      <c r="U100" s="378">
        <f t="shared" si="48"/>
        <v>10690778</v>
      </c>
      <c r="V100" s="378">
        <f t="shared" si="48"/>
        <v>10690778</v>
      </c>
      <c r="W100" s="378">
        <f t="shared" si="48"/>
        <v>10690778</v>
      </c>
      <c r="X100" s="378">
        <f t="shared" si="48"/>
        <v>10690778</v>
      </c>
      <c r="Y100" s="378">
        <f t="shared" si="48"/>
        <v>10690778</v>
      </c>
      <c r="Z100" s="378">
        <f t="shared" si="48"/>
        <v>2510396.2200000286</v>
      </c>
      <c r="AA100" s="378">
        <f t="shared" si="48"/>
        <v>177951</v>
      </c>
      <c r="AB100" s="378">
        <f t="shared" si="48"/>
        <v>177951</v>
      </c>
      <c r="AC100" s="378">
        <f t="shared" si="48"/>
        <v>177951</v>
      </c>
      <c r="AD100" s="378">
        <f t="shared" si="48"/>
        <v>177951</v>
      </c>
      <c r="AE100" s="378">
        <f t="shared" si="48"/>
        <v>177951</v>
      </c>
      <c r="AF100" s="378">
        <f t="shared" si="48"/>
        <v>177951</v>
      </c>
      <c r="AG100" s="378">
        <f t="shared" si="48"/>
        <v>177951</v>
      </c>
      <c r="AH100" s="378">
        <f t="shared" si="48"/>
        <v>177951</v>
      </c>
      <c r="AI100" s="378">
        <f t="shared" si="48"/>
        <v>177951</v>
      </c>
      <c r="AJ100" s="378">
        <f t="shared" si="48"/>
        <v>177951</v>
      </c>
      <c r="AK100" s="378">
        <f t="shared" si="48"/>
        <v>177951</v>
      </c>
      <c r="AL100" s="378">
        <f t="shared" si="48"/>
        <v>177951</v>
      </c>
      <c r="AM100" s="378">
        <f t="shared" si="48"/>
        <v>177951</v>
      </c>
      <c r="AN100" s="378">
        <f t="shared" si="48"/>
        <v>177951</v>
      </c>
      <c r="AO100" s="378">
        <f t="shared" si="48"/>
        <v>177951</v>
      </c>
      <c r="AQ100" s="378">
        <f t="shared" si="40"/>
        <v>4019525.5800000131</v>
      </c>
    </row>
    <row r="102" spans="3:43" ht="13.5" thickBot="1" x14ac:dyDescent="0.25">
      <c r="E102" s="395">
        <f>SUM(E92:E101)</f>
        <v>3051820479.5499997</v>
      </c>
      <c r="G102" s="395">
        <f>SUM(G92:G101)</f>
        <v>1337587629.0999999</v>
      </c>
      <c r="I102" s="395">
        <f>SUM(I92:I101)</f>
        <v>1714232850.45</v>
      </c>
      <c r="J102" s="378">
        <f>E102/K102</f>
        <v>32.129944235815451</v>
      </c>
      <c r="K102" s="395">
        <f t="shared" ref="K102:AO102" si="49">SUM(K92:K101)</f>
        <v>94983684.289999992</v>
      </c>
      <c r="L102" s="395">
        <f t="shared" si="49"/>
        <v>94983684.289999992</v>
      </c>
      <c r="M102" s="395">
        <f t="shared" si="49"/>
        <v>94940443.450000003</v>
      </c>
      <c r="N102" s="395">
        <f t="shared" si="49"/>
        <v>94784064.289999992</v>
      </c>
      <c r="O102" s="395">
        <f t="shared" si="49"/>
        <v>94386391.769999996</v>
      </c>
      <c r="P102" s="395">
        <f t="shared" si="49"/>
        <v>92547021.730000004</v>
      </c>
      <c r="Q102" s="395">
        <f t="shared" si="49"/>
        <v>92547021.730000004</v>
      </c>
      <c r="R102" s="395">
        <f t="shared" si="49"/>
        <v>86310314.929999977</v>
      </c>
      <c r="S102" s="395">
        <f t="shared" si="49"/>
        <v>81074912</v>
      </c>
      <c r="T102" s="395">
        <f t="shared" si="49"/>
        <v>80492670.140000001</v>
      </c>
      <c r="U102" s="395">
        <f t="shared" si="49"/>
        <v>80289063.420000002</v>
      </c>
      <c r="V102" s="395">
        <f t="shared" si="49"/>
        <v>79133564.719999999</v>
      </c>
      <c r="W102" s="395">
        <f t="shared" si="49"/>
        <v>79133564.719999999</v>
      </c>
      <c r="X102" s="395">
        <f t="shared" si="49"/>
        <v>77746355.830000013</v>
      </c>
      <c r="Y102" s="395">
        <f t="shared" si="49"/>
        <v>73868706</v>
      </c>
      <c r="Z102" s="395">
        <f t="shared" si="49"/>
        <v>58727731.800000094</v>
      </c>
      <c r="AA102" s="395">
        <f t="shared" si="49"/>
        <v>46252584.009999841</v>
      </c>
      <c r="AB102" s="395">
        <f t="shared" si="49"/>
        <v>39757450.38000001</v>
      </c>
      <c r="AC102" s="395">
        <f t="shared" si="49"/>
        <v>36505822</v>
      </c>
      <c r="AD102" s="395">
        <f t="shared" si="49"/>
        <v>36495259.200000003</v>
      </c>
      <c r="AE102" s="395">
        <f t="shared" si="49"/>
        <v>36462262.789999999</v>
      </c>
      <c r="AF102" s="395">
        <f t="shared" si="49"/>
        <v>36450689</v>
      </c>
      <c r="AG102" s="395">
        <f t="shared" si="49"/>
        <v>36450689</v>
      </c>
      <c r="AH102" s="395">
        <f t="shared" si="49"/>
        <v>36446085.780000001</v>
      </c>
      <c r="AI102" s="395">
        <f t="shared" si="49"/>
        <v>36416805</v>
      </c>
      <c r="AJ102" s="395">
        <f t="shared" si="49"/>
        <v>9967057.0800001621</v>
      </c>
      <c r="AK102" s="395">
        <f t="shared" si="49"/>
        <v>315873.25</v>
      </c>
      <c r="AL102" s="395">
        <f t="shared" si="49"/>
        <v>276863</v>
      </c>
      <c r="AM102" s="395">
        <f t="shared" si="49"/>
        <v>276863</v>
      </c>
      <c r="AN102" s="395">
        <f t="shared" si="49"/>
        <v>276863</v>
      </c>
      <c r="AO102" s="395">
        <f t="shared" si="49"/>
        <v>276863</v>
      </c>
      <c r="AQ102" s="395">
        <f>SUM(AQ92:AQ101)</f>
        <v>5655625.8500000183</v>
      </c>
    </row>
    <row r="103" spans="3:43" ht="13.5" thickTop="1" x14ac:dyDescent="0.2"/>
    <row r="105" spans="3:43" x14ac:dyDescent="0.2">
      <c r="C105" s="396" t="s">
        <v>289</v>
      </c>
    </row>
    <row r="106" spans="3:43" x14ac:dyDescent="0.2">
      <c r="C106" s="396"/>
      <c r="J106" s="398" t="s">
        <v>290</v>
      </c>
      <c r="K106" s="399">
        <f t="shared" ref="K106:AO106" si="50">+K3</f>
        <v>2000</v>
      </c>
      <c r="L106" s="399">
        <f t="shared" si="50"/>
        <v>2001</v>
      </c>
      <c r="M106" s="399">
        <f t="shared" si="50"/>
        <v>2002</v>
      </c>
      <c r="N106" s="399">
        <f t="shared" si="50"/>
        <v>2003</v>
      </c>
      <c r="O106" s="399">
        <f t="shared" si="50"/>
        <v>2004</v>
      </c>
      <c r="P106" s="399">
        <f t="shared" si="50"/>
        <v>2005</v>
      </c>
      <c r="Q106" s="399">
        <f t="shared" si="50"/>
        <v>2006</v>
      </c>
      <c r="R106" s="399">
        <f t="shared" si="50"/>
        <v>2007</v>
      </c>
      <c r="S106" s="399">
        <f t="shared" si="50"/>
        <v>2008</v>
      </c>
      <c r="T106" s="399">
        <f t="shared" si="50"/>
        <v>2009</v>
      </c>
      <c r="U106" s="399">
        <f t="shared" si="50"/>
        <v>2010</v>
      </c>
      <c r="V106" s="399">
        <f t="shared" si="50"/>
        <v>2011</v>
      </c>
      <c r="W106" s="399">
        <f t="shared" si="50"/>
        <v>2012</v>
      </c>
      <c r="X106" s="399">
        <f t="shared" si="50"/>
        <v>2013</v>
      </c>
      <c r="Y106" s="399">
        <f t="shared" si="50"/>
        <v>2014</v>
      </c>
      <c r="Z106" s="399">
        <f t="shared" si="50"/>
        <v>2015</v>
      </c>
      <c r="AA106" s="399">
        <f t="shared" si="50"/>
        <v>2016</v>
      </c>
      <c r="AB106" s="399">
        <f t="shared" si="50"/>
        <v>2017</v>
      </c>
      <c r="AC106" s="399">
        <f t="shared" si="50"/>
        <v>2018</v>
      </c>
      <c r="AD106" s="399">
        <f t="shared" si="50"/>
        <v>2019</v>
      </c>
      <c r="AE106" s="399">
        <f t="shared" si="50"/>
        <v>2020</v>
      </c>
      <c r="AF106" s="399">
        <f t="shared" si="50"/>
        <v>2021</v>
      </c>
      <c r="AG106" s="399">
        <f t="shared" si="50"/>
        <v>2022</v>
      </c>
      <c r="AH106" s="399">
        <f t="shared" si="50"/>
        <v>2023</v>
      </c>
      <c r="AI106" s="399">
        <f t="shared" si="50"/>
        <v>2024</v>
      </c>
      <c r="AJ106" s="399">
        <f t="shared" si="50"/>
        <v>2025</v>
      </c>
      <c r="AK106" s="399">
        <f t="shared" si="50"/>
        <v>2026</v>
      </c>
      <c r="AL106" s="399">
        <f t="shared" si="50"/>
        <v>2027</v>
      </c>
      <c r="AM106" s="399">
        <f t="shared" si="50"/>
        <v>2028</v>
      </c>
      <c r="AN106" s="399">
        <f t="shared" si="50"/>
        <v>2029</v>
      </c>
      <c r="AO106" s="399">
        <f t="shared" si="50"/>
        <v>2030</v>
      </c>
    </row>
    <row r="107" spans="3:43" x14ac:dyDescent="0.2">
      <c r="C107" s="396"/>
    </row>
    <row r="108" spans="3:43" x14ac:dyDescent="0.2">
      <c r="C108" s="397" t="s">
        <v>287</v>
      </c>
      <c r="I108" s="378">
        <f t="shared" ref="I108:I116" si="51">+K108*J108</f>
        <v>13534362.242617887</v>
      </c>
      <c r="J108" s="378">
        <v>30</v>
      </c>
      <c r="K108" s="378">
        <f t="shared" ref="K108:K116" si="52">+K121-K92</f>
        <v>451145.40808726288</v>
      </c>
      <c r="L108" s="378">
        <f t="shared" ref="L108:AN108" si="53">+K108</f>
        <v>451145.40808726288</v>
      </c>
      <c r="M108" s="378">
        <f t="shared" si="53"/>
        <v>451145.40808726288</v>
      </c>
      <c r="N108" s="378">
        <f t="shared" si="53"/>
        <v>451145.40808726288</v>
      </c>
      <c r="O108" s="378">
        <f t="shared" si="53"/>
        <v>451145.40808726288</v>
      </c>
      <c r="P108" s="378">
        <f t="shared" si="53"/>
        <v>451145.40808726288</v>
      </c>
      <c r="Q108" s="378">
        <f t="shared" si="53"/>
        <v>451145.40808726288</v>
      </c>
      <c r="R108" s="378">
        <f t="shared" si="53"/>
        <v>451145.40808726288</v>
      </c>
      <c r="S108" s="378">
        <f t="shared" si="53"/>
        <v>451145.40808726288</v>
      </c>
      <c r="T108" s="378">
        <f t="shared" si="53"/>
        <v>451145.40808726288</v>
      </c>
      <c r="U108" s="378">
        <f t="shared" si="53"/>
        <v>451145.40808726288</v>
      </c>
      <c r="V108" s="378">
        <f t="shared" si="53"/>
        <v>451145.40808726288</v>
      </c>
      <c r="W108" s="378">
        <f t="shared" si="53"/>
        <v>451145.40808726288</v>
      </c>
      <c r="X108" s="378">
        <f t="shared" si="53"/>
        <v>451145.40808726288</v>
      </c>
      <c r="Y108" s="378">
        <f t="shared" si="53"/>
        <v>451145.40808726288</v>
      </c>
      <c r="Z108" s="378">
        <f t="shared" si="53"/>
        <v>451145.40808726288</v>
      </c>
      <c r="AA108" s="378">
        <f t="shared" si="53"/>
        <v>451145.40808726288</v>
      </c>
      <c r="AB108" s="378">
        <f t="shared" si="53"/>
        <v>451145.40808726288</v>
      </c>
      <c r="AC108" s="378">
        <f t="shared" si="53"/>
        <v>451145.40808726288</v>
      </c>
      <c r="AD108" s="378">
        <f t="shared" si="53"/>
        <v>451145.40808726288</v>
      </c>
      <c r="AE108" s="378">
        <f t="shared" si="53"/>
        <v>451145.40808726288</v>
      </c>
      <c r="AF108" s="378">
        <f t="shared" si="53"/>
        <v>451145.40808726288</v>
      </c>
      <c r="AG108" s="378">
        <f t="shared" si="53"/>
        <v>451145.40808726288</v>
      </c>
      <c r="AH108" s="378">
        <f t="shared" si="53"/>
        <v>451145.40808726288</v>
      </c>
      <c r="AI108" s="378">
        <f t="shared" si="53"/>
        <v>451145.40808726288</v>
      </c>
      <c r="AJ108" s="378">
        <f t="shared" si="53"/>
        <v>451145.40808726288</v>
      </c>
      <c r="AK108" s="378">
        <f t="shared" si="53"/>
        <v>451145.40808726288</v>
      </c>
      <c r="AL108" s="378">
        <f t="shared" si="53"/>
        <v>451145.40808726288</v>
      </c>
      <c r="AM108" s="378">
        <f t="shared" si="53"/>
        <v>451145.40808726288</v>
      </c>
      <c r="AN108" s="378">
        <f t="shared" si="53"/>
        <v>451145.40808726288</v>
      </c>
      <c r="AO108" s="378">
        <v>0</v>
      </c>
      <c r="AQ108" s="378">
        <f t="shared" ref="AQ108:AQ116" si="54">I108-SUM(K108:AP108)</f>
        <v>0</v>
      </c>
    </row>
    <row r="109" spans="3:43" x14ac:dyDescent="0.2">
      <c r="C109" s="397" t="s">
        <v>288</v>
      </c>
      <c r="I109" s="378">
        <f t="shared" si="51"/>
        <v>11382155.822747368</v>
      </c>
      <c r="J109" s="378">
        <v>30</v>
      </c>
      <c r="K109" s="378">
        <f t="shared" si="52"/>
        <v>379405.19409157895</v>
      </c>
      <c r="L109" s="378">
        <f t="shared" ref="L109:AN109" si="55">+K109</f>
        <v>379405.19409157895</v>
      </c>
      <c r="M109" s="378">
        <f t="shared" si="55"/>
        <v>379405.19409157895</v>
      </c>
      <c r="N109" s="378">
        <f t="shared" si="55"/>
        <v>379405.19409157895</v>
      </c>
      <c r="O109" s="378">
        <f t="shared" si="55"/>
        <v>379405.19409157895</v>
      </c>
      <c r="P109" s="378">
        <f t="shared" si="55"/>
        <v>379405.19409157895</v>
      </c>
      <c r="Q109" s="378">
        <f t="shared" si="55"/>
        <v>379405.19409157895</v>
      </c>
      <c r="R109" s="378">
        <f t="shared" si="55"/>
        <v>379405.19409157895</v>
      </c>
      <c r="S109" s="378">
        <f t="shared" si="55"/>
        <v>379405.19409157895</v>
      </c>
      <c r="T109" s="378">
        <f t="shared" si="55"/>
        <v>379405.19409157895</v>
      </c>
      <c r="U109" s="378">
        <f t="shared" si="55"/>
        <v>379405.19409157895</v>
      </c>
      <c r="V109" s="378">
        <f t="shared" si="55"/>
        <v>379405.19409157895</v>
      </c>
      <c r="W109" s="378">
        <f t="shared" si="55"/>
        <v>379405.19409157895</v>
      </c>
      <c r="X109" s="378">
        <f t="shared" si="55"/>
        <v>379405.19409157895</v>
      </c>
      <c r="Y109" s="378">
        <f t="shared" si="55"/>
        <v>379405.19409157895</v>
      </c>
      <c r="Z109" s="378">
        <f t="shared" si="55"/>
        <v>379405.19409157895</v>
      </c>
      <c r="AA109" s="378">
        <f t="shared" si="55"/>
        <v>379405.19409157895</v>
      </c>
      <c r="AB109" s="378">
        <f t="shared" si="55"/>
        <v>379405.19409157895</v>
      </c>
      <c r="AC109" s="378">
        <f t="shared" si="55"/>
        <v>379405.19409157895</v>
      </c>
      <c r="AD109" s="378">
        <f t="shared" si="55"/>
        <v>379405.19409157895</v>
      </c>
      <c r="AE109" s="378">
        <f t="shared" si="55"/>
        <v>379405.19409157895</v>
      </c>
      <c r="AF109" s="378">
        <f t="shared" si="55"/>
        <v>379405.19409157895</v>
      </c>
      <c r="AG109" s="378">
        <f t="shared" si="55"/>
        <v>379405.19409157895</v>
      </c>
      <c r="AH109" s="378">
        <f t="shared" si="55"/>
        <v>379405.19409157895</v>
      </c>
      <c r="AI109" s="378">
        <f t="shared" si="55"/>
        <v>379405.19409157895</v>
      </c>
      <c r="AJ109" s="378">
        <f t="shared" si="55"/>
        <v>379405.19409157895</v>
      </c>
      <c r="AK109" s="378">
        <f t="shared" si="55"/>
        <v>379405.19409157895</v>
      </c>
      <c r="AL109" s="378">
        <f t="shared" si="55"/>
        <v>379405.19409157895</v>
      </c>
      <c r="AM109" s="378">
        <f t="shared" si="55"/>
        <v>379405.19409157895</v>
      </c>
      <c r="AN109" s="378">
        <f t="shared" si="55"/>
        <v>379405.19409157895</v>
      </c>
      <c r="AO109" s="378">
        <v>0</v>
      </c>
      <c r="AQ109" s="378">
        <f t="shared" si="54"/>
        <v>0</v>
      </c>
    </row>
    <row r="110" spans="3:43" x14ac:dyDescent="0.2">
      <c r="C110" s="383" t="s">
        <v>260</v>
      </c>
      <c r="I110" s="378">
        <f t="shared" si="51"/>
        <v>404620.95477234107</v>
      </c>
      <c r="J110" s="378">
        <v>30</v>
      </c>
      <c r="K110" s="378">
        <f t="shared" si="52"/>
        <v>13487.365159078036</v>
      </c>
      <c r="L110" s="378">
        <f t="shared" ref="L110:AN110" si="56">+K110</f>
        <v>13487.365159078036</v>
      </c>
      <c r="M110" s="378">
        <f t="shared" si="56"/>
        <v>13487.365159078036</v>
      </c>
      <c r="N110" s="378">
        <f t="shared" si="56"/>
        <v>13487.365159078036</v>
      </c>
      <c r="O110" s="378">
        <f t="shared" si="56"/>
        <v>13487.365159078036</v>
      </c>
      <c r="P110" s="378">
        <f t="shared" si="56"/>
        <v>13487.365159078036</v>
      </c>
      <c r="Q110" s="378">
        <f t="shared" si="56"/>
        <v>13487.365159078036</v>
      </c>
      <c r="R110" s="378">
        <f t="shared" si="56"/>
        <v>13487.365159078036</v>
      </c>
      <c r="S110" s="378">
        <f t="shared" si="56"/>
        <v>13487.365159078036</v>
      </c>
      <c r="T110" s="378">
        <f t="shared" si="56"/>
        <v>13487.365159078036</v>
      </c>
      <c r="U110" s="378">
        <f t="shared" si="56"/>
        <v>13487.365159078036</v>
      </c>
      <c r="V110" s="378">
        <f t="shared" si="56"/>
        <v>13487.365159078036</v>
      </c>
      <c r="W110" s="378">
        <f t="shared" si="56"/>
        <v>13487.365159078036</v>
      </c>
      <c r="X110" s="378">
        <f t="shared" si="56"/>
        <v>13487.365159078036</v>
      </c>
      <c r="Y110" s="378">
        <f t="shared" si="56"/>
        <v>13487.365159078036</v>
      </c>
      <c r="Z110" s="378">
        <f t="shared" si="56"/>
        <v>13487.365159078036</v>
      </c>
      <c r="AA110" s="378">
        <f t="shared" si="56"/>
        <v>13487.365159078036</v>
      </c>
      <c r="AB110" s="378">
        <f t="shared" si="56"/>
        <v>13487.365159078036</v>
      </c>
      <c r="AC110" s="378">
        <f t="shared" si="56"/>
        <v>13487.365159078036</v>
      </c>
      <c r="AD110" s="378">
        <f t="shared" si="56"/>
        <v>13487.365159078036</v>
      </c>
      <c r="AE110" s="378">
        <f t="shared" si="56"/>
        <v>13487.365159078036</v>
      </c>
      <c r="AF110" s="378">
        <f t="shared" si="56"/>
        <v>13487.365159078036</v>
      </c>
      <c r="AG110" s="378">
        <f t="shared" si="56"/>
        <v>13487.365159078036</v>
      </c>
      <c r="AH110" s="378">
        <f t="shared" si="56"/>
        <v>13487.365159078036</v>
      </c>
      <c r="AI110" s="378">
        <f t="shared" si="56"/>
        <v>13487.365159078036</v>
      </c>
      <c r="AJ110" s="378">
        <f t="shared" si="56"/>
        <v>13487.365159078036</v>
      </c>
      <c r="AK110" s="378">
        <f t="shared" si="56"/>
        <v>13487.365159078036</v>
      </c>
      <c r="AL110" s="378">
        <f t="shared" si="56"/>
        <v>13487.365159078036</v>
      </c>
      <c r="AM110" s="378">
        <f t="shared" si="56"/>
        <v>13487.365159078036</v>
      </c>
      <c r="AN110" s="378">
        <f t="shared" si="56"/>
        <v>13487.365159078036</v>
      </c>
      <c r="AO110" s="378">
        <v>0</v>
      </c>
      <c r="AQ110" s="378">
        <f t="shared" si="54"/>
        <v>0</v>
      </c>
    </row>
    <row r="111" spans="3:43" x14ac:dyDescent="0.2">
      <c r="C111" s="383" t="s">
        <v>261</v>
      </c>
      <c r="I111" s="378">
        <f t="shared" si="51"/>
        <v>10485974.464125596</v>
      </c>
      <c r="J111" s="378">
        <v>30</v>
      </c>
      <c r="K111" s="378">
        <f t="shared" si="52"/>
        <v>349532.48213751987</v>
      </c>
      <c r="L111" s="378">
        <f t="shared" ref="L111:AN111" si="57">+K111</f>
        <v>349532.48213751987</v>
      </c>
      <c r="M111" s="378">
        <f t="shared" si="57"/>
        <v>349532.48213751987</v>
      </c>
      <c r="N111" s="378">
        <f t="shared" si="57"/>
        <v>349532.48213751987</v>
      </c>
      <c r="O111" s="378">
        <f t="shared" si="57"/>
        <v>349532.48213751987</v>
      </c>
      <c r="P111" s="378">
        <f t="shared" si="57"/>
        <v>349532.48213751987</v>
      </c>
      <c r="Q111" s="378">
        <f t="shared" si="57"/>
        <v>349532.48213751987</v>
      </c>
      <c r="R111" s="378">
        <f t="shared" si="57"/>
        <v>349532.48213751987</v>
      </c>
      <c r="S111" s="378">
        <f t="shared" si="57"/>
        <v>349532.48213751987</v>
      </c>
      <c r="T111" s="378">
        <f t="shared" si="57"/>
        <v>349532.48213751987</v>
      </c>
      <c r="U111" s="378">
        <f t="shared" si="57"/>
        <v>349532.48213751987</v>
      </c>
      <c r="V111" s="378">
        <f t="shared" si="57"/>
        <v>349532.48213751987</v>
      </c>
      <c r="W111" s="378">
        <f t="shared" si="57"/>
        <v>349532.48213751987</v>
      </c>
      <c r="X111" s="378">
        <f t="shared" si="57"/>
        <v>349532.48213751987</v>
      </c>
      <c r="Y111" s="378">
        <f t="shared" si="57"/>
        <v>349532.48213751987</v>
      </c>
      <c r="Z111" s="378">
        <f t="shared" si="57"/>
        <v>349532.48213751987</v>
      </c>
      <c r="AA111" s="378">
        <f t="shared" si="57"/>
        <v>349532.48213751987</v>
      </c>
      <c r="AB111" s="378">
        <f t="shared" si="57"/>
        <v>349532.48213751987</v>
      </c>
      <c r="AC111" s="378">
        <f t="shared" si="57"/>
        <v>349532.48213751987</v>
      </c>
      <c r="AD111" s="378">
        <f t="shared" si="57"/>
        <v>349532.48213751987</v>
      </c>
      <c r="AE111" s="378">
        <f t="shared" si="57"/>
        <v>349532.48213751987</v>
      </c>
      <c r="AF111" s="378">
        <f t="shared" si="57"/>
        <v>349532.48213751987</v>
      </c>
      <c r="AG111" s="378">
        <f t="shared" si="57"/>
        <v>349532.48213751987</v>
      </c>
      <c r="AH111" s="378">
        <f t="shared" si="57"/>
        <v>349532.48213751987</v>
      </c>
      <c r="AI111" s="378">
        <f t="shared" si="57"/>
        <v>349532.48213751987</v>
      </c>
      <c r="AJ111" s="378">
        <f t="shared" si="57"/>
        <v>349532.48213751987</v>
      </c>
      <c r="AK111" s="378">
        <f t="shared" si="57"/>
        <v>349532.48213751987</v>
      </c>
      <c r="AL111" s="378">
        <f t="shared" si="57"/>
        <v>349532.48213751987</v>
      </c>
      <c r="AM111" s="378">
        <f t="shared" si="57"/>
        <v>349532.48213751987</v>
      </c>
      <c r="AN111" s="378">
        <f t="shared" si="57"/>
        <v>349532.48213751987</v>
      </c>
      <c r="AO111" s="378">
        <v>0</v>
      </c>
      <c r="AQ111" s="378">
        <f t="shared" si="54"/>
        <v>0</v>
      </c>
    </row>
    <row r="112" spans="3:43" x14ac:dyDescent="0.2">
      <c r="C112" s="383" t="s">
        <v>281</v>
      </c>
      <c r="I112" s="378">
        <f t="shared" si="51"/>
        <v>2843200.5021908926</v>
      </c>
      <c r="J112" s="378">
        <v>30</v>
      </c>
      <c r="K112" s="378">
        <f t="shared" si="52"/>
        <v>94773.350073029753</v>
      </c>
      <c r="L112" s="378">
        <f t="shared" ref="L112:AN112" si="58">+K112</f>
        <v>94773.350073029753</v>
      </c>
      <c r="M112" s="378">
        <f t="shared" si="58"/>
        <v>94773.350073029753</v>
      </c>
      <c r="N112" s="378">
        <f t="shared" si="58"/>
        <v>94773.350073029753</v>
      </c>
      <c r="O112" s="378">
        <f t="shared" si="58"/>
        <v>94773.350073029753</v>
      </c>
      <c r="P112" s="378">
        <f t="shared" si="58"/>
        <v>94773.350073029753</v>
      </c>
      <c r="Q112" s="378">
        <f t="shared" si="58"/>
        <v>94773.350073029753</v>
      </c>
      <c r="R112" s="378">
        <f t="shared" si="58"/>
        <v>94773.350073029753</v>
      </c>
      <c r="S112" s="378">
        <f t="shared" si="58"/>
        <v>94773.350073029753</v>
      </c>
      <c r="T112" s="378">
        <f t="shared" si="58"/>
        <v>94773.350073029753</v>
      </c>
      <c r="U112" s="378">
        <f t="shared" si="58"/>
        <v>94773.350073029753</v>
      </c>
      <c r="V112" s="378">
        <f t="shared" si="58"/>
        <v>94773.350073029753</v>
      </c>
      <c r="W112" s="378">
        <f t="shared" si="58"/>
        <v>94773.350073029753</v>
      </c>
      <c r="X112" s="378">
        <f t="shared" si="58"/>
        <v>94773.350073029753</v>
      </c>
      <c r="Y112" s="378">
        <f t="shared" si="58"/>
        <v>94773.350073029753</v>
      </c>
      <c r="Z112" s="378">
        <f t="shared" si="58"/>
        <v>94773.350073029753</v>
      </c>
      <c r="AA112" s="378">
        <f t="shared" si="58"/>
        <v>94773.350073029753</v>
      </c>
      <c r="AB112" s="378">
        <f t="shared" si="58"/>
        <v>94773.350073029753</v>
      </c>
      <c r="AC112" s="378">
        <f t="shared" si="58"/>
        <v>94773.350073029753</v>
      </c>
      <c r="AD112" s="378">
        <f t="shared" si="58"/>
        <v>94773.350073029753</v>
      </c>
      <c r="AE112" s="378">
        <f t="shared" si="58"/>
        <v>94773.350073029753</v>
      </c>
      <c r="AF112" s="378">
        <f t="shared" si="58"/>
        <v>94773.350073029753</v>
      </c>
      <c r="AG112" s="378">
        <f t="shared" si="58"/>
        <v>94773.350073029753</v>
      </c>
      <c r="AH112" s="378">
        <f t="shared" si="58"/>
        <v>94773.350073029753</v>
      </c>
      <c r="AI112" s="378">
        <f t="shared" si="58"/>
        <v>94773.350073029753</v>
      </c>
      <c r="AJ112" s="378">
        <f t="shared" si="58"/>
        <v>94773.350073029753</v>
      </c>
      <c r="AK112" s="378">
        <f t="shared" si="58"/>
        <v>94773.350073029753</v>
      </c>
      <c r="AL112" s="378">
        <f t="shared" si="58"/>
        <v>94773.350073029753</v>
      </c>
      <c r="AM112" s="378">
        <f t="shared" si="58"/>
        <v>94773.350073029753</v>
      </c>
      <c r="AN112" s="378">
        <f t="shared" si="58"/>
        <v>94773.350073029753</v>
      </c>
      <c r="AO112" s="378">
        <v>0</v>
      </c>
      <c r="AQ112" s="378">
        <f t="shared" si="54"/>
        <v>0</v>
      </c>
    </row>
    <row r="113" spans="3:43" x14ac:dyDescent="0.2">
      <c r="C113" s="383" t="s">
        <v>282</v>
      </c>
      <c r="I113" s="378">
        <f t="shared" si="51"/>
        <v>10715765.54177938</v>
      </c>
      <c r="J113" s="378">
        <v>30</v>
      </c>
      <c r="K113" s="378">
        <f t="shared" si="52"/>
        <v>357192.18472597934</v>
      </c>
      <c r="L113" s="378">
        <f t="shared" ref="L113:AN113" si="59">+K113</f>
        <v>357192.18472597934</v>
      </c>
      <c r="M113" s="378">
        <f t="shared" si="59"/>
        <v>357192.18472597934</v>
      </c>
      <c r="N113" s="378">
        <f t="shared" si="59"/>
        <v>357192.18472597934</v>
      </c>
      <c r="O113" s="378">
        <f t="shared" si="59"/>
        <v>357192.18472597934</v>
      </c>
      <c r="P113" s="378">
        <f t="shared" si="59"/>
        <v>357192.18472597934</v>
      </c>
      <c r="Q113" s="378">
        <f t="shared" si="59"/>
        <v>357192.18472597934</v>
      </c>
      <c r="R113" s="378">
        <f t="shared" si="59"/>
        <v>357192.18472597934</v>
      </c>
      <c r="S113" s="378">
        <f t="shared" si="59"/>
        <v>357192.18472597934</v>
      </c>
      <c r="T113" s="378">
        <f t="shared" si="59"/>
        <v>357192.18472597934</v>
      </c>
      <c r="U113" s="378">
        <f t="shared" si="59"/>
        <v>357192.18472597934</v>
      </c>
      <c r="V113" s="378">
        <f t="shared" si="59"/>
        <v>357192.18472597934</v>
      </c>
      <c r="W113" s="378">
        <f t="shared" si="59"/>
        <v>357192.18472597934</v>
      </c>
      <c r="X113" s="378">
        <f t="shared" si="59"/>
        <v>357192.18472597934</v>
      </c>
      <c r="Y113" s="378">
        <f t="shared" si="59"/>
        <v>357192.18472597934</v>
      </c>
      <c r="Z113" s="378">
        <f t="shared" si="59"/>
        <v>357192.18472597934</v>
      </c>
      <c r="AA113" s="378">
        <f t="shared" si="59"/>
        <v>357192.18472597934</v>
      </c>
      <c r="AB113" s="378">
        <f t="shared" si="59"/>
        <v>357192.18472597934</v>
      </c>
      <c r="AC113" s="378">
        <f t="shared" si="59"/>
        <v>357192.18472597934</v>
      </c>
      <c r="AD113" s="378">
        <f t="shared" si="59"/>
        <v>357192.18472597934</v>
      </c>
      <c r="AE113" s="378">
        <f t="shared" si="59"/>
        <v>357192.18472597934</v>
      </c>
      <c r="AF113" s="378">
        <f t="shared" si="59"/>
        <v>357192.18472597934</v>
      </c>
      <c r="AG113" s="378">
        <f t="shared" si="59"/>
        <v>357192.18472597934</v>
      </c>
      <c r="AH113" s="378">
        <f t="shared" si="59"/>
        <v>357192.18472597934</v>
      </c>
      <c r="AI113" s="378">
        <f t="shared" si="59"/>
        <v>357192.18472597934</v>
      </c>
      <c r="AJ113" s="378">
        <f t="shared" si="59"/>
        <v>357192.18472597934</v>
      </c>
      <c r="AK113" s="378">
        <f t="shared" si="59"/>
        <v>357192.18472597934</v>
      </c>
      <c r="AL113" s="378">
        <f t="shared" si="59"/>
        <v>357192.18472597934</v>
      </c>
      <c r="AM113" s="378">
        <f t="shared" si="59"/>
        <v>357192.18472597934</v>
      </c>
      <c r="AN113" s="378">
        <f t="shared" si="59"/>
        <v>357192.18472597934</v>
      </c>
      <c r="AO113" s="378">
        <v>0</v>
      </c>
      <c r="AQ113" s="378">
        <f t="shared" si="54"/>
        <v>0</v>
      </c>
    </row>
    <row r="114" spans="3:43" x14ac:dyDescent="0.2">
      <c r="C114" s="383" t="s">
        <v>264</v>
      </c>
      <c r="I114" s="378">
        <f t="shared" si="51"/>
        <v>6872690.3810250107</v>
      </c>
      <c r="J114" s="378">
        <v>30</v>
      </c>
      <c r="K114" s="378">
        <f t="shared" si="52"/>
        <v>229089.67936750036</v>
      </c>
      <c r="L114" s="378">
        <f t="shared" ref="L114:AN114" si="60">+K114</f>
        <v>229089.67936750036</v>
      </c>
      <c r="M114" s="378">
        <f t="shared" si="60"/>
        <v>229089.67936750036</v>
      </c>
      <c r="N114" s="378">
        <f t="shared" si="60"/>
        <v>229089.67936750036</v>
      </c>
      <c r="O114" s="378">
        <f t="shared" si="60"/>
        <v>229089.67936750036</v>
      </c>
      <c r="P114" s="378">
        <f t="shared" si="60"/>
        <v>229089.67936750036</v>
      </c>
      <c r="Q114" s="378">
        <f t="shared" si="60"/>
        <v>229089.67936750036</v>
      </c>
      <c r="R114" s="378">
        <f t="shared" si="60"/>
        <v>229089.67936750036</v>
      </c>
      <c r="S114" s="378">
        <f t="shared" si="60"/>
        <v>229089.67936750036</v>
      </c>
      <c r="T114" s="378">
        <f t="shared" si="60"/>
        <v>229089.67936750036</v>
      </c>
      <c r="U114" s="378">
        <f t="shared" si="60"/>
        <v>229089.67936750036</v>
      </c>
      <c r="V114" s="378">
        <f t="shared" si="60"/>
        <v>229089.67936750036</v>
      </c>
      <c r="W114" s="378">
        <f t="shared" si="60"/>
        <v>229089.67936750036</v>
      </c>
      <c r="X114" s="378">
        <f t="shared" si="60"/>
        <v>229089.67936750036</v>
      </c>
      <c r="Y114" s="378">
        <f t="shared" si="60"/>
        <v>229089.67936750036</v>
      </c>
      <c r="Z114" s="378">
        <f t="shared" si="60"/>
        <v>229089.67936750036</v>
      </c>
      <c r="AA114" s="378">
        <f t="shared" si="60"/>
        <v>229089.67936750036</v>
      </c>
      <c r="AB114" s="378">
        <f t="shared" si="60"/>
        <v>229089.67936750036</v>
      </c>
      <c r="AC114" s="378">
        <f t="shared" si="60"/>
        <v>229089.67936750036</v>
      </c>
      <c r="AD114" s="378">
        <f t="shared" si="60"/>
        <v>229089.67936750036</v>
      </c>
      <c r="AE114" s="378">
        <f t="shared" si="60"/>
        <v>229089.67936750036</v>
      </c>
      <c r="AF114" s="378">
        <f t="shared" si="60"/>
        <v>229089.67936750036</v>
      </c>
      <c r="AG114" s="378">
        <f t="shared" si="60"/>
        <v>229089.67936750036</v>
      </c>
      <c r="AH114" s="378">
        <f t="shared" si="60"/>
        <v>229089.67936750036</v>
      </c>
      <c r="AI114" s="378">
        <f t="shared" si="60"/>
        <v>229089.67936750036</v>
      </c>
      <c r="AJ114" s="378">
        <f t="shared" si="60"/>
        <v>229089.67936750036</v>
      </c>
      <c r="AK114" s="378">
        <f t="shared" si="60"/>
        <v>229089.67936750036</v>
      </c>
      <c r="AL114" s="378">
        <f t="shared" si="60"/>
        <v>229089.67936750036</v>
      </c>
      <c r="AM114" s="378">
        <f t="shared" si="60"/>
        <v>229089.67936750036</v>
      </c>
      <c r="AN114" s="378">
        <f t="shared" si="60"/>
        <v>229089.67936750036</v>
      </c>
      <c r="AO114" s="378">
        <v>0</v>
      </c>
      <c r="AQ114" s="378">
        <f t="shared" si="54"/>
        <v>0</v>
      </c>
    </row>
    <row r="115" spans="3:43" x14ac:dyDescent="0.2">
      <c r="C115" s="383" t="s">
        <v>283</v>
      </c>
      <c r="I115" s="378">
        <f t="shared" si="51"/>
        <v>46263994.715184197</v>
      </c>
      <c r="J115" s="378">
        <v>30</v>
      </c>
      <c r="K115" s="378">
        <f t="shared" si="52"/>
        <v>1542133.1571728066</v>
      </c>
      <c r="L115" s="378">
        <f t="shared" ref="L115:AN115" si="61">+K115</f>
        <v>1542133.1571728066</v>
      </c>
      <c r="M115" s="378">
        <f t="shared" si="61"/>
        <v>1542133.1571728066</v>
      </c>
      <c r="N115" s="378">
        <f t="shared" si="61"/>
        <v>1542133.1571728066</v>
      </c>
      <c r="O115" s="378">
        <f t="shared" si="61"/>
        <v>1542133.1571728066</v>
      </c>
      <c r="P115" s="378">
        <f t="shared" si="61"/>
        <v>1542133.1571728066</v>
      </c>
      <c r="Q115" s="378">
        <f t="shared" si="61"/>
        <v>1542133.1571728066</v>
      </c>
      <c r="R115" s="378">
        <f t="shared" si="61"/>
        <v>1542133.1571728066</v>
      </c>
      <c r="S115" s="378">
        <f t="shared" si="61"/>
        <v>1542133.1571728066</v>
      </c>
      <c r="T115" s="378">
        <f t="shared" si="61"/>
        <v>1542133.1571728066</v>
      </c>
      <c r="U115" s="378">
        <f t="shared" si="61"/>
        <v>1542133.1571728066</v>
      </c>
      <c r="V115" s="378">
        <f t="shared" si="61"/>
        <v>1542133.1571728066</v>
      </c>
      <c r="W115" s="378">
        <f t="shared" si="61"/>
        <v>1542133.1571728066</v>
      </c>
      <c r="X115" s="378">
        <f t="shared" si="61"/>
        <v>1542133.1571728066</v>
      </c>
      <c r="Y115" s="378">
        <f t="shared" si="61"/>
        <v>1542133.1571728066</v>
      </c>
      <c r="Z115" s="378">
        <f t="shared" si="61"/>
        <v>1542133.1571728066</v>
      </c>
      <c r="AA115" s="378">
        <f t="shared" si="61"/>
        <v>1542133.1571728066</v>
      </c>
      <c r="AB115" s="378">
        <f t="shared" si="61"/>
        <v>1542133.1571728066</v>
      </c>
      <c r="AC115" s="378">
        <f t="shared" si="61"/>
        <v>1542133.1571728066</v>
      </c>
      <c r="AD115" s="378">
        <f t="shared" si="61"/>
        <v>1542133.1571728066</v>
      </c>
      <c r="AE115" s="378">
        <f t="shared" si="61"/>
        <v>1542133.1571728066</v>
      </c>
      <c r="AF115" s="378">
        <f t="shared" si="61"/>
        <v>1542133.1571728066</v>
      </c>
      <c r="AG115" s="378">
        <f t="shared" si="61"/>
        <v>1542133.1571728066</v>
      </c>
      <c r="AH115" s="378">
        <f t="shared" si="61"/>
        <v>1542133.1571728066</v>
      </c>
      <c r="AI115" s="378">
        <f t="shared" si="61"/>
        <v>1542133.1571728066</v>
      </c>
      <c r="AJ115" s="378">
        <f t="shared" si="61"/>
        <v>1542133.1571728066</v>
      </c>
      <c r="AK115" s="378">
        <f t="shared" si="61"/>
        <v>1542133.1571728066</v>
      </c>
      <c r="AL115" s="378">
        <f t="shared" si="61"/>
        <v>1542133.1571728066</v>
      </c>
      <c r="AM115" s="378">
        <f t="shared" si="61"/>
        <v>1542133.1571728066</v>
      </c>
      <c r="AN115" s="378">
        <f t="shared" si="61"/>
        <v>1542133.1571728066</v>
      </c>
      <c r="AO115" s="378">
        <v>0</v>
      </c>
      <c r="AQ115" s="378">
        <f t="shared" si="54"/>
        <v>0</v>
      </c>
    </row>
    <row r="116" spans="3:43" x14ac:dyDescent="0.2">
      <c r="C116" s="383" t="s">
        <v>284</v>
      </c>
      <c r="I116" s="378">
        <f t="shared" si="51"/>
        <v>5811137.7837039903</v>
      </c>
      <c r="J116" s="378">
        <v>20</v>
      </c>
      <c r="K116" s="378">
        <f t="shared" si="52"/>
        <v>290556.88918519951</v>
      </c>
      <c r="L116" s="378">
        <f t="shared" ref="L116:AD116" si="62">+K116</f>
        <v>290556.88918519951</v>
      </c>
      <c r="M116" s="378">
        <f t="shared" si="62"/>
        <v>290556.88918519951</v>
      </c>
      <c r="N116" s="378">
        <f t="shared" si="62"/>
        <v>290556.88918519951</v>
      </c>
      <c r="O116" s="378">
        <f t="shared" si="62"/>
        <v>290556.88918519951</v>
      </c>
      <c r="P116" s="378">
        <f t="shared" si="62"/>
        <v>290556.88918519951</v>
      </c>
      <c r="Q116" s="378">
        <f t="shared" si="62"/>
        <v>290556.88918519951</v>
      </c>
      <c r="R116" s="378">
        <f t="shared" si="62"/>
        <v>290556.88918519951</v>
      </c>
      <c r="S116" s="378">
        <f t="shared" si="62"/>
        <v>290556.88918519951</v>
      </c>
      <c r="T116" s="378">
        <f t="shared" si="62"/>
        <v>290556.88918519951</v>
      </c>
      <c r="U116" s="378">
        <f t="shared" si="62"/>
        <v>290556.88918519951</v>
      </c>
      <c r="V116" s="378">
        <f t="shared" si="62"/>
        <v>290556.88918519951</v>
      </c>
      <c r="W116" s="378">
        <f t="shared" si="62"/>
        <v>290556.88918519951</v>
      </c>
      <c r="X116" s="378">
        <f t="shared" si="62"/>
        <v>290556.88918519951</v>
      </c>
      <c r="Y116" s="378">
        <f t="shared" si="62"/>
        <v>290556.88918519951</v>
      </c>
      <c r="Z116" s="378">
        <f t="shared" si="62"/>
        <v>290556.88918519951</v>
      </c>
      <c r="AA116" s="378">
        <f t="shared" si="62"/>
        <v>290556.88918519951</v>
      </c>
      <c r="AB116" s="378">
        <f t="shared" si="62"/>
        <v>290556.88918519951</v>
      </c>
      <c r="AC116" s="378">
        <f t="shared" si="62"/>
        <v>290556.88918519951</v>
      </c>
      <c r="AD116" s="378">
        <f t="shared" si="62"/>
        <v>290556.88918519951</v>
      </c>
      <c r="AE116" s="378">
        <v>0</v>
      </c>
      <c r="AF116" s="378">
        <v>0</v>
      </c>
      <c r="AG116" s="378">
        <v>0</v>
      </c>
      <c r="AH116" s="378">
        <v>0</v>
      </c>
      <c r="AI116" s="378">
        <v>0</v>
      </c>
      <c r="AJ116" s="378">
        <v>0</v>
      </c>
      <c r="AK116" s="378">
        <v>0</v>
      </c>
      <c r="AL116" s="378">
        <v>0</v>
      </c>
      <c r="AM116" s="378">
        <v>0</v>
      </c>
      <c r="AN116" s="378">
        <v>0</v>
      </c>
      <c r="AO116" s="378">
        <v>0</v>
      </c>
      <c r="AQ116" s="378">
        <f t="shared" si="54"/>
        <v>0</v>
      </c>
    </row>
    <row r="118" spans="3:43" ht="13.5" thickBot="1" x14ac:dyDescent="0.25">
      <c r="I118" s="395">
        <f>SUM(I108:I117)</f>
        <v>108313902.40814665</v>
      </c>
      <c r="K118" s="395">
        <f t="shared" ref="K118:AO118" si="63">SUM(K108:K117)</f>
        <v>3707315.7099999553</v>
      </c>
      <c r="L118" s="395">
        <f t="shared" si="63"/>
        <v>3707315.7099999553</v>
      </c>
      <c r="M118" s="395">
        <f t="shared" si="63"/>
        <v>3707315.7099999553</v>
      </c>
      <c r="N118" s="395">
        <f t="shared" si="63"/>
        <v>3707315.7099999553</v>
      </c>
      <c r="O118" s="395">
        <f t="shared" si="63"/>
        <v>3707315.7099999553</v>
      </c>
      <c r="P118" s="395">
        <f t="shared" si="63"/>
        <v>3707315.7099999553</v>
      </c>
      <c r="Q118" s="395">
        <f t="shared" si="63"/>
        <v>3707315.7099999553</v>
      </c>
      <c r="R118" s="395">
        <f t="shared" si="63"/>
        <v>3707315.7099999553</v>
      </c>
      <c r="S118" s="395">
        <f t="shared" si="63"/>
        <v>3707315.7099999553</v>
      </c>
      <c r="T118" s="395">
        <f t="shared" si="63"/>
        <v>3707315.7099999553</v>
      </c>
      <c r="U118" s="395">
        <f t="shared" si="63"/>
        <v>3707315.7099999553</v>
      </c>
      <c r="V118" s="395">
        <f t="shared" si="63"/>
        <v>3707315.7099999553</v>
      </c>
      <c r="W118" s="395">
        <f t="shared" si="63"/>
        <v>3707315.7099999553</v>
      </c>
      <c r="X118" s="395">
        <f t="shared" si="63"/>
        <v>3707315.7099999553</v>
      </c>
      <c r="Y118" s="395">
        <f t="shared" si="63"/>
        <v>3707315.7099999553</v>
      </c>
      <c r="Z118" s="395">
        <f t="shared" si="63"/>
        <v>3707315.7099999553</v>
      </c>
      <c r="AA118" s="395">
        <f t="shared" si="63"/>
        <v>3707315.7099999553</v>
      </c>
      <c r="AB118" s="395">
        <f t="shared" si="63"/>
        <v>3707315.7099999553</v>
      </c>
      <c r="AC118" s="395">
        <f t="shared" si="63"/>
        <v>3707315.7099999553</v>
      </c>
      <c r="AD118" s="395">
        <f t="shared" si="63"/>
        <v>3707315.7099999553</v>
      </c>
      <c r="AE118" s="395">
        <f t="shared" si="63"/>
        <v>3416758.8208147557</v>
      </c>
      <c r="AF118" s="395">
        <f t="shared" si="63"/>
        <v>3416758.8208147557</v>
      </c>
      <c r="AG118" s="395">
        <f t="shared" si="63"/>
        <v>3416758.8208147557</v>
      </c>
      <c r="AH118" s="395">
        <f t="shared" si="63"/>
        <v>3416758.8208147557</v>
      </c>
      <c r="AI118" s="395">
        <f t="shared" si="63"/>
        <v>3416758.8208147557</v>
      </c>
      <c r="AJ118" s="395">
        <f t="shared" si="63"/>
        <v>3416758.8208147557</v>
      </c>
      <c r="AK118" s="395">
        <f t="shared" si="63"/>
        <v>3416758.8208147557</v>
      </c>
      <c r="AL118" s="395">
        <f t="shared" si="63"/>
        <v>3416758.8208147557</v>
      </c>
      <c r="AM118" s="395">
        <f t="shared" si="63"/>
        <v>3416758.8208147557</v>
      </c>
      <c r="AN118" s="395">
        <f t="shared" si="63"/>
        <v>3416758.8208147557</v>
      </c>
      <c r="AO118" s="395">
        <f t="shared" si="63"/>
        <v>0</v>
      </c>
      <c r="AQ118" s="395">
        <f>SUM(AQ108:AQ117)</f>
        <v>0</v>
      </c>
    </row>
    <row r="119" spans="3:43" ht="13.5" thickTop="1" x14ac:dyDescent="0.2"/>
    <row r="120" spans="3:43" x14ac:dyDescent="0.2">
      <c r="C120" s="396" t="s">
        <v>291</v>
      </c>
    </row>
    <row r="121" spans="3:43" x14ac:dyDescent="0.2">
      <c r="C121" s="397" t="s">
        <v>287</v>
      </c>
      <c r="I121" s="378">
        <f t="shared" ref="I121:I129" si="64">+I92+I108</f>
        <v>100505115.12261789</v>
      </c>
      <c r="K121" s="378">
        <v>11882779.958087262</v>
      </c>
      <c r="L121" s="378">
        <f t="shared" ref="L121:AO121" si="65">+L92+L108</f>
        <v>11882779.958087262</v>
      </c>
      <c r="M121" s="378">
        <f t="shared" si="65"/>
        <v>11861159.538087262</v>
      </c>
      <c r="N121" s="378">
        <f t="shared" si="65"/>
        <v>11782969.958087262</v>
      </c>
      <c r="O121" s="378">
        <f t="shared" si="65"/>
        <v>11447344.318087263</v>
      </c>
      <c r="P121" s="378">
        <f t="shared" si="65"/>
        <v>10483752.118087262</v>
      </c>
      <c r="Q121" s="378">
        <f t="shared" si="65"/>
        <v>10483752.118087262</v>
      </c>
      <c r="R121" s="378">
        <f t="shared" si="65"/>
        <v>5857660.0280872583</v>
      </c>
      <c r="S121" s="378">
        <f t="shared" si="65"/>
        <v>1837727.8280872628</v>
      </c>
      <c r="T121" s="378">
        <f t="shared" si="65"/>
        <v>1833683.1880872629</v>
      </c>
      <c r="U121" s="378">
        <f t="shared" si="65"/>
        <v>1680269.1080872659</v>
      </c>
      <c r="V121" s="378">
        <f t="shared" si="65"/>
        <v>524770.40808726288</v>
      </c>
      <c r="W121" s="378">
        <f t="shared" si="65"/>
        <v>524770.40808726288</v>
      </c>
      <c r="X121" s="378">
        <f t="shared" si="65"/>
        <v>524770.40808726288</v>
      </c>
      <c r="Y121" s="378">
        <f t="shared" si="65"/>
        <v>524770.40808726288</v>
      </c>
      <c r="Z121" s="378">
        <f t="shared" si="65"/>
        <v>524770.40808726288</v>
      </c>
      <c r="AA121" s="378">
        <f t="shared" si="65"/>
        <v>517491.44808726286</v>
      </c>
      <c r="AB121" s="378">
        <f t="shared" si="65"/>
        <v>497813.40808726288</v>
      </c>
      <c r="AC121" s="378">
        <f t="shared" si="65"/>
        <v>497813.40808726288</v>
      </c>
      <c r="AD121" s="378">
        <f t="shared" si="65"/>
        <v>497813.40808726288</v>
      </c>
      <c r="AE121" s="378">
        <f t="shared" si="65"/>
        <v>497813.40808726288</v>
      </c>
      <c r="AF121" s="378">
        <f t="shared" si="65"/>
        <v>497813.40808726288</v>
      </c>
      <c r="AG121" s="378">
        <f t="shared" si="65"/>
        <v>497813.40808726288</v>
      </c>
      <c r="AH121" s="378">
        <f t="shared" si="65"/>
        <v>493210.18808726291</v>
      </c>
      <c r="AI121" s="378">
        <f t="shared" si="65"/>
        <v>463929.40808726288</v>
      </c>
      <c r="AJ121" s="378">
        <f t="shared" si="65"/>
        <v>463929.40808726288</v>
      </c>
      <c r="AK121" s="378">
        <f t="shared" si="65"/>
        <v>463929.40808726288</v>
      </c>
      <c r="AL121" s="378">
        <f t="shared" si="65"/>
        <v>463929.40808726288</v>
      </c>
      <c r="AM121" s="378">
        <f t="shared" si="65"/>
        <v>463929.40808726288</v>
      </c>
      <c r="AN121" s="378">
        <f t="shared" si="65"/>
        <v>463929.40808726288</v>
      </c>
      <c r="AO121" s="378">
        <f t="shared" si="65"/>
        <v>12784</v>
      </c>
      <c r="AQ121" s="378">
        <f t="shared" ref="AQ121:AQ130" si="66">I121-SUM(K121:AP121)</f>
        <v>53442.429999902844</v>
      </c>
    </row>
    <row r="122" spans="3:43" x14ac:dyDescent="0.2">
      <c r="C122" s="397" t="s">
        <v>288</v>
      </c>
      <c r="I122" s="378">
        <f t="shared" si="64"/>
        <v>130345831.07274735</v>
      </c>
      <c r="K122" s="378">
        <v>10339982.314091578</v>
      </c>
      <c r="L122" s="378">
        <f t="shared" ref="L122:AO122" si="67">+L93+L109</f>
        <v>10339982.314091578</v>
      </c>
      <c r="M122" s="378">
        <f t="shared" si="67"/>
        <v>10318361.894091578</v>
      </c>
      <c r="N122" s="378">
        <f t="shared" si="67"/>
        <v>10240172.314091578</v>
      </c>
      <c r="O122" s="378">
        <f t="shared" si="67"/>
        <v>10239083.664091578</v>
      </c>
      <c r="P122" s="378">
        <f t="shared" si="67"/>
        <v>10237971.314091578</v>
      </c>
      <c r="Q122" s="378">
        <f t="shared" si="67"/>
        <v>10237971.314091578</v>
      </c>
      <c r="R122" s="378">
        <f t="shared" si="67"/>
        <v>8627356.6040915661</v>
      </c>
      <c r="S122" s="378">
        <f t="shared" si="67"/>
        <v>7411885.8740915796</v>
      </c>
      <c r="T122" s="378">
        <f t="shared" si="67"/>
        <v>6833688.6540915789</v>
      </c>
      <c r="U122" s="378">
        <f t="shared" si="67"/>
        <v>6783496.0140915792</v>
      </c>
      <c r="V122" s="378">
        <f t="shared" si="67"/>
        <v>6783496.0140915792</v>
      </c>
      <c r="W122" s="378">
        <f t="shared" si="67"/>
        <v>6783496.0140915792</v>
      </c>
      <c r="X122" s="378">
        <f t="shared" si="67"/>
        <v>5399098.8540915865</v>
      </c>
      <c r="Y122" s="378">
        <f t="shared" si="67"/>
        <v>3507584.5340915788</v>
      </c>
      <c r="Z122" s="378">
        <f t="shared" si="67"/>
        <v>632453.42409156822</v>
      </c>
      <c r="AA122" s="378">
        <f t="shared" si="67"/>
        <v>451494.72409157897</v>
      </c>
      <c r="AB122" s="378">
        <f t="shared" si="67"/>
        <v>439144.19409157895</v>
      </c>
      <c r="AC122" s="378">
        <f t="shared" si="67"/>
        <v>439144.19409157895</v>
      </c>
      <c r="AD122" s="378">
        <f t="shared" si="67"/>
        <v>428581.3940915789</v>
      </c>
      <c r="AE122" s="378">
        <f t="shared" si="67"/>
        <v>395584.98409157892</v>
      </c>
      <c r="AF122" s="378">
        <f t="shared" si="67"/>
        <v>384011.19409157895</v>
      </c>
      <c r="AG122" s="378">
        <f t="shared" si="67"/>
        <v>384011.19409157895</v>
      </c>
      <c r="AH122" s="378">
        <f t="shared" si="67"/>
        <v>384011.19409157895</v>
      </c>
      <c r="AI122" s="378">
        <f t="shared" si="67"/>
        <v>384011.19409157895</v>
      </c>
      <c r="AJ122" s="378">
        <f t="shared" si="67"/>
        <v>384011.19409157895</v>
      </c>
      <c r="AK122" s="378">
        <f t="shared" si="67"/>
        <v>384011.19409157895</v>
      </c>
      <c r="AL122" s="378">
        <f t="shared" si="67"/>
        <v>384011.19409157895</v>
      </c>
      <c r="AM122" s="378">
        <f t="shared" si="67"/>
        <v>384011.19409157895</v>
      </c>
      <c r="AN122" s="378">
        <f t="shared" si="67"/>
        <v>384011.19409157895</v>
      </c>
      <c r="AO122" s="378">
        <f t="shared" si="67"/>
        <v>4606</v>
      </c>
      <c r="AQ122" s="378">
        <f t="shared" si="66"/>
        <v>15093.720000073314</v>
      </c>
    </row>
    <row r="123" spans="3:43" x14ac:dyDescent="0.2">
      <c r="C123" s="383" t="s">
        <v>260</v>
      </c>
      <c r="I123" s="378">
        <f t="shared" si="64"/>
        <v>6260495.584772341</v>
      </c>
      <c r="K123" s="378">
        <v>977697.08515907801</v>
      </c>
      <c r="L123" s="378">
        <f t="shared" ref="L123:AO123" si="68">+L94+L110</f>
        <v>977697.08515907801</v>
      </c>
      <c r="M123" s="378">
        <f t="shared" si="68"/>
        <v>977697.08515907801</v>
      </c>
      <c r="N123" s="378">
        <f t="shared" si="68"/>
        <v>977697.08515907801</v>
      </c>
      <c r="O123" s="378">
        <f t="shared" si="68"/>
        <v>916738.85515907826</v>
      </c>
      <c r="P123" s="378">
        <f t="shared" si="68"/>
        <v>42073.365159078036</v>
      </c>
      <c r="Q123" s="378">
        <f t="shared" si="68"/>
        <v>42073.365159078036</v>
      </c>
      <c r="R123" s="378">
        <f t="shared" si="68"/>
        <v>42073.365159078036</v>
      </c>
      <c r="S123" s="378">
        <f t="shared" si="68"/>
        <v>42073.365159078036</v>
      </c>
      <c r="T123" s="378">
        <f t="shared" si="68"/>
        <v>42073.365159078036</v>
      </c>
      <c r="U123" s="378">
        <f t="shared" si="68"/>
        <v>42073.365159078036</v>
      </c>
      <c r="V123" s="378">
        <f t="shared" si="68"/>
        <v>42073.365159078036</v>
      </c>
      <c r="W123" s="378">
        <f t="shared" si="68"/>
        <v>42073.365159078036</v>
      </c>
      <c r="X123" s="378">
        <f t="shared" si="68"/>
        <v>42073.365159078036</v>
      </c>
      <c r="Y123" s="378">
        <f t="shared" si="68"/>
        <v>42073.365159078036</v>
      </c>
      <c r="Z123" s="378">
        <f t="shared" si="68"/>
        <v>42073.365159078036</v>
      </c>
      <c r="AA123" s="378">
        <f t="shared" si="68"/>
        <v>42073.365159078036</v>
      </c>
      <c r="AB123" s="378">
        <f t="shared" si="68"/>
        <v>42073.365159078036</v>
      </c>
      <c r="AC123" s="378">
        <f t="shared" si="68"/>
        <v>42073.365159078036</v>
      </c>
      <c r="AD123" s="378">
        <f t="shared" si="68"/>
        <v>42073.365159078036</v>
      </c>
      <c r="AE123" s="378">
        <f t="shared" si="68"/>
        <v>42073.365159078036</v>
      </c>
      <c r="AF123" s="378">
        <f t="shared" si="68"/>
        <v>42073.365159078036</v>
      </c>
      <c r="AG123" s="378">
        <f t="shared" si="68"/>
        <v>42073.365159078036</v>
      </c>
      <c r="AH123" s="378">
        <f t="shared" si="68"/>
        <v>42073.365159078036</v>
      </c>
      <c r="AI123" s="378">
        <f t="shared" si="68"/>
        <v>42073.365159078036</v>
      </c>
      <c r="AJ123" s="378">
        <f t="shared" si="68"/>
        <v>42073.365159078036</v>
      </c>
      <c r="AK123" s="378">
        <f t="shared" si="68"/>
        <v>42073.365159078036</v>
      </c>
      <c r="AL123" s="378">
        <f t="shared" si="68"/>
        <v>42073.365159078036</v>
      </c>
      <c r="AM123" s="378">
        <f t="shared" si="68"/>
        <v>42073.365159078036</v>
      </c>
      <c r="AN123" s="378">
        <f t="shared" si="68"/>
        <v>42073.365159078036</v>
      </c>
      <c r="AO123" s="378">
        <f t="shared" si="68"/>
        <v>28586</v>
      </c>
      <c r="AQ123" s="378">
        <f t="shared" si="66"/>
        <v>352548.26000001095</v>
      </c>
    </row>
    <row r="124" spans="3:43" x14ac:dyDescent="0.2">
      <c r="C124" s="383" t="s">
        <v>261</v>
      </c>
      <c r="I124" s="378">
        <f t="shared" si="64"/>
        <v>151495304.04412565</v>
      </c>
      <c r="K124" s="378">
        <v>9394666.2221375201</v>
      </c>
      <c r="L124" s="378">
        <f t="shared" ref="L124:AO124" si="69">+L95+L111</f>
        <v>9394666.2221375201</v>
      </c>
      <c r="M124" s="378">
        <f t="shared" si="69"/>
        <v>9394666.2221375201</v>
      </c>
      <c r="N124" s="378">
        <f t="shared" si="69"/>
        <v>9394666.2221375201</v>
      </c>
      <c r="O124" s="378">
        <f t="shared" si="69"/>
        <v>9394666.2221375201</v>
      </c>
      <c r="P124" s="378">
        <f t="shared" si="69"/>
        <v>9394666.2221375201</v>
      </c>
      <c r="Q124" s="378">
        <f t="shared" si="69"/>
        <v>9394666.2221375201</v>
      </c>
      <c r="R124" s="378">
        <f t="shared" si="69"/>
        <v>9394666.2221375201</v>
      </c>
      <c r="S124" s="378">
        <f t="shared" si="69"/>
        <v>9394666.2221375201</v>
      </c>
      <c r="T124" s="378">
        <f t="shared" si="69"/>
        <v>9394666.2221375201</v>
      </c>
      <c r="U124" s="378">
        <f t="shared" si="69"/>
        <v>9394666.2221375201</v>
      </c>
      <c r="V124" s="378">
        <f t="shared" si="69"/>
        <v>9394666.2221375201</v>
      </c>
      <c r="W124" s="378">
        <f t="shared" si="69"/>
        <v>9394666.2221375201</v>
      </c>
      <c r="X124" s="378">
        <f t="shared" si="69"/>
        <v>9394666.2221375201</v>
      </c>
      <c r="Y124" s="378">
        <f t="shared" si="69"/>
        <v>9394666.2221375201</v>
      </c>
      <c r="Z124" s="378">
        <f t="shared" si="69"/>
        <v>5677038.872137595</v>
      </c>
      <c r="AA124" s="378">
        <f t="shared" si="69"/>
        <v>354349.57213751983</v>
      </c>
      <c r="AB124" s="378">
        <f t="shared" si="69"/>
        <v>349532.48213751987</v>
      </c>
      <c r="AC124" s="378">
        <f t="shared" si="69"/>
        <v>349532.48213751987</v>
      </c>
      <c r="AD124" s="378">
        <f t="shared" si="69"/>
        <v>349532.48213751987</v>
      </c>
      <c r="AE124" s="378">
        <f t="shared" si="69"/>
        <v>349532.48213751987</v>
      </c>
      <c r="AF124" s="378">
        <f t="shared" si="69"/>
        <v>349532.48213751987</v>
      </c>
      <c r="AG124" s="378">
        <f t="shared" si="69"/>
        <v>349532.48213751987</v>
      </c>
      <c r="AH124" s="378">
        <f t="shared" si="69"/>
        <v>349532.48213751987</v>
      </c>
      <c r="AI124" s="378">
        <f t="shared" si="69"/>
        <v>349532.48213751987</v>
      </c>
      <c r="AJ124" s="378">
        <f t="shared" si="69"/>
        <v>349532.48213751987</v>
      </c>
      <c r="AK124" s="378">
        <f t="shared" si="69"/>
        <v>349532.48213751987</v>
      </c>
      <c r="AL124" s="378">
        <f t="shared" si="69"/>
        <v>349532.48213751987</v>
      </c>
      <c r="AM124" s="378">
        <f t="shared" si="69"/>
        <v>349532.48213751987</v>
      </c>
      <c r="AN124" s="378">
        <f t="shared" si="69"/>
        <v>349532.48213751987</v>
      </c>
      <c r="AO124" s="378">
        <f t="shared" si="69"/>
        <v>0</v>
      </c>
      <c r="AQ124" s="378">
        <f t="shared" si="66"/>
        <v>-2.384185791015625E-7</v>
      </c>
    </row>
    <row r="125" spans="3:43" x14ac:dyDescent="0.2">
      <c r="C125" s="383" t="s">
        <v>281</v>
      </c>
      <c r="I125" s="378">
        <f t="shared" si="64"/>
        <v>36203159.532190882</v>
      </c>
      <c r="K125" s="378">
        <v>2451554.5500730299</v>
      </c>
      <c r="L125" s="378">
        <f t="shared" ref="L125:AO125" si="70">+L96+L112</f>
        <v>2451554.5500730299</v>
      </c>
      <c r="M125" s="378">
        <f t="shared" si="70"/>
        <v>2451554.5500730299</v>
      </c>
      <c r="N125" s="378">
        <f t="shared" si="70"/>
        <v>2451554.5500730299</v>
      </c>
      <c r="O125" s="378">
        <f t="shared" si="70"/>
        <v>2451554.5500730299</v>
      </c>
      <c r="P125" s="378">
        <f t="shared" si="70"/>
        <v>2451554.5500730299</v>
      </c>
      <c r="Q125" s="378">
        <f t="shared" si="70"/>
        <v>2451554.5500730299</v>
      </c>
      <c r="R125" s="378">
        <f t="shared" si="70"/>
        <v>2451554.5500730299</v>
      </c>
      <c r="S125" s="378">
        <f t="shared" si="70"/>
        <v>2451554.5500730299</v>
      </c>
      <c r="T125" s="378">
        <f t="shared" si="70"/>
        <v>2451554.5500730299</v>
      </c>
      <c r="U125" s="378">
        <f t="shared" si="70"/>
        <v>2451554.5500730299</v>
      </c>
      <c r="V125" s="378">
        <f t="shared" si="70"/>
        <v>2451554.5500730299</v>
      </c>
      <c r="W125" s="378">
        <f t="shared" si="70"/>
        <v>2451554.5500730299</v>
      </c>
      <c r="X125" s="378">
        <f t="shared" si="70"/>
        <v>2448742.82007303</v>
      </c>
      <c r="Y125" s="378">
        <f t="shared" si="70"/>
        <v>462607.31007302692</v>
      </c>
      <c r="Z125" s="378">
        <f t="shared" si="70"/>
        <v>94773.350073029753</v>
      </c>
      <c r="AA125" s="378">
        <f t="shared" si="70"/>
        <v>94773.350073029753</v>
      </c>
      <c r="AB125" s="378">
        <f t="shared" si="70"/>
        <v>94773.350073029753</v>
      </c>
      <c r="AC125" s="378">
        <f t="shared" si="70"/>
        <v>94773.350073029753</v>
      </c>
      <c r="AD125" s="378">
        <f t="shared" si="70"/>
        <v>94773.350073029753</v>
      </c>
      <c r="AE125" s="378">
        <f t="shared" si="70"/>
        <v>94773.350073029753</v>
      </c>
      <c r="AF125" s="378">
        <f t="shared" si="70"/>
        <v>94773.350073029753</v>
      </c>
      <c r="AG125" s="378">
        <f t="shared" si="70"/>
        <v>94773.350073029753</v>
      </c>
      <c r="AH125" s="378">
        <f t="shared" si="70"/>
        <v>94773.350073029753</v>
      </c>
      <c r="AI125" s="378">
        <f t="shared" si="70"/>
        <v>94773.350073029753</v>
      </c>
      <c r="AJ125" s="378">
        <f t="shared" si="70"/>
        <v>94773.350073029753</v>
      </c>
      <c r="AK125" s="378">
        <f t="shared" si="70"/>
        <v>94773.350073029753</v>
      </c>
      <c r="AL125" s="378">
        <f t="shared" si="70"/>
        <v>94773.350073029753</v>
      </c>
      <c r="AM125" s="378">
        <f t="shared" si="70"/>
        <v>94773.350073029753</v>
      </c>
      <c r="AN125" s="378">
        <f t="shared" si="70"/>
        <v>94773.350073029753</v>
      </c>
      <c r="AO125" s="378">
        <f t="shared" si="70"/>
        <v>0</v>
      </c>
      <c r="AQ125" s="378">
        <f t="shared" si="66"/>
        <v>0</v>
      </c>
    </row>
    <row r="126" spans="3:43" x14ac:dyDescent="0.2">
      <c r="C126" s="383" t="s">
        <v>282</v>
      </c>
      <c r="I126" s="378">
        <f t="shared" si="64"/>
        <v>165335176.1117793</v>
      </c>
      <c r="K126" s="378">
        <v>9609843.1447259802</v>
      </c>
      <c r="L126" s="378">
        <f t="shared" ref="L126:AO126" si="71">+L97+L113</f>
        <v>9609843.1447259802</v>
      </c>
      <c r="M126" s="378">
        <f t="shared" si="71"/>
        <v>9609843.1447259802</v>
      </c>
      <c r="N126" s="378">
        <f t="shared" si="71"/>
        <v>9609843.1447259802</v>
      </c>
      <c r="O126" s="378">
        <f t="shared" si="71"/>
        <v>9609843.1447259802</v>
      </c>
      <c r="P126" s="378">
        <f t="shared" si="71"/>
        <v>9609843.1447259802</v>
      </c>
      <c r="Q126" s="378">
        <f t="shared" si="71"/>
        <v>9609843.1447259802</v>
      </c>
      <c r="R126" s="378">
        <f t="shared" si="71"/>
        <v>9609843.1447259802</v>
      </c>
      <c r="S126" s="378">
        <f t="shared" si="71"/>
        <v>9609843.1447259802</v>
      </c>
      <c r="T126" s="378">
        <f t="shared" si="71"/>
        <v>9609843.1447259802</v>
      </c>
      <c r="U126" s="378">
        <f t="shared" si="71"/>
        <v>9609843.1447259802</v>
      </c>
      <c r="V126" s="378">
        <f t="shared" si="71"/>
        <v>9609843.1447259802</v>
      </c>
      <c r="W126" s="378">
        <f t="shared" si="71"/>
        <v>9609843.1447259802</v>
      </c>
      <c r="X126" s="378">
        <f t="shared" si="71"/>
        <v>9609843.1447259802</v>
      </c>
      <c r="Y126" s="378">
        <f t="shared" si="71"/>
        <v>9609843.1447259802</v>
      </c>
      <c r="Z126" s="378">
        <f t="shared" si="71"/>
        <v>9609843.1447259802</v>
      </c>
      <c r="AA126" s="378">
        <f t="shared" si="71"/>
        <v>4978067.5347258244</v>
      </c>
      <c r="AB126" s="378">
        <f t="shared" si="71"/>
        <v>410128.18472597934</v>
      </c>
      <c r="AC126" s="378">
        <f t="shared" si="71"/>
        <v>410128.18472597934</v>
      </c>
      <c r="AD126" s="378">
        <f t="shared" si="71"/>
        <v>410128.18472597934</v>
      </c>
      <c r="AE126" s="378">
        <f t="shared" si="71"/>
        <v>410128.18472597934</v>
      </c>
      <c r="AF126" s="378">
        <f t="shared" si="71"/>
        <v>410128.18472597934</v>
      </c>
      <c r="AG126" s="378">
        <f t="shared" si="71"/>
        <v>410128.18472597934</v>
      </c>
      <c r="AH126" s="378">
        <f t="shared" si="71"/>
        <v>410128.18472597934</v>
      </c>
      <c r="AI126" s="378">
        <f t="shared" si="71"/>
        <v>410128.18472597934</v>
      </c>
      <c r="AJ126" s="378">
        <f t="shared" si="71"/>
        <v>410128.18472597934</v>
      </c>
      <c r="AK126" s="378">
        <f t="shared" si="71"/>
        <v>410128.18472597934</v>
      </c>
      <c r="AL126" s="378">
        <f t="shared" si="71"/>
        <v>410128.18472597934</v>
      </c>
      <c r="AM126" s="378">
        <f t="shared" si="71"/>
        <v>410128.18472597934</v>
      </c>
      <c r="AN126" s="378">
        <f t="shared" si="71"/>
        <v>410128.18472597934</v>
      </c>
      <c r="AO126" s="378">
        <f t="shared" si="71"/>
        <v>52936</v>
      </c>
      <c r="AQ126" s="378">
        <f t="shared" si="66"/>
        <v>1215015.8600001931</v>
      </c>
    </row>
    <row r="127" spans="3:43" x14ac:dyDescent="0.2">
      <c r="C127" s="383" t="s">
        <v>264</v>
      </c>
      <c r="I127" s="378">
        <f t="shared" si="64"/>
        <v>97537927.761025026</v>
      </c>
      <c r="K127" s="378">
        <v>5371066.6793675004</v>
      </c>
      <c r="L127" s="378">
        <f t="shared" ref="L127:AO127" si="72">+L98+L114</f>
        <v>5371066.6793675004</v>
      </c>
      <c r="M127" s="378">
        <f t="shared" si="72"/>
        <v>5371066.6793675004</v>
      </c>
      <c r="N127" s="378">
        <f t="shared" si="72"/>
        <v>5371066.6793675004</v>
      </c>
      <c r="O127" s="378">
        <f t="shared" si="72"/>
        <v>5371066.6793675004</v>
      </c>
      <c r="P127" s="378">
        <f t="shared" si="72"/>
        <v>5371066.6793675004</v>
      </c>
      <c r="Q127" s="378">
        <f t="shared" si="72"/>
        <v>5371066.6793675004</v>
      </c>
      <c r="R127" s="378">
        <f t="shared" si="72"/>
        <v>5371066.6793675004</v>
      </c>
      <c r="S127" s="378">
        <f t="shared" si="72"/>
        <v>5371066.6793675004</v>
      </c>
      <c r="T127" s="378">
        <f t="shared" si="72"/>
        <v>5371066.6793675004</v>
      </c>
      <c r="U127" s="378">
        <f t="shared" si="72"/>
        <v>5371066.6793675004</v>
      </c>
      <c r="V127" s="378">
        <f t="shared" si="72"/>
        <v>5371066.6793675004</v>
      </c>
      <c r="W127" s="378">
        <f t="shared" si="72"/>
        <v>5371066.6793675004</v>
      </c>
      <c r="X127" s="378">
        <f t="shared" si="72"/>
        <v>5371066.6793675004</v>
      </c>
      <c r="Y127" s="378">
        <f t="shared" si="72"/>
        <v>5371066.6793675004</v>
      </c>
      <c r="Z127" s="378">
        <f t="shared" si="72"/>
        <v>5371066.6793675004</v>
      </c>
      <c r="AA127" s="378">
        <f t="shared" si="72"/>
        <v>5371066.6793675004</v>
      </c>
      <c r="AB127" s="378">
        <f t="shared" si="72"/>
        <v>3480718.0593675105</v>
      </c>
      <c r="AC127" s="378">
        <f t="shared" si="72"/>
        <v>229089.67936750036</v>
      </c>
      <c r="AD127" s="378">
        <f t="shared" si="72"/>
        <v>229089.67936750036</v>
      </c>
      <c r="AE127" s="378">
        <f t="shared" si="72"/>
        <v>229089.67936750036</v>
      </c>
      <c r="AF127" s="378">
        <f t="shared" si="72"/>
        <v>229089.67936750036</v>
      </c>
      <c r="AG127" s="378">
        <f t="shared" si="72"/>
        <v>229089.67936750036</v>
      </c>
      <c r="AH127" s="378">
        <f t="shared" si="72"/>
        <v>229089.67936750036</v>
      </c>
      <c r="AI127" s="378">
        <f t="shared" si="72"/>
        <v>229089.67936750036</v>
      </c>
      <c r="AJ127" s="378">
        <f t="shared" si="72"/>
        <v>229089.67936750036</v>
      </c>
      <c r="AK127" s="378">
        <f t="shared" si="72"/>
        <v>229089.67936750036</v>
      </c>
      <c r="AL127" s="378">
        <f t="shared" si="72"/>
        <v>229089.67936750036</v>
      </c>
      <c r="AM127" s="378">
        <f t="shared" si="72"/>
        <v>229089.67936750036</v>
      </c>
      <c r="AN127" s="378">
        <f t="shared" si="72"/>
        <v>229089.67936750036</v>
      </c>
      <c r="AO127" s="378">
        <f t="shared" si="72"/>
        <v>0</v>
      </c>
      <c r="AQ127" s="378">
        <f t="shared" si="66"/>
        <v>0</v>
      </c>
    </row>
    <row r="128" spans="3:43" x14ac:dyDescent="0.2">
      <c r="C128" s="383" t="s">
        <v>283</v>
      </c>
      <c r="I128" s="378">
        <f t="shared" si="64"/>
        <v>959491749.04518437</v>
      </c>
      <c r="K128" s="378">
        <v>37682075.157172807</v>
      </c>
      <c r="L128" s="378">
        <f t="shared" ref="L128:AO128" si="73">+L99+L115</f>
        <v>37682075.157172807</v>
      </c>
      <c r="M128" s="378">
        <f t="shared" si="73"/>
        <v>37682075.157172807</v>
      </c>
      <c r="N128" s="378">
        <f t="shared" si="73"/>
        <v>37682075.157172807</v>
      </c>
      <c r="O128" s="378">
        <f t="shared" si="73"/>
        <v>37682075.157172807</v>
      </c>
      <c r="P128" s="378">
        <f t="shared" si="73"/>
        <v>37682075.157172807</v>
      </c>
      <c r="Q128" s="378">
        <f t="shared" si="73"/>
        <v>37682075.157172807</v>
      </c>
      <c r="R128" s="378">
        <f t="shared" si="73"/>
        <v>37682075.157172807</v>
      </c>
      <c r="S128" s="378">
        <f t="shared" si="73"/>
        <v>37682075.157172807</v>
      </c>
      <c r="T128" s="378">
        <f t="shared" si="73"/>
        <v>37682075.157172807</v>
      </c>
      <c r="U128" s="378">
        <f t="shared" si="73"/>
        <v>37682075.157172807</v>
      </c>
      <c r="V128" s="378">
        <f t="shared" si="73"/>
        <v>37682075.157172807</v>
      </c>
      <c r="W128" s="378">
        <f t="shared" si="73"/>
        <v>37682075.157172807</v>
      </c>
      <c r="X128" s="378">
        <f t="shared" si="73"/>
        <v>37682075.157172807</v>
      </c>
      <c r="Y128" s="378">
        <f t="shared" si="73"/>
        <v>37682075.157172807</v>
      </c>
      <c r="Z128" s="378">
        <f t="shared" si="73"/>
        <v>37682075.157172807</v>
      </c>
      <c r="AA128" s="378">
        <f t="shared" si="73"/>
        <v>37682075.157172807</v>
      </c>
      <c r="AB128" s="378">
        <f t="shared" si="73"/>
        <v>37682075.157172807</v>
      </c>
      <c r="AC128" s="378">
        <f t="shared" si="73"/>
        <v>37682075.157172807</v>
      </c>
      <c r="AD128" s="378">
        <f t="shared" si="73"/>
        <v>37682075.157172807</v>
      </c>
      <c r="AE128" s="378">
        <f t="shared" si="73"/>
        <v>37682075.157172807</v>
      </c>
      <c r="AF128" s="378">
        <f t="shared" si="73"/>
        <v>37682075.157172807</v>
      </c>
      <c r="AG128" s="378">
        <f t="shared" si="73"/>
        <v>37682075.157172807</v>
      </c>
      <c r="AH128" s="378">
        <f t="shared" si="73"/>
        <v>37682075.157172807</v>
      </c>
      <c r="AI128" s="378">
        <f t="shared" si="73"/>
        <v>37682075.157172807</v>
      </c>
      <c r="AJ128" s="378">
        <f t="shared" si="73"/>
        <v>11232327.237172969</v>
      </c>
      <c r="AK128" s="378">
        <f t="shared" si="73"/>
        <v>1581143.4071728066</v>
      </c>
      <c r="AL128" s="378">
        <f t="shared" si="73"/>
        <v>1542133.1571728066</v>
      </c>
      <c r="AM128" s="378">
        <f t="shared" si="73"/>
        <v>1542133.1571728066</v>
      </c>
      <c r="AN128" s="378">
        <f t="shared" si="73"/>
        <v>1542133.1571728066</v>
      </c>
      <c r="AO128" s="378">
        <f t="shared" si="73"/>
        <v>0</v>
      </c>
      <c r="AQ128" s="378">
        <f t="shared" si="66"/>
        <v>0</v>
      </c>
    </row>
    <row r="129" spans="3:43" x14ac:dyDescent="0.2">
      <c r="C129" s="383" t="s">
        <v>284</v>
      </c>
      <c r="I129" s="378">
        <f t="shared" si="64"/>
        <v>175371994.58370402</v>
      </c>
      <c r="K129" s="378">
        <v>10981334.8891852</v>
      </c>
      <c r="L129" s="378">
        <f t="shared" ref="L129:AO129" si="74">+L100+L116</f>
        <v>10981334.8891852</v>
      </c>
      <c r="M129" s="378">
        <f t="shared" si="74"/>
        <v>10981334.8891852</v>
      </c>
      <c r="N129" s="378">
        <f t="shared" si="74"/>
        <v>10981334.8891852</v>
      </c>
      <c r="O129" s="378">
        <f t="shared" si="74"/>
        <v>10981334.8891852</v>
      </c>
      <c r="P129" s="378">
        <f t="shared" si="74"/>
        <v>10981334.8891852</v>
      </c>
      <c r="Q129" s="378">
        <f t="shared" si="74"/>
        <v>10981334.8891852</v>
      </c>
      <c r="R129" s="378">
        <f t="shared" si="74"/>
        <v>10981334.8891852</v>
      </c>
      <c r="S129" s="378">
        <f t="shared" si="74"/>
        <v>10981334.8891852</v>
      </c>
      <c r="T129" s="378">
        <f t="shared" si="74"/>
        <v>10981334.8891852</v>
      </c>
      <c r="U129" s="378">
        <f t="shared" si="74"/>
        <v>10981334.8891852</v>
      </c>
      <c r="V129" s="378">
        <f t="shared" si="74"/>
        <v>10981334.8891852</v>
      </c>
      <c r="W129" s="378">
        <f t="shared" si="74"/>
        <v>10981334.8891852</v>
      </c>
      <c r="X129" s="378">
        <f t="shared" si="74"/>
        <v>10981334.8891852</v>
      </c>
      <c r="Y129" s="378">
        <f t="shared" si="74"/>
        <v>10981334.8891852</v>
      </c>
      <c r="Z129" s="378">
        <f t="shared" si="74"/>
        <v>2800953.1091852281</v>
      </c>
      <c r="AA129" s="378">
        <f t="shared" si="74"/>
        <v>468507.88918519951</v>
      </c>
      <c r="AB129" s="378">
        <f t="shared" si="74"/>
        <v>468507.88918519951</v>
      </c>
      <c r="AC129" s="378">
        <f t="shared" si="74"/>
        <v>468507.88918519951</v>
      </c>
      <c r="AD129" s="378">
        <f t="shared" si="74"/>
        <v>468507.88918519951</v>
      </c>
      <c r="AE129" s="378">
        <f t="shared" si="74"/>
        <v>177951</v>
      </c>
      <c r="AF129" s="378">
        <f t="shared" si="74"/>
        <v>177951</v>
      </c>
      <c r="AG129" s="378">
        <f t="shared" si="74"/>
        <v>177951</v>
      </c>
      <c r="AH129" s="378">
        <f t="shared" si="74"/>
        <v>177951</v>
      </c>
      <c r="AI129" s="378">
        <f t="shared" si="74"/>
        <v>177951</v>
      </c>
      <c r="AJ129" s="378">
        <f t="shared" si="74"/>
        <v>177951</v>
      </c>
      <c r="AK129" s="378">
        <f t="shared" si="74"/>
        <v>177951</v>
      </c>
      <c r="AL129" s="378">
        <f t="shared" si="74"/>
        <v>177951</v>
      </c>
      <c r="AM129" s="378">
        <f t="shared" si="74"/>
        <v>177951</v>
      </c>
      <c r="AN129" s="378">
        <f t="shared" si="74"/>
        <v>177951</v>
      </c>
      <c r="AO129" s="378">
        <f t="shared" si="74"/>
        <v>177951</v>
      </c>
      <c r="AQ129" s="378">
        <f t="shared" si="66"/>
        <v>4019525.5800000429</v>
      </c>
    </row>
    <row r="130" spans="3:43" x14ac:dyDescent="0.2">
      <c r="C130" s="397" t="s">
        <v>162</v>
      </c>
      <c r="I130" s="378">
        <v>374900000</v>
      </c>
      <c r="K130" s="378">
        <v>10846000</v>
      </c>
      <c r="L130" s="378">
        <f t="shared" ref="L130:AO130" si="75">+K130</f>
        <v>10846000</v>
      </c>
      <c r="M130" s="378">
        <f t="shared" si="75"/>
        <v>10846000</v>
      </c>
      <c r="N130" s="378">
        <f t="shared" si="75"/>
        <v>10846000</v>
      </c>
      <c r="O130" s="378">
        <f t="shared" si="75"/>
        <v>10846000</v>
      </c>
      <c r="P130" s="378">
        <f t="shared" si="75"/>
        <v>10846000</v>
      </c>
      <c r="Q130" s="378">
        <f t="shared" si="75"/>
        <v>10846000</v>
      </c>
      <c r="R130" s="378">
        <f t="shared" si="75"/>
        <v>10846000</v>
      </c>
      <c r="S130" s="378">
        <f t="shared" si="75"/>
        <v>10846000</v>
      </c>
      <c r="T130" s="378">
        <f t="shared" si="75"/>
        <v>10846000</v>
      </c>
      <c r="U130" s="378">
        <f t="shared" si="75"/>
        <v>10846000</v>
      </c>
      <c r="V130" s="378">
        <f t="shared" si="75"/>
        <v>10846000</v>
      </c>
      <c r="W130" s="378">
        <f t="shared" si="75"/>
        <v>10846000</v>
      </c>
      <c r="X130" s="378">
        <f t="shared" si="75"/>
        <v>10846000</v>
      </c>
      <c r="Y130" s="378">
        <f t="shared" si="75"/>
        <v>10846000</v>
      </c>
      <c r="Z130" s="378">
        <f t="shared" si="75"/>
        <v>10846000</v>
      </c>
      <c r="AA130" s="378">
        <f t="shared" si="75"/>
        <v>10846000</v>
      </c>
      <c r="AB130" s="378">
        <f t="shared" si="75"/>
        <v>10846000</v>
      </c>
      <c r="AC130" s="378">
        <f t="shared" si="75"/>
        <v>10846000</v>
      </c>
      <c r="AD130" s="378">
        <f t="shared" si="75"/>
        <v>10846000</v>
      </c>
      <c r="AE130" s="378">
        <f t="shared" si="75"/>
        <v>10846000</v>
      </c>
      <c r="AF130" s="378">
        <f t="shared" si="75"/>
        <v>10846000</v>
      </c>
      <c r="AG130" s="378">
        <f t="shared" si="75"/>
        <v>10846000</v>
      </c>
      <c r="AH130" s="378">
        <f t="shared" si="75"/>
        <v>10846000</v>
      </c>
      <c r="AI130" s="378">
        <f t="shared" si="75"/>
        <v>10846000</v>
      </c>
      <c r="AJ130" s="378">
        <f t="shared" si="75"/>
        <v>10846000</v>
      </c>
      <c r="AK130" s="378">
        <f t="shared" si="75"/>
        <v>10846000</v>
      </c>
      <c r="AL130" s="378">
        <f t="shared" si="75"/>
        <v>10846000</v>
      </c>
      <c r="AM130" s="378">
        <f t="shared" si="75"/>
        <v>10846000</v>
      </c>
      <c r="AN130" s="378">
        <f t="shared" si="75"/>
        <v>10846000</v>
      </c>
      <c r="AO130" s="378">
        <f t="shared" si="75"/>
        <v>10846000</v>
      </c>
      <c r="AQ130" s="378">
        <f t="shared" si="66"/>
        <v>38674000</v>
      </c>
    </row>
    <row r="131" spans="3:43" ht="13.5" thickBot="1" x14ac:dyDescent="0.25">
      <c r="I131" s="395">
        <f>SUM(I121:I130)</f>
        <v>2197446752.8581467</v>
      </c>
      <c r="K131" s="395">
        <f t="shared" ref="K131:AO131" si="76">SUM(K121:K130)</f>
        <v>109536999.99999996</v>
      </c>
      <c r="L131" s="395">
        <f t="shared" si="76"/>
        <v>109536999.99999996</v>
      </c>
      <c r="M131" s="395">
        <f t="shared" si="76"/>
        <v>109493759.15999995</v>
      </c>
      <c r="N131" s="395">
        <f t="shared" si="76"/>
        <v>109337379.99999996</v>
      </c>
      <c r="O131" s="395">
        <f t="shared" si="76"/>
        <v>108939707.47999994</v>
      </c>
      <c r="P131" s="395">
        <f t="shared" si="76"/>
        <v>107100337.43999995</v>
      </c>
      <c r="Q131" s="395">
        <f t="shared" si="76"/>
        <v>107100337.43999995</v>
      </c>
      <c r="R131" s="395">
        <f t="shared" si="76"/>
        <v>100863630.63999994</v>
      </c>
      <c r="S131" s="395">
        <f t="shared" si="76"/>
        <v>95628227.709999964</v>
      </c>
      <c r="T131" s="395">
        <f t="shared" si="76"/>
        <v>95045985.849999964</v>
      </c>
      <c r="U131" s="395">
        <f t="shared" si="76"/>
        <v>94842379.129999965</v>
      </c>
      <c r="V131" s="395">
        <f t="shared" si="76"/>
        <v>93686880.429999962</v>
      </c>
      <c r="W131" s="395">
        <f t="shared" si="76"/>
        <v>93686880.429999962</v>
      </c>
      <c r="X131" s="395">
        <f t="shared" si="76"/>
        <v>92299671.539999977</v>
      </c>
      <c r="Y131" s="395">
        <f t="shared" si="76"/>
        <v>88422021.709999964</v>
      </c>
      <c r="Z131" s="395">
        <f t="shared" si="76"/>
        <v>73281047.51000005</v>
      </c>
      <c r="AA131" s="395">
        <f t="shared" si="76"/>
        <v>60805899.719999798</v>
      </c>
      <c r="AB131" s="395">
        <f t="shared" si="76"/>
        <v>54310766.089999966</v>
      </c>
      <c r="AC131" s="395">
        <f t="shared" si="76"/>
        <v>51059137.709999956</v>
      </c>
      <c r="AD131" s="395">
        <f t="shared" si="76"/>
        <v>51048574.909999952</v>
      </c>
      <c r="AE131" s="395">
        <f t="shared" si="76"/>
        <v>50725021.610814758</v>
      </c>
      <c r="AF131" s="395">
        <f t="shared" si="76"/>
        <v>50713447.820814759</v>
      </c>
      <c r="AG131" s="395">
        <f t="shared" si="76"/>
        <v>50713447.820814759</v>
      </c>
      <c r="AH131" s="395">
        <f t="shared" si="76"/>
        <v>50708844.600814752</v>
      </c>
      <c r="AI131" s="395">
        <f t="shared" si="76"/>
        <v>50679563.820814759</v>
      </c>
      <c r="AJ131" s="395">
        <f t="shared" si="76"/>
        <v>24229815.900814917</v>
      </c>
      <c r="AK131" s="395">
        <f t="shared" si="76"/>
        <v>14578632.070814755</v>
      </c>
      <c r="AL131" s="395">
        <f t="shared" si="76"/>
        <v>14539621.820814755</v>
      </c>
      <c r="AM131" s="395">
        <f t="shared" si="76"/>
        <v>14539621.820814755</v>
      </c>
      <c r="AN131" s="395">
        <f t="shared" si="76"/>
        <v>14539621.820814755</v>
      </c>
      <c r="AO131" s="395">
        <f t="shared" si="76"/>
        <v>11122863</v>
      </c>
      <c r="AQ131" s="395">
        <f>SUM(AQ121:AQ130)</f>
        <v>44329625.849999987</v>
      </c>
    </row>
    <row r="132" spans="3:43" ht="13.5" thickTop="1" x14ac:dyDescent="0.2">
      <c r="I132" s="378">
        <f>+I131-I130</f>
        <v>1822546752.8581467</v>
      </c>
      <c r="J132" s="400"/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44"/>
  <sheetViews>
    <sheetView workbookViewId="0"/>
  </sheetViews>
  <sheetFormatPr defaultRowHeight="12.75" x14ac:dyDescent="0.2"/>
  <cols>
    <col min="1" max="1" width="4.140625" customWidth="1"/>
    <col min="2" max="2" width="15" bestFit="1" customWidth="1"/>
    <col min="3" max="3" width="5" bestFit="1" customWidth="1"/>
    <col min="4" max="4" width="12" bestFit="1" customWidth="1"/>
    <col min="5" max="21" width="13.85546875" bestFit="1" customWidth="1"/>
    <col min="22" max="22" width="12" bestFit="1" customWidth="1"/>
  </cols>
  <sheetData>
    <row r="1" spans="1:22" x14ac:dyDescent="0.2">
      <c r="A1" s="137" t="s">
        <v>153</v>
      </c>
      <c r="B1" s="9"/>
      <c r="C1" s="9"/>
    </row>
    <row r="2" spans="1:22" x14ac:dyDescent="0.2">
      <c r="A2" s="13"/>
    </row>
    <row r="3" spans="1:22" x14ac:dyDescent="0.2">
      <c r="A3" s="13"/>
    </row>
    <row r="4" spans="1:22" x14ac:dyDescent="0.2">
      <c r="A4" s="13"/>
    </row>
    <row r="5" spans="1:22" x14ac:dyDescent="0.2">
      <c r="A5" s="13"/>
    </row>
    <row r="6" spans="1:22" x14ac:dyDescent="0.2">
      <c r="A6" s="13"/>
    </row>
    <row r="7" spans="1:22" x14ac:dyDescent="0.2">
      <c r="A7" s="13"/>
    </row>
    <row r="8" spans="1:22" x14ac:dyDescent="0.2">
      <c r="A8" s="13"/>
    </row>
    <row r="9" spans="1:22" x14ac:dyDescent="0.2">
      <c r="C9" s="133">
        <v>2000</v>
      </c>
      <c r="D9" s="135">
        <v>2001</v>
      </c>
      <c r="E9" s="135">
        <v>2002</v>
      </c>
      <c r="F9" s="135">
        <v>2003</v>
      </c>
      <c r="G9" s="135">
        <v>2004</v>
      </c>
      <c r="H9" s="135">
        <v>2005</v>
      </c>
      <c r="I9" s="135">
        <v>2006</v>
      </c>
      <c r="J9" s="135">
        <v>2007</v>
      </c>
      <c r="K9" s="135">
        <v>2008</v>
      </c>
      <c r="L9" s="135">
        <v>2009</v>
      </c>
      <c r="M9" s="135">
        <v>2010</v>
      </c>
      <c r="N9" s="135">
        <v>2011</v>
      </c>
      <c r="O9" s="135">
        <v>2012</v>
      </c>
      <c r="P9" s="135">
        <v>2013</v>
      </c>
      <c r="Q9" s="135">
        <v>2014</v>
      </c>
      <c r="R9" s="135">
        <v>2015</v>
      </c>
      <c r="S9" s="135">
        <v>2016</v>
      </c>
      <c r="T9" s="135">
        <v>2017</v>
      </c>
      <c r="U9" s="135">
        <v>2018</v>
      </c>
      <c r="V9" s="135">
        <v>2019</v>
      </c>
    </row>
    <row r="10" spans="1:22" x14ac:dyDescent="0.2">
      <c r="C10" s="134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x14ac:dyDescent="0.2">
      <c r="A11">
        <f>Summary!A17</f>
        <v>1</v>
      </c>
      <c r="B11" t="s">
        <v>55</v>
      </c>
      <c r="C11" s="211">
        <v>0</v>
      </c>
      <c r="D11" s="212">
        <v>1242599.8999999999</v>
      </c>
      <c r="E11" s="212">
        <v>239999.94999999925</v>
      </c>
      <c r="F11" s="212">
        <v>399999.96</v>
      </c>
      <c r="G11" s="212">
        <v>239999.88</v>
      </c>
      <c r="H11" s="212">
        <v>474999.93799999991</v>
      </c>
      <c r="I11" s="212">
        <v>489249.93613999989</v>
      </c>
      <c r="J11" s="212">
        <v>503927.43422419991</v>
      </c>
      <c r="K11" s="212">
        <v>519045.25725092593</v>
      </c>
      <c r="L11" s="212">
        <v>534616.61496845377</v>
      </c>
      <c r="M11" s="212">
        <v>550655.11341750738</v>
      </c>
      <c r="N11" s="212">
        <v>567174.76682003262</v>
      </c>
      <c r="O11" s="212">
        <v>584190.0098246336</v>
      </c>
      <c r="P11" s="212">
        <v>601715.71011937258</v>
      </c>
      <c r="Q11" s="212">
        <v>619767.18142295373</v>
      </c>
      <c r="R11" s="212">
        <v>638360.19686564233</v>
      </c>
      <c r="S11" s="212">
        <v>657511.00277161156</v>
      </c>
      <c r="T11" s="212">
        <v>677236.33285475988</v>
      </c>
      <c r="U11" s="212">
        <v>697553.42284040269</v>
      </c>
      <c r="V11" s="212">
        <v>718480.02552561474</v>
      </c>
    </row>
    <row r="12" spans="1:22" x14ac:dyDescent="0.2">
      <c r="A12">
        <f>Summary!A18</f>
        <v>2</v>
      </c>
      <c r="B12" t="s">
        <v>56</v>
      </c>
      <c r="C12" s="211">
        <v>0</v>
      </c>
      <c r="D12" s="213">
        <v>6476152.9199999981</v>
      </c>
      <c r="E12" s="213">
        <v>4148462.07</v>
      </c>
      <c r="F12" s="213">
        <v>9273526.5500000007</v>
      </c>
      <c r="G12" s="213">
        <v>4044029</v>
      </c>
      <c r="H12" s="213">
        <v>5849494.4759999998</v>
      </c>
      <c r="I12" s="213">
        <v>6024979.3102799999</v>
      </c>
      <c r="J12" s="213">
        <v>6205728.6895883996</v>
      </c>
      <c r="K12" s="213">
        <v>6391900.5502760522</v>
      </c>
      <c r="L12" s="213">
        <v>6583657.5667843344</v>
      </c>
      <c r="M12" s="213">
        <v>6781167.293787865</v>
      </c>
      <c r="N12" s="213">
        <v>6984602.3126015011</v>
      </c>
      <c r="O12" s="213">
        <v>7194140.3819795465</v>
      </c>
      <c r="P12" s="213">
        <v>7409964.5934389327</v>
      </c>
      <c r="Q12" s="213">
        <v>7632263.5312421005</v>
      </c>
      <c r="R12" s="213">
        <v>7861231.4371793633</v>
      </c>
      <c r="S12" s="213">
        <v>8097068.3802947449</v>
      </c>
      <c r="T12" s="213">
        <v>8339980.4317035871</v>
      </c>
      <c r="U12" s="213">
        <v>8590179.8446546942</v>
      </c>
      <c r="V12" s="213">
        <v>8847885.2399943359</v>
      </c>
    </row>
    <row r="13" spans="1:22" x14ac:dyDescent="0.2">
      <c r="A13">
        <f>Summary!A19</f>
        <v>3</v>
      </c>
      <c r="B13" s="9" t="s">
        <v>57</v>
      </c>
      <c r="C13" s="211">
        <v>0</v>
      </c>
      <c r="D13" s="213">
        <v>1392192</v>
      </c>
      <c r="E13" s="213">
        <v>288695.92</v>
      </c>
      <c r="F13" s="213">
        <v>1959781.09</v>
      </c>
      <c r="G13" s="213">
        <v>716258.43</v>
      </c>
      <c r="H13" s="213">
        <v>1484360.4879999999</v>
      </c>
      <c r="I13" s="213">
        <v>1528891.3026399999</v>
      </c>
      <c r="J13" s="213">
        <v>1574758.0417191999</v>
      </c>
      <c r="K13" s="213">
        <v>1622000.7829707759</v>
      </c>
      <c r="L13" s="213">
        <v>1670660.8064598991</v>
      </c>
      <c r="M13" s="213">
        <v>1720780.6306536961</v>
      </c>
      <c r="N13" s="213">
        <v>1772404.0495733072</v>
      </c>
      <c r="O13" s="213">
        <v>1825576.1710605065</v>
      </c>
      <c r="P13" s="213">
        <v>1880343.4561923218</v>
      </c>
      <c r="Q13" s="213">
        <v>1936753.7598780915</v>
      </c>
      <c r="R13" s="213">
        <v>1994856.3726744342</v>
      </c>
      <c r="S13" s="213">
        <v>2054702.0638546674</v>
      </c>
      <c r="T13" s="213">
        <v>2116343.1257703076</v>
      </c>
      <c r="U13" s="213">
        <v>2179833.4195434167</v>
      </c>
      <c r="V13" s="213">
        <v>2245228.4221297191</v>
      </c>
    </row>
    <row r="14" spans="1:22" x14ac:dyDescent="0.2">
      <c r="A14">
        <f>Summary!A20</f>
        <v>4</v>
      </c>
      <c r="B14" s="9" t="s">
        <v>58</v>
      </c>
      <c r="C14" s="211">
        <v>0</v>
      </c>
      <c r="D14" s="213">
        <v>5095192</v>
      </c>
      <c r="E14" s="213">
        <v>561695.92000000004</v>
      </c>
      <c r="F14" s="213">
        <v>2024981.09</v>
      </c>
      <c r="G14" s="213">
        <v>213158.43</v>
      </c>
      <c r="H14" s="213">
        <v>2191980.4879999999</v>
      </c>
      <c r="I14" s="213">
        <v>2257739.90264</v>
      </c>
      <c r="J14" s="213">
        <v>2325472.0997191998</v>
      </c>
      <c r="K14" s="213">
        <v>2395236.2627107757</v>
      </c>
      <c r="L14" s="213">
        <v>2467093.3505920991</v>
      </c>
      <c r="M14" s="213">
        <v>2541106.1511098621</v>
      </c>
      <c r="N14" s="213">
        <v>2617339.3356431583</v>
      </c>
      <c r="O14" s="213">
        <v>2695859.5157124531</v>
      </c>
      <c r="P14" s="213">
        <v>2776735.3011838268</v>
      </c>
      <c r="Q14" s="213">
        <v>2860037.3602193417</v>
      </c>
      <c r="R14" s="213">
        <v>2945838.4810259221</v>
      </c>
      <c r="S14" s="213">
        <v>3034213.6354566999</v>
      </c>
      <c r="T14" s="213">
        <v>3125240.0445204009</v>
      </c>
      <c r="U14" s="213">
        <v>3218997.2458560131</v>
      </c>
      <c r="V14" s="213">
        <v>3315567.1632316937</v>
      </c>
    </row>
    <row r="15" spans="1:22" x14ac:dyDescent="0.2">
      <c r="A15">
        <f>Summary!A21</f>
        <v>5</v>
      </c>
      <c r="B15" s="9" t="s">
        <v>59</v>
      </c>
      <c r="C15" s="211">
        <v>0</v>
      </c>
      <c r="D15" s="213">
        <v>715136</v>
      </c>
      <c r="E15" s="213">
        <v>1466295.92</v>
      </c>
      <c r="F15" s="213">
        <v>313481.09000000003</v>
      </c>
      <c r="G15" s="213">
        <v>2812858.43</v>
      </c>
      <c r="H15" s="213">
        <v>2165429.2879999997</v>
      </c>
      <c r="I15" s="213">
        <v>2230392.16664</v>
      </c>
      <c r="J15" s="213">
        <v>2297303.9316392001</v>
      </c>
      <c r="K15" s="213">
        <v>2366223.0495883762</v>
      </c>
      <c r="L15" s="213">
        <v>2437209.7410760275</v>
      </c>
      <c r="M15" s="213">
        <v>2510326.0333083086</v>
      </c>
      <c r="N15" s="213">
        <v>2585635.8143075579</v>
      </c>
      <c r="O15" s="213">
        <v>2663204.8887367845</v>
      </c>
      <c r="P15" s="213">
        <v>2743101.0353988879</v>
      </c>
      <c r="Q15" s="213">
        <v>2825394.0664608548</v>
      </c>
      <c r="R15" s="213">
        <v>2910155.8884546803</v>
      </c>
      <c r="S15" s="213">
        <v>2997460.5651083207</v>
      </c>
      <c r="T15" s="213">
        <v>3087384.3820615704</v>
      </c>
      <c r="U15" s="213">
        <v>3180005.9135234174</v>
      </c>
      <c r="V15" s="213">
        <v>3275406.0909291198</v>
      </c>
    </row>
    <row r="16" spans="1:22" x14ac:dyDescent="0.2">
      <c r="A16">
        <f>Summary!A22</f>
        <v>6</v>
      </c>
      <c r="B16" s="9" t="s">
        <v>60</v>
      </c>
      <c r="C16" s="211">
        <v>0</v>
      </c>
      <c r="D16" s="213">
        <v>974492</v>
      </c>
      <c r="E16" s="213">
        <v>1680395.92</v>
      </c>
      <c r="F16" s="213">
        <v>313481.09000000003</v>
      </c>
      <c r="G16" s="213">
        <v>941658.43</v>
      </c>
      <c r="H16" s="213">
        <v>1979460.4879999999</v>
      </c>
      <c r="I16" s="213">
        <v>2038844.3026399999</v>
      </c>
      <c r="J16" s="213">
        <v>2100009.6317191999</v>
      </c>
      <c r="K16" s="213">
        <v>2163009.9206707762</v>
      </c>
      <c r="L16" s="213">
        <v>2227900.2182908994</v>
      </c>
      <c r="M16" s="213">
        <v>2294737.2248396263</v>
      </c>
      <c r="N16" s="213">
        <v>2363579.3415848152</v>
      </c>
      <c r="O16" s="213">
        <v>2434486.7218323597</v>
      </c>
      <c r="P16" s="213">
        <v>2507521.3234873307</v>
      </c>
      <c r="Q16" s="213">
        <v>2582746.9631919507</v>
      </c>
      <c r="R16" s="213">
        <v>2660229.3720877091</v>
      </c>
      <c r="S16" s="213">
        <v>2740036.2532503405</v>
      </c>
      <c r="T16" s="213">
        <v>2822237.3408478508</v>
      </c>
      <c r="U16" s="213">
        <v>2906904.4610732864</v>
      </c>
      <c r="V16" s="213">
        <v>2994111.5949054849</v>
      </c>
    </row>
    <row r="17" spans="1:22" x14ac:dyDescent="0.2">
      <c r="A17">
        <f>Summary!A23</f>
        <v>7</v>
      </c>
      <c r="B17" t="s">
        <v>61</v>
      </c>
      <c r="C17" s="211">
        <v>0</v>
      </c>
      <c r="D17" s="213">
        <v>2359867.1800000002</v>
      </c>
      <c r="E17" s="213">
        <v>51955.200000000186</v>
      </c>
      <c r="F17" s="213">
        <v>453987.6</v>
      </c>
      <c r="G17" s="213">
        <v>54796.5</v>
      </c>
      <c r="H17" s="213">
        <v>594021.29600000032</v>
      </c>
      <c r="I17" s="213">
        <v>611841.93488000031</v>
      </c>
      <c r="J17" s="213">
        <v>630197.19292640034</v>
      </c>
      <c r="K17" s="213">
        <v>649103.10871419241</v>
      </c>
      <c r="L17" s="213">
        <v>668576.20197561814</v>
      </c>
      <c r="M17" s="213">
        <v>688633.48803488666</v>
      </c>
      <c r="N17" s="213">
        <v>709292.49267593329</v>
      </c>
      <c r="O17" s="213">
        <v>730571.26745621127</v>
      </c>
      <c r="P17" s="213">
        <v>752488.40547989763</v>
      </c>
      <c r="Q17" s="213">
        <v>775063.05764429457</v>
      </c>
      <c r="R17" s="213">
        <v>798314.94937362347</v>
      </c>
      <c r="S17" s="213">
        <v>822264.39785483223</v>
      </c>
      <c r="T17" s="213">
        <v>846932.32979047718</v>
      </c>
      <c r="U17" s="213">
        <v>872340.29968419147</v>
      </c>
      <c r="V17" s="213">
        <v>898510.50867471728</v>
      </c>
    </row>
    <row r="18" spans="1:22" x14ac:dyDescent="0.2">
      <c r="A18">
        <f>Summary!A24</f>
        <v>8</v>
      </c>
      <c r="B18" t="s">
        <v>62</v>
      </c>
      <c r="C18" s="211">
        <v>0</v>
      </c>
      <c r="D18" s="213">
        <v>296039.05</v>
      </c>
      <c r="E18" s="213">
        <v>1656351.77</v>
      </c>
      <c r="F18" s="213">
        <v>768259.69</v>
      </c>
      <c r="G18" s="213">
        <v>270547</v>
      </c>
      <c r="H18" s="213">
        <v>651964.07999999996</v>
      </c>
      <c r="I18" s="213">
        <v>671523.0024</v>
      </c>
      <c r="J18" s="213">
        <v>691668.69247200002</v>
      </c>
      <c r="K18" s="213">
        <v>712418.75324615999</v>
      </c>
      <c r="L18" s="213">
        <v>733791.31584354478</v>
      </c>
      <c r="M18" s="213">
        <v>755805.05531885114</v>
      </c>
      <c r="N18" s="213">
        <v>778479.20697841665</v>
      </c>
      <c r="O18" s="213">
        <v>801833.58318776917</v>
      </c>
      <c r="P18" s="213">
        <v>825888.59068340226</v>
      </c>
      <c r="Q18" s="213">
        <v>850665.24840390438</v>
      </c>
      <c r="R18" s="213">
        <v>876185.20585602149</v>
      </c>
      <c r="S18" s="213">
        <v>902470.76203170221</v>
      </c>
      <c r="T18" s="213">
        <v>929544.88489265332</v>
      </c>
      <c r="U18" s="213">
        <v>957431.23143943294</v>
      </c>
      <c r="V18" s="213">
        <v>986154.16838261602</v>
      </c>
    </row>
    <row r="19" spans="1:22" x14ac:dyDescent="0.2">
      <c r="A19">
        <f>Summary!A25</f>
        <v>9</v>
      </c>
      <c r="B19" t="s">
        <v>63</v>
      </c>
      <c r="C19" s="211">
        <v>0</v>
      </c>
      <c r="D19" s="213">
        <v>627871.68000000005</v>
      </c>
      <c r="E19" s="213">
        <v>7085452.5600000005</v>
      </c>
      <c r="F19" s="213">
        <v>1209378.25</v>
      </c>
      <c r="G19" s="213">
        <v>434627.63</v>
      </c>
      <c r="H19" s="213">
        <v>2222979.2160000005</v>
      </c>
      <c r="I19" s="213">
        <v>2289668.5924800006</v>
      </c>
      <c r="J19" s="213">
        <v>2358358.6502544004</v>
      </c>
      <c r="K19" s="213">
        <v>2429109.4097620323</v>
      </c>
      <c r="L19" s="213">
        <v>2501982.6920548934</v>
      </c>
      <c r="M19" s="213">
        <v>2577042.1728165401</v>
      </c>
      <c r="N19" s="213">
        <v>2654353.4380010362</v>
      </c>
      <c r="O19" s="213">
        <v>2733984.0411410672</v>
      </c>
      <c r="P19" s="213">
        <v>2816003.5623752992</v>
      </c>
      <c r="Q19" s="213">
        <v>2900483.6692465581</v>
      </c>
      <c r="R19" s="213">
        <v>2987498.179323955</v>
      </c>
      <c r="S19" s="213">
        <v>3077123.1247036736</v>
      </c>
      <c r="T19" s="213">
        <v>3169436.8184447838</v>
      </c>
      <c r="U19" s="213">
        <v>3264519.9229981275</v>
      </c>
      <c r="V19" s="213">
        <v>3362455.5206880714</v>
      </c>
    </row>
    <row r="20" spans="1:22" x14ac:dyDescent="0.2">
      <c r="A20">
        <f>Summary!A26</f>
        <v>10</v>
      </c>
      <c r="B20" t="s">
        <v>64</v>
      </c>
      <c r="C20" s="211">
        <v>0</v>
      </c>
      <c r="D20" s="213">
        <v>2140736.38</v>
      </c>
      <c r="E20" s="213">
        <v>2090891.7</v>
      </c>
      <c r="F20" s="213">
        <v>3759535.24</v>
      </c>
      <c r="G20" s="213">
        <v>1669261.97</v>
      </c>
      <c r="H20" s="213">
        <v>2255300.8720000004</v>
      </c>
      <c r="I20" s="213">
        <v>2322959.8981600003</v>
      </c>
      <c r="J20" s="213">
        <v>2392648.6951048006</v>
      </c>
      <c r="K20" s="213">
        <v>2464428.1559579447</v>
      </c>
      <c r="L20" s="213">
        <v>2538361.0006366833</v>
      </c>
      <c r="M20" s="213">
        <v>2614511.8306557839</v>
      </c>
      <c r="N20" s="213">
        <v>2692947.1855754573</v>
      </c>
      <c r="O20" s="213">
        <v>2773735.6011427213</v>
      </c>
      <c r="P20" s="213">
        <v>2856947.6691770027</v>
      </c>
      <c r="Q20" s="213">
        <v>2942656.0992523129</v>
      </c>
      <c r="R20" s="213">
        <v>3030935.7822298822</v>
      </c>
      <c r="S20" s="213">
        <v>3121863.8556967787</v>
      </c>
      <c r="T20" s="213">
        <v>3215519.7713676821</v>
      </c>
      <c r="U20" s="213">
        <v>3311985.3645087127</v>
      </c>
      <c r="V20" s="213">
        <v>3411344.9254439743</v>
      </c>
    </row>
    <row r="21" spans="1:22" x14ac:dyDescent="0.2">
      <c r="A21">
        <f>Summary!A27</f>
        <v>11</v>
      </c>
      <c r="B21" t="s">
        <v>65</v>
      </c>
      <c r="C21" s="211">
        <v>0</v>
      </c>
      <c r="D21" s="213">
        <v>17423162.359999992</v>
      </c>
      <c r="E21" s="213">
        <v>2384312.89</v>
      </c>
      <c r="F21" s="213">
        <v>3137634.37</v>
      </c>
      <c r="G21" s="213">
        <v>5659421.9600000009</v>
      </c>
      <c r="H21" s="213">
        <v>4800000</v>
      </c>
      <c r="I21" s="213">
        <v>4944000</v>
      </c>
      <c r="J21" s="213">
        <v>5092320</v>
      </c>
      <c r="K21" s="213">
        <v>5245089.5999999996</v>
      </c>
      <c r="L21" s="213">
        <v>5402442.2880000006</v>
      </c>
      <c r="M21" s="213">
        <v>5564515.556640001</v>
      </c>
      <c r="N21" s="213">
        <v>5731451.0233392008</v>
      </c>
      <c r="O21" s="213">
        <v>5903394.5540393768</v>
      </c>
      <c r="P21" s="213">
        <v>6080496.3906605579</v>
      </c>
      <c r="Q21" s="213">
        <v>6262911.2823803751</v>
      </c>
      <c r="R21" s="213">
        <v>6450798.6208517868</v>
      </c>
      <c r="S21" s="213">
        <v>6644322.5794773409</v>
      </c>
      <c r="T21" s="213">
        <v>6843652.2568616616</v>
      </c>
      <c r="U21" s="213">
        <v>7048961.8245675117</v>
      </c>
      <c r="V21" s="213">
        <v>7260430.6793045374</v>
      </c>
    </row>
    <row r="22" spans="1:22" x14ac:dyDescent="0.2">
      <c r="A22">
        <f>Summary!A28</f>
        <v>12</v>
      </c>
      <c r="B22" t="s">
        <v>66</v>
      </c>
      <c r="C22" s="211">
        <v>0</v>
      </c>
      <c r="D22" s="213">
        <v>5440512.71</v>
      </c>
      <c r="E22" s="213">
        <v>1207895.95</v>
      </c>
      <c r="F22" s="213">
        <v>294093.09999999998</v>
      </c>
      <c r="G22" s="213">
        <v>776726.04</v>
      </c>
      <c r="H22" s="213">
        <v>1724501.2119999998</v>
      </c>
      <c r="I22" s="213">
        <v>1776236.2483599999</v>
      </c>
      <c r="J22" s="213">
        <v>1829523.3358107999</v>
      </c>
      <c r="K22" s="213">
        <v>1884409.035885124</v>
      </c>
      <c r="L22" s="213">
        <v>1940941.3069616777</v>
      </c>
      <c r="M22" s="213">
        <v>1999169.546170528</v>
      </c>
      <c r="N22" s="213">
        <v>2059144.632555644</v>
      </c>
      <c r="O22" s="213">
        <v>2120918.9715323136</v>
      </c>
      <c r="P22" s="213">
        <v>2184546.5406782832</v>
      </c>
      <c r="Q22" s="213">
        <v>2250082.936898632</v>
      </c>
      <c r="R22" s="213">
        <v>2317585.425005591</v>
      </c>
      <c r="S22" s="213">
        <v>2387112.9877557587</v>
      </c>
      <c r="T22" s="213">
        <v>2458726.3773884317</v>
      </c>
      <c r="U22" s="213">
        <v>2532488.1687100846</v>
      </c>
      <c r="V22" s="213">
        <v>2608462.8137713871</v>
      </c>
    </row>
    <row r="23" spans="1:22" x14ac:dyDescent="0.2">
      <c r="A23">
        <f>Summary!A29</f>
        <v>13</v>
      </c>
      <c r="B23" t="s">
        <v>67</v>
      </c>
      <c r="C23" s="211">
        <v>0</v>
      </c>
      <c r="D23" s="213">
        <v>663432.53</v>
      </c>
      <c r="E23" s="213">
        <v>5903033.8899999997</v>
      </c>
      <c r="F23" s="213">
        <v>291631.14</v>
      </c>
      <c r="G23" s="213">
        <v>776726.04</v>
      </c>
      <c r="H23" s="213">
        <v>1704336.4780000001</v>
      </c>
      <c r="I23" s="213">
        <v>1755466.5723400002</v>
      </c>
      <c r="J23" s="213">
        <v>1808130.5695102003</v>
      </c>
      <c r="K23" s="213">
        <v>1862374.4865955063</v>
      </c>
      <c r="L23" s="213">
        <v>1918245.7211933716</v>
      </c>
      <c r="M23" s="213">
        <v>1975793.0928291727</v>
      </c>
      <c r="N23" s="213">
        <v>2035066.885614048</v>
      </c>
      <c r="O23" s="213">
        <v>2096118.8921824696</v>
      </c>
      <c r="P23" s="213">
        <v>2159002.4589479435</v>
      </c>
      <c r="Q23" s="213">
        <v>2223772.5327163818</v>
      </c>
      <c r="R23" s="213">
        <v>2290485.7086978732</v>
      </c>
      <c r="S23" s="213">
        <v>2359200.2799588093</v>
      </c>
      <c r="T23" s="213">
        <v>2429976.2883575736</v>
      </c>
      <c r="U23" s="213">
        <v>2502875.5770083009</v>
      </c>
      <c r="V23" s="213">
        <v>2577961.8443185501</v>
      </c>
    </row>
    <row r="24" spans="1:22" x14ac:dyDescent="0.2">
      <c r="A24">
        <f>Summary!A30</f>
        <v>14</v>
      </c>
      <c r="B24" t="s">
        <v>70</v>
      </c>
      <c r="C24" s="211">
        <v>0</v>
      </c>
      <c r="D24" s="213">
        <v>804291.35</v>
      </c>
      <c r="E24" s="213">
        <v>9620475.7899999991</v>
      </c>
      <c r="F24" s="213">
        <v>604210.52</v>
      </c>
      <c r="G24" s="213">
        <v>1057868.8999999999</v>
      </c>
      <c r="H24" s="213">
        <v>2649788.426</v>
      </c>
      <c r="I24" s="213">
        <v>2729282.0787800001</v>
      </c>
      <c r="J24" s="213">
        <v>2811160.5411434001</v>
      </c>
      <c r="K24" s="213">
        <v>2895495.3573777024</v>
      </c>
      <c r="L24" s="213">
        <v>2982360.2180990335</v>
      </c>
      <c r="M24" s="213">
        <v>3071831.0246420046</v>
      </c>
      <c r="N24" s="213">
        <v>3163985.9553812649</v>
      </c>
      <c r="O24" s="213">
        <v>3258905.534042703</v>
      </c>
      <c r="P24" s="213">
        <v>3356672.7000639844</v>
      </c>
      <c r="Q24" s="213">
        <v>3457372.8810659042</v>
      </c>
      <c r="R24" s="213">
        <v>3561094.0674978816</v>
      </c>
      <c r="S24" s="213">
        <v>3667926.8895228179</v>
      </c>
      <c r="T24" s="213">
        <v>3777964.6962085026</v>
      </c>
      <c r="U24" s="213">
        <v>3891303.637094758</v>
      </c>
      <c r="V24" s="213">
        <v>4008042.7462076009</v>
      </c>
    </row>
    <row r="25" spans="1:22" x14ac:dyDescent="0.2">
      <c r="A25">
        <f>Summary!A31</f>
        <v>15</v>
      </c>
      <c r="B25" t="s">
        <v>68</v>
      </c>
      <c r="C25" s="211">
        <v>0</v>
      </c>
      <c r="D25" s="213">
        <v>1658414.77</v>
      </c>
      <c r="E25" s="213">
        <v>1457064.86</v>
      </c>
      <c r="F25" s="213">
        <v>7037610.2299999995</v>
      </c>
      <c r="G25" s="213">
        <v>1239680.1499999999</v>
      </c>
      <c r="H25" s="213">
        <v>2496885.3419999997</v>
      </c>
      <c r="I25" s="213">
        <v>2571791.9022599999</v>
      </c>
      <c r="J25" s="213">
        <v>2648945.6593277999</v>
      </c>
      <c r="K25" s="213">
        <v>2728414.029107634</v>
      </c>
      <c r="L25" s="213">
        <v>2810266.4499808629</v>
      </c>
      <c r="M25" s="213">
        <v>2894574.4434802891</v>
      </c>
      <c r="N25" s="213">
        <v>2981411.6767846979</v>
      </c>
      <c r="O25" s="213">
        <v>3070854.0270882389</v>
      </c>
      <c r="P25" s="213">
        <v>3162979.6479008859</v>
      </c>
      <c r="Q25" s="213">
        <v>3257869.0373379127</v>
      </c>
      <c r="R25" s="213">
        <v>3355605.1084580501</v>
      </c>
      <c r="S25" s="213">
        <v>3456273.2617117916</v>
      </c>
      <c r="T25" s="213">
        <v>3559961.4595631454</v>
      </c>
      <c r="U25" s="213">
        <v>3666760.3033500398</v>
      </c>
      <c r="V25" s="213">
        <v>3776763.112450541</v>
      </c>
    </row>
    <row r="26" spans="1:22" x14ac:dyDescent="0.2">
      <c r="A26">
        <f>Summary!A32</f>
        <v>16</v>
      </c>
      <c r="B26" t="s">
        <v>69</v>
      </c>
      <c r="C26" s="211">
        <v>0</v>
      </c>
      <c r="D26" s="213">
        <v>3327231.63</v>
      </c>
      <c r="E26" s="213">
        <v>2131175.73</v>
      </c>
      <c r="F26" s="213">
        <v>3334634.44</v>
      </c>
      <c r="G26" s="213">
        <v>625478.57999999996</v>
      </c>
      <c r="H26" s="213">
        <v>2269388.4619999998</v>
      </c>
      <c r="I26" s="213">
        <v>2337470.1158599998</v>
      </c>
      <c r="J26" s="213">
        <v>2407594.2193358</v>
      </c>
      <c r="K26" s="213">
        <v>2479822.0459158742</v>
      </c>
      <c r="L26" s="213">
        <v>2554216.7072933502</v>
      </c>
      <c r="M26" s="213">
        <v>2630843.2085121507</v>
      </c>
      <c r="N26" s="213">
        <v>2709768.5047675152</v>
      </c>
      <c r="O26" s="213">
        <v>2791061.5599105409</v>
      </c>
      <c r="P26" s="213">
        <v>2874793.4067078573</v>
      </c>
      <c r="Q26" s="213">
        <v>2961037.2089090929</v>
      </c>
      <c r="R26" s="213">
        <v>3049868.3251763657</v>
      </c>
      <c r="S26" s="213">
        <v>3141364.3749316568</v>
      </c>
      <c r="T26" s="213">
        <v>3235605.3061796064</v>
      </c>
      <c r="U26" s="213">
        <v>3332673.4653649945</v>
      </c>
      <c r="V26" s="213">
        <v>3432653.6693259445</v>
      </c>
    </row>
    <row r="27" spans="1:22" x14ac:dyDescent="0.2">
      <c r="A27">
        <f>Summary!A33</f>
        <v>17</v>
      </c>
      <c r="B27" t="s">
        <v>71</v>
      </c>
      <c r="C27" s="211">
        <v>0</v>
      </c>
      <c r="D27" s="213">
        <v>4505591.18</v>
      </c>
      <c r="E27" s="213">
        <v>2109515.17</v>
      </c>
      <c r="F27" s="213">
        <v>609625.87</v>
      </c>
      <c r="G27" s="213">
        <v>2352594.6800000002</v>
      </c>
      <c r="H27" s="213">
        <v>2434176.6479999996</v>
      </c>
      <c r="I27" s="213">
        <v>2507201.9474399998</v>
      </c>
      <c r="J27" s="213">
        <v>2582418.0058631999</v>
      </c>
      <c r="K27" s="213">
        <v>2659890.5460390961</v>
      </c>
      <c r="L27" s="213">
        <v>2739687.2624202692</v>
      </c>
      <c r="M27" s="213">
        <v>2821877.8802928776</v>
      </c>
      <c r="N27" s="213">
        <v>2906534.216701664</v>
      </c>
      <c r="O27" s="213">
        <v>2993730.2432027142</v>
      </c>
      <c r="P27" s="213">
        <v>3083542.1504987958</v>
      </c>
      <c r="Q27" s="213">
        <v>3176048.4150137599</v>
      </c>
      <c r="R27" s="213">
        <v>3271329.8674641727</v>
      </c>
      <c r="S27" s="213">
        <v>3369469.763488098</v>
      </c>
      <c r="T27" s="213">
        <v>3470553.8563927412</v>
      </c>
      <c r="U27" s="213">
        <v>3574670.4720845236</v>
      </c>
      <c r="V27" s="213">
        <v>3681910.5862470595</v>
      </c>
    </row>
    <row r="28" spans="1:22" x14ac:dyDescent="0.2">
      <c r="A28">
        <f>Summary!A34</f>
        <v>18</v>
      </c>
      <c r="B28" t="s">
        <v>72</v>
      </c>
      <c r="C28" s="211">
        <v>0</v>
      </c>
      <c r="D28" s="213">
        <v>2047591.71</v>
      </c>
      <c r="E28" s="213">
        <v>7775098.5700000077</v>
      </c>
      <c r="F28" s="213">
        <v>3053459.57</v>
      </c>
      <c r="G28" s="213">
        <v>5375258.9699999997</v>
      </c>
      <c r="H28" s="213">
        <v>6217891.3880000012</v>
      </c>
      <c r="I28" s="213">
        <v>6404428.1296400018</v>
      </c>
      <c r="J28" s="213">
        <v>6596560.9735292019</v>
      </c>
      <c r="K28" s="213">
        <v>6794457.8027350781</v>
      </c>
      <c r="L28" s="213">
        <v>6998291.5368171306</v>
      </c>
      <c r="M28" s="213">
        <v>7208240.2829216449</v>
      </c>
      <c r="N28" s="213">
        <v>7424487.4914092943</v>
      </c>
      <c r="O28" s="213">
        <v>7647222.1161515731</v>
      </c>
      <c r="P28" s="213">
        <v>7876638.7796361204</v>
      </c>
      <c r="Q28" s="213">
        <v>8112937.9430252044</v>
      </c>
      <c r="R28" s="213">
        <v>8356326.0813159607</v>
      </c>
      <c r="S28" s="213">
        <v>8607015.8637554403</v>
      </c>
      <c r="T28" s="213">
        <v>8865226.3396681044</v>
      </c>
      <c r="U28" s="213">
        <v>9131183.1298581474</v>
      </c>
      <c r="V28" s="213">
        <v>9405118.6237538923</v>
      </c>
    </row>
    <row r="29" spans="1:22" x14ac:dyDescent="0.2">
      <c r="A29">
        <f>Summary!A35</f>
        <v>19</v>
      </c>
      <c r="B29" t="s">
        <v>73</v>
      </c>
      <c r="C29" s="211">
        <v>0</v>
      </c>
      <c r="D29" s="213">
        <v>2815.86</v>
      </c>
      <c r="E29" s="213">
        <v>332999.71999999997</v>
      </c>
      <c r="F29" s="213">
        <v>3047.79</v>
      </c>
      <c r="G29" s="213">
        <v>3183.29</v>
      </c>
      <c r="H29" s="213">
        <v>69003.861999999994</v>
      </c>
      <c r="I29" s="213">
        <v>71073.977859999999</v>
      </c>
      <c r="J29" s="213">
        <v>73206.197195800007</v>
      </c>
      <c r="K29" s="213">
        <v>75402.383111674004</v>
      </c>
      <c r="L29" s="213">
        <v>77664.454605024221</v>
      </c>
      <c r="M29" s="213">
        <v>79994.388243174952</v>
      </c>
      <c r="N29" s="213">
        <v>82394.219890470209</v>
      </c>
      <c r="O29" s="213">
        <v>84866.046487184314</v>
      </c>
      <c r="P29" s="213">
        <v>87412.027881799848</v>
      </c>
      <c r="Q29" s="213">
        <v>90034.388718253846</v>
      </c>
      <c r="R29" s="213">
        <v>92735.420379801464</v>
      </c>
      <c r="S29" s="213">
        <v>95517.482991195517</v>
      </c>
      <c r="T29" s="213">
        <v>98383.007480931381</v>
      </c>
      <c r="U29" s="213">
        <v>101334.49770535933</v>
      </c>
      <c r="V29" s="213">
        <v>104374.53263652012</v>
      </c>
    </row>
    <row r="30" spans="1:22" x14ac:dyDescent="0.2">
      <c r="A30">
        <f>Summary!A36</f>
        <v>20</v>
      </c>
      <c r="B30" t="s">
        <v>74</v>
      </c>
      <c r="C30" s="211">
        <v>0</v>
      </c>
      <c r="D30" s="213">
        <v>438.02</v>
      </c>
      <c r="E30" s="213">
        <v>455.7</v>
      </c>
      <c r="F30" s="213">
        <v>474.1</v>
      </c>
      <c r="G30" s="213">
        <v>495.18</v>
      </c>
      <c r="H30" s="213">
        <v>50000</v>
      </c>
      <c r="I30" s="213">
        <v>51500</v>
      </c>
      <c r="J30" s="213">
        <v>53045</v>
      </c>
      <c r="K30" s="213">
        <v>54636.35</v>
      </c>
      <c r="L30" s="213">
        <v>56275.440499999997</v>
      </c>
      <c r="M30" s="213">
        <v>57963.703714999996</v>
      </c>
      <c r="N30" s="213">
        <v>59702.614826450001</v>
      </c>
      <c r="O30" s="213">
        <v>61493.693271243501</v>
      </c>
      <c r="P30" s="213">
        <v>63338.504069380804</v>
      </c>
      <c r="Q30" s="213">
        <v>65238.659191462233</v>
      </c>
      <c r="R30" s="213">
        <v>67195.818967206098</v>
      </c>
      <c r="S30" s="213">
        <v>69211.693536222287</v>
      </c>
      <c r="T30" s="213">
        <v>71288.04434230896</v>
      </c>
      <c r="U30" s="213">
        <v>73426.685672578227</v>
      </c>
      <c r="V30" s="213">
        <v>75629.486242755578</v>
      </c>
    </row>
    <row r="31" spans="1:22" x14ac:dyDescent="0.2">
      <c r="A31">
        <f>Summary!A37</f>
        <v>21</v>
      </c>
      <c r="B31" t="s">
        <v>75</v>
      </c>
      <c r="C31" s="211">
        <v>0</v>
      </c>
      <c r="D31" s="213">
        <v>907.34</v>
      </c>
      <c r="E31" s="213">
        <v>943.94</v>
      </c>
      <c r="F31" s="213">
        <v>982.06</v>
      </c>
      <c r="G31" s="213">
        <v>1025.72</v>
      </c>
      <c r="H31" s="213">
        <v>100000</v>
      </c>
      <c r="I31" s="213">
        <v>103000</v>
      </c>
      <c r="J31" s="213">
        <v>106090</v>
      </c>
      <c r="K31" s="213">
        <v>109272.7</v>
      </c>
      <c r="L31" s="213">
        <v>112550.88099999999</v>
      </c>
      <c r="M31" s="213">
        <v>115927.40742999999</v>
      </c>
      <c r="N31" s="213">
        <v>119405.2296529</v>
      </c>
      <c r="O31" s="213">
        <v>122987.386542487</v>
      </c>
      <c r="P31" s="213">
        <v>126677.00813876161</v>
      </c>
      <c r="Q31" s="213">
        <v>130477.31838292447</v>
      </c>
      <c r="R31" s="213">
        <v>134391.6379344122</v>
      </c>
      <c r="S31" s="213">
        <v>138423.38707244457</v>
      </c>
      <c r="T31" s="213">
        <v>142576.08868461792</v>
      </c>
      <c r="U31" s="213">
        <v>146853.37134515645</v>
      </c>
      <c r="V31" s="213">
        <v>151258.97248551116</v>
      </c>
    </row>
    <row r="32" spans="1:22" x14ac:dyDescent="0.2">
      <c r="A32">
        <f>Summary!A38</f>
        <v>22</v>
      </c>
      <c r="B32" t="s">
        <v>86</v>
      </c>
      <c r="C32" s="211">
        <v>0</v>
      </c>
      <c r="D32" s="213">
        <v>1752.08</v>
      </c>
      <c r="E32" s="213">
        <v>1822.8</v>
      </c>
      <c r="F32" s="213">
        <v>1896.4</v>
      </c>
      <c r="G32" s="213">
        <v>1980.72</v>
      </c>
      <c r="H32" s="213">
        <v>200000</v>
      </c>
      <c r="I32" s="213">
        <v>206000</v>
      </c>
      <c r="J32" s="213">
        <v>212180</v>
      </c>
      <c r="K32" s="213">
        <v>218545.4</v>
      </c>
      <c r="L32" s="213">
        <v>225101.76199999999</v>
      </c>
      <c r="M32" s="213">
        <v>231854.81485999998</v>
      </c>
      <c r="N32" s="213">
        <v>238810.4593058</v>
      </c>
      <c r="O32" s="213">
        <v>245974.773084974</v>
      </c>
      <c r="P32" s="213">
        <v>253354.01627752322</v>
      </c>
      <c r="Q32" s="213">
        <v>260954.63676584893</v>
      </c>
      <c r="R32" s="213">
        <v>268783.27586882439</v>
      </c>
      <c r="S32" s="213">
        <v>276846.77414488915</v>
      </c>
      <c r="T32" s="213">
        <v>285152.17736923584</v>
      </c>
      <c r="U32" s="213">
        <v>293706.74269031291</v>
      </c>
      <c r="V32" s="213">
        <v>302517.94497102231</v>
      </c>
    </row>
    <row r="33" spans="1:22" x14ac:dyDescent="0.2">
      <c r="A33">
        <f>Summary!A39</f>
        <v>23</v>
      </c>
      <c r="B33" t="s">
        <v>76</v>
      </c>
      <c r="C33" s="211">
        <v>0</v>
      </c>
      <c r="D33" s="213">
        <v>1423.58</v>
      </c>
      <c r="E33" s="213">
        <v>1481.02</v>
      </c>
      <c r="F33" s="213">
        <v>1540.83</v>
      </c>
      <c r="G33" s="213">
        <v>1609.33</v>
      </c>
      <c r="H33" s="213">
        <v>100000</v>
      </c>
      <c r="I33" s="213">
        <v>103000</v>
      </c>
      <c r="J33" s="213">
        <v>106090</v>
      </c>
      <c r="K33" s="213">
        <v>109272.7</v>
      </c>
      <c r="L33" s="213">
        <v>112550.88099999999</v>
      </c>
      <c r="M33" s="213">
        <v>115927.40742999999</v>
      </c>
      <c r="N33" s="213">
        <v>119405.2296529</v>
      </c>
      <c r="O33" s="213">
        <v>122987.386542487</v>
      </c>
      <c r="P33" s="213">
        <v>126677.00813876161</v>
      </c>
      <c r="Q33" s="213">
        <v>130477.31838292447</v>
      </c>
      <c r="R33" s="213">
        <v>134391.6379344122</v>
      </c>
      <c r="S33" s="213">
        <v>138423.38707244457</v>
      </c>
      <c r="T33" s="213">
        <v>142576.08868461792</v>
      </c>
      <c r="U33" s="213">
        <v>146853.37134515645</v>
      </c>
      <c r="V33" s="213">
        <v>151258.97248551116</v>
      </c>
    </row>
    <row r="34" spans="1:22" x14ac:dyDescent="0.2">
      <c r="A34">
        <f>Summary!A40</f>
        <v>24</v>
      </c>
      <c r="B34" t="s">
        <v>77</v>
      </c>
      <c r="C34" s="211">
        <v>0</v>
      </c>
      <c r="D34" s="213">
        <v>1423.58</v>
      </c>
      <c r="E34" s="213">
        <v>1481.02</v>
      </c>
      <c r="F34" s="213">
        <v>1540.83</v>
      </c>
      <c r="G34" s="213">
        <v>1609.33</v>
      </c>
      <c r="H34" s="213">
        <v>100000</v>
      </c>
      <c r="I34" s="213">
        <v>103000</v>
      </c>
      <c r="J34" s="213">
        <v>106090</v>
      </c>
      <c r="K34" s="213">
        <v>109272.7</v>
      </c>
      <c r="L34" s="213">
        <v>112550.88099999999</v>
      </c>
      <c r="M34" s="213">
        <v>115927.40742999999</v>
      </c>
      <c r="N34" s="213">
        <v>119405.2296529</v>
      </c>
      <c r="O34" s="213">
        <v>122987.386542487</v>
      </c>
      <c r="P34" s="213">
        <v>126677.00813876161</v>
      </c>
      <c r="Q34" s="213">
        <v>130477.31838292447</v>
      </c>
      <c r="R34" s="213">
        <v>134391.6379344122</v>
      </c>
      <c r="S34" s="213">
        <v>138423.38707244457</v>
      </c>
      <c r="T34" s="213">
        <v>142576.08868461792</v>
      </c>
      <c r="U34" s="213">
        <v>146853.37134515645</v>
      </c>
      <c r="V34" s="213">
        <v>151258.97248551116</v>
      </c>
    </row>
    <row r="35" spans="1:22" x14ac:dyDescent="0.2">
      <c r="A35">
        <f>Summary!A41</f>
        <v>25</v>
      </c>
      <c r="B35" t="s">
        <v>78</v>
      </c>
      <c r="C35" s="211">
        <v>0</v>
      </c>
      <c r="D35" s="213">
        <v>1423.58</v>
      </c>
      <c r="E35" s="213">
        <v>1481.02</v>
      </c>
      <c r="F35" s="213">
        <v>1540.83</v>
      </c>
      <c r="G35" s="213">
        <v>1609.33</v>
      </c>
      <c r="H35" s="213">
        <v>100000</v>
      </c>
      <c r="I35" s="213">
        <v>103000</v>
      </c>
      <c r="J35" s="213">
        <v>106090</v>
      </c>
      <c r="K35" s="213">
        <v>109272.7</v>
      </c>
      <c r="L35" s="213">
        <v>112550.88099999999</v>
      </c>
      <c r="M35" s="213">
        <v>115927.40742999999</v>
      </c>
      <c r="N35" s="213">
        <v>119405.2296529</v>
      </c>
      <c r="O35" s="213">
        <v>122987.386542487</v>
      </c>
      <c r="P35" s="213">
        <v>126677.00813876161</v>
      </c>
      <c r="Q35" s="213">
        <v>130477.31838292447</v>
      </c>
      <c r="R35" s="213">
        <v>134391.6379344122</v>
      </c>
      <c r="S35" s="213">
        <v>138423.38707244457</v>
      </c>
      <c r="T35" s="213">
        <v>142576.08868461792</v>
      </c>
      <c r="U35" s="213">
        <v>146853.37134515645</v>
      </c>
      <c r="V35" s="213">
        <v>151258.97248551116</v>
      </c>
    </row>
    <row r="36" spans="1:22" x14ac:dyDescent="0.2">
      <c r="A36">
        <f>Summary!A42</f>
        <v>26</v>
      </c>
      <c r="B36" t="s">
        <v>79</v>
      </c>
      <c r="C36" s="211">
        <v>0</v>
      </c>
      <c r="D36" s="213">
        <v>1423.58</v>
      </c>
      <c r="E36" s="213">
        <v>1481.02</v>
      </c>
      <c r="F36" s="213">
        <v>1540.83</v>
      </c>
      <c r="G36" s="213">
        <v>1609.33</v>
      </c>
      <c r="H36" s="213">
        <v>100000</v>
      </c>
      <c r="I36" s="213">
        <v>103000</v>
      </c>
      <c r="J36" s="213">
        <v>106090</v>
      </c>
      <c r="K36" s="213">
        <v>109272.7</v>
      </c>
      <c r="L36" s="213">
        <v>112550.88099999999</v>
      </c>
      <c r="M36" s="213">
        <v>115927.40742999999</v>
      </c>
      <c r="N36" s="213">
        <v>119405.2296529</v>
      </c>
      <c r="O36" s="213">
        <v>122987.386542487</v>
      </c>
      <c r="P36" s="213">
        <v>126677.00813876161</v>
      </c>
      <c r="Q36" s="213">
        <v>130477.31838292447</v>
      </c>
      <c r="R36" s="213">
        <v>134391.6379344122</v>
      </c>
      <c r="S36" s="213">
        <v>138423.38707244457</v>
      </c>
      <c r="T36" s="213">
        <v>142576.08868461792</v>
      </c>
      <c r="U36" s="213">
        <v>146853.37134515645</v>
      </c>
      <c r="V36" s="213">
        <v>151258.97248551116</v>
      </c>
    </row>
    <row r="37" spans="1:22" x14ac:dyDescent="0.2">
      <c r="A37">
        <f>Summary!A43</f>
        <v>27</v>
      </c>
      <c r="B37" t="s">
        <v>80</v>
      </c>
      <c r="C37" s="211">
        <v>0</v>
      </c>
      <c r="D37" s="213">
        <v>14278.42</v>
      </c>
      <c r="E37" s="213">
        <v>14707.35</v>
      </c>
      <c r="F37" s="213">
        <v>387074.17</v>
      </c>
      <c r="G37" s="213">
        <v>15661.04</v>
      </c>
      <c r="H37" s="213">
        <v>89337.122000000003</v>
      </c>
      <c r="I37" s="213">
        <v>92017.235660000006</v>
      </c>
      <c r="J37" s="213">
        <v>94777.752729800006</v>
      </c>
      <c r="K37" s="213">
        <v>97621.085311694012</v>
      </c>
      <c r="L37" s="213">
        <v>100549.71787104484</v>
      </c>
      <c r="M37" s="213">
        <v>103566.20940717618</v>
      </c>
      <c r="N37" s="213">
        <v>106673.19568939148</v>
      </c>
      <c r="O37" s="213">
        <v>109873.39156007323</v>
      </c>
      <c r="P37" s="213">
        <v>113169.59330687542</v>
      </c>
      <c r="Q37" s="213">
        <v>116564.68110608168</v>
      </c>
      <c r="R37" s="213">
        <v>120061.62153926413</v>
      </c>
      <c r="S37" s="213">
        <v>123663.47018544206</v>
      </c>
      <c r="T37" s="213">
        <v>127373.37429100533</v>
      </c>
      <c r="U37" s="213">
        <v>131194.57551973549</v>
      </c>
      <c r="V37" s="213">
        <v>135130.41278532756</v>
      </c>
    </row>
    <row r="38" spans="1:22" x14ac:dyDescent="0.2">
      <c r="A38">
        <f>Summary!A44</f>
        <v>28</v>
      </c>
      <c r="B38" t="s">
        <v>81</v>
      </c>
      <c r="C38" s="211">
        <v>0</v>
      </c>
      <c r="D38" s="213">
        <v>14879.11</v>
      </c>
      <c r="E38" s="213">
        <v>15323.09</v>
      </c>
      <c r="F38" s="213">
        <v>384480.99</v>
      </c>
      <c r="G38" s="213">
        <v>16310.09</v>
      </c>
      <c r="H38" s="213">
        <v>89322.498000000007</v>
      </c>
      <c r="I38" s="213">
        <v>92002.172940000004</v>
      </c>
      <c r="J38" s="213">
        <v>94762.238128200013</v>
      </c>
      <c r="K38" s="213">
        <v>97605.105272046014</v>
      </c>
      <c r="L38" s="213">
        <v>100533.2584302074</v>
      </c>
      <c r="M38" s="213">
        <v>103549.25618311363</v>
      </c>
      <c r="N38" s="213">
        <v>106655.73386860704</v>
      </c>
      <c r="O38" s="213">
        <v>109855.40588466526</v>
      </c>
      <c r="P38" s="213">
        <v>113151.06806120522</v>
      </c>
      <c r="Q38" s="213">
        <v>116545.60010304139</v>
      </c>
      <c r="R38" s="213">
        <v>120041.96810613264</v>
      </c>
      <c r="S38" s="213">
        <v>123643.22714931662</v>
      </c>
      <c r="T38" s="213">
        <v>127352.52396379612</v>
      </c>
      <c r="U38" s="213">
        <v>131173.09968271002</v>
      </c>
      <c r="V38" s="213">
        <v>135108.29267319132</v>
      </c>
    </row>
    <row r="39" spans="1:22" x14ac:dyDescent="0.2">
      <c r="A39">
        <f>Summary!A45</f>
        <v>29</v>
      </c>
      <c r="B39" t="s">
        <v>82</v>
      </c>
      <c r="C39" s="211">
        <v>0</v>
      </c>
      <c r="D39" s="213">
        <v>14879.11</v>
      </c>
      <c r="E39" s="213">
        <v>378160.86</v>
      </c>
      <c r="F39" s="213">
        <v>15780.83</v>
      </c>
      <c r="G39" s="213">
        <v>16310.09</v>
      </c>
      <c r="H39" s="213">
        <v>88150.02</v>
      </c>
      <c r="I39" s="213">
        <v>90794.520600000003</v>
      </c>
      <c r="J39" s="213">
        <v>93518.356218000001</v>
      </c>
      <c r="K39" s="213">
        <v>96323.90690454001</v>
      </c>
      <c r="L39" s="213">
        <v>99213.62411167621</v>
      </c>
      <c r="M39" s="213">
        <v>102190.0328350265</v>
      </c>
      <c r="N39" s="213">
        <v>105255.73382007731</v>
      </c>
      <c r="O39" s="213">
        <v>108413.40583467964</v>
      </c>
      <c r="P39" s="213">
        <v>111665.80800972003</v>
      </c>
      <c r="Q39" s="213">
        <v>115015.78225001163</v>
      </c>
      <c r="R39" s="213">
        <v>118466.25571751199</v>
      </c>
      <c r="S39" s="213">
        <v>122020.24338903735</v>
      </c>
      <c r="T39" s="213">
        <v>125680.85069070848</v>
      </c>
      <c r="U39" s="213">
        <v>129451.27621142974</v>
      </c>
      <c r="V39" s="213">
        <v>133334.81449777263</v>
      </c>
    </row>
    <row r="40" spans="1:22" x14ac:dyDescent="0.2">
      <c r="A40">
        <f>Summary!A46</f>
        <v>30</v>
      </c>
      <c r="B40" t="s">
        <v>83</v>
      </c>
      <c r="C40" s="211">
        <v>0</v>
      </c>
      <c r="D40" s="213">
        <v>14879.11</v>
      </c>
      <c r="E40" s="213">
        <v>378160.86</v>
      </c>
      <c r="F40" s="213">
        <v>15780.83</v>
      </c>
      <c r="G40" s="213">
        <v>16310.09</v>
      </c>
      <c r="H40" s="213">
        <v>88150.02</v>
      </c>
      <c r="I40" s="213">
        <v>90794.520600000003</v>
      </c>
      <c r="J40" s="213">
        <v>93518.356218000001</v>
      </c>
      <c r="K40" s="213">
        <v>96323.90690454001</v>
      </c>
      <c r="L40" s="213">
        <v>99213.62411167621</v>
      </c>
      <c r="M40" s="213">
        <v>102190.0328350265</v>
      </c>
      <c r="N40" s="213">
        <v>105255.73382007731</v>
      </c>
      <c r="O40" s="213">
        <v>108413.40583467964</v>
      </c>
      <c r="P40" s="213">
        <v>111665.80800972003</v>
      </c>
      <c r="Q40" s="213">
        <v>115015.78225001163</v>
      </c>
      <c r="R40" s="213">
        <v>118466.25571751199</v>
      </c>
      <c r="S40" s="213">
        <v>122020.24338903735</v>
      </c>
      <c r="T40" s="213">
        <v>125680.85069070848</v>
      </c>
      <c r="U40" s="213">
        <v>129451.27621142974</v>
      </c>
      <c r="V40" s="213">
        <v>133334.81449777263</v>
      </c>
    </row>
    <row r="41" spans="1:22" x14ac:dyDescent="0.2">
      <c r="A41">
        <f>Summary!A47</f>
        <v>31</v>
      </c>
      <c r="B41" t="s">
        <v>84</v>
      </c>
      <c r="C41" s="211">
        <v>0</v>
      </c>
      <c r="D41" s="213">
        <v>368862.32</v>
      </c>
      <c r="E41" s="213">
        <v>15323.09</v>
      </c>
      <c r="F41" s="213">
        <v>15780.83</v>
      </c>
      <c r="G41" s="213">
        <v>16310.09</v>
      </c>
      <c r="H41" s="213">
        <v>86379.108000000022</v>
      </c>
      <c r="I41" s="213">
        <v>88970.481240000023</v>
      </c>
      <c r="J41" s="213">
        <v>91639.595677200021</v>
      </c>
      <c r="K41" s="213">
        <v>94388.783547516025</v>
      </c>
      <c r="L41" s="213">
        <v>97220.447053941505</v>
      </c>
      <c r="M41" s="213">
        <v>100137.06046555976</v>
      </c>
      <c r="N41" s="213">
        <v>103141.17227952655</v>
      </c>
      <c r="O41" s="213">
        <v>106235.40744791235</v>
      </c>
      <c r="P41" s="213">
        <v>109422.46967134973</v>
      </c>
      <c r="Q41" s="213">
        <v>112705.14376149022</v>
      </c>
      <c r="R41" s="213">
        <v>116086.29807433493</v>
      </c>
      <c r="S41" s="213">
        <v>119568.88701656499</v>
      </c>
      <c r="T41" s="213">
        <v>123155.95362706194</v>
      </c>
      <c r="U41" s="213">
        <v>126850.63223587381</v>
      </c>
      <c r="V41" s="213">
        <v>130656.15120295003</v>
      </c>
    </row>
    <row r="42" spans="1:22" x14ac:dyDescent="0.2">
      <c r="A42">
        <f>Summary!A48</f>
        <v>32</v>
      </c>
      <c r="B42" t="s">
        <v>85</v>
      </c>
      <c r="C42" s="211">
        <v>0</v>
      </c>
      <c r="D42" s="213">
        <v>368261.63</v>
      </c>
      <c r="E42" s="213">
        <v>14707.35</v>
      </c>
      <c r="F42" s="213">
        <v>15149.69</v>
      </c>
      <c r="G42" s="213">
        <v>15661.04</v>
      </c>
      <c r="H42" s="213">
        <v>85748.867999999988</v>
      </c>
      <c r="I42" s="213">
        <v>88321.334039999987</v>
      </c>
      <c r="J42" s="213">
        <v>90970.974061199988</v>
      </c>
      <c r="K42" s="213">
        <v>93700.103283035991</v>
      </c>
      <c r="L42" s="213">
        <v>96511.106381527075</v>
      </c>
      <c r="M42" s="213">
        <v>99406.439572972886</v>
      </c>
      <c r="N42" s="213">
        <v>102388.63276016207</v>
      </c>
      <c r="O42" s="213">
        <v>105460.29174296693</v>
      </c>
      <c r="P42" s="213">
        <v>108624.10049525595</v>
      </c>
      <c r="Q42" s="213">
        <v>111882.82351011362</v>
      </c>
      <c r="R42" s="213">
        <v>115239.30821541704</v>
      </c>
      <c r="S42" s="213">
        <v>118696.48746187956</v>
      </c>
      <c r="T42" s="213">
        <v>122257.38208573595</v>
      </c>
      <c r="U42" s="213">
        <v>125925.10354830803</v>
      </c>
      <c r="V42" s="213">
        <v>129702.85665475728</v>
      </c>
    </row>
    <row r="43" spans="1:22" ht="13.5" thickBot="1" x14ac:dyDescent="0.25">
      <c r="A43">
        <f>Summary!A49</f>
        <v>33</v>
      </c>
      <c r="B43" s="216" t="s">
        <v>181</v>
      </c>
      <c r="C43" s="214">
        <v>0</v>
      </c>
      <c r="D43" s="215">
        <v>0</v>
      </c>
      <c r="E43" s="215">
        <v>0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0</v>
      </c>
      <c r="M43" s="215">
        <v>0</v>
      </c>
      <c r="N43" s="215">
        <v>0</v>
      </c>
      <c r="O43" s="215">
        <v>0</v>
      </c>
      <c r="P43" s="215">
        <v>0</v>
      </c>
      <c r="Q43" s="215">
        <v>0</v>
      </c>
      <c r="R43" s="215">
        <v>0</v>
      </c>
      <c r="S43" s="215">
        <v>0</v>
      </c>
      <c r="T43" s="215">
        <v>0</v>
      </c>
      <c r="U43" s="215">
        <v>0</v>
      </c>
      <c r="V43" s="215">
        <v>0</v>
      </c>
    </row>
    <row r="44" spans="1:22" s="109" customFormat="1" ht="12" thickTop="1" x14ac:dyDescent="0.2">
      <c r="B44" s="109" t="s">
        <v>135</v>
      </c>
      <c r="C44" s="217">
        <f>SUM(C11:C43)</f>
        <v>0</v>
      </c>
      <c r="D44" s="217">
        <f t="shared" ref="D44:V44" si="0">SUM(D11:D43)</f>
        <v>57998154.670000002</v>
      </c>
      <c r="E44" s="217">
        <f t="shared" si="0"/>
        <v>53017298.62000002</v>
      </c>
      <c r="F44" s="217">
        <f t="shared" si="0"/>
        <v>39685921.899999991</v>
      </c>
      <c r="G44" s="217">
        <f t="shared" si="0"/>
        <v>29370635.689999983</v>
      </c>
      <c r="H44" s="217">
        <f t="shared" si="0"/>
        <v>45513050.084000029</v>
      </c>
      <c r="I44" s="217">
        <f t="shared" si="0"/>
        <v>46878441.586520009</v>
      </c>
      <c r="J44" s="217">
        <f t="shared" si="0"/>
        <v>48284794.834115602</v>
      </c>
      <c r="K44" s="217">
        <f t="shared" si="0"/>
        <v>49733338.679139085</v>
      </c>
      <c r="L44" s="217">
        <f t="shared" si="0"/>
        <v>51225338.839513227</v>
      </c>
      <c r="M44" s="217">
        <f t="shared" si="0"/>
        <v>52762099.004698649</v>
      </c>
      <c r="N44" s="217">
        <f t="shared" si="0"/>
        <v>54344961.97483959</v>
      </c>
      <c r="O44" s="217">
        <f t="shared" si="0"/>
        <v>55975310.834084794</v>
      </c>
      <c r="P44" s="217">
        <f t="shared" si="0"/>
        <v>57654570.159107335</v>
      </c>
      <c r="Q44" s="217">
        <f t="shared" si="0"/>
        <v>59384207.263880566</v>
      </c>
      <c r="R44" s="217">
        <f t="shared" si="0"/>
        <v>61165733.481796958</v>
      </c>
      <c r="S44" s="217">
        <f t="shared" si="0"/>
        <v>63000705.4862509</v>
      </c>
      <c r="T44" s="217">
        <f t="shared" si="0"/>
        <v>64890726.650838412</v>
      </c>
      <c r="U44" s="217">
        <f t="shared" si="0"/>
        <v>66837448.450363576</v>
      </c>
      <c r="V44" s="217">
        <f t="shared" si="0"/>
        <v>68842571.903874472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79"/>
  <sheetViews>
    <sheetView workbookViewId="0"/>
  </sheetViews>
  <sheetFormatPr defaultRowHeight="12.75" x14ac:dyDescent="0.2"/>
  <cols>
    <col min="2" max="2" width="15" bestFit="1" customWidth="1"/>
    <col min="3" max="4" width="8.7109375" bestFit="1" customWidth="1"/>
    <col min="5" max="5" width="9.7109375" customWidth="1"/>
    <col min="22" max="22" width="8.7109375" bestFit="1" customWidth="1"/>
    <col min="23" max="23" width="13.5703125" bestFit="1" customWidth="1"/>
    <col min="24" max="24" width="5.140625" bestFit="1" customWidth="1"/>
  </cols>
  <sheetData>
    <row r="1" spans="1:22" x14ac:dyDescent="0.2">
      <c r="A1" s="138" t="s">
        <v>161</v>
      </c>
    </row>
    <row r="2" spans="1:22" x14ac:dyDescent="0.2">
      <c r="A2" s="13"/>
    </row>
    <row r="3" spans="1:22" x14ac:dyDescent="0.2">
      <c r="B3" s="45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22" x14ac:dyDescent="0.2">
      <c r="B4" s="45"/>
      <c r="C4" s="24"/>
      <c r="D4" s="24"/>
      <c r="E4" s="459"/>
      <c r="F4" s="24"/>
      <c r="G4" s="24"/>
      <c r="H4" s="24"/>
      <c r="I4" s="45"/>
      <c r="J4" s="24"/>
      <c r="K4" s="24"/>
      <c r="L4" s="24"/>
    </row>
    <row r="5" spans="1:22" x14ac:dyDescent="0.2">
      <c r="B5" s="460"/>
      <c r="C5" s="24"/>
      <c r="D5" s="24"/>
      <c r="E5" s="459"/>
      <c r="F5" s="24"/>
      <c r="G5" s="24"/>
      <c r="H5" s="24"/>
      <c r="I5" s="45"/>
      <c r="J5" s="24"/>
      <c r="K5" s="24"/>
      <c r="L5" s="24"/>
    </row>
    <row r="7" spans="1:22" x14ac:dyDescent="0.2">
      <c r="A7" s="13" t="s">
        <v>54</v>
      </c>
    </row>
    <row r="9" spans="1:22" x14ac:dyDescent="0.2">
      <c r="C9" s="12">
        <v>2000</v>
      </c>
      <c r="D9" s="12">
        <v>2001</v>
      </c>
      <c r="E9" s="12">
        <v>2002</v>
      </c>
      <c r="F9" s="12">
        <v>2003</v>
      </c>
      <c r="G9" s="12">
        <v>2004</v>
      </c>
      <c r="H9" s="12">
        <v>2005</v>
      </c>
      <c r="I9" s="12">
        <v>2006</v>
      </c>
      <c r="J9" s="12">
        <v>2007</v>
      </c>
      <c r="K9" s="12">
        <v>2008</v>
      </c>
      <c r="L9" s="12">
        <v>2009</v>
      </c>
      <c r="M9" s="12">
        <v>2010</v>
      </c>
      <c r="N9" s="12">
        <v>2011</v>
      </c>
      <c r="O9" s="12">
        <v>2012</v>
      </c>
      <c r="P9" s="12">
        <v>2013</v>
      </c>
      <c r="Q9" s="12">
        <v>2014</v>
      </c>
      <c r="R9" s="12">
        <v>2015</v>
      </c>
      <c r="S9" s="12">
        <v>2016</v>
      </c>
      <c r="T9" s="12">
        <v>2017</v>
      </c>
      <c r="U9" s="12">
        <v>2018</v>
      </c>
      <c r="V9" s="12">
        <v>2019</v>
      </c>
    </row>
    <row r="11" spans="1:22" x14ac:dyDescent="0.2">
      <c r="A11">
        <f>Summary!A17</f>
        <v>1</v>
      </c>
      <c r="B11" t="s">
        <v>55</v>
      </c>
      <c r="C11" s="6">
        <v>94409.16</v>
      </c>
      <c r="D11" s="6">
        <v>1471963.2</v>
      </c>
      <c r="E11" s="6">
        <v>21211947.960000001</v>
      </c>
      <c r="F11" s="6">
        <v>2835914.52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 x14ac:dyDescent="0.2">
      <c r="A12">
        <f>Summary!A18</f>
        <v>2</v>
      </c>
      <c r="B12" t="s">
        <v>56</v>
      </c>
      <c r="C12" s="6">
        <v>7425150.8399999999</v>
      </c>
      <c r="D12" s="6">
        <v>18826276.359999999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">
      <c r="A13">
        <f>Summary!A19</f>
        <v>3</v>
      </c>
      <c r="B13" s="9" t="s">
        <v>57</v>
      </c>
      <c r="C13" s="6">
        <v>640575</v>
      </c>
      <c r="D13" s="6">
        <v>6225024</v>
      </c>
      <c r="E13" s="6">
        <v>4058147.2</v>
      </c>
      <c r="F13" s="6">
        <v>2200091.69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x14ac:dyDescent="0.2">
      <c r="A14">
        <f>Summary!A20</f>
        <v>4</v>
      </c>
      <c r="B14" s="9" t="s">
        <v>58</v>
      </c>
      <c r="C14" s="6">
        <v>640575</v>
      </c>
      <c r="D14" s="6">
        <v>6225024</v>
      </c>
      <c r="E14" s="6">
        <v>4058147.2</v>
      </c>
      <c r="F14" s="6">
        <v>2200091.69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 x14ac:dyDescent="0.2">
      <c r="A15">
        <f>Summary!A21</f>
        <v>5</v>
      </c>
      <c r="B15" s="9" t="s">
        <v>59</v>
      </c>
      <c r="C15" s="6">
        <v>640575</v>
      </c>
      <c r="D15" s="6">
        <v>6225024</v>
      </c>
      <c r="E15" s="6">
        <v>4058147.2</v>
      </c>
      <c r="F15" s="6">
        <v>2200091.69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">
      <c r="A16">
        <f>Summary!A22</f>
        <v>6</v>
      </c>
      <c r="B16" s="9" t="s">
        <v>60</v>
      </c>
      <c r="C16" s="6">
        <v>640575</v>
      </c>
      <c r="D16" s="6">
        <v>6225024</v>
      </c>
      <c r="E16" s="6">
        <v>4058147.2</v>
      </c>
      <c r="F16" s="6">
        <v>2200091.69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 x14ac:dyDescent="0.2">
      <c r="A17">
        <f>Summary!A23</f>
        <v>7</v>
      </c>
      <c r="B17" t="s">
        <v>61</v>
      </c>
      <c r="C17" s="6">
        <v>1317400</v>
      </c>
      <c r="D17" s="6">
        <v>7279104</v>
      </c>
      <c r="E17" s="6">
        <v>1766161.92</v>
      </c>
      <c r="F17" s="6">
        <v>1476105.18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 x14ac:dyDescent="0.2">
      <c r="A18">
        <f>Summary!A24</f>
        <v>8</v>
      </c>
      <c r="B18" t="s">
        <v>62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 x14ac:dyDescent="0.2">
      <c r="A19">
        <f>Summary!A25</f>
        <v>9</v>
      </c>
      <c r="B19" t="s">
        <v>63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 x14ac:dyDescent="0.2">
      <c r="A20">
        <f>Summary!A26</f>
        <v>10</v>
      </c>
      <c r="B20" t="s">
        <v>64</v>
      </c>
      <c r="C20" s="6">
        <v>2203523.13</v>
      </c>
      <c r="D20" s="6">
        <v>27587393.209999997</v>
      </c>
      <c r="E20" s="6">
        <v>3755790.25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 x14ac:dyDescent="0.2">
      <c r="A21">
        <f>Summary!A27</f>
        <v>11</v>
      </c>
      <c r="B21" t="s">
        <v>65</v>
      </c>
      <c r="C21" s="6">
        <v>14227709.41</v>
      </c>
      <c r="D21" s="6">
        <v>14239251.33</v>
      </c>
      <c r="E21" s="6">
        <v>71334.62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">
      <c r="A22">
        <f>Summary!A28</f>
        <v>12</v>
      </c>
      <c r="B22" t="s">
        <v>66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 x14ac:dyDescent="0.2">
      <c r="A23">
        <f>Summary!A29</f>
        <v>13</v>
      </c>
      <c r="B23" t="s">
        <v>67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 x14ac:dyDescent="0.2">
      <c r="A24">
        <f>Summary!A30</f>
        <v>14</v>
      </c>
      <c r="B24" t="s">
        <v>70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 x14ac:dyDescent="0.2">
      <c r="A25">
        <f>Summary!A31</f>
        <v>15</v>
      </c>
      <c r="B25" t="s">
        <v>68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 x14ac:dyDescent="0.2">
      <c r="A26">
        <f>Summary!A32</f>
        <v>16</v>
      </c>
      <c r="B26" t="s">
        <v>69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 x14ac:dyDescent="0.2">
      <c r="A27">
        <f>Summary!A33</f>
        <v>17</v>
      </c>
      <c r="B27" t="s">
        <v>71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 x14ac:dyDescent="0.2">
      <c r="A28">
        <f>Summary!A34</f>
        <v>18</v>
      </c>
      <c r="B28" t="s">
        <v>72</v>
      </c>
      <c r="C28" s="6">
        <v>1882798.82</v>
      </c>
      <c r="D28" s="6">
        <v>2705818.05</v>
      </c>
      <c r="E28" s="6">
        <v>33595797.910000004</v>
      </c>
      <c r="F28" s="6">
        <v>5038796.01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 x14ac:dyDescent="0.2">
      <c r="A29">
        <f>Summary!A35</f>
        <v>19</v>
      </c>
      <c r="B29" t="s">
        <v>73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 x14ac:dyDescent="0.2">
      <c r="A30">
        <f>Summary!A36</f>
        <v>20</v>
      </c>
      <c r="B30" t="s">
        <v>74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 x14ac:dyDescent="0.2">
      <c r="A31">
        <f>Summary!A37</f>
        <v>21</v>
      </c>
      <c r="B31" t="s">
        <v>75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 x14ac:dyDescent="0.2">
      <c r="A32">
        <f>Summary!A38</f>
        <v>22</v>
      </c>
      <c r="B32" t="s">
        <v>86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 x14ac:dyDescent="0.2">
      <c r="A33">
        <f>Summary!A39</f>
        <v>23</v>
      </c>
      <c r="B33" t="s">
        <v>76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 x14ac:dyDescent="0.2">
      <c r="A34">
        <f>Summary!A40</f>
        <v>24</v>
      </c>
      <c r="B34" t="s">
        <v>77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 x14ac:dyDescent="0.2">
      <c r="A35">
        <f>Summary!A41</f>
        <v>25</v>
      </c>
      <c r="B35" t="s">
        <v>78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 x14ac:dyDescent="0.2">
      <c r="A36">
        <f>Summary!A42</f>
        <v>26</v>
      </c>
      <c r="B36" t="s">
        <v>79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 x14ac:dyDescent="0.2">
      <c r="A37">
        <f>Summary!A43</f>
        <v>27</v>
      </c>
      <c r="B37" t="s">
        <v>80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 x14ac:dyDescent="0.2">
      <c r="A38">
        <f>Summary!A44</f>
        <v>28</v>
      </c>
      <c r="B38" t="s">
        <v>81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 x14ac:dyDescent="0.2">
      <c r="A39">
        <f>Summary!A45</f>
        <v>29</v>
      </c>
      <c r="B39" t="s">
        <v>82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 x14ac:dyDescent="0.2">
      <c r="A40">
        <f>Summary!A46</f>
        <v>30</v>
      </c>
      <c r="B40" t="s">
        <v>83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 x14ac:dyDescent="0.2">
      <c r="A41">
        <f>Summary!A47</f>
        <v>31</v>
      </c>
      <c r="B41" t="s">
        <v>84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 x14ac:dyDescent="0.2">
      <c r="A42">
        <f>Summary!A48</f>
        <v>32</v>
      </c>
      <c r="B42" t="s">
        <v>85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 x14ac:dyDescent="0.2">
      <c r="A43">
        <f>Summary!A49</f>
        <v>33</v>
      </c>
      <c r="B43" t="s">
        <v>181</v>
      </c>
    </row>
    <row r="44" spans="1:22" x14ac:dyDescent="0.2">
      <c r="D44" s="6">
        <f t="shared" ref="D44:V44" si="0">SUM(D11:D42)</f>
        <v>97009902.149999991</v>
      </c>
      <c r="E44" s="6">
        <f t="shared" si="0"/>
        <v>76633621.460000008</v>
      </c>
      <c r="F44" s="6">
        <f t="shared" si="0"/>
        <v>18151182.469999999</v>
      </c>
      <c r="G44" s="6">
        <f t="shared" si="0"/>
        <v>0</v>
      </c>
      <c r="H44" s="6">
        <f t="shared" si="0"/>
        <v>0</v>
      </c>
      <c r="I44" s="6">
        <f t="shared" si="0"/>
        <v>0</v>
      </c>
      <c r="J44" s="6">
        <f t="shared" si="0"/>
        <v>0</v>
      </c>
      <c r="K44" s="6">
        <f t="shared" si="0"/>
        <v>0</v>
      </c>
      <c r="L44" s="6">
        <f t="shared" si="0"/>
        <v>0</v>
      </c>
      <c r="M44" s="6">
        <f t="shared" si="0"/>
        <v>0</v>
      </c>
      <c r="N44" s="6">
        <f t="shared" si="0"/>
        <v>0</v>
      </c>
      <c r="O44" s="6">
        <f t="shared" si="0"/>
        <v>0</v>
      </c>
      <c r="P44" s="6">
        <f t="shared" si="0"/>
        <v>0</v>
      </c>
      <c r="Q44" s="6">
        <f t="shared" si="0"/>
        <v>0</v>
      </c>
      <c r="R44" s="6">
        <f t="shared" si="0"/>
        <v>0</v>
      </c>
      <c r="S44" s="6">
        <f t="shared" si="0"/>
        <v>0</v>
      </c>
      <c r="T44" s="6">
        <f t="shared" si="0"/>
        <v>0</v>
      </c>
      <c r="U44" s="6">
        <f t="shared" si="0"/>
        <v>0</v>
      </c>
      <c r="V44" s="6">
        <f t="shared" si="0"/>
        <v>0</v>
      </c>
    </row>
    <row r="45" spans="1:22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13" t="s">
        <v>156</v>
      </c>
    </row>
    <row r="48" spans="1:22" x14ac:dyDescent="0.2"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2">
        <v>2016</v>
      </c>
      <c r="T48" s="12">
        <v>2017</v>
      </c>
      <c r="U48" s="12">
        <v>2018</v>
      </c>
      <c r="V48" s="12">
        <v>2019</v>
      </c>
    </row>
    <row r="50" spans="1:22" x14ac:dyDescent="0.2">
      <c r="A50">
        <f>Summary!A17</f>
        <v>1</v>
      </c>
      <c r="B50" t="s">
        <v>55</v>
      </c>
      <c r="C50" s="14">
        <v>0</v>
      </c>
      <c r="D50" s="14">
        <f>C50*(1+Assumptions!$L$13)</f>
        <v>0</v>
      </c>
      <c r="E50" s="14">
        <f>D50*(1+Assumptions!$L$13)</f>
        <v>0</v>
      </c>
      <c r="F50" s="14">
        <f>E50*(1+Assumptions!$L$13)</f>
        <v>0</v>
      </c>
      <c r="G50" s="14">
        <f>F50*(1+Assumptions!$L$13)</f>
        <v>0</v>
      </c>
      <c r="H50" s="14">
        <f>G50*(1+Assumptions!$L$13)</f>
        <v>0</v>
      </c>
      <c r="I50" s="14">
        <f>H50*(1+Assumptions!$L$13)</f>
        <v>0</v>
      </c>
      <c r="J50" s="14">
        <f>I50*(1+Assumptions!$L$13)</f>
        <v>0</v>
      </c>
      <c r="K50" s="14">
        <f>J50*(1+Assumptions!$L$13)</f>
        <v>0</v>
      </c>
      <c r="L50" s="14">
        <f>K50*(1+Assumptions!$L$13)</f>
        <v>0</v>
      </c>
      <c r="M50" s="14">
        <f>L50*(1+Assumptions!$L$13)</f>
        <v>0</v>
      </c>
      <c r="N50" s="14">
        <f>M50*(1+Assumptions!$L$13)</f>
        <v>0</v>
      </c>
      <c r="O50" s="14">
        <f>N50*(1+Assumptions!$L$13)</f>
        <v>0</v>
      </c>
      <c r="P50" s="14">
        <f>O50*(1+Assumptions!$L$13)</f>
        <v>0</v>
      </c>
      <c r="Q50" s="14">
        <f>P50*(1+Assumptions!$L$13)</f>
        <v>0</v>
      </c>
      <c r="R50" s="14">
        <f>Q50*(1+Assumptions!$L$13)</f>
        <v>0</v>
      </c>
      <c r="S50" s="14">
        <f>R50*(1+Assumptions!$L$13)</f>
        <v>0</v>
      </c>
      <c r="T50" s="14">
        <f>S50*(1+Assumptions!$L$13)</f>
        <v>0</v>
      </c>
      <c r="U50" s="14">
        <f>T50*(1+Assumptions!$L$13)</f>
        <v>0</v>
      </c>
      <c r="V50" s="14">
        <f>U50*(1+Assumptions!$L$13)</f>
        <v>0</v>
      </c>
    </row>
    <row r="51" spans="1:22" x14ac:dyDescent="0.2">
      <c r="A51">
        <f>Summary!A18</f>
        <v>2</v>
      </c>
      <c r="B51" t="s">
        <v>56</v>
      </c>
      <c r="C51" s="14">
        <v>0</v>
      </c>
      <c r="D51" s="14">
        <v>0</v>
      </c>
      <c r="E51" s="14">
        <v>0</v>
      </c>
      <c r="F51" s="14">
        <v>0.52339999999999998</v>
      </c>
      <c r="G51" s="14">
        <v>0.53648499999999988</v>
      </c>
      <c r="H51" s="14">
        <v>0.54989712499999988</v>
      </c>
      <c r="I51" s="14">
        <v>0.56364455312499984</v>
      </c>
      <c r="J51" s="14">
        <v>0.57773566695312473</v>
      </c>
      <c r="K51" s="14">
        <v>0.59217905862695275</v>
      </c>
      <c r="L51" s="14">
        <v>0.60698353509262648</v>
      </c>
      <c r="M51" s="14">
        <v>0.62215812346994204</v>
      </c>
      <c r="N51" s="14">
        <v>0.63771207655669049</v>
      </c>
      <c r="O51" s="14">
        <v>0.65365487847060766</v>
      </c>
      <c r="P51" s="14">
        <v>0.66999625043237276</v>
      </c>
      <c r="Q51" s="14">
        <v>0.68674615669318206</v>
      </c>
      <c r="R51" s="14">
        <v>0.70391481061051153</v>
      </c>
      <c r="S51" s="14">
        <v>0.72151268087577425</v>
      </c>
      <c r="T51" s="14">
        <v>0.73955049789766858</v>
      </c>
      <c r="U51" s="14">
        <v>0.75803926034511027</v>
      </c>
      <c r="V51" s="14">
        <v>0.776990241853738</v>
      </c>
    </row>
    <row r="52" spans="1:22" x14ac:dyDescent="0.2">
      <c r="A52">
        <f>Summary!A19</f>
        <v>3</v>
      </c>
      <c r="B52" s="9" t="s">
        <v>57</v>
      </c>
      <c r="C52" s="14">
        <v>0</v>
      </c>
      <c r="D52" s="14">
        <v>0</v>
      </c>
      <c r="E52" s="14">
        <v>0</v>
      </c>
      <c r="F52" s="14">
        <v>0.57399999999999995</v>
      </c>
      <c r="G52" s="14">
        <v>0.58834999999999993</v>
      </c>
      <c r="H52" s="14">
        <v>0.60305874999999987</v>
      </c>
      <c r="I52" s="14">
        <v>0.61813521874999977</v>
      </c>
      <c r="J52" s="14">
        <v>0.63358859921874966</v>
      </c>
      <c r="K52" s="14">
        <v>0.64942831419921832</v>
      </c>
      <c r="L52" s="14">
        <v>0.66566402205419872</v>
      </c>
      <c r="M52" s="14">
        <v>0.68230562260555361</v>
      </c>
      <c r="N52" s="14">
        <v>0.69936326317069242</v>
      </c>
      <c r="O52" s="14">
        <v>0.7168473447499597</v>
      </c>
      <c r="P52" s="14">
        <v>0.73476852836870865</v>
      </c>
      <c r="Q52" s="14">
        <v>0.75313774157792635</v>
      </c>
      <c r="R52" s="14">
        <v>0.77196618511737447</v>
      </c>
      <c r="S52" s="14">
        <v>0.79126533974530877</v>
      </c>
      <c r="T52" s="14">
        <v>0.81104697323894137</v>
      </c>
      <c r="U52" s="14">
        <v>0.83132314756991488</v>
      </c>
      <c r="V52" s="14">
        <v>0.85210622625916266</v>
      </c>
    </row>
    <row r="53" spans="1:22" x14ac:dyDescent="0.2">
      <c r="A53">
        <f>Summary!A20</f>
        <v>4</v>
      </c>
      <c r="B53" s="9" t="s">
        <v>58</v>
      </c>
      <c r="C53" s="14">
        <v>0</v>
      </c>
      <c r="D53" s="14">
        <v>0</v>
      </c>
      <c r="E53" s="14">
        <v>0</v>
      </c>
      <c r="F53" s="14">
        <v>0.57399999999999995</v>
      </c>
      <c r="G53" s="14">
        <v>0.58834999999999993</v>
      </c>
      <c r="H53" s="14">
        <v>0.60305874999999987</v>
      </c>
      <c r="I53" s="14">
        <v>0.61813521874999977</v>
      </c>
      <c r="J53" s="14">
        <v>0.63358859921874966</v>
      </c>
      <c r="K53" s="14">
        <v>0.64942831419921832</v>
      </c>
      <c r="L53" s="14">
        <v>0.66566402205419872</v>
      </c>
      <c r="M53" s="14">
        <v>0.68230562260555361</v>
      </c>
      <c r="N53" s="14">
        <v>0.69936326317069242</v>
      </c>
      <c r="O53" s="14">
        <v>0.7168473447499597</v>
      </c>
      <c r="P53" s="14">
        <v>0.73476852836870865</v>
      </c>
      <c r="Q53" s="14">
        <v>0.75313774157792635</v>
      </c>
      <c r="R53" s="14">
        <v>0.77196618511737447</v>
      </c>
      <c r="S53" s="14">
        <v>0.79126533974530877</v>
      </c>
      <c r="T53" s="14">
        <v>0.81104697323894137</v>
      </c>
      <c r="U53" s="14">
        <v>0.83132314756991488</v>
      </c>
      <c r="V53" s="14">
        <v>0.85210622625916266</v>
      </c>
    </row>
    <row r="54" spans="1:22" x14ac:dyDescent="0.2">
      <c r="A54">
        <f>Summary!A21</f>
        <v>5</v>
      </c>
      <c r="B54" s="9" t="s">
        <v>59</v>
      </c>
      <c r="C54" s="14">
        <v>0</v>
      </c>
      <c r="D54" s="14">
        <v>0</v>
      </c>
      <c r="E54" s="14">
        <v>0</v>
      </c>
      <c r="F54" s="14">
        <v>0.57399999999999995</v>
      </c>
      <c r="G54" s="14">
        <v>0.58834999999999993</v>
      </c>
      <c r="H54" s="14">
        <v>0.60305874999999987</v>
      </c>
      <c r="I54" s="14">
        <v>0.61813521874999977</v>
      </c>
      <c r="J54" s="14">
        <v>0.63358859921874966</v>
      </c>
      <c r="K54" s="14">
        <v>0.64942831419921832</v>
      </c>
      <c r="L54" s="14">
        <v>0.66566402205419872</v>
      </c>
      <c r="M54" s="14">
        <v>0.68230562260555361</v>
      </c>
      <c r="N54" s="14">
        <v>0.69936326317069242</v>
      </c>
      <c r="O54" s="14">
        <v>0.7168473447499597</v>
      </c>
      <c r="P54" s="14">
        <v>0.73476852836870865</v>
      </c>
      <c r="Q54" s="14">
        <v>0.75313774157792635</v>
      </c>
      <c r="R54" s="14">
        <v>0.77196618511737447</v>
      </c>
      <c r="S54" s="14">
        <v>0.79126533974530877</v>
      </c>
      <c r="T54" s="14">
        <v>0.81104697323894137</v>
      </c>
      <c r="U54" s="14">
        <v>0.83132314756991488</v>
      </c>
      <c r="V54" s="14">
        <v>0.85210622625916266</v>
      </c>
    </row>
    <row r="55" spans="1:22" x14ac:dyDescent="0.2">
      <c r="A55">
        <f>Summary!A22</f>
        <v>6</v>
      </c>
      <c r="B55" s="9" t="s">
        <v>60</v>
      </c>
      <c r="C55" s="14">
        <v>0</v>
      </c>
      <c r="D55" s="14">
        <v>0</v>
      </c>
      <c r="E55" s="14">
        <v>0</v>
      </c>
      <c r="F55" s="14">
        <v>0.57399999999999995</v>
      </c>
      <c r="G55" s="14">
        <v>0.58834999999999993</v>
      </c>
      <c r="H55" s="14">
        <v>0.60305874999999987</v>
      </c>
      <c r="I55" s="14">
        <v>0.61813521874999977</v>
      </c>
      <c r="J55" s="14">
        <v>0.63358859921874966</v>
      </c>
      <c r="K55" s="14">
        <v>0.64942831419921832</v>
      </c>
      <c r="L55" s="14">
        <v>0.66566402205419872</v>
      </c>
      <c r="M55" s="14">
        <v>0.68230562260555361</v>
      </c>
      <c r="N55" s="14">
        <v>0.69936326317069242</v>
      </c>
      <c r="O55" s="14">
        <v>0.7168473447499597</v>
      </c>
      <c r="P55" s="14">
        <v>0.73476852836870865</v>
      </c>
      <c r="Q55" s="14">
        <v>0.75313774157792635</v>
      </c>
      <c r="R55" s="14">
        <v>0.77196618511737447</v>
      </c>
      <c r="S55" s="14">
        <v>0.79126533974530877</v>
      </c>
      <c r="T55" s="14">
        <v>0.81104697323894137</v>
      </c>
      <c r="U55" s="14">
        <v>0.83132314756991488</v>
      </c>
      <c r="V55" s="14">
        <v>0.85210622625916266</v>
      </c>
    </row>
    <row r="56" spans="1:22" x14ac:dyDescent="0.2">
      <c r="A56">
        <f>Summary!A23</f>
        <v>7</v>
      </c>
      <c r="B56" t="s">
        <v>61</v>
      </c>
      <c r="C56" s="14">
        <v>0</v>
      </c>
      <c r="D56" s="14">
        <v>0</v>
      </c>
      <c r="E56" s="14">
        <v>0</v>
      </c>
      <c r="F56" s="14">
        <v>0.53239999999999998</v>
      </c>
      <c r="G56" s="14">
        <v>0.54570999999999992</v>
      </c>
      <c r="H56" s="14">
        <v>0.55935274999999984</v>
      </c>
      <c r="I56" s="14">
        <v>0.57333656874999983</v>
      </c>
      <c r="J56" s="14">
        <v>0.58766998296874973</v>
      </c>
      <c r="K56" s="14">
        <v>0.60236173254296843</v>
      </c>
      <c r="L56" s="14">
        <v>0.61742077585654254</v>
      </c>
      <c r="M56" s="14">
        <v>0.63285629525295606</v>
      </c>
      <c r="N56" s="14">
        <v>0.64867770263427993</v>
      </c>
      <c r="O56" s="14">
        <v>0.66489464520013686</v>
      </c>
      <c r="P56" s="14">
        <v>0.6815170113301402</v>
      </c>
      <c r="Q56" s="14">
        <v>0.69855493661339363</v>
      </c>
      <c r="R56" s="14">
        <v>0.71601881002872836</v>
      </c>
      <c r="S56" s="14">
        <v>0.73391928027944653</v>
      </c>
      <c r="T56" s="14">
        <v>0.75226726228643259</v>
      </c>
      <c r="U56" s="14">
        <v>0.77107394384359329</v>
      </c>
      <c r="V56" s="14">
        <v>0.79035079243968309</v>
      </c>
    </row>
    <row r="57" spans="1:22" x14ac:dyDescent="0.2">
      <c r="A57">
        <f>Summary!A24</f>
        <v>8</v>
      </c>
      <c r="B57" t="s">
        <v>62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1:22" x14ac:dyDescent="0.2">
      <c r="A58">
        <f>Summary!A25</f>
        <v>9</v>
      </c>
      <c r="B58" t="s">
        <v>63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</row>
    <row r="59" spans="1:22" x14ac:dyDescent="0.2">
      <c r="A59">
        <f>Summary!A26</f>
        <v>10</v>
      </c>
      <c r="B59" t="s">
        <v>64</v>
      </c>
      <c r="C59" s="14">
        <v>0</v>
      </c>
      <c r="D59" s="14">
        <v>0</v>
      </c>
      <c r="E59" s="14">
        <v>0</v>
      </c>
      <c r="F59" s="14">
        <v>0.61280000000000001</v>
      </c>
      <c r="G59" s="14">
        <v>0.62812000000000001</v>
      </c>
      <c r="H59" s="14">
        <v>0.64382299999999992</v>
      </c>
      <c r="I59" s="14">
        <v>0.65991857499999984</v>
      </c>
      <c r="J59" s="14">
        <v>0.67641653937499979</v>
      </c>
      <c r="K59" s="14">
        <v>0.69332695285937473</v>
      </c>
      <c r="L59" s="14">
        <v>0.71066012668085909</v>
      </c>
      <c r="M59" s="14">
        <v>0.72842662984788054</v>
      </c>
      <c r="N59" s="14">
        <v>0.74663729559407743</v>
      </c>
      <c r="O59" s="14">
        <v>0.76530322798392936</v>
      </c>
      <c r="P59" s="14">
        <v>0.78443580868352747</v>
      </c>
      <c r="Q59" s="14">
        <v>0.80404670390061561</v>
      </c>
      <c r="R59" s="14">
        <v>0.82414787149813096</v>
      </c>
      <c r="S59" s="14">
        <v>0.84475156828558418</v>
      </c>
      <c r="T59" s="14">
        <v>0.86587035749272367</v>
      </c>
      <c r="U59" s="14">
        <v>0.88751711643004172</v>
      </c>
      <c r="V59" s="14">
        <v>0.90970504434079269</v>
      </c>
    </row>
    <row r="60" spans="1:22" x14ac:dyDescent="0.2">
      <c r="A60">
        <f>Summary!A27</f>
        <v>11</v>
      </c>
      <c r="B60" t="s">
        <v>65</v>
      </c>
      <c r="C60" s="14">
        <v>0</v>
      </c>
      <c r="D60" s="14">
        <v>0</v>
      </c>
      <c r="E60" s="14">
        <v>0</v>
      </c>
      <c r="F60" s="14">
        <v>0.56640000000000001</v>
      </c>
      <c r="G60" s="14">
        <v>0.58055999999999996</v>
      </c>
      <c r="H60" s="14">
        <v>0.59507399999999988</v>
      </c>
      <c r="I60" s="14">
        <v>0.60995084999999982</v>
      </c>
      <c r="J60" s="14">
        <v>0.62519962124999973</v>
      </c>
      <c r="K60" s="14">
        <v>0.64082961178124964</v>
      </c>
      <c r="L60" s="14">
        <v>0.6568503520757808</v>
      </c>
      <c r="M60" s="14">
        <v>0.67327161087767529</v>
      </c>
      <c r="N60" s="14">
        <v>0.6901034011496171</v>
      </c>
      <c r="O60" s="14">
        <v>0.70735598617835749</v>
      </c>
      <c r="P60" s="14">
        <v>0.72503988583281631</v>
      </c>
      <c r="Q60" s="14">
        <v>0.74316588297863662</v>
      </c>
      <c r="R60" s="14">
        <v>0.76174503005310246</v>
      </c>
      <c r="S60" s="14">
        <v>0.78078865580442991</v>
      </c>
      <c r="T60" s="14">
        <v>0.80030837219954054</v>
      </c>
      <c r="U60" s="14">
        <v>0.82031608150452895</v>
      </c>
      <c r="V60" s="14">
        <v>0.84082398354214205</v>
      </c>
    </row>
    <row r="61" spans="1:22" x14ac:dyDescent="0.2">
      <c r="A61">
        <f>Summary!A28</f>
        <v>12</v>
      </c>
      <c r="B61" t="s">
        <v>66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</row>
    <row r="62" spans="1:22" x14ac:dyDescent="0.2">
      <c r="A62">
        <f>Summary!A29</f>
        <v>13</v>
      </c>
      <c r="B62" t="s">
        <v>67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</row>
    <row r="63" spans="1:22" x14ac:dyDescent="0.2">
      <c r="A63">
        <f>Summary!A30</f>
        <v>14</v>
      </c>
      <c r="B63" t="s">
        <v>70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  <row r="64" spans="1:22" x14ac:dyDescent="0.2">
      <c r="A64">
        <f>Summary!A31</f>
        <v>15</v>
      </c>
      <c r="B64" t="s">
        <v>68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</row>
    <row r="65" spans="1:22" x14ac:dyDescent="0.2">
      <c r="A65">
        <f>Summary!A32</f>
        <v>16</v>
      </c>
      <c r="B65" t="s">
        <v>69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</row>
    <row r="66" spans="1:22" x14ac:dyDescent="0.2">
      <c r="A66">
        <f>Summary!A33</f>
        <v>17</v>
      </c>
      <c r="B66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</row>
    <row r="67" spans="1:22" x14ac:dyDescent="0.2">
      <c r="A67">
        <f>Summary!A34</f>
        <v>18</v>
      </c>
      <c r="B67" t="s">
        <v>72</v>
      </c>
      <c r="C67" s="14">
        <v>0</v>
      </c>
      <c r="D67" s="14">
        <v>0</v>
      </c>
      <c r="E67" s="14">
        <v>0</v>
      </c>
      <c r="F67" s="14">
        <v>0.52780000000000005</v>
      </c>
      <c r="G67" s="14">
        <v>0.540995</v>
      </c>
      <c r="H67" s="14">
        <v>0.554519875</v>
      </c>
      <c r="I67" s="14">
        <v>0.56838287187499992</v>
      </c>
      <c r="J67" s="14">
        <v>0.5825924436718749</v>
      </c>
      <c r="K67" s="14">
        <v>0.59715725476367176</v>
      </c>
      <c r="L67" s="14">
        <v>0.61208618613276355</v>
      </c>
      <c r="M67" s="14">
        <v>0.62738834078608263</v>
      </c>
      <c r="N67" s="14">
        <v>0.64307304930573461</v>
      </c>
      <c r="O67" s="14">
        <v>0.65914987553837789</v>
      </c>
      <c r="P67" s="14">
        <v>0.6756286224268373</v>
      </c>
      <c r="Q67" s="14">
        <v>0.6925193379875082</v>
      </c>
      <c r="R67" s="14">
        <v>0.70983232143719588</v>
      </c>
      <c r="S67" s="14">
        <v>0.72757812947312572</v>
      </c>
      <c r="T67" s="14">
        <v>0.7457675827099538</v>
      </c>
      <c r="U67" s="14">
        <v>0.76441177227770263</v>
      </c>
      <c r="V67" s="14">
        <v>0.78352206658464507</v>
      </c>
    </row>
    <row r="68" spans="1:22" x14ac:dyDescent="0.2">
      <c r="A68">
        <f>Summary!A35</f>
        <v>19</v>
      </c>
      <c r="B68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</row>
    <row r="69" spans="1:22" x14ac:dyDescent="0.2">
      <c r="A69">
        <f>Summary!A36</f>
        <v>20</v>
      </c>
      <c r="B69" t="s">
        <v>74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</row>
    <row r="70" spans="1:22" x14ac:dyDescent="0.2">
      <c r="A70">
        <f>Summary!A37</f>
        <v>21</v>
      </c>
      <c r="B70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</row>
    <row r="71" spans="1:22" x14ac:dyDescent="0.2">
      <c r="A71">
        <f>Summary!A38</f>
        <v>22</v>
      </c>
      <c r="B71" t="s">
        <v>86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</row>
    <row r="72" spans="1:22" x14ac:dyDescent="0.2">
      <c r="A72">
        <f>Summary!A39</f>
        <v>23</v>
      </c>
      <c r="B72" t="s">
        <v>76</v>
      </c>
      <c r="C72" s="14">
        <v>0</v>
      </c>
      <c r="D72" s="14">
        <f>C72*(1+Assumptions!$L$13)</f>
        <v>0</v>
      </c>
      <c r="E72" s="14">
        <f>D72*(1+Assumptions!$L$13)</f>
        <v>0</v>
      </c>
      <c r="F72" s="14">
        <f>E72*(1+Assumptions!$L$13)</f>
        <v>0</v>
      </c>
      <c r="G72" s="14">
        <f>F72*(1+Assumptions!$L$13)</f>
        <v>0</v>
      </c>
      <c r="H72" s="14">
        <f>G72*(1+Assumptions!$L$13)</f>
        <v>0</v>
      </c>
      <c r="I72" s="14">
        <f>H72*(1+Assumptions!$L$13)</f>
        <v>0</v>
      </c>
      <c r="J72" s="14">
        <f>I72*(1+Assumptions!$L$13)</f>
        <v>0</v>
      </c>
      <c r="K72" s="14">
        <f>J72*(1+Assumptions!$L$13)</f>
        <v>0</v>
      </c>
      <c r="L72" s="14">
        <f>K72*(1+Assumptions!$L$13)</f>
        <v>0</v>
      </c>
      <c r="M72" s="14">
        <f>L72*(1+Assumptions!$L$13)</f>
        <v>0</v>
      </c>
      <c r="N72" s="14">
        <f>M72*(1+Assumptions!$L$13)</f>
        <v>0</v>
      </c>
      <c r="O72" s="14">
        <f>N72*(1+Assumptions!$L$13)</f>
        <v>0</v>
      </c>
      <c r="P72" s="14">
        <f>O72*(1+Assumptions!$L$13)</f>
        <v>0</v>
      </c>
      <c r="Q72" s="14">
        <f>P72*(1+Assumptions!$L$13)</f>
        <v>0</v>
      </c>
      <c r="R72" s="14">
        <f>Q72*(1+Assumptions!$L$13)</f>
        <v>0</v>
      </c>
      <c r="S72" s="14">
        <f>R72*(1+Assumptions!$L$13)</f>
        <v>0</v>
      </c>
      <c r="T72" s="14">
        <f>S72*(1+Assumptions!$L$13)</f>
        <v>0</v>
      </c>
      <c r="U72" s="14">
        <f>T72*(1+Assumptions!$L$13)</f>
        <v>0</v>
      </c>
      <c r="V72" s="14">
        <f>U72*(1+Assumptions!$L$13)</f>
        <v>0</v>
      </c>
    </row>
    <row r="73" spans="1:22" x14ac:dyDescent="0.2">
      <c r="A73">
        <f>Summary!A40</f>
        <v>24</v>
      </c>
      <c r="B73" t="s">
        <v>77</v>
      </c>
      <c r="C73" s="14">
        <v>0</v>
      </c>
      <c r="D73" s="14">
        <f>C73*(1+Assumptions!$L$13)</f>
        <v>0</v>
      </c>
      <c r="E73" s="14">
        <f>D73*(1+Assumptions!$L$13)</f>
        <v>0</v>
      </c>
      <c r="F73" s="14">
        <f>E73*(1+Assumptions!$L$13)</f>
        <v>0</v>
      </c>
      <c r="G73" s="14">
        <f>F73*(1+Assumptions!$L$13)</f>
        <v>0</v>
      </c>
      <c r="H73" s="14">
        <f>G73*(1+Assumptions!$L$13)</f>
        <v>0</v>
      </c>
      <c r="I73" s="14">
        <f>H73*(1+Assumptions!$L$13)</f>
        <v>0</v>
      </c>
      <c r="J73" s="14">
        <f>I73*(1+Assumptions!$L$13)</f>
        <v>0</v>
      </c>
      <c r="K73" s="14">
        <f>J73*(1+Assumptions!$L$13)</f>
        <v>0</v>
      </c>
      <c r="L73" s="14">
        <f>K73*(1+Assumptions!$L$13)</f>
        <v>0</v>
      </c>
      <c r="M73" s="14">
        <f>L73*(1+Assumptions!$L$13)</f>
        <v>0</v>
      </c>
      <c r="N73" s="14">
        <f>M73*(1+Assumptions!$L$13)</f>
        <v>0</v>
      </c>
      <c r="O73" s="14">
        <f>N73*(1+Assumptions!$L$13)</f>
        <v>0</v>
      </c>
      <c r="P73" s="14">
        <f>O73*(1+Assumptions!$L$13)</f>
        <v>0</v>
      </c>
      <c r="Q73" s="14">
        <f>P73*(1+Assumptions!$L$13)</f>
        <v>0</v>
      </c>
      <c r="R73" s="14">
        <f>Q73*(1+Assumptions!$L$13)</f>
        <v>0</v>
      </c>
      <c r="S73" s="14">
        <f>R73*(1+Assumptions!$L$13)</f>
        <v>0</v>
      </c>
      <c r="T73" s="14">
        <f>S73*(1+Assumptions!$L$13)</f>
        <v>0</v>
      </c>
      <c r="U73" s="14">
        <f>T73*(1+Assumptions!$L$13)</f>
        <v>0</v>
      </c>
      <c r="V73" s="14">
        <f>U73*(1+Assumptions!$L$13)</f>
        <v>0</v>
      </c>
    </row>
    <row r="74" spans="1:22" x14ac:dyDescent="0.2">
      <c r="A74">
        <f>Summary!A41</f>
        <v>25</v>
      </c>
      <c r="B74" t="s">
        <v>78</v>
      </c>
      <c r="C74" s="14">
        <v>0</v>
      </c>
      <c r="D74" s="14">
        <f>C74*(1+Assumptions!$L$13)</f>
        <v>0</v>
      </c>
      <c r="E74" s="14">
        <f>D74*(1+Assumptions!$L$13)</f>
        <v>0</v>
      </c>
      <c r="F74" s="14">
        <f>E74*(1+Assumptions!$L$13)</f>
        <v>0</v>
      </c>
      <c r="G74" s="14">
        <f>F74*(1+Assumptions!$L$13)</f>
        <v>0</v>
      </c>
      <c r="H74" s="14">
        <f>G74*(1+Assumptions!$L$13)</f>
        <v>0</v>
      </c>
      <c r="I74" s="14">
        <f>H74*(1+Assumptions!$L$13)</f>
        <v>0</v>
      </c>
      <c r="J74" s="14">
        <f>I74*(1+Assumptions!$L$13)</f>
        <v>0</v>
      </c>
      <c r="K74" s="14">
        <f>J74*(1+Assumptions!$L$13)</f>
        <v>0</v>
      </c>
      <c r="L74" s="14">
        <f>K74*(1+Assumptions!$L$13)</f>
        <v>0</v>
      </c>
      <c r="M74" s="14">
        <f>L74*(1+Assumptions!$L$13)</f>
        <v>0</v>
      </c>
      <c r="N74" s="14">
        <f>M74*(1+Assumptions!$L$13)</f>
        <v>0</v>
      </c>
      <c r="O74" s="14">
        <f>N74*(1+Assumptions!$L$13)</f>
        <v>0</v>
      </c>
      <c r="P74" s="14">
        <f>O74*(1+Assumptions!$L$13)</f>
        <v>0</v>
      </c>
      <c r="Q74" s="14">
        <f>P74*(1+Assumptions!$L$13)</f>
        <v>0</v>
      </c>
      <c r="R74" s="14">
        <f>Q74*(1+Assumptions!$L$13)</f>
        <v>0</v>
      </c>
      <c r="S74" s="14">
        <f>R74*(1+Assumptions!$L$13)</f>
        <v>0</v>
      </c>
      <c r="T74" s="14">
        <f>S74*(1+Assumptions!$L$13)</f>
        <v>0</v>
      </c>
      <c r="U74" s="14">
        <f>T74*(1+Assumptions!$L$13)</f>
        <v>0</v>
      </c>
      <c r="V74" s="14">
        <f>U74*(1+Assumptions!$L$13)</f>
        <v>0</v>
      </c>
    </row>
    <row r="75" spans="1:22" x14ac:dyDescent="0.2">
      <c r="A75">
        <f>Summary!A42</f>
        <v>26</v>
      </c>
      <c r="B75" t="s">
        <v>79</v>
      </c>
      <c r="C75" s="14">
        <v>0</v>
      </c>
      <c r="D75" s="14">
        <f>C75*(1+Assumptions!$L$13)</f>
        <v>0</v>
      </c>
      <c r="E75" s="14">
        <f>D75*(1+Assumptions!$L$13)</f>
        <v>0</v>
      </c>
      <c r="F75" s="14">
        <f>E75*(1+Assumptions!$L$13)</f>
        <v>0</v>
      </c>
      <c r="G75" s="14">
        <f>F75*(1+Assumptions!$L$13)</f>
        <v>0</v>
      </c>
      <c r="H75" s="14">
        <f>G75*(1+Assumptions!$L$13)</f>
        <v>0</v>
      </c>
      <c r="I75" s="14">
        <f>H75*(1+Assumptions!$L$13)</f>
        <v>0</v>
      </c>
      <c r="J75" s="14">
        <f>I75*(1+Assumptions!$L$13)</f>
        <v>0</v>
      </c>
      <c r="K75" s="14">
        <f>J75*(1+Assumptions!$L$13)</f>
        <v>0</v>
      </c>
      <c r="L75" s="14">
        <f>K75*(1+Assumptions!$L$13)</f>
        <v>0</v>
      </c>
      <c r="M75" s="14">
        <f>L75*(1+Assumptions!$L$13)</f>
        <v>0</v>
      </c>
      <c r="N75" s="14">
        <f>M75*(1+Assumptions!$L$13)</f>
        <v>0</v>
      </c>
      <c r="O75" s="14">
        <f>N75*(1+Assumptions!$L$13)</f>
        <v>0</v>
      </c>
      <c r="P75" s="14">
        <f>O75*(1+Assumptions!$L$13)</f>
        <v>0</v>
      </c>
      <c r="Q75" s="14">
        <f>P75*(1+Assumptions!$L$13)</f>
        <v>0</v>
      </c>
      <c r="R75" s="14">
        <f>Q75*(1+Assumptions!$L$13)</f>
        <v>0</v>
      </c>
      <c r="S75" s="14">
        <f>R75*(1+Assumptions!$L$13)</f>
        <v>0</v>
      </c>
      <c r="T75" s="14">
        <f>S75*(1+Assumptions!$L$13)</f>
        <v>0</v>
      </c>
      <c r="U75" s="14">
        <f>T75*(1+Assumptions!$L$13)</f>
        <v>0</v>
      </c>
      <c r="V75" s="14">
        <f>U75*(1+Assumptions!$L$13)</f>
        <v>0</v>
      </c>
    </row>
    <row r="76" spans="1:22" x14ac:dyDescent="0.2">
      <c r="A76">
        <f>Summary!A43</f>
        <v>27</v>
      </c>
      <c r="B76" t="s">
        <v>80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</row>
    <row r="77" spans="1:22" x14ac:dyDescent="0.2">
      <c r="A77">
        <f>Summary!A44</f>
        <v>28</v>
      </c>
      <c r="B77" t="s">
        <v>81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1:22" x14ac:dyDescent="0.2">
      <c r="A78">
        <f>Summary!A45</f>
        <v>29</v>
      </c>
      <c r="B78" t="s">
        <v>82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</row>
    <row r="79" spans="1:22" x14ac:dyDescent="0.2">
      <c r="A79">
        <f>Summary!A46</f>
        <v>30</v>
      </c>
      <c r="B79" t="s">
        <v>83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</row>
    <row r="80" spans="1:22" x14ac:dyDescent="0.2">
      <c r="A80">
        <f>Summary!A47</f>
        <v>31</v>
      </c>
      <c r="B80" t="s">
        <v>84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</row>
    <row r="81" spans="1:22" x14ac:dyDescent="0.2">
      <c r="A81">
        <f>Summary!A48</f>
        <v>32</v>
      </c>
      <c r="B81" t="s">
        <v>85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</row>
    <row r="82" spans="1:22" x14ac:dyDescent="0.2">
      <c r="A82">
        <f>Summary!A49</f>
        <v>33</v>
      </c>
      <c r="B82" t="s">
        <v>181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</row>
    <row r="83" spans="1:22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">
      <c r="A84" s="13" t="s">
        <v>157</v>
      </c>
    </row>
    <row r="86" spans="1:22" x14ac:dyDescent="0.2">
      <c r="C86" s="12">
        <v>2000</v>
      </c>
      <c r="D86" s="12">
        <v>2001</v>
      </c>
      <c r="E86" s="12">
        <v>2002</v>
      </c>
      <c r="F86" s="12">
        <v>2003</v>
      </c>
      <c r="G86" s="12">
        <v>2004</v>
      </c>
      <c r="H86" s="12">
        <v>2005</v>
      </c>
      <c r="I86" s="12">
        <v>2006</v>
      </c>
      <c r="J86" s="12">
        <v>2007</v>
      </c>
      <c r="K86" s="12">
        <v>2008</v>
      </c>
      <c r="L86" s="12">
        <v>2009</v>
      </c>
      <c r="M86" s="12">
        <v>2010</v>
      </c>
      <c r="N86" s="12">
        <v>2011</v>
      </c>
      <c r="O86" s="12">
        <v>2012</v>
      </c>
      <c r="P86" s="12">
        <v>2013</v>
      </c>
      <c r="Q86" s="12">
        <v>2014</v>
      </c>
      <c r="R86" s="12">
        <v>2015</v>
      </c>
      <c r="S86" s="12">
        <v>2016</v>
      </c>
      <c r="T86" s="12">
        <v>2017</v>
      </c>
      <c r="U86" s="12">
        <v>2018</v>
      </c>
      <c r="V86" s="12">
        <v>2019</v>
      </c>
    </row>
    <row r="88" spans="1:22" x14ac:dyDescent="0.2">
      <c r="A88">
        <f>Summary!A17</f>
        <v>1</v>
      </c>
      <c r="B88" t="s">
        <v>55</v>
      </c>
      <c r="C88" s="82">
        <v>0</v>
      </c>
      <c r="D88" s="82">
        <v>0</v>
      </c>
      <c r="E88" s="82">
        <v>0</v>
      </c>
      <c r="F88" s="82">
        <v>43076</v>
      </c>
      <c r="G88" s="82">
        <v>44152.9</v>
      </c>
      <c r="H88" s="82">
        <v>45256.722499999989</v>
      </c>
      <c r="I88" s="82">
        <v>46388.140562499982</v>
      </c>
      <c r="J88" s="82">
        <v>47547.844076562476</v>
      </c>
      <c r="K88" s="82">
        <v>48736.540178476534</v>
      </c>
      <c r="L88" s="82">
        <v>49954.953682938445</v>
      </c>
      <c r="M88" s="82">
        <v>51203.827525011904</v>
      </c>
      <c r="N88" s="82">
        <v>52483.923213137197</v>
      </c>
      <c r="O88" s="82">
        <v>53796.021293465623</v>
      </c>
      <c r="P88" s="82">
        <v>55140.921825802259</v>
      </c>
      <c r="Q88" s="82">
        <v>56519.444871447311</v>
      </c>
      <c r="R88" s="82">
        <v>57932.430993233487</v>
      </c>
      <c r="S88" s="82">
        <v>59380.741768064319</v>
      </c>
      <c r="T88" s="82">
        <v>60865.26031226592</v>
      </c>
      <c r="U88" s="82">
        <v>62386.89182007256</v>
      </c>
      <c r="V88" s="82">
        <v>63946.564115574365</v>
      </c>
    </row>
    <row r="89" spans="1:22" x14ac:dyDescent="0.2">
      <c r="A89">
        <f>Summary!A18</f>
        <v>2</v>
      </c>
      <c r="B89" t="s">
        <v>56</v>
      </c>
      <c r="C89" s="82">
        <v>0</v>
      </c>
      <c r="D89" s="82">
        <v>0</v>
      </c>
      <c r="E89" s="82">
        <v>0</v>
      </c>
      <c r="F89" s="82">
        <v>74305</v>
      </c>
      <c r="G89" s="82">
        <v>76162.625</v>
      </c>
      <c r="H89" s="82">
        <v>78066.690624999988</v>
      </c>
      <c r="I89" s="82">
        <v>80018.357890624975</v>
      </c>
      <c r="J89" s="82">
        <v>82018.816837890598</v>
      </c>
      <c r="K89" s="82">
        <v>84069.287258837852</v>
      </c>
      <c r="L89" s="82">
        <v>86171.019440308795</v>
      </c>
      <c r="M89" s="82">
        <v>88325.294926316506</v>
      </c>
      <c r="N89" s="82">
        <v>90533.42729947441</v>
      </c>
      <c r="O89" s="82">
        <v>92796.762981961263</v>
      </c>
      <c r="P89" s="82">
        <v>95116.682056510283</v>
      </c>
      <c r="Q89" s="82">
        <v>97494.59910792303</v>
      </c>
      <c r="R89" s="82">
        <v>99931.96408562109</v>
      </c>
      <c r="S89" s="82">
        <v>102430.26318776161</v>
      </c>
      <c r="T89" s="82">
        <v>104991.01976745564</v>
      </c>
      <c r="U89" s="82">
        <v>107615.79526164202</v>
      </c>
      <c r="V89" s="82">
        <v>110306.19014318306</v>
      </c>
    </row>
    <row r="90" spans="1:22" x14ac:dyDescent="0.2">
      <c r="A90">
        <f>Summary!A19</f>
        <v>3</v>
      </c>
      <c r="B90" s="9" t="s">
        <v>57</v>
      </c>
      <c r="C90" s="82">
        <v>0</v>
      </c>
      <c r="D90" s="82">
        <v>0</v>
      </c>
      <c r="E90" s="82">
        <v>0</v>
      </c>
      <c r="F90" s="82">
        <v>41999</v>
      </c>
      <c r="G90" s="82">
        <v>43048.974999999999</v>
      </c>
      <c r="H90" s="82">
        <v>44125.199374999997</v>
      </c>
      <c r="I90" s="82">
        <v>45228.329359374991</v>
      </c>
      <c r="J90" s="82">
        <v>46359.03759335936</v>
      </c>
      <c r="K90" s="82">
        <v>47518.013533193342</v>
      </c>
      <c r="L90" s="82">
        <v>48705.96387152317</v>
      </c>
      <c r="M90" s="82">
        <v>49923.612968311245</v>
      </c>
      <c r="N90" s="82">
        <v>51171.703292519021</v>
      </c>
      <c r="O90" s="82">
        <v>52450.995874831991</v>
      </c>
      <c r="P90" s="82">
        <v>53762.270771702788</v>
      </c>
      <c r="Q90" s="82">
        <v>55106.327540995349</v>
      </c>
      <c r="R90" s="82">
        <v>56483.985729520231</v>
      </c>
      <c r="S90" s="82">
        <v>57896.085372758229</v>
      </c>
      <c r="T90" s="82">
        <v>59343.487507077181</v>
      </c>
      <c r="U90" s="82">
        <v>60827.074694754105</v>
      </c>
      <c r="V90" s="82">
        <v>62347.751562122954</v>
      </c>
    </row>
    <row r="91" spans="1:22" x14ac:dyDescent="0.2">
      <c r="A91">
        <f>Summary!A20</f>
        <v>4</v>
      </c>
      <c r="B91" s="9" t="s">
        <v>58</v>
      </c>
      <c r="C91" s="82">
        <v>0</v>
      </c>
      <c r="D91" s="82">
        <v>0</v>
      </c>
      <c r="E91" s="82">
        <v>0</v>
      </c>
      <c r="F91" s="82">
        <v>41999</v>
      </c>
      <c r="G91" s="82">
        <v>43048.974999999999</v>
      </c>
      <c r="H91" s="82">
        <v>44125.199374999997</v>
      </c>
      <c r="I91" s="82">
        <v>45228.329359374991</v>
      </c>
      <c r="J91" s="82">
        <v>46359.03759335936</v>
      </c>
      <c r="K91" s="82">
        <v>47518.013533193342</v>
      </c>
      <c r="L91" s="82">
        <v>48705.96387152317</v>
      </c>
      <c r="M91" s="82">
        <v>49923.612968311245</v>
      </c>
      <c r="N91" s="82">
        <v>51171.703292519021</v>
      </c>
      <c r="O91" s="82">
        <v>52450.995874831991</v>
      </c>
      <c r="P91" s="82">
        <v>53762.270771702788</v>
      </c>
      <c r="Q91" s="82">
        <v>55106.327540995349</v>
      </c>
      <c r="R91" s="82">
        <v>56483.985729520231</v>
      </c>
      <c r="S91" s="82">
        <v>57896.085372758229</v>
      </c>
      <c r="T91" s="82">
        <v>59343.487507077181</v>
      </c>
      <c r="U91" s="82">
        <v>60827.074694754105</v>
      </c>
      <c r="V91" s="82">
        <v>62347.751562122954</v>
      </c>
    </row>
    <row r="92" spans="1:22" x14ac:dyDescent="0.2">
      <c r="A92">
        <f>Summary!A21</f>
        <v>5</v>
      </c>
      <c r="B92" s="9" t="s">
        <v>59</v>
      </c>
      <c r="C92" s="82">
        <v>0</v>
      </c>
      <c r="D92" s="82">
        <v>0</v>
      </c>
      <c r="E92" s="82">
        <v>0</v>
      </c>
      <c r="F92" s="82">
        <v>41999</v>
      </c>
      <c r="G92" s="82">
        <v>43048.974999999999</v>
      </c>
      <c r="H92" s="82">
        <v>44125.199374999997</v>
      </c>
      <c r="I92" s="82">
        <v>45228.329359374991</v>
      </c>
      <c r="J92" s="82">
        <v>46359.03759335936</v>
      </c>
      <c r="K92" s="82">
        <v>47518.013533193342</v>
      </c>
      <c r="L92" s="82">
        <v>48705.96387152317</v>
      </c>
      <c r="M92" s="82">
        <v>49923.612968311245</v>
      </c>
      <c r="N92" s="82">
        <v>51171.703292519021</v>
      </c>
      <c r="O92" s="82">
        <v>52450.995874831991</v>
      </c>
      <c r="P92" s="82">
        <v>53762.270771702788</v>
      </c>
      <c r="Q92" s="82">
        <v>55106.327540995349</v>
      </c>
      <c r="R92" s="82">
        <v>56483.985729520231</v>
      </c>
      <c r="S92" s="82">
        <v>57896.085372758229</v>
      </c>
      <c r="T92" s="82">
        <v>59343.487507077181</v>
      </c>
      <c r="U92" s="82">
        <v>60827.074694754105</v>
      </c>
      <c r="V92" s="82">
        <v>62347.751562122954</v>
      </c>
    </row>
    <row r="93" spans="1:22" x14ac:dyDescent="0.2">
      <c r="A93">
        <f>Summary!A22</f>
        <v>6</v>
      </c>
      <c r="B93" s="9" t="s">
        <v>60</v>
      </c>
      <c r="C93" s="82">
        <v>0</v>
      </c>
      <c r="D93" s="82">
        <v>0</v>
      </c>
      <c r="E93" s="82">
        <v>0</v>
      </c>
      <c r="F93" s="82">
        <v>41999</v>
      </c>
      <c r="G93" s="82">
        <v>43048.974999999999</v>
      </c>
      <c r="H93" s="82">
        <v>44125.199374999997</v>
      </c>
      <c r="I93" s="82">
        <v>45228.329359374991</v>
      </c>
      <c r="J93" s="82">
        <v>46359.03759335936</v>
      </c>
      <c r="K93" s="82">
        <v>47518.013533193342</v>
      </c>
      <c r="L93" s="82">
        <v>48705.96387152317</v>
      </c>
      <c r="M93" s="82">
        <v>49923.612968311245</v>
      </c>
      <c r="N93" s="82">
        <v>51171.703292519021</v>
      </c>
      <c r="O93" s="82">
        <v>52450.995874831991</v>
      </c>
      <c r="P93" s="82">
        <v>53762.270771702788</v>
      </c>
      <c r="Q93" s="82">
        <v>55106.327540995349</v>
      </c>
      <c r="R93" s="82">
        <v>56483.985729520231</v>
      </c>
      <c r="S93" s="82">
        <v>57896.085372758229</v>
      </c>
      <c r="T93" s="82">
        <v>59343.487507077181</v>
      </c>
      <c r="U93" s="82">
        <v>60827.074694754105</v>
      </c>
      <c r="V93" s="82">
        <v>62347.751562122954</v>
      </c>
    </row>
    <row r="94" spans="1:22" x14ac:dyDescent="0.2">
      <c r="A94">
        <f>Summary!A23</f>
        <v>7</v>
      </c>
      <c r="B94" t="s">
        <v>61</v>
      </c>
      <c r="C94" s="82">
        <v>0</v>
      </c>
      <c r="D94" s="82">
        <v>0</v>
      </c>
      <c r="E94" s="82">
        <v>0</v>
      </c>
      <c r="F94" s="82">
        <v>35537</v>
      </c>
      <c r="G94" s="82">
        <v>36425.424999999996</v>
      </c>
      <c r="H94" s="82">
        <v>37336.060624999991</v>
      </c>
      <c r="I94" s="82">
        <v>38269.462140624986</v>
      </c>
      <c r="J94" s="82">
        <v>39226.198694140607</v>
      </c>
      <c r="K94" s="82">
        <v>40206.853661494119</v>
      </c>
      <c r="L94" s="82">
        <v>41212.025003031471</v>
      </c>
      <c r="M94" s="82">
        <v>42242.325628107254</v>
      </c>
      <c r="N94" s="82">
        <v>43298.38376880993</v>
      </c>
      <c r="O94" s="82">
        <v>44380.843363030173</v>
      </c>
      <c r="P94" s="82">
        <v>45490.364447105923</v>
      </c>
      <c r="Q94" s="82">
        <v>46627.623558283565</v>
      </c>
      <c r="R94" s="82">
        <v>47793.31414724065</v>
      </c>
      <c r="S94" s="82">
        <v>48988.147000921665</v>
      </c>
      <c r="T94" s="82">
        <v>50212.850675944705</v>
      </c>
      <c r="U94" s="82">
        <v>51468.171942843321</v>
      </c>
      <c r="V94" s="82">
        <v>52754.8762414144</v>
      </c>
    </row>
    <row r="95" spans="1:22" x14ac:dyDescent="0.2">
      <c r="A95">
        <f>Summary!A24</f>
        <v>8</v>
      </c>
      <c r="B95" t="s">
        <v>62</v>
      </c>
      <c r="C95" s="82">
        <v>0</v>
      </c>
      <c r="D95" s="82">
        <v>0</v>
      </c>
      <c r="E95" s="82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</row>
    <row r="96" spans="1:22" x14ac:dyDescent="0.2">
      <c r="A96">
        <f>Summary!A25</f>
        <v>9</v>
      </c>
      <c r="B96" t="s">
        <v>63</v>
      </c>
      <c r="C96" s="82">
        <v>0</v>
      </c>
      <c r="D96" s="82">
        <v>0</v>
      </c>
      <c r="E96" s="82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82">
        <v>0</v>
      </c>
      <c r="O96" s="82">
        <v>0</v>
      </c>
      <c r="P96" s="82">
        <v>0</v>
      </c>
      <c r="Q96" s="82">
        <v>0</v>
      </c>
      <c r="R96" s="82">
        <v>0</v>
      </c>
      <c r="S96" s="82">
        <v>0</v>
      </c>
      <c r="T96" s="82">
        <v>0</v>
      </c>
      <c r="U96" s="82">
        <v>0</v>
      </c>
      <c r="V96" s="82">
        <v>0</v>
      </c>
    </row>
    <row r="97" spans="1:22" x14ac:dyDescent="0.2">
      <c r="A97">
        <f>Summary!A26</f>
        <v>10</v>
      </c>
      <c r="B97" t="s">
        <v>64</v>
      </c>
      <c r="C97" s="82">
        <v>0</v>
      </c>
      <c r="D97" s="82">
        <v>0</v>
      </c>
      <c r="E97" s="82">
        <v>0</v>
      </c>
      <c r="F97" s="82">
        <v>68921</v>
      </c>
      <c r="G97" s="82">
        <v>70644.024999999994</v>
      </c>
      <c r="H97" s="82">
        <v>72410.125624999986</v>
      </c>
      <c r="I97" s="82">
        <v>74220.378765624977</v>
      </c>
      <c r="J97" s="82">
        <v>76075.888234765589</v>
      </c>
      <c r="K97" s="82">
        <v>77977.785440634718</v>
      </c>
      <c r="L97" s="82">
        <v>79927.23007665058</v>
      </c>
      <c r="M97" s="82">
        <v>81925.410828566834</v>
      </c>
      <c r="N97" s="82">
        <v>83973.546099280997</v>
      </c>
      <c r="O97" s="82">
        <v>86072.88475176302</v>
      </c>
      <c r="P97" s="82">
        <v>88224.706870557085</v>
      </c>
      <c r="Q97" s="82">
        <v>90430.324542321003</v>
      </c>
      <c r="R97" s="82">
        <v>92691.082655879014</v>
      </c>
      <c r="S97" s="82">
        <v>95008.359722275985</v>
      </c>
      <c r="T97" s="82">
        <v>97383.568715332876</v>
      </c>
      <c r="U97" s="82">
        <v>99818.157933216193</v>
      </c>
      <c r="V97" s="82">
        <v>102313.61188154659</v>
      </c>
    </row>
    <row r="98" spans="1:22" x14ac:dyDescent="0.2">
      <c r="A98">
        <f>Summary!A27</f>
        <v>11</v>
      </c>
      <c r="B98" t="s">
        <v>65</v>
      </c>
      <c r="C98" s="82">
        <v>0</v>
      </c>
      <c r="D98" s="82">
        <v>0</v>
      </c>
      <c r="E98" s="82">
        <v>0</v>
      </c>
      <c r="F98" s="82">
        <v>68921</v>
      </c>
      <c r="G98" s="82">
        <v>70644.024999999994</v>
      </c>
      <c r="H98" s="82">
        <v>72410.125624999986</v>
      </c>
      <c r="I98" s="82">
        <v>74220.378765624977</v>
      </c>
      <c r="J98" s="82">
        <v>76075.888234765589</v>
      </c>
      <c r="K98" s="82">
        <v>77977.785440634718</v>
      </c>
      <c r="L98" s="82">
        <v>79927.23007665058</v>
      </c>
      <c r="M98" s="82">
        <v>81925.410828566834</v>
      </c>
      <c r="N98" s="82">
        <v>83973.546099280997</v>
      </c>
      <c r="O98" s="82">
        <v>86072.88475176302</v>
      </c>
      <c r="P98" s="82">
        <v>88224.706870557085</v>
      </c>
      <c r="Q98" s="82">
        <v>90430.324542321003</v>
      </c>
      <c r="R98" s="82">
        <v>92691.082655879014</v>
      </c>
      <c r="S98" s="82">
        <v>95008.359722275985</v>
      </c>
      <c r="T98" s="82">
        <v>97383.568715332876</v>
      </c>
      <c r="U98" s="82">
        <v>99818.157933216193</v>
      </c>
      <c r="V98" s="82">
        <v>102313.61188154659</v>
      </c>
    </row>
    <row r="99" spans="1:22" x14ac:dyDescent="0.2">
      <c r="A99">
        <f>Summary!A28</f>
        <v>12</v>
      </c>
      <c r="B99" t="s">
        <v>66</v>
      </c>
      <c r="C99" s="82">
        <v>0</v>
      </c>
      <c r="D99" s="82">
        <v>0</v>
      </c>
      <c r="E99" s="82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2">
        <v>0</v>
      </c>
      <c r="V99" s="82">
        <v>0</v>
      </c>
    </row>
    <row r="100" spans="1:22" x14ac:dyDescent="0.2">
      <c r="A100">
        <f>Summary!A29</f>
        <v>13</v>
      </c>
      <c r="B100" t="s">
        <v>67</v>
      </c>
      <c r="C100" s="82">
        <v>0</v>
      </c>
      <c r="D100" s="82">
        <v>0</v>
      </c>
      <c r="E100" s="82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2">
        <v>0</v>
      </c>
      <c r="V100" s="82">
        <v>0</v>
      </c>
    </row>
    <row r="101" spans="1:22" x14ac:dyDescent="0.2">
      <c r="A101">
        <f>Summary!A30</f>
        <v>14</v>
      </c>
      <c r="B101" t="s">
        <v>70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</row>
    <row r="102" spans="1:22" x14ac:dyDescent="0.2">
      <c r="A102">
        <f>Summary!A31</f>
        <v>15</v>
      </c>
      <c r="B102" t="s">
        <v>68</v>
      </c>
      <c r="C102" s="82">
        <v>0</v>
      </c>
      <c r="D102" s="82">
        <v>0</v>
      </c>
      <c r="E102" s="82">
        <v>0</v>
      </c>
      <c r="F102" s="82">
        <v>0</v>
      </c>
      <c r="G102" s="82">
        <v>0</v>
      </c>
      <c r="H102" s="82">
        <v>0</v>
      </c>
      <c r="I102" s="82">
        <v>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</row>
    <row r="103" spans="1:22" x14ac:dyDescent="0.2">
      <c r="A103">
        <f>Summary!A32</f>
        <v>16</v>
      </c>
      <c r="B103" t="s">
        <v>69</v>
      </c>
      <c r="C103" s="82">
        <v>0</v>
      </c>
      <c r="D103" s="82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  <c r="P103" s="82">
        <v>0</v>
      </c>
      <c r="Q103" s="82">
        <v>0</v>
      </c>
      <c r="R103" s="82">
        <v>0</v>
      </c>
      <c r="S103" s="82">
        <v>0</v>
      </c>
      <c r="T103" s="82">
        <v>0</v>
      </c>
      <c r="U103" s="82">
        <v>0</v>
      </c>
      <c r="V103" s="82">
        <v>0</v>
      </c>
    </row>
    <row r="104" spans="1:22" x14ac:dyDescent="0.2">
      <c r="A104">
        <f>Summary!A33</f>
        <v>17</v>
      </c>
      <c r="B104" t="s">
        <v>71</v>
      </c>
      <c r="C104" s="82">
        <v>0</v>
      </c>
      <c r="D104" s="82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2">
        <v>0</v>
      </c>
      <c r="V104" s="82">
        <v>0</v>
      </c>
    </row>
    <row r="105" spans="1:22" x14ac:dyDescent="0.2">
      <c r="A105">
        <f>Summary!A34</f>
        <v>18</v>
      </c>
      <c r="B105" t="s">
        <v>72</v>
      </c>
      <c r="C105" s="82">
        <v>0</v>
      </c>
      <c r="D105" s="82">
        <v>0</v>
      </c>
      <c r="E105" s="82">
        <v>0</v>
      </c>
      <c r="F105" s="82">
        <v>52768</v>
      </c>
      <c r="G105" s="82">
        <v>54087.199999999997</v>
      </c>
      <c r="H105" s="82">
        <v>55439.38</v>
      </c>
      <c r="I105" s="82">
        <v>56825.364499999981</v>
      </c>
      <c r="J105" s="82">
        <v>58245.998612499978</v>
      </c>
      <c r="K105" s="82">
        <v>59702.14857781247</v>
      </c>
      <c r="L105" s="82">
        <v>61194.702292257774</v>
      </c>
      <c r="M105" s="82">
        <v>62724.569849564214</v>
      </c>
      <c r="N105" s="82">
        <v>64292.684095803314</v>
      </c>
      <c r="O105" s="82">
        <v>65900.001198198384</v>
      </c>
      <c r="P105" s="82">
        <v>67547.501228153342</v>
      </c>
      <c r="Q105" s="82">
        <v>69236.18875885717</v>
      </c>
      <c r="R105" s="82">
        <v>70967.093477828588</v>
      </c>
      <c r="S105" s="82">
        <v>72741.270814774296</v>
      </c>
      <c r="T105" s="82">
        <v>74559.802585143654</v>
      </c>
      <c r="U105" s="82">
        <v>76423.797649772241</v>
      </c>
      <c r="V105" s="82">
        <v>78334.392591016542</v>
      </c>
    </row>
    <row r="106" spans="1:22" x14ac:dyDescent="0.2">
      <c r="A106">
        <f>Summary!A35</f>
        <v>19</v>
      </c>
      <c r="B106" t="s">
        <v>73</v>
      </c>
      <c r="C106" s="82">
        <v>0</v>
      </c>
      <c r="D106" s="82">
        <v>0</v>
      </c>
      <c r="E106" s="82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2">
        <v>0</v>
      </c>
      <c r="V106" s="82">
        <v>0</v>
      </c>
    </row>
    <row r="107" spans="1:22" x14ac:dyDescent="0.2">
      <c r="A107">
        <f>Summary!A36</f>
        <v>20</v>
      </c>
      <c r="B107" t="s">
        <v>74</v>
      </c>
      <c r="C107" s="82">
        <v>0</v>
      </c>
      <c r="D107" s="82">
        <v>0</v>
      </c>
      <c r="E107" s="82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0</v>
      </c>
      <c r="T107" s="82">
        <v>0</v>
      </c>
      <c r="U107" s="82">
        <v>0</v>
      </c>
      <c r="V107" s="82">
        <v>0</v>
      </c>
    </row>
    <row r="108" spans="1:22" x14ac:dyDescent="0.2">
      <c r="A108">
        <f>Summary!A37</f>
        <v>21</v>
      </c>
      <c r="B108" t="s">
        <v>75</v>
      </c>
      <c r="C108" s="82">
        <v>0</v>
      </c>
      <c r="D108" s="82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0</v>
      </c>
      <c r="T108" s="82">
        <v>0</v>
      </c>
      <c r="U108" s="82">
        <v>0</v>
      </c>
      <c r="V108" s="82">
        <v>0</v>
      </c>
    </row>
    <row r="109" spans="1:22" x14ac:dyDescent="0.2">
      <c r="A109">
        <f>Summary!A38</f>
        <v>22</v>
      </c>
      <c r="B109" t="s">
        <v>86</v>
      </c>
      <c r="C109" s="82">
        <v>0</v>
      </c>
      <c r="D109" s="82">
        <v>0</v>
      </c>
      <c r="E109" s="82">
        <v>0</v>
      </c>
      <c r="F109" s="82">
        <v>0</v>
      </c>
      <c r="G109" s="82">
        <v>0</v>
      </c>
      <c r="H109" s="82">
        <v>0</v>
      </c>
      <c r="I109" s="82">
        <v>0</v>
      </c>
      <c r="J109" s="82">
        <v>0</v>
      </c>
      <c r="K109" s="82">
        <v>0</v>
      </c>
      <c r="L109" s="82">
        <v>0</v>
      </c>
      <c r="M109" s="82">
        <v>0</v>
      </c>
      <c r="N109" s="82">
        <v>0</v>
      </c>
      <c r="O109" s="82">
        <v>0</v>
      </c>
      <c r="P109" s="82">
        <v>0</v>
      </c>
      <c r="Q109" s="82">
        <v>0</v>
      </c>
      <c r="R109" s="82">
        <v>0</v>
      </c>
      <c r="S109" s="82">
        <v>0</v>
      </c>
      <c r="T109" s="82">
        <v>0</v>
      </c>
      <c r="U109" s="82">
        <v>0</v>
      </c>
      <c r="V109" s="82">
        <v>0</v>
      </c>
    </row>
    <row r="110" spans="1:22" x14ac:dyDescent="0.2">
      <c r="A110">
        <f>Summary!A39</f>
        <v>23</v>
      </c>
      <c r="B110" t="s">
        <v>76</v>
      </c>
      <c r="C110" s="82">
        <v>0</v>
      </c>
      <c r="D110" s="82">
        <v>0</v>
      </c>
      <c r="E110" s="82">
        <v>0</v>
      </c>
      <c r="F110" s="82">
        <v>0</v>
      </c>
      <c r="G110" s="82">
        <v>0</v>
      </c>
      <c r="H110" s="82">
        <v>0</v>
      </c>
      <c r="I110" s="82">
        <v>0</v>
      </c>
      <c r="J110" s="82">
        <v>0</v>
      </c>
      <c r="K110" s="82">
        <v>0</v>
      </c>
      <c r="L110" s="82">
        <v>0</v>
      </c>
      <c r="M110" s="82">
        <v>0</v>
      </c>
      <c r="N110" s="82">
        <v>0</v>
      </c>
      <c r="O110" s="82">
        <v>0</v>
      </c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</row>
    <row r="111" spans="1:22" x14ac:dyDescent="0.2">
      <c r="A111">
        <f>Summary!A40</f>
        <v>24</v>
      </c>
      <c r="B111" t="s">
        <v>77</v>
      </c>
      <c r="C111" s="82">
        <v>0</v>
      </c>
      <c r="D111" s="82">
        <v>0</v>
      </c>
      <c r="E111" s="82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  <c r="P111" s="82">
        <v>0</v>
      </c>
      <c r="Q111" s="82">
        <v>0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</row>
    <row r="112" spans="1:22" x14ac:dyDescent="0.2">
      <c r="A112">
        <f>Summary!A41</f>
        <v>25</v>
      </c>
      <c r="B112" t="s">
        <v>78</v>
      </c>
      <c r="C112" s="82">
        <v>0</v>
      </c>
      <c r="D112" s="82">
        <v>0</v>
      </c>
      <c r="E112" s="82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  <c r="P112" s="82">
        <v>0</v>
      </c>
      <c r="Q112" s="82">
        <v>0</v>
      </c>
      <c r="R112" s="82">
        <v>0</v>
      </c>
      <c r="S112" s="82">
        <v>0</v>
      </c>
      <c r="T112" s="82">
        <v>0</v>
      </c>
      <c r="U112" s="82">
        <v>0</v>
      </c>
      <c r="V112" s="82">
        <v>0</v>
      </c>
    </row>
    <row r="113" spans="1:22" x14ac:dyDescent="0.2">
      <c r="A113">
        <f>Summary!A42</f>
        <v>26</v>
      </c>
      <c r="B113" t="s">
        <v>79</v>
      </c>
      <c r="C113" s="82">
        <v>0</v>
      </c>
      <c r="D113" s="82">
        <v>0</v>
      </c>
      <c r="E113" s="82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  <c r="O113" s="82">
        <v>0</v>
      </c>
      <c r="P113" s="82">
        <v>0</v>
      </c>
      <c r="Q113" s="82">
        <v>0</v>
      </c>
      <c r="R113" s="82">
        <v>0</v>
      </c>
      <c r="S113" s="82">
        <v>0</v>
      </c>
      <c r="T113" s="82">
        <v>0</v>
      </c>
      <c r="U113" s="82">
        <v>0</v>
      </c>
      <c r="V113" s="82">
        <v>0</v>
      </c>
    </row>
    <row r="114" spans="1:22" x14ac:dyDescent="0.2">
      <c r="A114">
        <f>Summary!A43</f>
        <v>27</v>
      </c>
      <c r="B114" t="s">
        <v>80</v>
      </c>
      <c r="C114" s="82">
        <v>0</v>
      </c>
      <c r="D114" s="82">
        <v>0</v>
      </c>
      <c r="E114" s="82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  <c r="P114" s="82">
        <v>0</v>
      </c>
      <c r="Q114" s="82">
        <v>0</v>
      </c>
      <c r="R114" s="82">
        <v>0</v>
      </c>
      <c r="S114" s="82">
        <v>0</v>
      </c>
      <c r="T114" s="82">
        <v>0</v>
      </c>
      <c r="U114" s="82">
        <v>0</v>
      </c>
      <c r="V114" s="82">
        <v>0</v>
      </c>
    </row>
    <row r="115" spans="1:22" x14ac:dyDescent="0.2">
      <c r="A115">
        <f>Summary!A44</f>
        <v>28</v>
      </c>
      <c r="B115" t="s">
        <v>81</v>
      </c>
      <c r="C115" s="82">
        <v>0</v>
      </c>
      <c r="D115" s="82">
        <v>0</v>
      </c>
      <c r="E115" s="82">
        <v>0</v>
      </c>
      <c r="F115" s="82">
        <v>0</v>
      </c>
      <c r="G115" s="82">
        <v>0</v>
      </c>
      <c r="H115" s="82">
        <v>0</v>
      </c>
      <c r="I115" s="82">
        <v>0</v>
      </c>
      <c r="J115" s="82">
        <v>0</v>
      </c>
      <c r="K115" s="82">
        <v>0</v>
      </c>
      <c r="L115" s="82">
        <v>0</v>
      </c>
      <c r="M115" s="82">
        <v>0</v>
      </c>
      <c r="N115" s="82">
        <v>0</v>
      </c>
      <c r="O115" s="82">
        <v>0</v>
      </c>
      <c r="P115" s="82">
        <v>0</v>
      </c>
      <c r="Q115" s="82">
        <v>0</v>
      </c>
      <c r="R115" s="82">
        <v>0</v>
      </c>
      <c r="S115" s="82">
        <v>0</v>
      </c>
      <c r="T115" s="82">
        <v>0</v>
      </c>
      <c r="U115" s="82">
        <v>0</v>
      </c>
      <c r="V115" s="82">
        <v>0</v>
      </c>
    </row>
    <row r="116" spans="1:22" x14ac:dyDescent="0.2">
      <c r="A116">
        <f>Summary!A45</f>
        <v>29</v>
      </c>
      <c r="B116" t="s">
        <v>82</v>
      </c>
      <c r="C116" s="82">
        <v>0</v>
      </c>
      <c r="D116" s="82">
        <v>0</v>
      </c>
      <c r="E116" s="82">
        <v>0</v>
      </c>
      <c r="F116" s="82">
        <v>0</v>
      </c>
      <c r="G116" s="82">
        <v>0</v>
      </c>
      <c r="H116" s="82">
        <v>0</v>
      </c>
      <c r="I116" s="82">
        <v>0</v>
      </c>
      <c r="J116" s="82">
        <v>0</v>
      </c>
      <c r="K116" s="82">
        <v>0</v>
      </c>
      <c r="L116" s="82">
        <v>0</v>
      </c>
      <c r="M116" s="82">
        <v>0</v>
      </c>
      <c r="N116" s="82">
        <v>0</v>
      </c>
      <c r="O116" s="82"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2">
        <v>0</v>
      </c>
      <c r="V116" s="82">
        <v>0</v>
      </c>
    </row>
    <row r="117" spans="1:22" x14ac:dyDescent="0.2">
      <c r="A117">
        <f>Summary!A46</f>
        <v>30</v>
      </c>
      <c r="B117" t="s">
        <v>83</v>
      </c>
      <c r="C117" s="82">
        <v>0</v>
      </c>
      <c r="D117" s="82">
        <v>0</v>
      </c>
      <c r="E117" s="82">
        <v>0</v>
      </c>
      <c r="F117" s="82">
        <v>0</v>
      </c>
      <c r="G117" s="82">
        <v>0</v>
      </c>
      <c r="H117" s="82">
        <v>0</v>
      </c>
      <c r="I117" s="82">
        <v>0</v>
      </c>
      <c r="J117" s="82">
        <v>0</v>
      </c>
      <c r="K117" s="82">
        <v>0</v>
      </c>
      <c r="L117" s="82">
        <v>0</v>
      </c>
      <c r="M117" s="82">
        <v>0</v>
      </c>
      <c r="N117" s="82">
        <v>0</v>
      </c>
      <c r="O117" s="82">
        <v>0</v>
      </c>
      <c r="P117" s="82">
        <v>0</v>
      </c>
      <c r="Q117" s="82">
        <v>0</v>
      </c>
      <c r="R117" s="82">
        <v>0</v>
      </c>
      <c r="S117" s="82">
        <v>0</v>
      </c>
      <c r="T117" s="82">
        <v>0</v>
      </c>
      <c r="U117" s="82">
        <v>0</v>
      </c>
      <c r="V117" s="82">
        <v>0</v>
      </c>
    </row>
    <row r="118" spans="1:22" x14ac:dyDescent="0.2">
      <c r="A118">
        <f>Summary!A47</f>
        <v>31</v>
      </c>
      <c r="B118" t="s">
        <v>84</v>
      </c>
      <c r="C118" s="82">
        <v>0</v>
      </c>
      <c r="D118" s="82">
        <v>0</v>
      </c>
      <c r="E118" s="82">
        <v>0</v>
      </c>
      <c r="F118" s="82">
        <v>0</v>
      </c>
      <c r="G118" s="82">
        <v>0</v>
      </c>
      <c r="H118" s="82">
        <v>0</v>
      </c>
      <c r="I118" s="82">
        <v>0</v>
      </c>
      <c r="J118" s="82">
        <v>0</v>
      </c>
      <c r="K118" s="82">
        <v>0</v>
      </c>
      <c r="L118" s="82">
        <v>0</v>
      </c>
      <c r="M118" s="82">
        <v>0</v>
      </c>
      <c r="N118" s="82">
        <v>0</v>
      </c>
      <c r="O118" s="82">
        <v>0</v>
      </c>
      <c r="P118" s="82">
        <v>0</v>
      </c>
      <c r="Q118" s="82">
        <v>0</v>
      </c>
      <c r="R118" s="82">
        <v>0</v>
      </c>
      <c r="S118" s="82">
        <v>0</v>
      </c>
      <c r="T118" s="82">
        <v>0</v>
      </c>
      <c r="U118" s="82">
        <v>0</v>
      </c>
      <c r="V118" s="82">
        <v>0</v>
      </c>
    </row>
    <row r="119" spans="1:22" x14ac:dyDescent="0.2">
      <c r="A119">
        <f>Summary!A48</f>
        <v>32</v>
      </c>
      <c r="B119" t="s">
        <v>85</v>
      </c>
      <c r="C119" s="82">
        <v>0</v>
      </c>
      <c r="D119" s="82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2">
        <v>0</v>
      </c>
      <c r="Q119" s="82">
        <v>0</v>
      </c>
      <c r="R119" s="82">
        <v>0</v>
      </c>
      <c r="S119" s="82">
        <v>0</v>
      </c>
      <c r="T119" s="82">
        <v>0</v>
      </c>
      <c r="U119" s="82">
        <v>0</v>
      </c>
      <c r="V119" s="82">
        <v>0</v>
      </c>
    </row>
    <row r="120" spans="1:22" x14ac:dyDescent="0.2">
      <c r="A120">
        <f>Summary!A49</f>
        <v>33</v>
      </c>
      <c r="B120" t="s">
        <v>181</v>
      </c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</row>
    <row r="121" spans="1:22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A123" s="13" t="s">
        <v>107</v>
      </c>
    </row>
    <row r="125" spans="1:22" x14ac:dyDescent="0.2">
      <c r="C125" s="12">
        <v>2000</v>
      </c>
      <c r="D125" s="12">
        <v>2001</v>
      </c>
      <c r="E125" s="12">
        <v>2002</v>
      </c>
      <c r="F125" s="12">
        <v>2003</v>
      </c>
      <c r="G125" s="12">
        <v>2004</v>
      </c>
      <c r="H125" s="12">
        <v>2005</v>
      </c>
      <c r="I125" s="12">
        <v>2006</v>
      </c>
      <c r="J125" s="12">
        <v>2007</v>
      </c>
      <c r="K125" s="12">
        <v>2008</v>
      </c>
      <c r="L125" s="12">
        <v>2009</v>
      </c>
      <c r="M125" s="12">
        <v>2010</v>
      </c>
      <c r="N125" s="12">
        <v>2011</v>
      </c>
      <c r="O125" s="12">
        <v>2012</v>
      </c>
      <c r="P125" s="12">
        <v>2013</v>
      </c>
      <c r="Q125" s="12">
        <v>2014</v>
      </c>
      <c r="R125" s="12">
        <v>2015</v>
      </c>
      <c r="S125" s="12">
        <v>2016</v>
      </c>
      <c r="T125" s="12">
        <v>2017</v>
      </c>
      <c r="U125" s="12">
        <v>2018</v>
      </c>
      <c r="V125" s="12">
        <v>2019</v>
      </c>
    </row>
    <row r="127" spans="1:22" x14ac:dyDescent="0.2">
      <c r="A127">
        <f>Summary!A17</f>
        <v>1</v>
      </c>
      <c r="B127" t="s">
        <v>55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2.4399542510000001</v>
      </c>
      <c r="J127" s="14">
        <v>2.4399542510000001</v>
      </c>
      <c r="K127" s="14">
        <v>2.4399542510000001</v>
      </c>
      <c r="L127" s="14">
        <v>2.4399542510000001</v>
      </c>
      <c r="M127" s="14">
        <v>2.4399542510000001</v>
      </c>
      <c r="N127" s="14">
        <v>2.4399542510000001</v>
      </c>
      <c r="O127" s="14">
        <v>2.4399542510000001</v>
      </c>
      <c r="P127" s="14">
        <v>2.4399542510000001</v>
      </c>
      <c r="Q127" s="14">
        <v>2.4399542510000001</v>
      </c>
      <c r="R127" s="14">
        <v>2.4399542510000001</v>
      </c>
      <c r="S127" s="14">
        <v>2.4399542510000001</v>
      </c>
      <c r="T127" s="14">
        <v>2.4399542510000001</v>
      </c>
      <c r="U127" s="14">
        <v>2.4399542510000001</v>
      </c>
      <c r="V127" s="14">
        <v>2.4399542510000001</v>
      </c>
    </row>
    <row r="128" spans="1:22" x14ac:dyDescent="0.2">
      <c r="A128">
        <f>Summary!A18</f>
        <v>2</v>
      </c>
      <c r="B128" t="s">
        <v>56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0.3</v>
      </c>
      <c r="J128" s="14">
        <v>0.3</v>
      </c>
      <c r="K128" s="14">
        <v>0.3</v>
      </c>
      <c r="L128" s="14">
        <v>0.3</v>
      </c>
      <c r="M128" s="14">
        <v>0.3</v>
      </c>
      <c r="N128" s="14">
        <v>0.3</v>
      </c>
      <c r="O128" s="14">
        <v>0.3</v>
      </c>
      <c r="P128" s="14">
        <v>0.3</v>
      </c>
      <c r="Q128" s="14">
        <v>0.3</v>
      </c>
      <c r="R128" s="14">
        <v>0.3</v>
      </c>
      <c r="S128" s="14">
        <v>0.3</v>
      </c>
      <c r="T128" s="14">
        <v>0.3</v>
      </c>
      <c r="U128" s="14">
        <v>0.3</v>
      </c>
      <c r="V128" s="14">
        <v>0.3</v>
      </c>
    </row>
    <row r="129" spans="1:22" x14ac:dyDescent="0.2">
      <c r="A129">
        <f>Summary!A19</f>
        <v>3</v>
      </c>
      <c r="B129" s="9" t="s">
        <v>57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1.1666666670000001</v>
      </c>
      <c r="J129" s="14">
        <v>1.1666666670000001</v>
      </c>
      <c r="K129" s="14">
        <v>1.1666666670000001</v>
      </c>
      <c r="L129" s="14">
        <v>1.1666666670000001</v>
      </c>
      <c r="M129" s="14">
        <v>1.1666666670000001</v>
      </c>
      <c r="N129" s="14">
        <v>1.1666666670000001</v>
      </c>
      <c r="O129" s="14">
        <v>1.1666666670000001</v>
      </c>
      <c r="P129" s="14">
        <v>1.1666666670000001</v>
      </c>
      <c r="Q129" s="14">
        <v>1.1666666670000001</v>
      </c>
      <c r="R129" s="14">
        <v>1.1666666670000001</v>
      </c>
      <c r="S129" s="14">
        <v>1.1666666670000001</v>
      </c>
      <c r="T129" s="14">
        <v>1.1666666670000001</v>
      </c>
      <c r="U129" s="14">
        <v>1.1666666670000001</v>
      </c>
      <c r="V129" s="14">
        <v>1.1666666670000001</v>
      </c>
    </row>
    <row r="130" spans="1:22" x14ac:dyDescent="0.2">
      <c r="A130">
        <f>Summary!A20</f>
        <v>4</v>
      </c>
      <c r="B130" s="9" t="s">
        <v>58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1.1666666670000001</v>
      </c>
      <c r="J130" s="14">
        <v>1.1666666670000001</v>
      </c>
      <c r="K130" s="14">
        <v>1.1666666670000001</v>
      </c>
      <c r="L130" s="14">
        <v>1.1666666670000001</v>
      </c>
      <c r="M130" s="14">
        <v>1.1666666670000001</v>
      </c>
      <c r="N130" s="14">
        <v>1.1666666670000001</v>
      </c>
      <c r="O130" s="14">
        <v>1.1666666670000001</v>
      </c>
      <c r="P130" s="14">
        <v>1.1666666670000001</v>
      </c>
      <c r="Q130" s="14">
        <v>1.1666666670000001</v>
      </c>
      <c r="R130" s="14">
        <v>1.1666666670000001</v>
      </c>
      <c r="S130" s="14">
        <v>1.1666666670000001</v>
      </c>
      <c r="T130" s="14">
        <v>1.1666666670000001</v>
      </c>
      <c r="U130" s="14">
        <v>1.1666666670000001</v>
      </c>
      <c r="V130" s="14">
        <v>1.1666666670000001</v>
      </c>
    </row>
    <row r="131" spans="1:22" x14ac:dyDescent="0.2">
      <c r="A131">
        <f>Summary!A21</f>
        <v>5</v>
      </c>
      <c r="B131" s="9" t="s">
        <v>59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1.1666666670000001</v>
      </c>
      <c r="J131" s="14">
        <v>1.1666666670000001</v>
      </c>
      <c r="K131" s="14">
        <v>1.1666666670000001</v>
      </c>
      <c r="L131" s="14">
        <v>1.1666666670000001</v>
      </c>
      <c r="M131" s="14">
        <v>1.1666666670000001</v>
      </c>
      <c r="N131" s="14">
        <v>1.1666666670000001</v>
      </c>
      <c r="O131" s="14">
        <v>1.1666666670000001</v>
      </c>
      <c r="P131" s="14">
        <v>1.1666666670000001</v>
      </c>
      <c r="Q131" s="14">
        <v>1.1666666670000001</v>
      </c>
      <c r="R131" s="14">
        <v>1.1666666670000001</v>
      </c>
      <c r="S131" s="14">
        <v>1.1666666670000001</v>
      </c>
      <c r="T131" s="14">
        <v>1.1666666670000001</v>
      </c>
      <c r="U131" s="14">
        <v>1.1666666670000001</v>
      </c>
      <c r="V131" s="14">
        <v>1.1666666670000001</v>
      </c>
    </row>
    <row r="132" spans="1:22" x14ac:dyDescent="0.2">
      <c r="A132">
        <f>Summary!A22</f>
        <v>6</v>
      </c>
      <c r="B132" s="9" t="s">
        <v>60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1.1666666670000001</v>
      </c>
      <c r="J132" s="14">
        <v>1.1666666670000001</v>
      </c>
      <c r="K132" s="14">
        <v>1.1666666670000001</v>
      </c>
      <c r="L132" s="14">
        <v>1.1666666670000001</v>
      </c>
      <c r="M132" s="14">
        <v>1.1666666670000001</v>
      </c>
      <c r="N132" s="14">
        <v>1.1666666670000001</v>
      </c>
      <c r="O132" s="14">
        <v>1.1666666670000001</v>
      </c>
      <c r="P132" s="14">
        <v>1.1666666670000001</v>
      </c>
      <c r="Q132" s="14">
        <v>1.1666666670000001</v>
      </c>
      <c r="R132" s="14">
        <v>1.1666666670000001</v>
      </c>
      <c r="S132" s="14">
        <v>1.1666666670000001</v>
      </c>
      <c r="T132" s="14">
        <v>1.1666666670000001</v>
      </c>
      <c r="U132" s="14">
        <v>1.1666666670000001</v>
      </c>
      <c r="V132" s="14">
        <v>1.1666666670000001</v>
      </c>
    </row>
    <row r="133" spans="1:22" x14ac:dyDescent="0.2">
      <c r="A133">
        <f>Summary!A23</f>
        <v>7</v>
      </c>
      <c r="B133" t="s">
        <v>61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1.1666666670000001</v>
      </c>
      <c r="J133" s="14">
        <v>1.1666666670000001</v>
      </c>
      <c r="K133" s="14">
        <v>1.1666666670000001</v>
      </c>
      <c r="L133" s="14">
        <v>1.1666666670000001</v>
      </c>
      <c r="M133" s="14">
        <v>1.1666666670000001</v>
      </c>
      <c r="N133" s="14">
        <v>1.1666666670000001</v>
      </c>
      <c r="O133" s="14">
        <v>1.1666666670000001</v>
      </c>
      <c r="P133" s="14">
        <v>1.1666666670000001</v>
      </c>
      <c r="Q133" s="14">
        <v>1.1666666670000001</v>
      </c>
      <c r="R133" s="14">
        <v>1.1666666670000001</v>
      </c>
      <c r="S133" s="14">
        <v>1.1666666670000001</v>
      </c>
      <c r="T133" s="14">
        <v>1.1666666670000001</v>
      </c>
      <c r="U133" s="14">
        <v>1.1666666670000001</v>
      </c>
      <c r="V133" s="14">
        <v>1.1666666670000001</v>
      </c>
    </row>
    <row r="134" spans="1:22" x14ac:dyDescent="0.2">
      <c r="A134">
        <f>Summary!A24</f>
        <v>8</v>
      </c>
      <c r="B134" t="s">
        <v>62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1.1666666670000001</v>
      </c>
      <c r="J134" s="14">
        <v>1.1666666670000001</v>
      </c>
      <c r="K134" s="14">
        <v>1.1666666670000001</v>
      </c>
      <c r="L134" s="14">
        <v>1.1666666670000001</v>
      </c>
      <c r="M134" s="14">
        <v>1.1666666670000001</v>
      </c>
      <c r="N134" s="14">
        <v>1.1666666670000001</v>
      </c>
      <c r="O134" s="14">
        <v>1.1666666670000001</v>
      </c>
      <c r="P134" s="14">
        <v>1.1666666670000001</v>
      </c>
      <c r="Q134" s="14">
        <v>1.1666666670000001</v>
      </c>
      <c r="R134" s="14">
        <v>1.1666666670000001</v>
      </c>
      <c r="S134" s="14">
        <v>1.1666666670000001</v>
      </c>
      <c r="T134" s="14">
        <v>1.1666666670000001</v>
      </c>
      <c r="U134" s="14">
        <v>1.1666666670000001</v>
      </c>
      <c r="V134" s="14">
        <v>1.1666666670000001</v>
      </c>
    </row>
    <row r="135" spans="1:22" x14ac:dyDescent="0.2">
      <c r="A135">
        <f>Summary!A25</f>
        <v>9</v>
      </c>
      <c r="B135" t="s">
        <v>63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1.1666666670000001</v>
      </c>
      <c r="J135" s="14">
        <v>1.1666666670000001</v>
      </c>
      <c r="K135" s="14">
        <v>1.1666666670000001</v>
      </c>
      <c r="L135" s="14">
        <v>1.1666666670000001</v>
      </c>
      <c r="M135" s="14">
        <v>1.1666666670000001</v>
      </c>
      <c r="N135" s="14">
        <v>1.1666666670000001</v>
      </c>
      <c r="O135" s="14">
        <v>1.1666666670000001</v>
      </c>
      <c r="P135" s="14">
        <v>1.1666666670000001</v>
      </c>
      <c r="Q135" s="14">
        <v>1.1666666670000001</v>
      </c>
      <c r="R135" s="14">
        <v>1.1666666670000001</v>
      </c>
      <c r="S135" s="14">
        <v>1.1666666670000001</v>
      </c>
      <c r="T135" s="14">
        <v>1.1666666670000001</v>
      </c>
      <c r="U135" s="14">
        <v>1.1666666670000001</v>
      </c>
      <c r="V135" s="14">
        <v>1.1666666670000001</v>
      </c>
    </row>
    <row r="136" spans="1:22" x14ac:dyDescent="0.2">
      <c r="A136">
        <f>Summary!A26</f>
        <v>10</v>
      </c>
      <c r="B136" t="s">
        <v>64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1.1666666670000001</v>
      </c>
      <c r="J136" s="14">
        <v>1.1666666670000001</v>
      </c>
      <c r="K136" s="14">
        <v>1.1666666670000001</v>
      </c>
      <c r="L136" s="14">
        <v>1.1666666670000001</v>
      </c>
      <c r="M136" s="14">
        <v>1.1666666670000001</v>
      </c>
      <c r="N136" s="14">
        <v>1.1666666670000001</v>
      </c>
      <c r="O136" s="14">
        <v>1.1666666670000001</v>
      </c>
      <c r="P136" s="14">
        <v>1.1666666670000001</v>
      </c>
      <c r="Q136" s="14">
        <v>1.1666666670000001</v>
      </c>
      <c r="R136" s="14">
        <v>1.1666666670000001</v>
      </c>
      <c r="S136" s="14">
        <v>1.1666666670000001</v>
      </c>
      <c r="T136" s="14">
        <v>1.1666666670000001</v>
      </c>
      <c r="U136" s="14">
        <v>1.1666666670000001</v>
      </c>
      <c r="V136" s="14">
        <v>1.1666666670000001</v>
      </c>
    </row>
    <row r="137" spans="1:22" x14ac:dyDescent="0.2">
      <c r="A137">
        <f>Summary!A27</f>
        <v>11</v>
      </c>
      <c r="B137" t="s">
        <v>65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1.1666666670000001</v>
      </c>
      <c r="J137" s="14">
        <v>1.1666666670000001</v>
      </c>
      <c r="K137" s="14">
        <v>1.1666666670000001</v>
      </c>
      <c r="L137" s="14">
        <v>1.1666666670000001</v>
      </c>
      <c r="M137" s="14">
        <v>1.1666666670000001</v>
      </c>
      <c r="N137" s="14">
        <v>1.1666666670000001</v>
      </c>
      <c r="O137" s="14">
        <v>1.1666666670000001</v>
      </c>
      <c r="P137" s="14">
        <v>1.1666666670000001</v>
      </c>
      <c r="Q137" s="14">
        <v>1.1666666670000001</v>
      </c>
      <c r="R137" s="14">
        <v>1.1666666670000001</v>
      </c>
      <c r="S137" s="14">
        <v>1.1666666670000001</v>
      </c>
      <c r="T137" s="14">
        <v>1.1666666670000001</v>
      </c>
      <c r="U137" s="14">
        <v>1.1666666670000001</v>
      </c>
      <c r="V137" s="14">
        <v>1.1666666670000001</v>
      </c>
    </row>
    <row r="138" spans="1:22" x14ac:dyDescent="0.2">
      <c r="A138">
        <f>Summary!A28</f>
        <v>12</v>
      </c>
      <c r="B138" t="s">
        <v>66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1.1666666670000001</v>
      </c>
      <c r="J138" s="14">
        <v>1.1666666670000001</v>
      </c>
      <c r="K138" s="14">
        <v>1.1666666670000001</v>
      </c>
      <c r="L138" s="14">
        <v>1.1666666670000001</v>
      </c>
      <c r="M138" s="14">
        <v>1.1666666670000001</v>
      </c>
      <c r="N138" s="14">
        <v>1.1666666670000001</v>
      </c>
      <c r="O138" s="14">
        <v>1.1666666670000001</v>
      </c>
      <c r="P138" s="14">
        <v>1.1666666670000001</v>
      </c>
      <c r="Q138" s="14">
        <v>1.1666666670000001</v>
      </c>
      <c r="R138" s="14">
        <v>1.1666666670000001</v>
      </c>
      <c r="S138" s="14">
        <v>1.1666666670000001</v>
      </c>
      <c r="T138" s="14">
        <v>1.1666666670000001</v>
      </c>
      <c r="U138" s="14">
        <v>1.1666666670000001</v>
      </c>
      <c r="V138" s="14">
        <v>1.1666666670000001</v>
      </c>
    </row>
    <row r="139" spans="1:22" x14ac:dyDescent="0.2">
      <c r="A139">
        <f>Summary!A29</f>
        <v>13</v>
      </c>
      <c r="B139" t="s">
        <v>67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1.1666666670000001</v>
      </c>
      <c r="J139" s="14">
        <v>1.1666666670000001</v>
      </c>
      <c r="K139" s="14">
        <v>1.1666666670000001</v>
      </c>
      <c r="L139" s="14">
        <v>1.1666666670000001</v>
      </c>
      <c r="M139" s="14">
        <v>1.1666666670000001</v>
      </c>
      <c r="N139" s="14">
        <v>1.1666666670000001</v>
      </c>
      <c r="O139" s="14">
        <v>1.1666666670000001</v>
      </c>
      <c r="P139" s="14">
        <v>1.1666666670000001</v>
      </c>
      <c r="Q139" s="14">
        <v>1.1666666670000001</v>
      </c>
      <c r="R139" s="14">
        <v>1.1666666670000001</v>
      </c>
      <c r="S139" s="14">
        <v>1.1666666670000001</v>
      </c>
      <c r="T139" s="14">
        <v>1.1666666670000001</v>
      </c>
      <c r="U139" s="14">
        <v>1.1666666670000001</v>
      </c>
      <c r="V139" s="14">
        <v>1.1666666670000001</v>
      </c>
    </row>
    <row r="140" spans="1:22" x14ac:dyDescent="0.2">
      <c r="A140">
        <f>Summary!A30</f>
        <v>14</v>
      </c>
      <c r="B140" t="s">
        <v>70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1.1666666670000001</v>
      </c>
      <c r="J140" s="14">
        <v>1.1666666670000001</v>
      </c>
      <c r="K140" s="14">
        <v>1.1666666670000001</v>
      </c>
      <c r="L140" s="14">
        <v>1.1666666670000001</v>
      </c>
      <c r="M140" s="14">
        <v>1.1666666670000001</v>
      </c>
      <c r="N140" s="14">
        <v>1.1666666670000001</v>
      </c>
      <c r="O140" s="14">
        <v>1.1666666670000001</v>
      </c>
      <c r="P140" s="14">
        <v>1.1666666670000001</v>
      </c>
      <c r="Q140" s="14">
        <v>1.1666666670000001</v>
      </c>
      <c r="R140" s="14">
        <v>1.1666666670000001</v>
      </c>
      <c r="S140" s="14">
        <v>1.1666666670000001</v>
      </c>
      <c r="T140" s="14">
        <v>1.1666666670000001</v>
      </c>
      <c r="U140" s="14">
        <v>1.1666666670000001</v>
      </c>
      <c r="V140" s="14">
        <v>1.1666666670000001</v>
      </c>
    </row>
    <row r="141" spans="1:22" x14ac:dyDescent="0.2">
      <c r="A141">
        <f>Summary!A31</f>
        <v>15</v>
      </c>
      <c r="B141" t="s">
        <v>68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1.1666666670000001</v>
      </c>
      <c r="J141" s="14">
        <v>1.1666666670000001</v>
      </c>
      <c r="K141" s="14">
        <v>1.1666666670000001</v>
      </c>
      <c r="L141" s="14">
        <v>1.1666666670000001</v>
      </c>
      <c r="M141" s="14">
        <v>1.1666666670000001</v>
      </c>
      <c r="N141" s="14">
        <v>1.1666666670000001</v>
      </c>
      <c r="O141" s="14">
        <v>1.1666666670000001</v>
      </c>
      <c r="P141" s="14">
        <v>1.1666666670000001</v>
      </c>
      <c r="Q141" s="14">
        <v>1.1666666670000001</v>
      </c>
      <c r="R141" s="14">
        <v>1.1666666670000001</v>
      </c>
      <c r="S141" s="14">
        <v>1.1666666670000001</v>
      </c>
      <c r="T141" s="14">
        <v>1.1666666670000001</v>
      </c>
      <c r="U141" s="14">
        <v>1.1666666670000001</v>
      </c>
      <c r="V141" s="14">
        <v>1.1666666670000001</v>
      </c>
    </row>
    <row r="142" spans="1:22" x14ac:dyDescent="0.2">
      <c r="A142">
        <f>Summary!A32</f>
        <v>16</v>
      </c>
      <c r="B142" t="s">
        <v>69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1.1666666670000001</v>
      </c>
      <c r="J142" s="14">
        <v>1.1666666670000001</v>
      </c>
      <c r="K142" s="14">
        <v>1.1666666670000001</v>
      </c>
      <c r="L142" s="14">
        <v>1.1666666670000001</v>
      </c>
      <c r="M142" s="14">
        <v>1.1666666670000001</v>
      </c>
      <c r="N142" s="14">
        <v>1.1666666670000001</v>
      </c>
      <c r="O142" s="14">
        <v>1.1666666670000001</v>
      </c>
      <c r="P142" s="14">
        <v>1.1666666670000001</v>
      </c>
      <c r="Q142" s="14">
        <v>1.1666666670000001</v>
      </c>
      <c r="R142" s="14">
        <v>1.1666666670000001</v>
      </c>
      <c r="S142" s="14">
        <v>1.1666666670000001</v>
      </c>
      <c r="T142" s="14">
        <v>1.1666666670000001</v>
      </c>
      <c r="U142" s="14">
        <v>1.1666666670000001</v>
      </c>
      <c r="V142" s="14">
        <v>1.1666666670000001</v>
      </c>
    </row>
    <row r="143" spans="1:22" x14ac:dyDescent="0.2">
      <c r="A143">
        <f>Summary!A33</f>
        <v>17</v>
      </c>
      <c r="B143" t="s">
        <v>71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1.1666666670000001</v>
      </c>
      <c r="J143" s="14">
        <v>1.1666666670000001</v>
      </c>
      <c r="K143" s="14">
        <v>1.1666666670000001</v>
      </c>
      <c r="L143" s="14">
        <v>1.1666666670000001</v>
      </c>
      <c r="M143" s="14">
        <v>1.1666666670000001</v>
      </c>
      <c r="N143" s="14">
        <v>1.1666666670000001</v>
      </c>
      <c r="O143" s="14">
        <v>1.1666666670000001</v>
      </c>
      <c r="P143" s="14">
        <v>1.1666666670000001</v>
      </c>
      <c r="Q143" s="14">
        <v>1.1666666670000001</v>
      </c>
      <c r="R143" s="14">
        <v>1.1666666670000001</v>
      </c>
      <c r="S143" s="14">
        <v>1.1666666670000001</v>
      </c>
      <c r="T143" s="14">
        <v>1.1666666670000001</v>
      </c>
      <c r="U143" s="14">
        <v>1.1666666670000001</v>
      </c>
      <c r="V143" s="14">
        <v>1.1666666670000001</v>
      </c>
    </row>
    <row r="144" spans="1:22" x14ac:dyDescent="0.2">
      <c r="A144">
        <f>Summary!A34</f>
        <v>18</v>
      </c>
      <c r="B144" t="s">
        <v>72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0.3</v>
      </c>
      <c r="J144" s="14">
        <v>0.3</v>
      </c>
      <c r="K144" s="14">
        <v>0.3</v>
      </c>
      <c r="L144" s="14">
        <v>0.3</v>
      </c>
      <c r="M144" s="14">
        <v>0.3</v>
      </c>
      <c r="N144" s="14">
        <v>0.3</v>
      </c>
      <c r="O144" s="14">
        <v>0.3</v>
      </c>
      <c r="P144" s="14">
        <v>0.3</v>
      </c>
      <c r="Q144" s="14">
        <v>0.3</v>
      </c>
      <c r="R144" s="14">
        <v>0.3</v>
      </c>
      <c r="S144" s="14">
        <v>0.3</v>
      </c>
      <c r="T144" s="14">
        <v>0.3</v>
      </c>
      <c r="U144" s="14">
        <v>0.3</v>
      </c>
      <c r="V144" s="14">
        <v>0.3</v>
      </c>
    </row>
    <row r="145" spans="1:22" x14ac:dyDescent="0.2">
      <c r="A145">
        <f>Summary!A35</f>
        <v>19</v>
      </c>
      <c r="B145" t="s">
        <v>73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0.31</v>
      </c>
      <c r="J145" s="14">
        <v>0.31</v>
      </c>
      <c r="K145" s="14">
        <v>0.31</v>
      </c>
      <c r="L145" s="14">
        <v>0.31</v>
      </c>
      <c r="M145" s="14">
        <v>0.31</v>
      </c>
      <c r="N145" s="14">
        <v>0.31</v>
      </c>
      <c r="O145" s="14">
        <v>0.31</v>
      </c>
      <c r="P145" s="14">
        <v>0.31</v>
      </c>
      <c r="Q145" s="14">
        <v>0.31</v>
      </c>
      <c r="R145" s="14">
        <v>0.31</v>
      </c>
      <c r="S145" s="14">
        <v>0.31</v>
      </c>
      <c r="T145" s="14">
        <v>0.31</v>
      </c>
      <c r="U145" s="14">
        <v>0.31</v>
      </c>
      <c r="V145" s="14">
        <v>0.31</v>
      </c>
    </row>
    <row r="146" spans="1:22" x14ac:dyDescent="0.2">
      <c r="A146">
        <f>Summary!A36</f>
        <v>20</v>
      </c>
      <c r="B146" t="s">
        <v>74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0.31</v>
      </c>
      <c r="J146" s="14">
        <v>0.31</v>
      </c>
      <c r="K146" s="14">
        <v>0.31</v>
      </c>
      <c r="L146" s="14">
        <v>0.31</v>
      </c>
      <c r="M146" s="14">
        <v>0.31</v>
      </c>
      <c r="N146" s="14">
        <v>0.31</v>
      </c>
      <c r="O146" s="14">
        <v>0.31</v>
      </c>
      <c r="P146" s="14">
        <v>0.31</v>
      </c>
      <c r="Q146" s="14">
        <v>0.31</v>
      </c>
      <c r="R146" s="14">
        <v>0.31</v>
      </c>
      <c r="S146" s="14">
        <v>0.31</v>
      </c>
      <c r="T146" s="14">
        <v>0.31</v>
      </c>
      <c r="U146" s="14">
        <v>0.31</v>
      </c>
      <c r="V146" s="14">
        <v>0.31</v>
      </c>
    </row>
    <row r="147" spans="1:22" x14ac:dyDescent="0.2">
      <c r="A147">
        <f>Summary!A37</f>
        <v>21</v>
      </c>
      <c r="B147" t="s">
        <v>75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0.31</v>
      </c>
      <c r="J147" s="14">
        <v>0.31</v>
      </c>
      <c r="K147" s="14">
        <v>0.31</v>
      </c>
      <c r="L147" s="14">
        <v>0.31</v>
      </c>
      <c r="M147" s="14">
        <v>0.31</v>
      </c>
      <c r="N147" s="14">
        <v>0.31</v>
      </c>
      <c r="O147" s="14">
        <v>0.31</v>
      </c>
      <c r="P147" s="14">
        <v>0.31</v>
      </c>
      <c r="Q147" s="14">
        <v>0.31</v>
      </c>
      <c r="R147" s="14">
        <v>0.31</v>
      </c>
      <c r="S147" s="14">
        <v>0.31</v>
      </c>
      <c r="T147" s="14">
        <v>0.31</v>
      </c>
      <c r="U147" s="14">
        <v>0.31</v>
      </c>
      <c r="V147" s="14">
        <v>0.31</v>
      </c>
    </row>
    <row r="148" spans="1:22" x14ac:dyDescent="0.2">
      <c r="A148">
        <f>Summary!A38</f>
        <v>22</v>
      </c>
      <c r="B148" t="s">
        <v>86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0.31</v>
      </c>
      <c r="J148" s="14">
        <v>0.31</v>
      </c>
      <c r="K148" s="14">
        <v>0.31</v>
      </c>
      <c r="L148" s="14">
        <v>0.31</v>
      </c>
      <c r="M148" s="14">
        <v>0.31</v>
      </c>
      <c r="N148" s="14">
        <v>0.31</v>
      </c>
      <c r="O148" s="14">
        <v>0.31</v>
      </c>
      <c r="P148" s="14">
        <v>0.31</v>
      </c>
      <c r="Q148" s="14">
        <v>0.31</v>
      </c>
      <c r="R148" s="14">
        <v>0.31</v>
      </c>
      <c r="S148" s="14">
        <v>0.31</v>
      </c>
      <c r="T148" s="14">
        <v>0.31</v>
      </c>
      <c r="U148" s="14">
        <v>0.31</v>
      </c>
      <c r="V148" s="14">
        <v>0.31</v>
      </c>
    </row>
    <row r="149" spans="1:22" x14ac:dyDescent="0.2">
      <c r="A149">
        <f>Summary!A39</f>
        <v>23</v>
      </c>
      <c r="B149" t="s">
        <v>76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0.31</v>
      </c>
      <c r="J149" s="14">
        <v>0.31</v>
      </c>
      <c r="K149" s="14">
        <v>0.31</v>
      </c>
      <c r="L149" s="14">
        <v>0.31</v>
      </c>
      <c r="M149" s="14">
        <v>0.31</v>
      </c>
      <c r="N149" s="14">
        <v>0.31</v>
      </c>
      <c r="O149" s="14">
        <v>0.31</v>
      </c>
      <c r="P149" s="14">
        <v>0.31</v>
      </c>
      <c r="Q149" s="14">
        <v>0.31</v>
      </c>
      <c r="R149" s="14">
        <v>0.31</v>
      </c>
      <c r="S149" s="14">
        <v>0.31</v>
      </c>
      <c r="T149" s="14">
        <v>0.31</v>
      </c>
      <c r="U149" s="14">
        <v>0.31</v>
      </c>
      <c r="V149" s="14">
        <v>0.31</v>
      </c>
    </row>
    <row r="150" spans="1:22" x14ac:dyDescent="0.2">
      <c r="A150">
        <f>Summary!A40</f>
        <v>24</v>
      </c>
      <c r="B150" t="s">
        <v>77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0.31</v>
      </c>
      <c r="J150" s="14">
        <v>0.31</v>
      </c>
      <c r="K150" s="14">
        <v>0.31</v>
      </c>
      <c r="L150" s="14">
        <v>0.31</v>
      </c>
      <c r="M150" s="14">
        <v>0.31</v>
      </c>
      <c r="N150" s="14">
        <v>0.31</v>
      </c>
      <c r="O150" s="14">
        <v>0.31</v>
      </c>
      <c r="P150" s="14">
        <v>0.31</v>
      </c>
      <c r="Q150" s="14">
        <v>0.31</v>
      </c>
      <c r="R150" s="14">
        <v>0.31</v>
      </c>
      <c r="S150" s="14">
        <v>0.31</v>
      </c>
      <c r="T150" s="14">
        <v>0.31</v>
      </c>
      <c r="U150" s="14">
        <v>0.31</v>
      </c>
      <c r="V150" s="14">
        <v>0.31</v>
      </c>
    </row>
    <row r="151" spans="1:22" x14ac:dyDescent="0.2">
      <c r="A151">
        <f>Summary!A41</f>
        <v>25</v>
      </c>
      <c r="B151" t="s">
        <v>78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0.31</v>
      </c>
      <c r="J151" s="14">
        <v>0.31</v>
      </c>
      <c r="K151" s="14">
        <v>0.31</v>
      </c>
      <c r="L151" s="14">
        <v>0.31</v>
      </c>
      <c r="M151" s="14">
        <v>0.31</v>
      </c>
      <c r="N151" s="14">
        <v>0.31</v>
      </c>
      <c r="O151" s="14">
        <v>0.31</v>
      </c>
      <c r="P151" s="14">
        <v>0.31</v>
      </c>
      <c r="Q151" s="14">
        <v>0.31</v>
      </c>
      <c r="R151" s="14">
        <v>0.31</v>
      </c>
      <c r="S151" s="14">
        <v>0.31</v>
      </c>
      <c r="T151" s="14">
        <v>0.31</v>
      </c>
      <c r="U151" s="14">
        <v>0.31</v>
      </c>
      <c r="V151" s="14">
        <v>0.31</v>
      </c>
    </row>
    <row r="152" spans="1:22" x14ac:dyDescent="0.2">
      <c r="A152">
        <f>Summary!A42</f>
        <v>26</v>
      </c>
      <c r="B152" t="s">
        <v>79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0.31</v>
      </c>
      <c r="J152" s="14">
        <v>0.31</v>
      </c>
      <c r="K152" s="14">
        <v>0.31</v>
      </c>
      <c r="L152" s="14">
        <v>0.31</v>
      </c>
      <c r="M152" s="14">
        <v>0.31</v>
      </c>
      <c r="N152" s="14">
        <v>0.31</v>
      </c>
      <c r="O152" s="14">
        <v>0.31</v>
      </c>
      <c r="P152" s="14">
        <v>0.31</v>
      </c>
      <c r="Q152" s="14">
        <v>0.31</v>
      </c>
      <c r="R152" s="14">
        <v>0.31</v>
      </c>
      <c r="S152" s="14">
        <v>0.31</v>
      </c>
      <c r="T152" s="14">
        <v>0.31</v>
      </c>
      <c r="U152" s="14">
        <v>0.31</v>
      </c>
      <c r="V152" s="14">
        <v>0.31</v>
      </c>
    </row>
    <row r="153" spans="1:22" x14ac:dyDescent="0.2">
      <c r="A153">
        <f>Summary!A43</f>
        <v>27</v>
      </c>
      <c r="B153" t="s">
        <v>80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</row>
    <row r="154" spans="1:22" x14ac:dyDescent="0.2">
      <c r="A154">
        <f>Summary!A44</f>
        <v>28</v>
      </c>
      <c r="B154" t="s">
        <v>81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</row>
    <row r="155" spans="1:22" x14ac:dyDescent="0.2">
      <c r="A155">
        <f>Summary!A45</f>
        <v>29</v>
      </c>
      <c r="B155" t="s">
        <v>82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</row>
    <row r="156" spans="1:22" x14ac:dyDescent="0.2">
      <c r="A156">
        <f>Summary!A46</f>
        <v>30</v>
      </c>
      <c r="B156" t="s">
        <v>83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</row>
    <row r="157" spans="1:22" x14ac:dyDescent="0.2">
      <c r="A157">
        <f>Summary!A47</f>
        <v>31</v>
      </c>
      <c r="B157" t="s">
        <v>84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</row>
    <row r="158" spans="1:22" x14ac:dyDescent="0.2">
      <c r="A158">
        <f>Summary!A48</f>
        <v>32</v>
      </c>
      <c r="B158" t="s">
        <v>85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</row>
    <row r="159" spans="1:22" x14ac:dyDescent="0.2">
      <c r="A159">
        <f>Summary!A49</f>
        <v>33</v>
      </c>
      <c r="B159" t="s">
        <v>181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f t="shared" ref="I159:V159" si="1">H159</f>
        <v>0</v>
      </c>
      <c r="J159" s="14">
        <f t="shared" si="1"/>
        <v>0</v>
      </c>
      <c r="K159" s="14">
        <f t="shared" si="1"/>
        <v>0</v>
      </c>
      <c r="L159" s="14">
        <f t="shared" si="1"/>
        <v>0</v>
      </c>
      <c r="M159" s="14">
        <f t="shared" si="1"/>
        <v>0</v>
      </c>
      <c r="N159" s="14">
        <f t="shared" si="1"/>
        <v>0</v>
      </c>
      <c r="O159" s="14">
        <f t="shared" si="1"/>
        <v>0</v>
      </c>
      <c r="P159" s="14">
        <f t="shared" si="1"/>
        <v>0</v>
      </c>
      <c r="Q159" s="14">
        <f t="shared" si="1"/>
        <v>0</v>
      </c>
      <c r="R159" s="14">
        <f t="shared" si="1"/>
        <v>0</v>
      </c>
      <c r="S159" s="14">
        <f t="shared" si="1"/>
        <v>0</v>
      </c>
      <c r="T159" s="14">
        <f t="shared" si="1"/>
        <v>0</v>
      </c>
      <c r="U159" s="14">
        <f t="shared" si="1"/>
        <v>0</v>
      </c>
      <c r="V159" s="14">
        <f t="shared" si="1"/>
        <v>0</v>
      </c>
    </row>
    <row r="162" spans="1:24" x14ac:dyDescent="0.2">
      <c r="A162" s="13" t="s">
        <v>108</v>
      </c>
    </row>
    <row r="163" spans="1:24" x14ac:dyDescent="0.2">
      <c r="A163" s="77"/>
      <c r="W163" s="77" t="s">
        <v>301</v>
      </c>
    </row>
    <row r="164" spans="1:24" x14ac:dyDescent="0.2">
      <c r="C164" s="12">
        <v>2000</v>
      </c>
      <c r="D164" s="12">
        <v>2001</v>
      </c>
      <c r="E164" s="12">
        <v>2002</v>
      </c>
      <c r="F164" s="12">
        <v>2003</v>
      </c>
      <c r="G164" s="12">
        <v>2004</v>
      </c>
      <c r="H164" s="12">
        <v>2005</v>
      </c>
      <c r="I164" s="12">
        <v>2006</v>
      </c>
      <c r="J164" s="12">
        <v>2007</v>
      </c>
      <c r="K164" s="12">
        <v>2008</v>
      </c>
      <c r="L164" s="12">
        <v>2009</v>
      </c>
      <c r="M164" s="12">
        <v>2010</v>
      </c>
      <c r="N164" s="12">
        <v>2011</v>
      </c>
      <c r="O164" s="12">
        <v>2012</v>
      </c>
      <c r="P164" s="12">
        <v>2013</v>
      </c>
      <c r="Q164" s="12">
        <v>2014</v>
      </c>
      <c r="R164" s="12">
        <v>2015</v>
      </c>
      <c r="S164" s="12">
        <v>2016</v>
      </c>
      <c r="T164" s="12">
        <v>2017</v>
      </c>
      <c r="U164" s="12">
        <v>2018</v>
      </c>
      <c r="V164" s="12">
        <v>2019</v>
      </c>
      <c r="W164" s="12" t="s">
        <v>87</v>
      </c>
      <c r="X164" s="12" t="s">
        <v>302</v>
      </c>
    </row>
    <row r="166" spans="1:24" x14ac:dyDescent="0.2">
      <c r="A166">
        <f>Summary!A17</f>
        <v>1</v>
      </c>
      <c r="B166" t="s">
        <v>55</v>
      </c>
      <c r="C166" s="14">
        <v>0.48</v>
      </c>
      <c r="D166" s="14">
        <v>0.48</v>
      </c>
      <c r="E166" s="14">
        <v>0.48</v>
      </c>
      <c r="F166" s="14">
        <f>E166*(1-X166)</f>
        <v>7.2000000000000008E-2</v>
      </c>
      <c r="G166" s="14">
        <f t="shared" ref="G166:G198" si="2">F166</f>
        <v>7.2000000000000008E-2</v>
      </c>
      <c r="H166" s="14">
        <f t="shared" ref="H166:V166" si="3">G166</f>
        <v>7.2000000000000008E-2</v>
      </c>
      <c r="I166" s="14">
        <f t="shared" si="3"/>
        <v>7.2000000000000008E-2</v>
      </c>
      <c r="J166" s="14">
        <f t="shared" si="3"/>
        <v>7.2000000000000008E-2</v>
      </c>
      <c r="K166" s="14">
        <f t="shared" si="3"/>
        <v>7.2000000000000008E-2</v>
      </c>
      <c r="L166" s="14">
        <f t="shared" si="3"/>
        <v>7.2000000000000008E-2</v>
      </c>
      <c r="M166" s="14">
        <f t="shared" si="3"/>
        <v>7.2000000000000008E-2</v>
      </c>
      <c r="N166" s="14">
        <f t="shared" si="3"/>
        <v>7.2000000000000008E-2</v>
      </c>
      <c r="O166" s="14">
        <f t="shared" si="3"/>
        <v>7.2000000000000008E-2</v>
      </c>
      <c r="P166" s="14">
        <f t="shared" si="3"/>
        <v>7.2000000000000008E-2</v>
      </c>
      <c r="Q166" s="14">
        <f t="shared" si="3"/>
        <v>7.2000000000000008E-2</v>
      </c>
      <c r="R166" s="14">
        <f t="shared" si="3"/>
        <v>7.2000000000000008E-2</v>
      </c>
      <c r="S166" s="14">
        <f t="shared" si="3"/>
        <v>7.2000000000000008E-2</v>
      </c>
      <c r="T166" s="14">
        <f t="shared" si="3"/>
        <v>7.2000000000000008E-2</v>
      </c>
      <c r="U166" s="14">
        <f t="shared" si="3"/>
        <v>7.2000000000000008E-2</v>
      </c>
      <c r="V166" s="14">
        <f t="shared" si="3"/>
        <v>7.2000000000000008E-2</v>
      </c>
      <c r="W166" s="449" t="s">
        <v>296</v>
      </c>
      <c r="X166" s="450">
        <v>0.85</v>
      </c>
    </row>
    <row r="167" spans="1:24" x14ac:dyDescent="0.2">
      <c r="A167">
        <f>Summary!A18</f>
        <v>2</v>
      </c>
      <c r="B167" t="s">
        <v>56</v>
      </c>
      <c r="C167" s="14">
        <v>0.36</v>
      </c>
      <c r="D167" s="14">
        <v>0.36</v>
      </c>
      <c r="E167" s="14">
        <v>0.36</v>
      </c>
      <c r="F167" s="14">
        <f t="shared" ref="F167:F198" si="4">E167*(1-X167)</f>
        <v>5.4000000000000006E-2</v>
      </c>
      <c r="G167" s="14">
        <f t="shared" si="2"/>
        <v>5.4000000000000006E-2</v>
      </c>
      <c r="H167" s="14">
        <f t="shared" ref="H167:V167" si="5">G167</f>
        <v>5.4000000000000006E-2</v>
      </c>
      <c r="I167" s="14">
        <f t="shared" si="5"/>
        <v>5.4000000000000006E-2</v>
      </c>
      <c r="J167" s="14">
        <f t="shared" si="5"/>
        <v>5.4000000000000006E-2</v>
      </c>
      <c r="K167" s="14">
        <f t="shared" si="5"/>
        <v>5.4000000000000006E-2</v>
      </c>
      <c r="L167" s="14">
        <f t="shared" si="5"/>
        <v>5.4000000000000006E-2</v>
      </c>
      <c r="M167" s="14">
        <f t="shared" si="5"/>
        <v>5.4000000000000006E-2</v>
      </c>
      <c r="N167" s="14">
        <f t="shared" si="5"/>
        <v>5.4000000000000006E-2</v>
      </c>
      <c r="O167" s="14">
        <f t="shared" si="5"/>
        <v>5.4000000000000006E-2</v>
      </c>
      <c r="P167" s="14">
        <f t="shared" si="5"/>
        <v>5.4000000000000006E-2</v>
      </c>
      <c r="Q167" s="14">
        <f t="shared" si="5"/>
        <v>5.4000000000000006E-2</v>
      </c>
      <c r="R167" s="14">
        <f t="shared" si="5"/>
        <v>5.4000000000000006E-2</v>
      </c>
      <c r="S167" s="14">
        <f t="shared" si="5"/>
        <v>5.4000000000000006E-2</v>
      </c>
      <c r="T167" s="14">
        <f t="shared" si="5"/>
        <v>5.4000000000000006E-2</v>
      </c>
      <c r="U167" s="14">
        <f t="shared" si="5"/>
        <v>5.4000000000000006E-2</v>
      </c>
      <c r="V167" s="14">
        <f t="shared" si="5"/>
        <v>5.4000000000000006E-2</v>
      </c>
      <c r="W167" s="449" t="s">
        <v>297</v>
      </c>
      <c r="X167" s="450">
        <v>0.85</v>
      </c>
    </row>
    <row r="168" spans="1:24" x14ac:dyDescent="0.2">
      <c r="A168">
        <f>Summary!A19</f>
        <v>3</v>
      </c>
      <c r="B168" s="9" t="s">
        <v>57</v>
      </c>
      <c r="C168" s="14">
        <v>0.68</v>
      </c>
      <c r="D168" s="14">
        <v>0.68</v>
      </c>
      <c r="E168" s="14">
        <v>0.68</v>
      </c>
      <c r="F168" s="14">
        <f t="shared" si="4"/>
        <v>0.10200000000000002</v>
      </c>
      <c r="G168" s="14">
        <f t="shared" si="2"/>
        <v>0.10200000000000002</v>
      </c>
      <c r="H168" s="14">
        <f t="shared" ref="H168:V168" si="6">G168</f>
        <v>0.10200000000000002</v>
      </c>
      <c r="I168" s="14">
        <f t="shared" si="6"/>
        <v>0.10200000000000002</v>
      </c>
      <c r="J168" s="14">
        <f t="shared" si="6"/>
        <v>0.10200000000000002</v>
      </c>
      <c r="K168" s="14">
        <f t="shared" si="6"/>
        <v>0.10200000000000002</v>
      </c>
      <c r="L168" s="14">
        <f t="shared" si="6"/>
        <v>0.10200000000000002</v>
      </c>
      <c r="M168" s="14">
        <f t="shared" si="6"/>
        <v>0.10200000000000002</v>
      </c>
      <c r="N168" s="14">
        <f t="shared" si="6"/>
        <v>0.10200000000000002</v>
      </c>
      <c r="O168" s="14">
        <f t="shared" si="6"/>
        <v>0.10200000000000002</v>
      </c>
      <c r="P168" s="14">
        <f t="shared" si="6"/>
        <v>0.10200000000000002</v>
      </c>
      <c r="Q168" s="14">
        <f t="shared" si="6"/>
        <v>0.10200000000000002</v>
      </c>
      <c r="R168" s="14">
        <f t="shared" si="6"/>
        <v>0.10200000000000002</v>
      </c>
      <c r="S168" s="14">
        <f t="shared" si="6"/>
        <v>0.10200000000000002</v>
      </c>
      <c r="T168" s="14">
        <f t="shared" si="6"/>
        <v>0.10200000000000002</v>
      </c>
      <c r="U168" s="14">
        <f t="shared" si="6"/>
        <v>0.10200000000000002</v>
      </c>
      <c r="V168" s="14">
        <f t="shared" si="6"/>
        <v>0.10200000000000002</v>
      </c>
      <c r="W168" s="449" t="s">
        <v>296</v>
      </c>
      <c r="X168" s="450">
        <v>0.85</v>
      </c>
    </row>
    <row r="169" spans="1:24" x14ac:dyDescent="0.2">
      <c r="A169">
        <f>Summary!A20</f>
        <v>4</v>
      </c>
      <c r="B169" s="9" t="s">
        <v>58</v>
      </c>
      <c r="C169" s="14">
        <v>0.68</v>
      </c>
      <c r="D169" s="14">
        <v>0.68</v>
      </c>
      <c r="E169" s="14">
        <v>0.68</v>
      </c>
      <c r="F169" s="14">
        <f t="shared" si="4"/>
        <v>0.10200000000000002</v>
      </c>
      <c r="G169" s="14">
        <f t="shared" si="2"/>
        <v>0.10200000000000002</v>
      </c>
      <c r="H169" s="14">
        <f t="shared" ref="H169:V169" si="7">G169</f>
        <v>0.10200000000000002</v>
      </c>
      <c r="I169" s="14">
        <f t="shared" si="7"/>
        <v>0.10200000000000002</v>
      </c>
      <c r="J169" s="14">
        <f t="shared" si="7"/>
        <v>0.10200000000000002</v>
      </c>
      <c r="K169" s="14">
        <f t="shared" si="7"/>
        <v>0.10200000000000002</v>
      </c>
      <c r="L169" s="14">
        <f t="shared" si="7"/>
        <v>0.10200000000000002</v>
      </c>
      <c r="M169" s="14">
        <f t="shared" si="7"/>
        <v>0.10200000000000002</v>
      </c>
      <c r="N169" s="14">
        <f t="shared" si="7"/>
        <v>0.10200000000000002</v>
      </c>
      <c r="O169" s="14">
        <f t="shared" si="7"/>
        <v>0.10200000000000002</v>
      </c>
      <c r="P169" s="14">
        <f t="shared" si="7"/>
        <v>0.10200000000000002</v>
      </c>
      <c r="Q169" s="14">
        <f t="shared" si="7"/>
        <v>0.10200000000000002</v>
      </c>
      <c r="R169" s="14">
        <f t="shared" si="7"/>
        <v>0.10200000000000002</v>
      </c>
      <c r="S169" s="14">
        <f t="shared" si="7"/>
        <v>0.10200000000000002</v>
      </c>
      <c r="T169" s="14">
        <f t="shared" si="7"/>
        <v>0.10200000000000002</v>
      </c>
      <c r="U169" s="14">
        <f t="shared" si="7"/>
        <v>0.10200000000000002</v>
      </c>
      <c r="V169" s="14">
        <f t="shared" si="7"/>
        <v>0.10200000000000002</v>
      </c>
      <c r="W169" s="449" t="s">
        <v>296</v>
      </c>
      <c r="X169" s="450">
        <v>0.85</v>
      </c>
    </row>
    <row r="170" spans="1:24" x14ac:dyDescent="0.2">
      <c r="A170">
        <f>Summary!A21</f>
        <v>5</v>
      </c>
      <c r="B170" s="9" t="s">
        <v>59</v>
      </c>
      <c r="C170" s="14">
        <v>0.68</v>
      </c>
      <c r="D170" s="14">
        <v>0.68</v>
      </c>
      <c r="E170" s="14">
        <v>0.68</v>
      </c>
      <c r="F170" s="14">
        <f t="shared" si="4"/>
        <v>0.10200000000000002</v>
      </c>
      <c r="G170" s="14">
        <f t="shared" si="2"/>
        <v>0.10200000000000002</v>
      </c>
      <c r="H170" s="14">
        <f t="shared" ref="H170:V170" si="8">G170</f>
        <v>0.10200000000000002</v>
      </c>
      <c r="I170" s="14">
        <f t="shared" si="8"/>
        <v>0.10200000000000002</v>
      </c>
      <c r="J170" s="14">
        <f t="shared" si="8"/>
        <v>0.10200000000000002</v>
      </c>
      <c r="K170" s="14">
        <f t="shared" si="8"/>
        <v>0.10200000000000002</v>
      </c>
      <c r="L170" s="14">
        <f t="shared" si="8"/>
        <v>0.10200000000000002</v>
      </c>
      <c r="M170" s="14">
        <f t="shared" si="8"/>
        <v>0.10200000000000002</v>
      </c>
      <c r="N170" s="14">
        <f t="shared" si="8"/>
        <v>0.10200000000000002</v>
      </c>
      <c r="O170" s="14">
        <f t="shared" si="8"/>
        <v>0.10200000000000002</v>
      </c>
      <c r="P170" s="14">
        <f t="shared" si="8"/>
        <v>0.10200000000000002</v>
      </c>
      <c r="Q170" s="14">
        <f t="shared" si="8"/>
        <v>0.10200000000000002</v>
      </c>
      <c r="R170" s="14">
        <f t="shared" si="8"/>
        <v>0.10200000000000002</v>
      </c>
      <c r="S170" s="14">
        <f t="shared" si="8"/>
        <v>0.10200000000000002</v>
      </c>
      <c r="T170" s="14">
        <f t="shared" si="8"/>
        <v>0.10200000000000002</v>
      </c>
      <c r="U170" s="14">
        <f t="shared" si="8"/>
        <v>0.10200000000000002</v>
      </c>
      <c r="V170" s="14">
        <f t="shared" si="8"/>
        <v>0.10200000000000002</v>
      </c>
      <c r="W170" s="449" t="s">
        <v>296</v>
      </c>
      <c r="X170" s="450">
        <v>0.85</v>
      </c>
    </row>
    <row r="171" spans="1:24" x14ac:dyDescent="0.2">
      <c r="A171">
        <f>Summary!A22</f>
        <v>6</v>
      </c>
      <c r="B171" s="9" t="s">
        <v>60</v>
      </c>
      <c r="C171" s="14">
        <v>0.68</v>
      </c>
      <c r="D171" s="14">
        <v>0.68</v>
      </c>
      <c r="E171" s="14">
        <v>0.68</v>
      </c>
      <c r="F171" s="14">
        <f t="shared" si="4"/>
        <v>0.10200000000000002</v>
      </c>
      <c r="G171" s="14">
        <f t="shared" si="2"/>
        <v>0.10200000000000002</v>
      </c>
      <c r="H171" s="14">
        <f t="shared" ref="H171:V171" si="9">G171</f>
        <v>0.10200000000000002</v>
      </c>
      <c r="I171" s="14">
        <f t="shared" si="9"/>
        <v>0.10200000000000002</v>
      </c>
      <c r="J171" s="14">
        <f t="shared" si="9"/>
        <v>0.10200000000000002</v>
      </c>
      <c r="K171" s="14">
        <f t="shared" si="9"/>
        <v>0.10200000000000002</v>
      </c>
      <c r="L171" s="14">
        <f t="shared" si="9"/>
        <v>0.10200000000000002</v>
      </c>
      <c r="M171" s="14">
        <f t="shared" si="9"/>
        <v>0.10200000000000002</v>
      </c>
      <c r="N171" s="14">
        <f t="shared" si="9"/>
        <v>0.10200000000000002</v>
      </c>
      <c r="O171" s="14">
        <f t="shared" si="9"/>
        <v>0.10200000000000002</v>
      </c>
      <c r="P171" s="14">
        <f t="shared" si="9"/>
        <v>0.10200000000000002</v>
      </c>
      <c r="Q171" s="14">
        <f t="shared" si="9"/>
        <v>0.10200000000000002</v>
      </c>
      <c r="R171" s="14">
        <f t="shared" si="9"/>
        <v>0.10200000000000002</v>
      </c>
      <c r="S171" s="14">
        <f t="shared" si="9"/>
        <v>0.10200000000000002</v>
      </c>
      <c r="T171" s="14">
        <f t="shared" si="9"/>
        <v>0.10200000000000002</v>
      </c>
      <c r="U171" s="14">
        <f t="shared" si="9"/>
        <v>0.10200000000000002</v>
      </c>
      <c r="V171" s="14">
        <f t="shared" si="9"/>
        <v>0.10200000000000002</v>
      </c>
      <c r="W171" s="449" t="s">
        <v>296</v>
      </c>
      <c r="X171" s="450">
        <v>0.85</v>
      </c>
    </row>
    <row r="172" spans="1:24" x14ac:dyDescent="0.2">
      <c r="A172">
        <f>Summary!A23</f>
        <v>7</v>
      </c>
      <c r="B172" t="s">
        <v>61</v>
      </c>
      <c r="C172" s="14">
        <v>0.46</v>
      </c>
      <c r="D172" s="14">
        <v>0.46</v>
      </c>
      <c r="E172" s="14">
        <v>0.46</v>
      </c>
      <c r="F172" s="14">
        <f t="shared" si="4"/>
        <v>6.900000000000002E-2</v>
      </c>
      <c r="G172" s="14">
        <f t="shared" si="2"/>
        <v>6.900000000000002E-2</v>
      </c>
      <c r="H172" s="14">
        <f t="shared" ref="H172:V172" si="10">G172</f>
        <v>6.900000000000002E-2</v>
      </c>
      <c r="I172" s="14">
        <f t="shared" si="10"/>
        <v>6.900000000000002E-2</v>
      </c>
      <c r="J172" s="14">
        <f t="shared" si="10"/>
        <v>6.900000000000002E-2</v>
      </c>
      <c r="K172" s="14">
        <f t="shared" si="10"/>
        <v>6.900000000000002E-2</v>
      </c>
      <c r="L172" s="14">
        <f t="shared" si="10"/>
        <v>6.900000000000002E-2</v>
      </c>
      <c r="M172" s="14">
        <f t="shared" si="10"/>
        <v>6.900000000000002E-2</v>
      </c>
      <c r="N172" s="14">
        <f t="shared" si="10"/>
        <v>6.900000000000002E-2</v>
      </c>
      <c r="O172" s="14">
        <f t="shared" si="10"/>
        <v>6.900000000000002E-2</v>
      </c>
      <c r="P172" s="14">
        <f t="shared" si="10"/>
        <v>6.900000000000002E-2</v>
      </c>
      <c r="Q172" s="14">
        <f t="shared" si="10"/>
        <v>6.900000000000002E-2</v>
      </c>
      <c r="R172" s="14">
        <f t="shared" si="10"/>
        <v>6.900000000000002E-2</v>
      </c>
      <c r="S172" s="14">
        <f t="shared" si="10"/>
        <v>6.900000000000002E-2</v>
      </c>
      <c r="T172" s="14">
        <f t="shared" si="10"/>
        <v>6.900000000000002E-2</v>
      </c>
      <c r="U172" s="14">
        <f t="shared" si="10"/>
        <v>6.900000000000002E-2</v>
      </c>
      <c r="V172" s="14">
        <f t="shared" si="10"/>
        <v>6.900000000000002E-2</v>
      </c>
      <c r="W172" s="449" t="s">
        <v>296</v>
      </c>
      <c r="X172" s="450">
        <v>0.85</v>
      </c>
    </row>
    <row r="173" spans="1:24" x14ac:dyDescent="0.2">
      <c r="A173">
        <f>Summary!A24</f>
        <v>8</v>
      </c>
      <c r="B173" t="s">
        <v>62</v>
      </c>
      <c r="C173" s="14">
        <v>0.9</v>
      </c>
      <c r="D173" s="14">
        <v>0.9</v>
      </c>
      <c r="E173" s="14">
        <v>0.9</v>
      </c>
      <c r="F173" s="14">
        <f t="shared" si="4"/>
        <v>0.9</v>
      </c>
      <c r="G173" s="14">
        <f t="shared" si="2"/>
        <v>0.9</v>
      </c>
      <c r="H173" s="14">
        <f t="shared" ref="H173:V173" si="11">G173</f>
        <v>0.9</v>
      </c>
      <c r="I173" s="14">
        <f t="shared" si="11"/>
        <v>0.9</v>
      </c>
      <c r="J173" s="14">
        <f t="shared" si="11"/>
        <v>0.9</v>
      </c>
      <c r="K173" s="14">
        <f t="shared" si="11"/>
        <v>0.9</v>
      </c>
      <c r="L173" s="14">
        <f t="shared" si="11"/>
        <v>0.9</v>
      </c>
      <c r="M173" s="14">
        <f t="shared" si="11"/>
        <v>0.9</v>
      </c>
      <c r="N173" s="14">
        <f t="shared" si="11"/>
        <v>0.9</v>
      </c>
      <c r="O173" s="14">
        <f t="shared" si="11"/>
        <v>0.9</v>
      </c>
      <c r="P173" s="14">
        <f t="shared" si="11"/>
        <v>0.9</v>
      </c>
      <c r="Q173" s="14">
        <f t="shared" si="11"/>
        <v>0.9</v>
      </c>
      <c r="R173" s="14">
        <f t="shared" si="11"/>
        <v>0.9</v>
      </c>
      <c r="S173" s="14">
        <f t="shared" si="11"/>
        <v>0.9</v>
      </c>
      <c r="T173" s="14">
        <f t="shared" si="11"/>
        <v>0.9</v>
      </c>
      <c r="U173" s="14">
        <f t="shared" si="11"/>
        <v>0.9</v>
      </c>
      <c r="V173" s="14">
        <f t="shared" si="11"/>
        <v>0.9</v>
      </c>
      <c r="W173" s="449"/>
      <c r="X173" s="450"/>
    </row>
    <row r="174" spans="1:24" x14ac:dyDescent="0.2">
      <c r="A174">
        <f>Summary!A25</f>
        <v>9</v>
      </c>
      <c r="B174" t="s">
        <v>63</v>
      </c>
      <c r="C174" s="14">
        <v>0.32</v>
      </c>
      <c r="D174" s="14">
        <v>0.32</v>
      </c>
      <c r="E174" s="14">
        <v>0.32</v>
      </c>
      <c r="F174" s="14">
        <f t="shared" si="4"/>
        <v>0.08</v>
      </c>
      <c r="G174" s="14">
        <f t="shared" si="2"/>
        <v>0.08</v>
      </c>
      <c r="H174" s="14">
        <f t="shared" ref="H174:V174" si="12">G174</f>
        <v>0.08</v>
      </c>
      <c r="I174" s="14">
        <f t="shared" si="12"/>
        <v>0.08</v>
      </c>
      <c r="J174" s="14">
        <f t="shared" si="12"/>
        <v>0.08</v>
      </c>
      <c r="K174" s="14">
        <f t="shared" si="12"/>
        <v>0.08</v>
      </c>
      <c r="L174" s="14">
        <f t="shared" si="12"/>
        <v>0.08</v>
      </c>
      <c r="M174" s="14">
        <f t="shared" si="12"/>
        <v>0.08</v>
      </c>
      <c r="N174" s="14">
        <f t="shared" si="12"/>
        <v>0.08</v>
      </c>
      <c r="O174" s="14">
        <f t="shared" si="12"/>
        <v>0.08</v>
      </c>
      <c r="P174" s="14">
        <f t="shared" si="12"/>
        <v>0.08</v>
      </c>
      <c r="Q174" s="14">
        <f t="shared" si="12"/>
        <v>0.08</v>
      </c>
      <c r="R174" s="14">
        <f t="shared" si="12"/>
        <v>0.08</v>
      </c>
      <c r="S174" s="14">
        <f t="shared" si="12"/>
        <v>0.08</v>
      </c>
      <c r="T174" s="14">
        <f t="shared" si="12"/>
        <v>0.08</v>
      </c>
      <c r="U174" s="14">
        <f t="shared" si="12"/>
        <v>0.08</v>
      </c>
      <c r="V174" s="14">
        <f t="shared" si="12"/>
        <v>0.08</v>
      </c>
      <c r="W174" s="449" t="s">
        <v>298</v>
      </c>
      <c r="X174" s="450">
        <v>0.75</v>
      </c>
    </row>
    <row r="175" spans="1:24" x14ac:dyDescent="0.2">
      <c r="A175">
        <f>Summary!A26</f>
        <v>10</v>
      </c>
      <c r="B175" t="s">
        <v>64</v>
      </c>
      <c r="C175" s="14">
        <v>0.5</v>
      </c>
      <c r="D175" s="14">
        <v>0.5</v>
      </c>
      <c r="E175" s="14">
        <v>0.5</v>
      </c>
      <c r="F175" s="14">
        <f t="shared" si="4"/>
        <v>7.5000000000000011E-2</v>
      </c>
      <c r="G175" s="14">
        <f t="shared" si="2"/>
        <v>7.5000000000000011E-2</v>
      </c>
      <c r="H175" s="14">
        <f t="shared" ref="H175:V175" si="13">G175</f>
        <v>7.5000000000000011E-2</v>
      </c>
      <c r="I175" s="14">
        <f t="shared" si="13"/>
        <v>7.5000000000000011E-2</v>
      </c>
      <c r="J175" s="14">
        <f t="shared" si="13"/>
        <v>7.5000000000000011E-2</v>
      </c>
      <c r="K175" s="14">
        <f t="shared" si="13"/>
        <v>7.5000000000000011E-2</v>
      </c>
      <c r="L175" s="14">
        <f t="shared" si="13"/>
        <v>7.5000000000000011E-2</v>
      </c>
      <c r="M175" s="14">
        <f t="shared" si="13"/>
        <v>7.5000000000000011E-2</v>
      </c>
      <c r="N175" s="14">
        <f t="shared" si="13"/>
        <v>7.5000000000000011E-2</v>
      </c>
      <c r="O175" s="14">
        <f t="shared" si="13"/>
        <v>7.5000000000000011E-2</v>
      </c>
      <c r="P175" s="14">
        <f t="shared" si="13"/>
        <v>7.5000000000000011E-2</v>
      </c>
      <c r="Q175" s="14">
        <f t="shared" si="13"/>
        <v>7.5000000000000011E-2</v>
      </c>
      <c r="R175" s="14">
        <f t="shared" si="13"/>
        <v>7.5000000000000011E-2</v>
      </c>
      <c r="S175" s="14">
        <f t="shared" si="13"/>
        <v>7.5000000000000011E-2</v>
      </c>
      <c r="T175" s="14">
        <f t="shared" si="13"/>
        <v>7.5000000000000011E-2</v>
      </c>
      <c r="U175" s="14">
        <f t="shared" si="13"/>
        <v>7.5000000000000011E-2</v>
      </c>
      <c r="V175" s="14">
        <f t="shared" si="13"/>
        <v>7.5000000000000011E-2</v>
      </c>
      <c r="W175" s="449" t="s">
        <v>297</v>
      </c>
      <c r="X175" s="450">
        <v>0.85</v>
      </c>
    </row>
    <row r="176" spans="1:24" x14ac:dyDescent="0.2">
      <c r="A176">
        <f>Summary!A27</f>
        <v>11</v>
      </c>
      <c r="B176" t="s">
        <v>65</v>
      </c>
      <c r="C176" s="14">
        <v>0.49</v>
      </c>
      <c r="D176" s="14">
        <v>0.49</v>
      </c>
      <c r="E176" s="14">
        <v>0.49</v>
      </c>
      <c r="F176" s="14">
        <f t="shared" si="4"/>
        <v>7.350000000000001E-2</v>
      </c>
      <c r="G176" s="14">
        <f t="shared" si="2"/>
        <v>7.350000000000001E-2</v>
      </c>
      <c r="H176" s="14">
        <f t="shared" ref="H176:V176" si="14">G176</f>
        <v>7.350000000000001E-2</v>
      </c>
      <c r="I176" s="14">
        <f t="shared" si="14"/>
        <v>7.350000000000001E-2</v>
      </c>
      <c r="J176" s="14">
        <f t="shared" si="14"/>
        <v>7.350000000000001E-2</v>
      </c>
      <c r="K176" s="14">
        <f t="shared" si="14"/>
        <v>7.350000000000001E-2</v>
      </c>
      <c r="L176" s="14">
        <f t="shared" si="14"/>
        <v>7.350000000000001E-2</v>
      </c>
      <c r="M176" s="14">
        <f t="shared" si="14"/>
        <v>7.350000000000001E-2</v>
      </c>
      <c r="N176" s="14">
        <f t="shared" si="14"/>
        <v>7.350000000000001E-2</v>
      </c>
      <c r="O176" s="14">
        <f t="shared" si="14"/>
        <v>7.350000000000001E-2</v>
      </c>
      <c r="P176" s="14">
        <f t="shared" si="14"/>
        <v>7.350000000000001E-2</v>
      </c>
      <c r="Q176" s="14">
        <f t="shared" si="14"/>
        <v>7.350000000000001E-2</v>
      </c>
      <c r="R176" s="14">
        <f t="shared" si="14"/>
        <v>7.350000000000001E-2</v>
      </c>
      <c r="S176" s="14">
        <f t="shared" si="14"/>
        <v>7.350000000000001E-2</v>
      </c>
      <c r="T176" s="14">
        <f t="shared" si="14"/>
        <v>7.350000000000001E-2</v>
      </c>
      <c r="U176" s="14">
        <f t="shared" si="14"/>
        <v>7.350000000000001E-2</v>
      </c>
      <c r="V176" s="14">
        <f t="shared" si="14"/>
        <v>7.350000000000001E-2</v>
      </c>
      <c r="W176" s="449" t="s">
        <v>297</v>
      </c>
      <c r="X176" s="450">
        <v>0.85</v>
      </c>
    </row>
    <row r="177" spans="1:24" x14ac:dyDescent="0.2">
      <c r="A177">
        <f>Summary!A28</f>
        <v>12</v>
      </c>
      <c r="B177" t="s">
        <v>66</v>
      </c>
      <c r="C177" s="14">
        <v>0.32</v>
      </c>
      <c r="D177" s="14">
        <v>0.32</v>
      </c>
      <c r="E177" s="14">
        <v>0.32</v>
      </c>
      <c r="F177" s="14">
        <f t="shared" si="4"/>
        <v>0.32</v>
      </c>
      <c r="G177" s="14">
        <f t="shared" si="2"/>
        <v>0.32</v>
      </c>
      <c r="H177" s="14">
        <f t="shared" ref="H177:V177" si="15">G177</f>
        <v>0.32</v>
      </c>
      <c r="I177" s="14">
        <f t="shared" si="15"/>
        <v>0.32</v>
      </c>
      <c r="J177" s="14">
        <f t="shared" si="15"/>
        <v>0.32</v>
      </c>
      <c r="K177" s="14">
        <f t="shared" si="15"/>
        <v>0.32</v>
      </c>
      <c r="L177" s="14">
        <f t="shared" si="15"/>
        <v>0.32</v>
      </c>
      <c r="M177" s="14">
        <f t="shared" si="15"/>
        <v>0.32</v>
      </c>
      <c r="N177" s="14">
        <f t="shared" si="15"/>
        <v>0.32</v>
      </c>
      <c r="O177" s="14">
        <f t="shared" si="15"/>
        <v>0.32</v>
      </c>
      <c r="P177" s="14">
        <f t="shared" si="15"/>
        <v>0.32</v>
      </c>
      <c r="Q177" s="14">
        <f t="shared" si="15"/>
        <v>0.32</v>
      </c>
      <c r="R177" s="14">
        <f t="shared" si="15"/>
        <v>0.32</v>
      </c>
      <c r="S177" s="14">
        <f t="shared" si="15"/>
        <v>0.32</v>
      </c>
      <c r="T177" s="14">
        <f t="shared" si="15"/>
        <v>0.32</v>
      </c>
      <c r="U177" s="14">
        <f t="shared" si="15"/>
        <v>0.32</v>
      </c>
      <c r="V177" s="14">
        <f t="shared" si="15"/>
        <v>0.32</v>
      </c>
      <c r="W177" s="449"/>
      <c r="X177" s="450"/>
    </row>
    <row r="178" spans="1:24" x14ac:dyDescent="0.2">
      <c r="A178">
        <f>Summary!A29</f>
        <v>13</v>
      </c>
      <c r="B178" t="s">
        <v>67</v>
      </c>
      <c r="C178" s="14">
        <v>0.32</v>
      </c>
      <c r="D178" s="14">
        <v>0.32</v>
      </c>
      <c r="E178" s="14">
        <v>0.32</v>
      </c>
      <c r="F178" s="14">
        <f t="shared" si="4"/>
        <v>0.32</v>
      </c>
      <c r="G178" s="14">
        <f t="shared" si="2"/>
        <v>0.32</v>
      </c>
      <c r="H178" s="14">
        <f t="shared" ref="H178:V178" si="16">G178</f>
        <v>0.32</v>
      </c>
      <c r="I178" s="14">
        <f t="shared" si="16"/>
        <v>0.32</v>
      </c>
      <c r="J178" s="14">
        <f t="shared" si="16"/>
        <v>0.32</v>
      </c>
      <c r="K178" s="14">
        <f t="shared" si="16"/>
        <v>0.32</v>
      </c>
      <c r="L178" s="14">
        <f t="shared" si="16"/>
        <v>0.32</v>
      </c>
      <c r="M178" s="14">
        <f t="shared" si="16"/>
        <v>0.32</v>
      </c>
      <c r="N178" s="14">
        <f t="shared" si="16"/>
        <v>0.32</v>
      </c>
      <c r="O178" s="14">
        <f t="shared" si="16"/>
        <v>0.32</v>
      </c>
      <c r="P178" s="14">
        <f t="shared" si="16"/>
        <v>0.32</v>
      </c>
      <c r="Q178" s="14">
        <f t="shared" si="16"/>
        <v>0.32</v>
      </c>
      <c r="R178" s="14">
        <f t="shared" si="16"/>
        <v>0.32</v>
      </c>
      <c r="S178" s="14">
        <f t="shared" si="16"/>
        <v>0.32</v>
      </c>
      <c r="T178" s="14">
        <f t="shared" si="16"/>
        <v>0.32</v>
      </c>
      <c r="U178" s="14">
        <f t="shared" si="16"/>
        <v>0.32</v>
      </c>
      <c r="V178" s="14">
        <f t="shared" si="16"/>
        <v>0.32</v>
      </c>
      <c r="W178" s="449"/>
      <c r="X178" s="450"/>
    </row>
    <row r="179" spans="1:24" x14ac:dyDescent="0.2">
      <c r="A179">
        <f>Summary!A30</f>
        <v>14</v>
      </c>
      <c r="B179" t="s">
        <v>70</v>
      </c>
      <c r="C179" s="14">
        <v>0.32</v>
      </c>
      <c r="D179" s="14">
        <v>0.32</v>
      </c>
      <c r="E179" s="14">
        <v>0.32</v>
      </c>
      <c r="F179" s="14">
        <f t="shared" si="4"/>
        <v>0.28800000000000003</v>
      </c>
      <c r="G179" s="14">
        <f t="shared" si="2"/>
        <v>0.28800000000000003</v>
      </c>
      <c r="H179" s="14">
        <f t="shared" ref="H179:V179" si="17">G179</f>
        <v>0.28800000000000003</v>
      </c>
      <c r="I179" s="14">
        <f t="shared" si="17"/>
        <v>0.28800000000000003</v>
      </c>
      <c r="J179" s="14">
        <f t="shared" si="17"/>
        <v>0.28800000000000003</v>
      </c>
      <c r="K179" s="14">
        <f t="shared" si="17"/>
        <v>0.28800000000000003</v>
      </c>
      <c r="L179" s="14">
        <f t="shared" si="17"/>
        <v>0.28800000000000003</v>
      </c>
      <c r="M179" s="14">
        <f t="shared" si="17"/>
        <v>0.28800000000000003</v>
      </c>
      <c r="N179" s="14">
        <f t="shared" si="17"/>
        <v>0.28800000000000003</v>
      </c>
      <c r="O179" s="14">
        <f t="shared" si="17"/>
        <v>0.28800000000000003</v>
      </c>
      <c r="P179" s="14">
        <f t="shared" si="17"/>
        <v>0.28800000000000003</v>
      </c>
      <c r="Q179" s="14">
        <f t="shared" si="17"/>
        <v>0.28800000000000003</v>
      </c>
      <c r="R179" s="14">
        <f t="shared" si="17"/>
        <v>0.28800000000000003</v>
      </c>
      <c r="S179" s="14">
        <f t="shared" si="17"/>
        <v>0.28800000000000003</v>
      </c>
      <c r="T179" s="14">
        <f t="shared" si="17"/>
        <v>0.28800000000000003</v>
      </c>
      <c r="U179" s="14">
        <f t="shared" si="17"/>
        <v>0.28800000000000003</v>
      </c>
      <c r="V179" s="14">
        <f t="shared" si="17"/>
        <v>0.28800000000000003</v>
      </c>
      <c r="W179" s="449" t="s">
        <v>299</v>
      </c>
      <c r="X179" s="450">
        <v>0.1</v>
      </c>
    </row>
    <row r="180" spans="1:24" x14ac:dyDescent="0.2">
      <c r="A180">
        <f>Summary!A31</f>
        <v>15</v>
      </c>
      <c r="B180" t="s">
        <v>68</v>
      </c>
      <c r="C180" s="14">
        <v>0.32</v>
      </c>
      <c r="D180" s="14">
        <v>0.32</v>
      </c>
      <c r="E180" s="14">
        <v>0.32</v>
      </c>
      <c r="F180" s="14">
        <f t="shared" si="4"/>
        <v>0.16640000000000002</v>
      </c>
      <c r="G180" s="14">
        <f t="shared" si="2"/>
        <v>0.16640000000000002</v>
      </c>
      <c r="H180" s="14">
        <f t="shared" ref="H180:V180" si="18">G180</f>
        <v>0.16640000000000002</v>
      </c>
      <c r="I180" s="14">
        <f t="shared" si="18"/>
        <v>0.16640000000000002</v>
      </c>
      <c r="J180" s="14">
        <f t="shared" si="18"/>
        <v>0.16640000000000002</v>
      </c>
      <c r="K180" s="14">
        <f t="shared" si="18"/>
        <v>0.16640000000000002</v>
      </c>
      <c r="L180" s="14">
        <f t="shared" si="18"/>
        <v>0.16640000000000002</v>
      </c>
      <c r="M180" s="14">
        <f t="shared" si="18"/>
        <v>0.16640000000000002</v>
      </c>
      <c r="N180" s="14">
        <f t="shared" si="18"/>
        <v>0.16640000000000002</v>
      </c>
      <c r="O180" s="14">
        <f t="shared" si="18"/>
        <v>0.16640000000000002</v>
      </c>
      <c r="P180" s="14">
        <f t="shared" si="18"/>
        <v>0.16640000000000002</v>
      </c>
      <c r="Q180" s="14">
        <f t="shared" si="18"/>
        <v>0.16640000000000002</v>
      </c>
      <c r="R180" s="14">
        <f t="shared" si="18"/>
        <v>0.16640000000000002</v>
      </c>
      <c r="S180" s="14">
        <f t="shared" si="18"/>
        <v>0.16640000000000002</v>
      </c>
      <c r="T180" s="14">
        <f t="shared" si="18"/>
        <v>0.16640000000000002</v>
      </c>
      <c r="U180" s="14">
        <f t="shared" si="18"/>
        <v>0.16640000000000002</v>
      </c>
      <c r="V180" s="14">
        <f t="shared" si="18"/>
        <v>0.16640000000000002</v>
      </c>
      <c r="W180" s="449" t="s">
        <v>300</v>
      </c>
      <c r="X180" s="450">
        <v>0.48</v>
      </c>
    </row>
    <row r="181" spans="1:24" x14ac:dyDescent="0.2">
      <c r="A181">
        <f>Summary!A32</f>
        <v>16</v>
      </c>
      <c r="B181" t="s">
        <v>69</v>
      </c>
      <c r="C181" s="14">
        <v>0.4</v>
      </c>
      <c r="D181" s="14">
        <v>0.4</v>
      </c>
      <c r="E181" s="14">
        <v>0.4</v>
      </c>
      <c r="F181" s="14">
        <f t="shared" si="4"/>
        <v>0.36000000000000004</v>
      </c>
      <c r="G181" s="14">
        <f t="shared" si="2"/>
        <v>0.36000000000000004</v>
      </c>
      <c r="H181" s="14">
        <f t="shared" ref="H181:T181" si="19">G181</f>
        <v>0.36000000000000004</v>
      </c>
      <c r="I181" s="14">
        <f t="shared" si="19"/>
        <v>0.36000000000000004</v>
      </c>
      <c r="J181" s="14">
        <f t="shared" si="19"/>
        <v>0.36000000000000004</v>
      </c>
      <c r="K181" s="14">
        <f t="shared" si="19"/>
        <v>0.36000000000000004</v>
      </c>
      <c r="L181" s="14">
        <f t="shared" si="19"/>
        <v>0.36000000000000004</v>
      </c>
      <c r="M181" s="14">
        <f t="shared" si="19"/>
        <v>0.36000000000000004</v>
      </c>
      <c r="N181" s="14">
        <f t="shared" si="19"/>
        <v>0.36000000000000004</v>
      </c>
      <c r="O181" s="14">
        <f t="shared" si="19"/>
        <v>0.36000000000000004</v>
      </c>
      <c r="P181" s="14">
        <f t="shared" si="19"/>
        <v>0.36000000000000004</v>
      </c>
      <c r="Q181" s="14">
        <f t="shared" si="19"/>
        <v>0.36000000000000004</v>
      </c>
      <c r="R181" s="14">
        <f t="shared" si="19"/>
        <v>0.36000000000000004</v>
      </c>
      <c r="S181" s="14">
        <f t="shared" si="19"/>
        <v>0.36000000000000004</v>
      </c>
      <c r="T181" s="14">
        <f t="shared" si="19"/>
        <v>0.36000000000000004</v>
      </c>
      <c r="U181" s="14">
        <f t="shared" ref="H181:V196" si="20">T181</f>
        <v>0.36000000000000004</v>
      </c>
      <c r="V181" s="14">
        <f t="shared" si="20"/>
        <v>0.36000000000000004</v>
      </c>
      <c r="W181" s="449" t="s">
        <v>299</v>
      </c>
      <c r="X181" s="450">
        <v>0.1</v>
      </c>
    </row>
    <row r="182" spans="1:24" x14ac:dyDescent="0.2">
      <c r="A182">
        <f>Summary!A33</f>
        <v>17</v>
      </c>
      <c r="B182" t="s">
        <v>71</v>
      </c>
      <c r="C182" s="14">
        <v>0.38</v>
      </c>
      <c r="D182" s="14">
        <v>0.38</v>
      </c>
      <c r="E182" s="14">
        <v>0.38</v>
      </c>
      <c r="F182" s="14">
        <f t="shared" si="4"/>
        <v>0.34200000000000003</v>
      </c>
      <c r="G182" s="14">
        <f t="shared" si="2"/>
        <v>0.34200000000000003</v>
      </c>
      <c r="H182" s="14">
        <f t="shared" si="20"/>
        <v>0.34200000000000003</v>
      </c>
      <c r="I182" s="14">
        <f t="shared" si="20"/>
        <v>0.34200000000000003</v>
      </c>
      <c r="J182" s="14">
        <f t="shared" si="20"/>
        <v>0.34200000000000003</v>
      </c>
      <c r="K182" s="14">
        <f t="shared" si="20"/>
        <v>0.34200000000000003</v>
      </c>
      <c r="L182" s="14">
        <f t="shared" si="20"/>
        <v>0.34200000000000003</v>
      </c>
      <c r="M182" s="14">
        <f t="shared" si="20"/>
        <v>0.34200000000000003</v>
      </c>
      <c r="N182" s="14">
        <f t="shared" si="20"/>
        <v>0.34200000000000003</v>
      </c>
      <c r="O182" s="14">
        <f t="shared" si="20"/>
        <v>0.34200000000000003</v>
      </c>
      <c r="P182" s="14">
        <f t="shared" si="20"/>
        <v>0.34200000000000003</v>
      </c>
      <c r="Q182" s="14">
        <f t="shared" si="20"/>
        <v>0.34200000000000003</v>
      </c>
      <c r="R182" s="14">
        <f t="shared" si="20"/>
        <v>0.34200000000000003</v>
      </c>
      <c r="S182" s="14">
        <f t="shared" si="20"/>
        <v>0.34200000000000003</v>
      </c>
      <c r="T182" s="14">
        <f t="shared" si="20"/>
        <v>0.34200000000000003</v>
      </c>
      <c r="U182" s="14">
        <f t="shared" si="20"/>
        <v>0.34200000000000003</v>
      </c>
      <c r="V182" s="14">
        <f t="shared" si="20"/>
        <v>0.34200000000000003</v>
      </c>
      <c r="W182" s="449" t="s">
        <v>299</v>
      </c>
      <c r="X182" s="450">
        <v>0.1</v>
      </c>
    </row>
    <row r="183" spans="1:24" x14ac:dyDescent="0.2">
      <c r="A183">
        <f>Summary!A34</f>
        <v>18</v>
      </c>
      <c r="B183" t="s">
        <v>72</v>
      </c>
      <c r="C183" s="14">
        <v>0.43</v>
      </c>
      <c r="D183" s="14">
        <v>0.43</v>
      </c>
      <c r="E183" s="14">
        <v>0.43</v>
      </c>
      <c r="F183" s="14">
        <f t="shared" si="4"/>
        <v>6.4500000000000002E-2</v>
      </c>
      <c r="G183" s="14">
        <f t="shared" si="2"/>
        <v>6.4500000000000002E-2</v>
      </c>
      <c r="H183" s="14">
        <f t="shared" si="20"/>
        <v>6.4500000000000002E-2</v>
      </c>
      <c r="I183" s="14">
        <f t="shared" si="20"/>
        <v>6.4500000000000002E-2</v>
      </c>
      <c r="J183" s="14">
        <f t="shared" si="20"/>
        <v>6.4500000000000002E-2</v>
      </c>
      <c r="K183" s="14">
        <f t="shared" si="20"/>
        <v>6.4500000000000002E-2</v>
      </c>
      <c r="L183" s="14">
        <f t="shared" si="20"/>
        <v>6.4500000000000002E-2</v>
      </c>
      <c r="M183" s="14">
        <f t="shared" si="20"/>
        <v>6.4500000000000002E-2</v>
      </c>
      <c r="N183" s="14">
        <f t="shared" si="20"/>
        <v>6.4500000000000002E-2</v>
      </c>
      <c r="O183" s="14">
        <f t="shared" si="20"/>
        <v>6.4500000000000002E-2</v>
      </c>
      <c r="P183" s="14">
        <f t="shared" si="20"/>
        <v>6.4500000000000002E-2</v>
      </c>
      <c r="Q183" s="14">
        <f t="shared" si="20"/>
        <v>6.4500000000000002E-2</v>
      </c>
      <c r="R183" s="14">
        <f t="shared" si="20"/>
        <v>6.4500000000000002E-2</v>
      </c>
      <c r="S183" s="14">
        <f t="shared" si="20"/>
        <v>6.4500000000000002E-2</v>
      </c>
      <c r="T183" s="14">
        <f t="shared" si="20"/>
        <v>6.4500000000000002E-2</v>
      </c>
      <c r="U183" s="14">
        <f t="shared" si="20"/>
        <v>6.4500000000000002E-2</v>
      </c>
      <c r="V183" s="14">
        <f t="shared" si="20"/>
        <v>6.4500000000000002E-2</v>
      </c>
      <c r="W183" s="449" t="s">
        <v>297</v>
      </c>
      <c r="X183" s="450">
        <v>0.85</v>
      </c>
    </row>
    <row r="184" spans="1:24" x14ac:dyDescent="0.2">
      <c r="A184">
        <f>Summary!A35</f>
        <v>19</v>
      </c>
      <c r="B184" t="s">
        <v>73</v>
      </c>
      <c r="C184" s="14">
        <v>0.44</v>
      </c>
      <c r="D184" s="14">
        <v>0.44</v>
      </c>
      <c r="E184" s="14">
        <v>0.44</v>
      </c>
      <c r="F184" s="14">
        <f t="shared" si="4"/>
        <v>0.44</v>
      </c>
      <c r="G184" s="14">
        <f t="shared" si="2"/>
        <v>0.44</v>
      </c>
      <c r="H184" s="14">
        <f t="shared" si="20"/>
        <v>0.44</v>
      </c>
      <c r="I184" s="14">
        <f t="shared" si="20"/>
        <v>0.44</v>
      </c>
      <c r="J184" s="14">
        <f t="shared" si="20"/>
        <v>0.44</v>
      </c>
      <c r="K184" s="14">
        <f t="shared" si="20"/>
        <v>0.44</v>
      </c>
      <c r="L184" s="14">
        <f t="shared" si="20"/>
        <v>0.44</v>
      </c>
      <c r="M184" s="14">
        <f t="shared" si="20"/>
        <v>0.44</v>
      </c>
      <c r="N184" s="14">
        <f t="shared" si="20"/>
        <v>0.44</v>
      </c>
      <c r="O184" s="14">
        <f t="shared" si="20"/>
        <v>0.44</v>
      </c>
      <c r="P184" s="14">
        <f t="shared" si="20"/>
        <v>0.44</v>
      </c>
      <c r="Q184" s="14">
        <f t="shared" si="20"/>
        <v>0.44</v>
      </c>
      <c r="R184" s="14">
        <f t="shared" si="20"/>
        <v>0.44</v>
      </c>
      <c r="S184" s="14">
        <f t="shared" si="20"/>
        <v>0.44</v>
      </c>
      <c r="T184" s="14">
        <f t="shared" si="20"/>
        <v>0.44</v>
      </c>
      <c r="U184" s="14">
        <f t="shared" si="20"/>
        <v>0.44</v>
      </c>
      <c r="V184" s="14">
        <f t="shared" si="20"/>
        <v>0.44</v>
      </c>
      <c r="W184" s="451"/>
      <c r="X184" s="451"/>
    </row>
    <row r="185" spans="1:24" x14ac:dyDescent="0.2">
      <c r="A185">
        <f>Summary!A36</f>
        <v>20</v>
      </c>
      <c r="B185" t="s">
        <v>74</v>
      </c>
      <c r="C185" s="14">
        <v>0.44</v>
      </c>
      <c r="D185" s="14">
        <v>0.44</v>
      </c>
      <c r="E185" s="14">
        <v>0.44</v>
      </c>
      <c r="F185" s="14">
        <f t="shared" si="4"/>
        <v>0.44</v>
      </c>
      <c r="G185" s="14">
        <f t="shared" si="2"/>
        <v>0.44</v>
      </c>
      <c r="H185" s="14">
        <f t="shared" si="20"/>
        <v>0.44</v>
      </c>
      <c r="I185" s="14">
        <f t="shared" si="20"/>
        <v>0.44</v>
      </c>
      <c r="J185" s="14">
        <f t="shared" si="20"/>
        <v>0.44</v>
      </c>
      <c r="K185" s="14">
        <f t="shared" si="20"/>
        <v>0.44</v>
      </c>
      <c r="L185" s="14">
        <f t="shared" si="20"/>
        <v>0.44</v>
      </c>
      <c r="M185" s="14">
        <f t="shared" si="20"/>
        <v>0.44</v>
      </c>
      <c r="N185" s="14">
        <f t="shared" si="20"/>
        <v>0.44</v>
      </c>
      <c r="O185" s="14">
        <f t="shared" si="20"/>
        <v>0.44</v>
      </c>
      <c r="P185" s="14">
        <f t="shared" si="20"/>
        <v>0.44</v>
      </c>
      <c r="Q185" s="14">
        <f t="shared" si="20"/>
        <v>0.44</v>
      </c>
      <c r="R185" s="14">
        <f t="shared" si="20"/>
        <v>0.44</v>
      </c>
      <c r="S185" s="14">
        <f t="shared" si="20"/>
        <v>0.44</v>
      </c>
      <c r="T185" s="14">
        <f t="shared" si="20"/>
        <v>0.44</v>
      </c>
      <c r="U185" s="14">
        <f t="shared" si="20"/>
        <v>0.44</v>
      </c>
      <c r="V185" s="14">
        <f t="shared" si="20"/>
        <v>0.44</v>
      </c>
      <c r="W185" s="451"/>
      <c r="X185" s="451"/>
    </row>
    <row r="186" spans="1:24" x14ac:dyDescent="0.2">
      <c r="A186">
        <f>Summary!A37</f>
        <v>21</v>
      </c>
      <c r="B186" t="s">
        <v>75</v>
      </c>
      <c r="C186" s="14">
        <v>0.7</v>
      </c>
      <c r="D186" s="14">
        <v>0.7</v>
      </c>
      <c r="E186" s="14">
        <v>0.7</v>
      </c>
      <c r="F186" s="14">
        <f t="shared" si="4"/>
        <v>0.7</v>
      </c>
      <c r="G186" s="14">
        <f t="shared" si="2"/>
        <v>0.7</v>
      </c>
      <c r="H186" s="14">
        <f t="shared" si="20"/>
        <v>0.7</v>
      </c>
      <c r="I186" s="14">
        <f t="shared" si="20"/>
        <v>0.7</v>
      </c>
      <c r="J186" s="14">
        <f t="shared" si="20"/>
        <v>0.7</v>
      </c>
      <c r="K186" s="14">
        <f t="shared" si="20"/>
        <v>0.7</v>
      </c>
      <c r="L186" s="14">
        <f t="shared" si="20"/>
        <v>0.7</v>
      </c>
      <c r="M186" s="14">
        <f t="shared" si="20"/>
        <v>0.7</v>
      </c>
      <c r="N186" s="14">
        <f t="shared" si="20"/>
        <v>0.7</v>
      </c>
      <c r="O186" s="14">
        <f t="shared" si="20"/>
        <v>0.7</v>
      </c>
      <c r="P186" s="14">
        <f t="shared" si="20"/>
        <v>0.7</v>
      </c>
      <c r="Q186" s="14">
        <f t="shared" si="20"/>
        <v>0.7</v>
      </c>
      <c r="R186" s="14">
        <f t="shared" si="20"/>
        <v>0.7</v>
      </c>
      <c r="S186" s="14">
        <f t="shared" si="20"/>
        <v>0.7</v>
      </c>
      <c r="T186" s="14">
        <f t="shared" si="20"/>
        <v>0.7</v>
      </c>
      <c r="U186" s="14">
        <f t="shared" si="20"/>
        <v>0.7</v>
      </c>
      <c r="V186" s="14">
        <f t="shared" si="20"/>
        <v>0.7</v>
      </c>
      <c r="W186" s="451"/>
      <c r="X186" s="451"/>
    </row>
    <row r="187" spans="1:24" x14ac:dyDescent="0.2">
      <c r="A187">
        <f>Summary!A38</f>
        <v>22</v>
      </c>
      <c r="B187" t="s">
        <v>86</v>
      </c>
      <c r="C187" s="14">
        <v>0.7</v>
      </c>
      <c r="D187" s="14">
        <v>0.7</v>
      </c>
      <c r="E187" s="14">
        <v>0.7</v>
      </c>
      <c r="F187" s="14">
        <f t="shared" si="4"/>
        <v>0.7</v>
      </c>
      <c r="G187" s="14">
        <f t="shared" si="2"/>
        <v>0.7</v>
      </c>
      <c r="H187" s="14">
        <f t="shared" si="20"/>
        <v>0.7</v>
      </c>
      <c r="I187" s="14">
        <f t="shared" si="20"/>
        <v>0.7</v>
      </c>
      <c r="J187" s="14">
        <f t="shared" si="20"/>
        <v>0.7</v>
      </c>
      <c r="K187" s="14">
        <f t="shared" si="20"/>
        <v>0.7</v>
      </c>
      <c r="L187" s="14">
        <f t="shared" si="20"/>
        <v>0.7</v>
      </c>
      <c r="M187" s="14">
        <f t="shared" si="20"/>
        <v>0.7</v>
      </c>
      <c r="N187" s="14">
        <f t="shared" si="20"/>
        <v>0.7</v>
      </c>
      <c r="O187" s="14">
        <f t="shared" si="20"/>
        <v>0.7</v>
      </c>
      <c r="P187" s="14">
        <f t="shared" si="20"/>
        <v>0.7</v>
      </c>
      <c r="Q187" s="14">
        <f t="shared" si="20"/>
        <v>0.7</v>
      </c>
      <c r="R187" s="14">
        <f t="shared" si="20"/>
        <v>0.7</v>
      </c>
      <c r="S187" s="14">
        <f t="shared" si="20"/>
        <v>0.7</v>
      </c>
      <c r="T187" s="14">
        <f t="shared" si="20"/>
        <v>0.7</v>
      </c>
      <c r="U187" s="14">
        <f t="shared" si="20"/>
        <v>0.7</v>
      </c>
      <c r="V187" s="14">
        <f t="shared" si="20"/>
        <v>0.7</v>
      </c>
      <c r="W187" s="451"/>
      <c r="X187" s="451"/>
    </row>
    <row r="188" spans="1:24" x14ac:dyDescent="0.2">
      <c r="A188">
        <f>Summary!A39</f>
        <v>23</v>
      </c>
      <c r="B188" t="s">
        <v>76</v>
      </c>
      <c r="C188" s="14">
        <v>0.7</v>
      </c>
      <c r="D188" s="14">
        <v>0.7</v>
      </c>
      <c r="E188" s="14">
        <v>0.7</v>
      </c>
      <c r="F188" s="14">
        <f t="shared" si="4"/>
        <v>0.7</v>
      </c>
      <c r="G188" s="14">
        <f t="shared" si="2"/>
        <v>0.7</v>
      </c>
      <c r="H188" s="14">
        <f t="shared" si="20"/>
        <v>0.7</v>
      </c>
      <c r="I188" s="14">
        <f t="shared" si="20"/>
        <v>0.7</v>
      </c>
      <c r="J188" s="14">
        <f t="shared" si="20"/>
        <v>0.7</v>
      </c>
      <c r="K188" s="14">
        <f t="shared" si="20"/>
        <v>0.7</v>
      </c>
      <c r="L188" s="14">
        <f t="shared" si="20"/>
        <v>0.7</v>
      </c>
      <c r="M188" s="14">
        <f t="shared" si="20"/>
        <v>0.7</v>
      </c>
      <c r="N188" s="14">
        <f t="shared" si="20"/>
        <v>0.7</v>
      </c>
      <c r="O188" s="14">
        <f t="shared" si="20"/>
        <v>0.7</v>
      </c>
      <c r="P188" s="14">
        <f t="shared" si="20"/>
        <v>0.7</v>
      </c>
      <c r="Q188" s="14">
        <f t="shared" si="20"/>
        <v>0.7</v>
      </c>
      <c r="R188" s="14">
        <f t="shared" si="20"/>
        <v>0.7</v>
      </c>
      <c r="S188" s="14">
        <f t="shared" si="20"/>
        <v>0.7</v>
      </c>
      <c r="T188" s="14">
        <f t="shared" si="20"/>
        <v>0.7</v>
      </c>
      <c r="U188" s="14">
        <f t="shared" si="20"/>
        <v>0.7</v>
      </c>
      <c r="V188" s="14">
        <f t="shared" si="20"/>
        <v>0.7</v>
      </c>
      <c r="W188" s="451"/>
      <c r="X188" s="451"/>
    </row>
    <row r="189" spans="1:24" x14ac:dyDescent="0.2">
      <c r="A189">
        <f>Summary!A40</f>
        <v>24</v>
      </c>
      <c r="B189" t="s">
        <v>77</v>
      </c>
      <c r="C189" s="14">
        <v>0.7</v>
      </c>
      <c r="D189" s="14">
        <v>0.7</v>
      </c>
      <c r="E189" s="14">
        <v>0.7</v>
      </c>
      <c r="F189" s="14">
        <f t="shared" si="4"/>
        <v>0.7</v>
      </c>
      <c r="G189" s="14">
        <f t="shared" si="2"/>
        <v>0.7</v>
      </c>
      <c r="H189" s="14">
        <f t="shared" si="20"/>
        <v>0.7</v>
      </c>
      <c r="I189" s="14">
        <f t="shared" si="20"/>
        <v>0.7</v>
      </c>
      <c r="J189" s="14">
        <f t="shared" si="20"/>
        <v>0.7</v>
      </c>
      <c r="K189" s="14">
        <f t="shared" si="20"/>
        <v>0.7</v>
      </c>
      <c r="L189" s="14">
        <f t="shared" si="20"/>
        <v>0.7</v>
      </c>
      <c r="M189" s="14">
        <f t="shared" si="20"/>
        <v>0.7</v>
      </c>
      <c r="N189" s="14">
        <f t="shared" si="20"/>
        <v>0.7</v>
      </c>
      <c r="O189" s="14">
        <f t="shared" si="20"/>
        <v>0.7</v>
      </c>
      <c r="P189" s="14">
        <f t="shared" si="20"/>
        <v>0.7</v>
      </c>
      <c r="Q189" s="14">
        <f t="shared" si="20"/>
        <v>0.7</v>
      </c>
      <c r="R189" s="14">
        <f t="shared" si="20"/>
        <v>0.7</v>
      </c>
      <c r="S189" s="14">
        <f t="shared" si="20"/>
        <v>0.7</v>
      </c>
      <c r="T189" s="14">
        <f t="shared" si="20"/>
        <v>0.7</v>
      </c>
      <c r="U189" s="14">
        <f t="shared" si="20"/>
        <v>0.7</v>
      </c>
      <c r="V189" s="14">
        <f t="shared" si="20"/>
        <v>0.7</v>
      </c>
      <c r="W189" s="451"/>
      <c r="X189" s="451"/>
    </row>
    <row r="190" spans="1:24" x14ac:dyDescent="0.2">
      <c r="A190">
        <f>Summary!A41</f>
        <v>25</v>
      </c>
      <c r="B190" t="s">
        <v>78</v>
      </c>
      <c r="C190" s="14">
        <v>0.7</v>
      </c>
      <c r="D190" s="14">
        <v>0.7</v>
      </c>
      <c r="E190" s="14">
        <v>0.7</v>
      </c>
      <c r="F190" s="14">
        <f t="shared" si="4"/>
        <v>0.7</v>
      </c>
      <c r="G190" s="14">
        <f t="shared" si="2"/>
        <v>0.7</v>
      </c>
      <c r="H190" s="14">
        <f t="shared" si="20"/>
        <v>0.7</v>
      </c>
      <c r="I190" s="14">
        <f t="shared" si="20"/>
        <v>0.7</v>
      </c>
      <c r="J190" s="14">
        <f t="shared" si="20"/>
        <v>0.7</v>
      </c>
      <c r="K190" s="14">
        <f t="shared" si="20"/>
        <v>0.7</v>
      </c>
      <c r="L190" s="14">
        <f t="shared" si="20"/>
        <v>0.7</v>
      </c>
      <c r="M190" s="14">
        <f t="shared" si="20"/>
        <v>0.7</v>
      </c>
      <c r="N190" s="14">
        <f t="shared" si="20"/>
        <v>0.7</v>
      </c>
      <c r="O190" s="14">
        <f t="shared" si="20"/>
        <v>0.7</v>
      </c>
      <c r="P190" s="14">
        <f t="shared" si="20"/>
        <v>0.7</v>
      </c>
      <c r="Q190" s="14">
        <f t="shared" si="20"/>
        <v>0.7</v>
      </c>
      <c r="R190" s="14">
        <f t="shared" si="20"/>
        <v>0.7</v>
      </c>
      <c r="S190" s="14">
        <f t="shared" si="20"/>
        <v>0.7</v>
      </c>
      <c r="T190" s="14">
        <f t="shared" si="20"/>
        <v>0.7</v>
      </c>
      <c r="U190" s="14">
        <f t="shared" si="20"/>
        <v>0.7</v>
      </c>
      <c r="V190" s="14">
        <f t="shared" si="20"/>
        <v>0.7</v>
      </c>
      <c r="W190" s="451"/>
      <c r="X190" s="451"/>
    </row>
    <row r="191" spans="1:24" x14ac:dyDescent="0.2">
      <c r="A191">
        <f>Summary!A42</f>
        <v>26</v>
      </c>
      <c r="B191" t="s">
        <v>79</v>
      </c>
      <c r="C191" s="14">
        <v>0.7</v>
      </c>
      <c r="D191" s="14">
        <v>0.7</v>
      </c>
      <c r="E191" s="14">
        <v>0.7</v>
      </c>
      <c r="F191" s="14">
        <f t="shared" si="4"/>
        <v>0.7</v>
      </c>
      <c r="G191" s="14">
        <f t="shared" si="2"/>
        <v>0.7</v>
      </c>
      <c r="H191" s="14">
        <f t="shared" si="20"/>
        <v>0.7</v>
      </c>
      <c r="I191" s="14">
        <f t="shared" si="20"/>
        <v>0.7</v>
      </c>
      <c r="J191" s="14">
        <f t="shared" si="20"/>
        <v>0.7</v>
      </c>
      <c r="K191" s="14">
        <f t="shared" si="20"/>
        <v>0.7</v>
      </c>
      <c r="L191" s="14">
        <f t="shared" si="20"/>
        <v>0.7</v>
      </c>
      <c r="M191" s="14">
        <f t="shared" si="20"/>
        <v>0.7</v>
      </c>
      <c r="N191" s="14">
        <f t="shared" si="20"/>
        <v>0.7</v>
      </c>
      <c r="O191" s="14">
        <f t="shared" si="20"/>
        <v>0.7</v>
      </c>
      <c r="P191" s="14">
        <f t="shared" si="20"/>
        <v>0.7</v>
      </c>
      <c r="Q191" s="14">
        <f t="shared" si="20"/>
        <v>0.7</v>
      </c>
      <c r="R191" s="14">
        <f t="shared" si="20"/>
        <v>0.7</v>
      </c>
      <c r="S191" s="14">
        <f t="shared" si="20"/>
        <v>0.7</v>
      </c>
      <c r="T191" s="14">
        <f t="shared" si="20"/>
        <v>0.7</v>
      </c>
      <c r="U191" s="14">
        <f t="shared" si="20"/>
        <v>0.7</v>
      </c>
      <c r="V191" s="14">
        <f t="shared" si="20"/>
        <v>0.7</v>
      </c>
      <c r="W191" s="451"/>
      <c r="X191" s="451"/>
    </row>
    <row r="192" spans="1:24" x14ac:dyDescent="0.2">
      <c r="A192">
        <f>Summary!A43</f>
        <v>27</v>
      </c>
      <c r="B192" t="s">
        <v>80</v>
      </c>
      <c r="C192" s="14">
        <v>0.15</v>
      </c>
      <c r="D192" s="14">
        <v>0.15</v>
      </c>
      <c r="E192" s="14">
        <v>0.15</v>
      </c>
      <c r="F192" s="14">
        <f t="shared" si="4"/>
        <v>0.15</v>
      </c>
      <c r="G192" s="14">
        <f t="shared" si="2"/>
        <v>0.15</v>
      </c>
      <c r="H192" s="14">
        <f t="shared" si="20"/>
        <v>0.15</v>
      </c>
      <c r="I192" s="14">
        <f t="shared" si="20"/>
        <v>0.15</v>
      </c>
      <c r="J192" s="14">
        <f t="shared" si="20"/>
        <v>0.15</v>
      </c>
      <c r="K192" s="14">
        <f t="shared" si="20"/>
        <v>0.15</v>
      </c>
      <c r="L192" s="14">
        <f t="shared" si="20"/>
        <v>0.15</v>
      </c>
      <c r="M192" s="14">
        <f t="shared" si="20"/>
        <v>0.15</v>
      </c>
      <c r="N192" s="14">
        <f t="shared" si="20"/>
        <v>0.15</v>
      </c>
      <c r="O192" s="14">
        <f t="shared" si="20"/>
        <v>0.15</v>
      </c>
      <c r="P192" s="14">
        <f t="shared" si="20"/>
        <v>0.15</v>
      </c>
      <c r="Q192" s="14">
        <f t="shared" si="20"/>
        <v>0.15</v>
      </c>
      <c r="R192" s="14">
        <f t="shared" si="20"/>
        <v>0.15</v>
      </c>
      <c r="S192" s="14">
        <f t="shared" si="20"/>
        <v>0.15</v>
      </c>
      <c r="T192" s="14">
        <f t="shared" si="20"/>
        <v>0.15</v>
      </c>
      <c r="U192" s="14">
        <f t="shared" si="20"/>
        <v>0.15</v>
      </c>
      <c r="V192" s="14">
        <f t="shared" si="20"/>
        <v>0.15</v>
      </c>
      <c r="W192" s="451"/>
      <c r="X192" s="451"/>
    </row>
    <row r="193" spans="1:24" x14ac:dyDescent="0.2">
      <c r="A193">
        <f>Summary!A44</f>
        <v>28</v>
      </c>
      <c r="B193" t="s">
        <v>81</v>
      </c>
      <c r="C193" s="14">
        <v>0.15</v>
      </c>
      <c r="D193" s="14">
        <v>0.15</v>
      </c>
      <c r="E193" s="14">
        <v>0.15</v>
      </c>
      <c r="F193" s="14">
        <f t="shared" si="4"/>
        <v>0.15</v>
      </c>
      <c r="G193" s="14">
        <f t="shared" si="2"/>
        <v>0.15</v>
      </c>
      <c r="H193" s="14">
        <f t="shared" si="20"/>
        <v>0.15</v>
      </c>
      <c r="I193" s="14">
        <f t="shared" si="20"/>
        <v>0.15</v>
      </c>
      <c r="J193" s="14">
        <f t="shared" si="20"/>
        <v>0.15</v>
      </c>
      <c r="K193" s="14">
        <f t="shared" si="20"/>
        <v>0.15</v>
      </c>
      <c r="L193" s="14">
        <f t="shared" si="20"/>
        <v>0.15</v>
      </c>
      <c r="M193" s="14">
        <f t="shared" si="20"/>
        <v>0.15</v>
      </c>
      <c r="N193" s="14">
        <f t="shared" si="20"/>
        <v>0.15</v>
      </c>
      <c r="O193" s="14">
        <f t="shared" si="20"/>
        <v>0.15</v>
      </c>
      <c r="P193" s="14">
        <f t="shared" si="20"/>
        <v>0.15</v>
      </c>
      <c r="Q193" s="14">
        <f t="shared" si="20"/>
        <v>0.15</v>
      </c>
      <c r="R193" s="14">
        <f t="shared" si="20"/>
        <v>0.15</v>
      </c>
      <c r="S193" s="14">
        <f t="shared" si="20"/>
        <v>0.15</v>
      </c>
      <c r="T193" s="14">
        <f t="shared" si="20"/>
        <v>0.15</v>
      </c>
      <c r="U193" s="14">
        <f t="shared" si="20"/>
        <v>0.15</v>
      </c>
      <c r="V193" s="14">
        <f t="shared" si="20"/>
        <v>0.15</v>
      </c>
      <c r="W193" s="451"/>
      <c r="X193" s="451"/>
    </row>
    <row r="194" spans="1:24" x14ac:dyDescent="0.2">
      <c r="A194">
        <f>Summary!A45</f>
        <v>29</v>
      </c>
      <c r="B194" t="s">
        <v>82</v>
      </c>
      <c r="C194" s="14">
        <v>0.15</v>
      </c>
      <c r="D194" s="14">
        <v>0.15</v>
      </c>
      <c r="E194" s="14">
        <v>0.15</v>
      </c>
      <c r="F194" s="14">
        <f t="shared" si="4"/>
        <v>0.15</v>
      </c>
      <c r="G194" s="14">
        <f t="shared" si="2"/>
        <v>0.15</v>
      </c>
      <c r="H194" s="14">
        <f t="shared" si="20"/>
        <v>0.15</v>
      </c>
      <c r="I194" s="14">
        <f t="shared" si="20"/>
        <v>0.15</v>
      </c>
      <c r="J194" s="14">
        <f t="shared" si="20"/>
        <v>0.15</v>
      </c>
      <c r="K194" s="14">
        <f t="shared" si="20"/>
        <v>0.15</v>
      </c>
      <c r="L194" s="14">
        <f t="shared" si="20"/>
        <v>0.15</v>
      </c>
      <c r="M194" s="14">
        <f t="shared" si="20"/>
        <v>0.15</v>
      </c>
      <c r="N194" s="14">
        <f t="shared" si="20"/>
        <v>0.15</v>
      </c>
      <c r="O194" s="14">
        <f t="shared" si="20"/>
        <v>0.15</v>
      </c>
      <c r="P194" s="14">
        <f t="shared" si="20"/>
        <v>0.15</v>
      </c>
      <c r="Q194" s="14">
        <f t="shared" si="20"/>
        <v>0.15</v>
      </c>
      <c r="R194" s="14">
        <f t="shared" si="20"/>
        <v>0.15</v>
      </c>
      <c r="S194" s="14">
        <f t="shared" si="20"/>
        <v>0.15</v>
      </c>
      <c r="T194" s="14">
        <f t="shared" si="20"/>
        <v>0.15</v>
      </c>
      <c r="U194" s="14">
        <f t="shared" si="20"/>
        <v>0.15</v>
      </c>
      <c r="V194" s="14">
        <f t="shared" si="20"/>
        <v>0.15</v>
      </c>
      <c r="W194" s="451"/>
      <c r="X194" s="451"/>
    </row>
    <row r="195" spans="1:24" x14ac:dyDescent="0.2">
      <c r="A195">
        <f>Summary!A46</f>
        <v>30</v>
      </c>
      <c r="B195" t="s">
        <v>83</v>
      </c>
      <c r="C195" s="14">
        <v>0.15</v>
      </c>
      <c r="D195" s="14">
        <v>0.15</v>
      </c>
      <c r="E195" s="14">
        <v>0.15</v>
      </c>
      <c r="F195" s="14">
        <f t="shared" si="4"/>
        <v>0.15</v>
      </c>
      <c r="G195" s="14">
        <f t="shared" si="2"/>
        <v>0.15</v>
      </c>
      <c r="H195" s="14">
        <f t="shared" si="20"/>
        <v>0.15</v>
      </c>
      <c r="I195" s="14">
        <f t="shared" si="20"/>
        <v>0.15</v>
      </c>
      <c r="J195" s="14">
        <f t="shared" si="20"/>
        <v>0.15</v>
      </c>
      <c r="K195" s="14">
        <f t="shared" si="20"/>
        <v>0.15</v>
      </c>
      <c r="L195" s="14">
        <f t="shared" si="20"/>
        <v>0.15</v>
      </c>
      <c r="M195" s="14">
        <f t="shared" si="20"/>
        <v>0.15</v>
      </c>
      <c r="N195" s="14">
        <f t="shared" si="20"/>
        <v>0.15</v>
      </c>
      <c r="O195" s="14">
        <f t="shared" si="20"/>
        <v>0.15</v>
      </c>
      <c r="P195" s="14">
        <f t="shared" si="20"/>
        <v>0.15</v>
      </c>
      <c r="Q195" s="14">
        <f t="shared" si="20"/>
        <v>0.15</v>
      </c>
      <c r="R195" s="14">
        <f t="shared" si="20"/>
        <v>0.15</v>
      </c>
      <c r="S195" s="14">
        <f t="shared" si="20"/>
        <v>0.15</v>
      </c>
      <c r="T195" s="14">
        <f t="shared" si="20"/>
        <v>0.15</v>
      </c>
      <c r="U195" s="14">
        <f t="shared" si="20"/>
        <v>0.15</v>
      </c>
      <c r="V195" s="14">
        <f t="shared" si="20"/>
        <v>0.15</v>
      </c>
      <c r="W195" s="451"/>
      <c r="X195" s="451"/>
    </row>
    <row r="196" spans="1:24" x14ac:dyDescent="0.2">
      <c r="A196">
        <f>Summary!A47</f>
        <v>31</v>
      </c>
      <c r="B196" t="s">
        <v>84</v>
      </c>
      <c r="C196" s="14">
        <v>0.15</v>
      </c>
      <c r="D196" s="14">
        <v>0.15</v>
      </c>
      <c r="E196" s="14">
        <v>0.15</v>
      </c>
      <c r="F196" s="14">
        <f t="shared" si="4"/>
        <v>0.15</v>
      </c>
      <c r="G196" s="14">
        <f t="shared" si="2"/>
        <v>0.15</v>
      </c>
      <c r="H196" s="14">
        <f t="shared" si="20"/>
        <v>0.15</v>
      </c>
      <c r="I196" s="14">
        <f t="shared" si="20"/>
        <v>0.15</v>
      </c>
      <c r="J196" s="14">
        <f t="shared" si="20"/>
        <v>0.15</v>
      </c>
      <c r="K196" s="14">
        <f t="shared" si="20"/>
        <v>0.15</v>
      </c>
      <c r="L196" s="14">
        <f t="shared" si="20"/>
        <v>0.15</v>
      </c>
      <c r="M196" s="14">
        <f t="shared" si="20"/>
        <v>0.15</v>
      </c>
      <c r="N196" s="14">
        <f t="shared" si="20"/>
        <v>0.15</v>
      </c>
      <c r="O196" s="14">
        <f t="shared" si="20"/>
        <v>0.15</v>
      </c>
      <c r="P196" s="14">
        <f t="shared" si="20"/>
        <v>0.15</v>
      </c>
      <c r="Q196" s="14">
        <f t="shared" si="20"/>
        <v>0.15</v>
      </c>
      <c r="R196" s="14">
        <f t="shared" si="20"/>
        <v>0.15</v>
      </c>
      <c r="S196" s="14">
        <f t="shared" si="20"/>
        <v>0.15</v>
      </c>
      <c r="T196" s="14">
        <f t="shared" si="20"/>
        <v>0.15</v>
      </c>
      <c r="U196" s="14">
        <f t="shared" si="20"/>
        <v>0.15</v>
      </c>
      <c r="V196" s="14">
        <f t="shared" si="20"/>
        <v>0.15</v>
      </c>
      <c r="W196" s="451"/>
      <c r="X196" s="451"/>
    </row>
    <row r="197" spans="1:24" x14ac:dyDescent="0.2">
      <c r="A197">
        <f>Summary!A48</f>
        <v>32</v>
      </c>
      <c r="B197" t="s">
        <v>85</v>
      </c>
      <c r="C197" s="14">
        <v>0.15</v>
      </c>
      <c r="D197" s="14">
        <v>0.15</v>
      </c>
      <c r="E197" s="14">
        <v>0.15</v>
      </c>
      <c r="F197" s="14">
        <f t="shared" si="4"/>
        <v>0.15</v>
      </c>
      <c r="G197" s="14">
        <f t="shared" si="2"/>
        <v>0.15</v>
      </c>
      <c r="H197" s="14">
        <f t="shared" ref="H197:V198" si="21">G197</f>
        <v>0.15</v>
      </c>
      <c r="I197" s="14">
        <f t="shared" si="21"/>
        <v>0.15</v>
      </c>
      <c r="J197" s="14">
        <f t="shared" si="21"/>
        <v>0.15</v>
      </c>
      <c r="K197" s="14">
        <f t="shared" si="21"/>
        <v>0.15</v>
      </c>
      <c r="L197" s="14">
        <f t="shared" si="21"/>
        <v>0.15</v>
      </c>
      <c r="M197" s="14">
        <f t="shared" si="21"/>
        <v>0.15</v>
      </c>
      <c r="N197" s="14">
        <f t="shared" si="21"/>
        <v>0.15</v>
      </c>
      <c r="O197" s="14">
        <f t="shared" si="21"/>
        <v>0.15</v>
      </c>
      <c r="P197" s="14">
        <f t="shared" si="21"/>
        <v>0.15</v>
      </c>
      <c r="Q197" s="14">
        <f t="shared" si="21"/>
        <v>0.15</v>
      </c>
      <c r="R197" s="14">
        <f t="shared" si="21"/>
        <v>0.15</v>
      </c>
      <c r="S197" s="14">
        <f t="shared" si="21"/>
        <v>0.15</v>
      </c>
      <c r="T197" s="14">
        <f t="shared" si="21"/>
        <v>0.15</v>
      </c>
      <c r="U197" s="14">
        <f t="shared" si="21"/>
        <v>0.15</v>
      </c>
      <c r="V197" s="14">
        <f t="shared" si="21"/>
        <v>0.15</v>
      </c>
      <c r="W197" s="451"/>
      <c r="X197" s="451"/>
    </row>
    <row r="198" spans="1:24" x14ac:dyDescent="0.2">
      <c r="A198">
        <f>Summary!A49</f>
        <v>33</v>
      </c>
      <c r="B198" t="s">
        <v>181</v>
      </c>
      <c r="C198" s="14">
        <v>0</v>
      </c>
      <c r="D198" s="14">
        <f>C198</f>
        <v>0</v>
      </c>
      <c r="E198" s="14">
        <f>D198</f>
        <v>0</v>
      </c>
      <c r="F198" s="14">
        <f t="shared" si="4"/>
        <v>0</v>
      </c>
      <c r="G198" s="14">
        <f t="shared" si="2"/>
        <v>0</v>
      </c>
      <c r="H198" s="14">
        <f t="shared" si="21"/>
        <v>0</v>
      </c>
      <c r="I198" s="14">
        <f t="shared" si="21"/>
        <v>0</v>
      </c>
      <c r="J198" s="14">
        <f t="shared" si="21"/>
        <v>0</v>
      </c>
      <c r="K198" s="14">
        <f t="shared" si="21"/>
        <v>0</v>
      </c>
      <c r="L198" s="14">
        <f t="shared" si="21"/>
        <v>0</v>
      </c>
      <c r="M198" s="14">
        <f t="shared" si="21"/>
        <v>0</v>
      </c>
      <c r="N198" s="14">
        <f t="shared" si="21"/>
        <v>0</v>
      </c>
      <c r="O198" s="14">
        <f t="shared" si="21"/>
        <v>0</v>
      </c>
      <c r="P198" s="14">
        <f t="shared" si="21"/>
        <v>0</v>
      </c>
      <c r="Q198" s="14">
        <f t="shared" si="21"/>
        <v>0</v>
      </c>
      <c r="R198" s="14">
        <f t="shared" si="21"/>
        <v>0</v>
      </c>
      <c r="S198" s="14">
        <f t="shared" si="21"/>
        <v>0</v>
      </c>
      <c r="T198" s="14">
        <f t="shared" si="21"/>
        <v>0</v>
      </c>
      <c r="U198" s="14">
        <f t="shared" si="21"/>
        <v>0</v>
      </c>
      <c r="V198" s="14">
        <f t="shared" si="21"/>
        <v>0</v>
      </c>
      <c r="W198" s="451"/>
      <c r="X198" s="451"/>
    </row>
    <row r="201" spans="1:24" x14ac:dyDescent="0.2">
      <c r="A201" s="302" t="s">
        <v>133</v>
      </c>
    </row>
    <row r="202" spans="1:24" x14ac:dyDescent="0.2">
      <c r="C202" s="12">
        <v>2000</v>
      </c>
      <c r="D202" s="12">
        <v>2001</v>
      </c>
      <c r="E202" s="12">
        <v>2002</v>
      </c>
      <c r="F202" s="12">
        <v>2003</v>
      </c>
      <c r="G202" s="12">
        <v>2004</v>
      </c>
      <c r="H202" s="12">
        <v>2005</v>
      </c>
      <c r="I202" s="12">
        <v>2006</v>
      </c>
      <c r="J202" s="12">
        <v>2007</v>
      </c>
      <c r="K202" s="12">
        <v>2008</v>
      </c>
      <c r="L202" s="12">
        <v>2009</v>
      </c>
      <c r="M202" s="12">
        <v>2010</v>
      </c>
      <c r="N202" s="12">
        <v>2011</v>
      </c>
      <c r="O202" s="12">
        <v>2012</v>
      </c>
      <c r="P202" s="12">
        <v>2013</v>
      </c>
      <c r="Q202" s="12">
        <v>2014</v>
      </c>
      <c r="R202" s="12">
        <v>2015</v>
      </c>
      <c r="S202" s="12">
        <v>2016</v>
      </c>
      <c r="T202" s="12">
        <v>2017</v>
      </c>
      <c r="U202" s="12">
        <v>2018</v>
      </c>
      <c r="V202" s="12">
        <v>2019</v>
      </c>
    </row>
    <row r="204" spans="1:24" x14ac:dyDescent="0.2">
      <c r="A204">
        <f>Summary!A17</f>
        <v>1</v>
      </c>
      <c r="B204" t="s">
        <v>55</v>
      </c>
      <c r="C204" s="6">
        <v>8326</v>
      </c>
      <c r="D204" s="6">
        <v>8326</v>
      </c>
      <c r="E204" s="6">
        <v>8326</v>
      </c>
      <c r="F204" s="6">
        <v>8326</v>
      </c>
      <c r="G204" s="6">
        <v>8326</v>
      </c>
      <c r="H204" s="6">
        <v>8326</v>
      </c>
      <c r="I204" s="6">
        <v>8326</v>
      </c>
      <c r="J204" s="6">
        <v>8326</v>
      </c>
      <c r="K204" s="6">
        <v>8326</v>
      </c>
      <c r="L204" s="6">
        <v>8326</v>
      </c>
      <c r="M204" s="6">
        <v>8326</v>
      </c>
      <c r="N204" s="6">
        <v>8326</v>
      </c>
      <c r="O204" s="6">
        <v>8326</v>
      </c>
      <c r="P204" s="6">
        <v>8326</v>
      </c>
      <c r="Q204" s="6">
        <v>8326</v>
      </c>
      <c r="R204" s="6">
        <v>8326</v>
      </c>
      <c r="S204" s="6">
        <v>8326</v>
      </c>
      <c r="T204" s="6">
        <v>8326</v>
      </c>
      <c r="U204" s="6">
        <v>8326</v>
      </c>
      <c r="V204" s="6">
        <v>8326</v>
      </c>
    </row>
    <row r="205" spans="1:24" x14ac:dyDescent="0.2">
      <c r="A205">
        <f>Summary!A18</f>
        <v>2</v>
      </c>
      <c r="B205" t="s">
        <v>56</v>
      </c>
      <c r="C205" s="6">
        <v>12783</v>
      </c>
      <c r="D205" s="6">
        <v>12783</v>
      </c>
      <c r="E205" s="6">
        <v>12783</v>
      </c>
      <c r="F205" s="6">
        <v>12783</v>
      </c>
      <c r="G205" s="6">
        <v>12783</v>
      </c>
      <c r="H205" s="6">
        <v>12783</v>
      </c>
      <c r="I205" s="6">
        <v>12783</v>
      </c>
      <c r="J205" s="6">
        <v>12783</v>
      </c>
      <c r="K205" s="6">
        <v>12783</v>
      </c>
      <c r="L205" s="6">
        <v>12783</v>
      </c>
      <c r="M205" s="6">
        <v>12783</v>
      </c>
      <c r="N205" s="6">
        <v>12783</v>
      </c>
      <c r="O205" s="6">
        <v>12783</v>
      </c>
      <c r="P205" s="6">
        <v>12783</v>
      </c>
      <c r="Q205" s="6">
        <v>12783</v>
      </c>
      <c r="R205" s="6">
        <v>12783</v>
      </c>
      <c r="S205" s="6">
        <v>12783</v>
      </c>
      <c r="T205" s="6">
        <v>12783</v>
      </c>
      <c r="U205" s="6">
        <v>12783</v>
      </c>
      <c r="V205" s="6">
        <v>12783</v>
      </c>
    </row>
    <row r="206" spans="1:24" x14ac:dyDescent="0.2">
      <c r="A206">
        <f>Summary!A19</f>
        <v>3</v>
      </c>
      <c r="B206" s="9" t="s">
        <v>57</v>
      </c>
      <c r="C206" s="6">
        <v>7785</v>
      </c>
      <c r="D206" s="6">
        <v>7785</v>
      </c>
      <c r="E206" s="6">
        <v>7785</v>
      </c>
      <c r="F206" s="6">
        <v>7785</v>
      </c>
      <c r="G206" s="6">
        <v>7785</v>
      </c>
      <c r="H206" s="6">
        <v>7785</v>
      </c>
      <c r="I206" s="6">
        <v>7785</v>
      </c>
      <c r="J206" s="6">
        <v>7785</v>
      </c>
      <c r="K206" s="6">
        <v>7785</v>
      </c>
      <c r="L206" s="6">
        <v>7785</v>
      </c>
      <c r="M206" s="6">
        <v>7785</v>
      </c>
      <c r="N206" s="6">
        <v>7785</v>
      </c>
      <c r="O206" s="6">
        <v>7785</v>
      </c>
      <c r="P206" s="6">
        <v>7785</v>
      </c>
      <c r="Q206" s="6">
        <v>7785</v>
      </c>
      <c r="R206" s="6">
        <v>7785</v>
      </c>
      <c r="S206" s="6">
        <v>7785</v>
      </c>
      <c r="T206" s="6">
        <v>7785</v>
      </c>
      <c r="U206" s="6">
        <v>7785</v>
      </c>
      <c r="V206" s="6">
        <v>7785</v>
      </c>
    </row>
    <row r="207" spans="1:24" x14ac:dyDescent="0.2">
      <c r="A207">
        <f>Summary!A20</f>
        <v>4</v>
      </c>
      <c r="B207" s="9" t="s">
        <v>58</v>
      </c>
      <c r="C207" s="6">
        <v>7384</v>
      </c>
      <c r="D207" s="6">
        <v>7384</v>
      </c>
      <c r="E207" s="6">
        <v>7384</v>
      </c>
      <c r="F207" s="6">
        <v>7384</v>
      </c>
      <c r="G207" s="6">
        <v>7384</v>
      </c>
      <c r="H207" s="6">
        <v>7384</v>
      </c>
      <c r="I207" s="6">
        <v>7384</v>
      </c>
      <c r="J207" s="6">
        <v>7384</v>
      </c>
      <c r="K207" s="6">
        <v>7384</v>
      </c>
      <c r="L207" s="6">
        <v>7384</v>
      </c>
      <c r="M207" s="6">
        <v>7384</v>
      </c>
      <c r="N207" s="6">
        <v>7384</v>
      </c>
      <c r="O207" s="6">
        <v>7384</v>
      </c>
      <c r="P207" s="6">
        <v>7384</v>
      </c>
      <c r="Q207" s="6">
        <v>7384</v>
      </c>
      <c r="R207" s="6">
        <v>7384</v>
      </c>
      <c r="S207" s="6">
        <v>7384</v>
      </c>
      <c r="T207" s="6">
        <v>7384</v>
      </c>
      <c r="U207" s="6">
        <v>7384</v>
      </c>
      <c r="V207" s="6">
        <v>7384</v>
      </c>
    </row>
    <row r="208" spans="1:24" x14ac:dyDescent="0.2">
      <c r="A208">
        <f>Summary!A21</f>
        <v>5</v>
      </c>
      <c r="B208" s="9" t="s">
        <v>59</v>
      </c>
      <c r="C208" s="6">
        <v>7194</v>
      </c>
      <c r="D208" s="6">
        <v>7194</v>
      </c>
      <c r="E208" s="6">
        <v>7194</v>
      </c>
      <c r="F208" s="6">
        <v>7194</v>
      </c>
      <c r="G208" s="6">
        <v>7194</v>
      </c>
      <c r="H208" s="6">
        <v>7194</v>
      </c>
      <c r="I208" s="6">
        <v>7194</v>
      </c>
      <c r="J208" s="6">
        <v>7194</v>
      </c>
      <c r="K208" s="6">
        <v>7194</v>
      </c>
      <c r="L208" s="6">
        <v>7194</v>
      </c>
      <c r="M208" s="6">
        <v>7194</v>
      </c>
      <c r="N208" s="6">
        <v>7194</v>
      </c>
      <c r="O208" s="6">
        <v>7194</v>
      </c>
      <c r="P208" s="6">
        <v>7194</v>
      </c>
      <c r="Q208" s="6">
        <v>7194</v>
      </c>
      <c r="R208" s="6">
        <v>7194</v>
      </c>
      <c r="S208" s="6">
        <v>7194</v>
      </c>
      <c r="T208" s="6">
        <v>7194</v>
      </c>
      <c r="U208" s="6">
        <v>7194</v>
      </c>
      <c r="V208" s="6">
        <v>7194</v>
      </c>
    </row>
    <row r="209" spans="1:22" x14ac:dyDescent="0.2">
      <c r="A209">
        <f>Summary!A22</f>
        <v>6</v>
      </c>
      <c r="B209" s="9" t="s">
        <v>60</v>
      </c>
      <c r="C209" s="6">
        <v>7853</v>
      </c>
      <c r="D209" s="6">
        <v>7853</v>
      </c>
      <c r="E209" s="6">
        <v>7853</v>
      </c>
      <c r="F209" s="6">
        <v>7853</v>
      </c>
      <c r="G209" s="6">
        <v>7853</v>
      </c>
      <c r="H209" s="6">
        <v>7853</v>
      </c>
      <c r="I209" s="6">
        <v>7853</v>
      </c>
      <c r="J209" s="6">
        <v>7853</v>
      </c>
      <c r="K209" s="6">
        <v>7853</v>
      </c>
      <c r="L209" s="6">
        <v>7853</v>
      </c>
      <c r="M209" s="6">
        <v>7853</v>
      </c>
      <c r="N209" s="6">
        <v>7853</v>
      </c>
      <c r="O209" s="6">
        <v>7853</v>
      </c>
      <c r="P209" s="6">
        <v>7853</v>
      </c>
      <c r="Q209" s="6">
        <v>7853</v>
      </c>
      <c r="R209" s="6">
        <v>7853</v>
      </c>
      <c r="S209" s="6">
        <v>7853</v>
      </c>
      <c r="T209" s="6">
        <v>7853</v>
      </c>
      <c r="U209" s="6">
        <v>7853</v>
      </c>
      <c r="V209" s="6">
        <v>7853</v>
      </c>
    </row>
    <row r="210" spans="1:22" x14ac:dyDescent="0.2">
      <c r="A210">
        <f>Summary!A23</f>
        <v>7</v>
      </c>
      <c r="B210" t="s">
        <v>61</v>
      </c>
      <c r="C210" s="6">
        <v>4757</v>
      </c>
      <c r="D210" s="6">
        <v>4757</v>
      </c>
      <c r="E210" s="6">
        <v>4757</v>
      </c>
      <c r="F210" s="6">
        <v>4757</v>
      </c>
      <c r="G210" s="6">
        <v>4757</v>
      </c>
      <c r="H210" s="6">
        <v>4757</v>
      </c>
      <c r="I210" s="6">
        <v>4757</v>
      </c>
      <c r="J210" s="6">
        <v>4757</v>
      </c>
      <c r="K210" s="6">
        <v>4757</v>
      </c>
      <c r="L210" s="6">
        <v>4757</v>
      </c>
      <c r="M210" s="6">
        <v>4757</v>
      </c>
      <c r="N210" s="6">
        <v>4757</v>
      </c>
      <c r="O210" s="6">
        <v>4757</v>
      </c>
      <c r="P210" s="6">
        <v>4757</v>
      </c>
      <c r="Q210" s="6">
        <v>4757</v>
      </c>
      <c r="R210" s="6">
        <v>4757</v>
      </c>
      <c r="S210" s="6">
        <v>4757</v>
      </c>
      <c r="T210" s="6">
        <v>4757</v>
      </c>
      <c r="U210" s="6">
        <v>4757</v>
      </c>
      <c r="V210" s="6">
        <v>4757</v>
      </c>
    </row>
    <row r="211" spans="1:22" x14ac:dyDescent="0.2">
      <c r="A211">
        <f>Summary!A24</f>
        <v>8</v>
      </c>
      <c r="B211" t="s">
        <v>62</v>
      </c>
      <c r="C211" s="6">
        <v>284</v>
      </c>
      <c r="D211" s="6">
        <v>284</v>
      </c>
      <c r="E211" s="6">
        <v>284</v>
      </c>
      <c r="F211" s="6">
        <v>284</v>
      </c>
      <c r="G211" s="6">
        <v>284</v>
      </c>
      <c r="H211" s="6">
        <v>284</v>
      </c>
      <c r="I211" s="6">
        <v>284</v>
      </c>
      <c r="J211" s="6">
        <v>284</v>
      </c>
      <c r="K211" s="6">
        <v>284</v>
      </c>
      <c r="L211" s="6">
        <v>284</v>
      </c>
      <c r="M211" s="6">
        <v>284</v>
      </c>
      <c r="N211" s="6">
        <v>284</v>
      </c>
      <c r="O211" s="6">
        <v>284</v>
      </c>
      <c r="P211" s="6">
        <v>284</v>
      </c>
      <c r="Q211" s="6">
        <v>284</v>
      </c>
      <c r="R211" s="6">
        <v>284</v>
      </c>
      <c r="S211" s="6">
        <v>284</v>
      </c>
      <c r="T211" s="6">
        <v>284</v>
      </c>
      <c r="U211" s="6">
        <v>284</v>
      </c>
      <c r="V211" s="6">
        <v>284</v>
      </c>
    </row>
    <row r="212" spans="1:22" x14ac:dyDescent="0.2">
      <c r="A212">
        <f>Summary!A25</f>
        <v>9</v>
      </c>
      <c r="B212" t="s">
        <v>63</v>
      </c>
      <c r="C212" s="6">
        <v>4868</v>
      </c>
      <c r="D212" s="6">
        <v>4868</v>
      </c>
      <c r="E212" s="6">
        <v>4868</v>
      </c>
      <c r="F212" s="6">
        <v>4868</v>
      </c>
      <c r="G212" s="6">
        <v>4868</v>
      </c>
      <c r="H212" s="6">
        <v>4868</v>
      </c>
      <c r="I212" s="6">
        <v>4868</v>
      </c>
      <c r="J212" s="6">
        <v>4868</v>
      </c>
      <c r="K212" s="6">
        <v>4868</v>
      </c>
      <c r="L212" s="6">
        <v>4868</v>
      </c>
      <c r="M212" s="6">
        <v>4868</v>
      </c>
      <c r="N212" s="6">
        <v>4868</v>
      </c>
      <c r="O212" s="6">
        <v>4868</v>
      </c>
      <c r="P212" s="6">
        <v>4868</v>
      </c>
      <c r="Q212" s="6">
        <v>4868</v>
      </c>
      <c r="R212" s="6">
        <v>4868</v>
      </c>
      <c r="S212" s="6">
        <v>4868</v>
      </c>
      <c r="T212" s="6">
        <v>4868</v>
      </c>
      <c r="U212" s="6">
        <v>4868</v>
      </c>
      <c r="V212" s="6">
        <v>4868</v>
      </c>
    </row>
    <row r="213" spans="1:22" x14ac:dyDescent="0.2">
      <c r="A213">
        <f>Summary!A26</f>
        <v>10</v>
      </c>
      <c r="B213" t="s">
        <v>64</v>
      </c>
      <c r="C213" s="6">
        <v>10552</v>
      </c>
      <c r="D213" s="6">
        <v>10552</v>
      </c>
      <c r="E213" s="6">
        <v>10552</v>
      </c>
      <c r="F213" s="6">
        <v>10552</v>
      </c>
      <c r="G213" s="6">
        <v>10552</v>
      </c>
      <c r="H213" s="6">
        <v>10552</v>
      </c>
      <c r="I213" s="6">
        <v>10552</v>
      </c>
      <c r="J213" s="6">
        <v>10552</v>
      </c>
      <c r="K213" s="6">
        <v>10552</v>
      </c>
      <c r="L213" s="6">
        <v>10552</v>
      </c>
      <c r="M213" s="6">
        <v>10552</v>
      </c>
      <c r="N213" s="6">
        <v>10552</v>
      </c>
      <c r="O213" s="6">
        <v>10552</v>
      </c>
      <c r="P213" s="6">
        <v>10552</v>
      </c>
      <c r="Q213" s="6">
        <v>10552</v>
      </c>
      <c r="R213" s="6">
        <v>10552</v>
      </c>
      <c r="S213" s="6">
        <v>10552</v>
      </c>
      <c r="T213" s="6">
        <v>10552</v>
      </c>
      <c r="U213" s="6">
        <v>10552</v>
      </c>
      <c r="V213" s="6">
        <v>10552</v>
      </c>
    </row>
    <row r="214" spans="1:22" x14ac:dyDescent="0.2">
      <c r="A214">
        <f>Summary!A27</f>
        <v>11</v>
      </c>
      <c r="B214" t="s">
        <v>65</v>
      </c>
      <c r="C214" s="6">
        <v>11529</v>
      </c>
      <c r="D214" s="6">
        <v>11529</v>
      </c>
      <c r="E214" s="6">
        <v>11529</v>
      </c>
      <c r="F214" s="6">
        <v>11529</v>
      </c>
      <c r="G214" s="6">
        <v>11529</v>
      </c>
      <c r="H214" s="6">
        <v>11529</v>
      </c>
      <c r="I214" s="6">
        <v>11529</v>
      </c>
      <c r="J214" s="6">
        <v>11529</v>
      </c>
      <c r="K214" s="6">
        <v>11529</v>
      </c>
      <c r="L214" s="6">
        <v>11529</v>
      </c>
      <c r="M214" s="6">
        <v>11529</v>
      </c>
      <c r="N214" s="6">
        <v>11529</v>
      </c>
      <c r="O214" s="6">
        <v>11529</v>
      </c>
      <c r="P214" s="6">
        <v>11529</v>
      </c>
      <c r="Q214" s="6">
        <v>11529</v>
      </c>
      <c r="R214" s="6">
        <v>11529</v>
      </c>
      <c r="S214" s="6">
        <v>11529</v>
      </c>
      <c r="T214" s="6">
        <v>11529</v>
      </c>
      <c r="U214" s="6">
        <v>11529</v>
      </c>
      <c r="V214" s="6">
        <v>11529</v>
      </c>
    </row>
    <row r="215" spans="1:22" x14ac:dyDescent="0.2">
      <c r="A215">
        <f>Summary!A28</f>
        <v>12</v>
      </c>
      <c r="B215" t="s">
        <v>66</v>
      </c>
      <c r="C215" s="6">
        <v>1830</v>
      </c>
      <c r="D215" s="6">
        <v>1830</v>
      </c>
      <c r="E215" s="6">
        <v>1830</v>
      </c>
      <c r="F215" s="6">
        <v>1830</v>
      </c>
      <c r="G215" s="6">
        <v>1830</v>
      </c>
      <c r="H215" s="6">
        <v>1830</v>
      </c>
      <c r="I215" s="6">
        <v>1830</v>
      </c>
      <c r="J215" s="6">
        <v>1830</v>
      </c>
      <c r="K215" s="6">
        <v>1830</v>
      </c>
      <c r="L215" s="6">
        <v>1830</v>
      </c>
      <c r="M215" s="6">
        <v>1830</v>
      </c>
      <c r="N215" s="6">
        <v>1830</v>
      </c>
      <c r="O215" s="6">
        <v>1830</v>
      </c>
      <c r="P215" s="6">
        <v>1830</v>
      </c>
      <c r="Q215" s="6">
        <v>1830</v>
      </c>
      <c r="R215" s="6">
        <v>1830</v>
      </c>
      <c r="S215" s="6">
        <v>1830</v>
      </c>
      <c r="T215" s="6">
        <v>1830</v>
      </c>
      <c r="U215" s="6">
        <v>1830</v>
      </c>
      <c r="V215" s="6">
        <v>1830</v>
      </c>
    </row>
    <row r="216" spans="1:22" x14ac:dyDescent="0.2">
      <c r="A216">
        <f>Summary!A29</f>
        <v>13</v>
      </c>
      <c r="B216" t="s">
        <v>67</v>
      </c>
      <c r="C216" s="6">
        <v>1853</v>
      </c>
      <c r="D216" s="6">
        <v>1853</v>
      </c>
      <c r="E216" s="6">
        <v>1853</v>
      </c>
      <c r="F216" s="6">
        <v>1853</v>
      </c>
      <c r="G216" s="6">
        <v>1853</v>
      </c>
      <c r="H216" s="6">
        <v>1853</v>
      </c>
      <c r="I216" s="6">
        <v>1853</v>
      </c>
      <c r="J216" s="6">
        <v>1853</v>
      </c>
      <c r="K216" s="6">
        <v>1853</v>
      </c>
      <c r="L216" s="6">
        <v>1853</v>
      </c>
      <c r="M216" s="6">
        <v>1853</v>
      </c>
      <c r="N216" s="6">
        <v>1853</v>
      </c>
      <c r="O216" s="6">
        <v>1853</v>
      </c>
      <c r="P216" s="6">
        <v>1853</v>
      </c>
      <c r="Q216" s="6">
        <v>1853</v>
      </c>
      <c r="R216" s="6">
        <v>1853</v>
      </c>
      <c r="S216" s="6">
        <v>1853</v>
      </c>
      <c r="T216" s="6">
        <v>1853</v>
      </c>
      <c r="U216" s="6">
        <v>1853</v>
      </c>
      <c r="V216" s="6">
        <v>1853</v>
      </c>
    </row>
    <row r="217" spans="1:22" x14ac:dyDescent="0.2">
      <c r="A217">
        <f>Summary!A30</f>
        <v>14</v>
      </c>
      <c r="B217" t="s">
        <v>70</v>
      </c>
      <c r="C217" s="6">
        <v>2521</v>
      </c>
      <c r="D217" s="6">
        <v>2521</v>
      </c>
      <c r="E217" s="6">
        <v>2521</v>
      </c>
      <c r="F217" s="6">
        <v>2521</v>
      </c>
      <c r="G217" s="6">
        <v>2521</v>
      </c>
      <c r="H217" s="6">
        <v>2521</v>
      </c>
      <c r="I217" s="6">
        <v>2521</v>
      </c>
      <c r="J217" s="6">
        <v>2521</v>
      </c>
      <c r="K217" s="6">
        <v>2521</v>
      </c>
      <c r="L217" s="6">
        <v>2521</v>
      </c>
      <c r="M217" s="6">
        <v>2521</v>
      </c>
      <c r="N217" s="6">
        <v>2521</v>
      </c>
      <c r="O217" s="6">
        <v>2521</v>
      </c>
      <c r="P217" s="6">
        <v>2521</v>
      </c>
      <c r="Q217" s="6">
        <v>2521</v>
      </c>
      <c r="R217" s="6">
        <v>2521</v>
      </c>
      <c r="S217" s="6">
        <v>2521</v>
      </c>
      <c r="T217" s="6">
        <v>2521</v>
      </c>
      <c r="U217" s="6">
        <v>2521</v>
      </c>
      <c r="V217" s="6">
        <v>2521</v>
      </c>
    </row>
    <row r="218" spans="1:22" x14ac:dyDescent="0.2">
      <c r="A218">
        <f>Summary!A31</f>
        <v>15</v>
      </c>
      <c r="B218" t="s">
        <v>68</v>
      </c>
      <c r="C218" s="6">
        <v>3245</v>
      </c>
      <c r="D218" s="6">
        <v>3245</v>
      </c>
      <c r="E218" s="6">
        <v>3245</v>
      </c>
      <c r="F218" s="6">
        <v>3245</v>
      </c>
      <c r="G218" s="6">
        <v>3245</v>
      </c>
      <c r="H218" s="6">
        <v>3245</v>
      </c>
      <c r="I218" s="6">
        <v>3245</v>
      </c>
      <c r="J218" s="6">
        <v>3245</v>
      </c>
      <c r="K218" s="6">
        <v>3245</v>
      </c>
      <c r="L218" s="6">
        <v>3245</v>
      </c>
      <c r="M218" s="6">
        <v>3245</v>
      </c>
      <c r="N218" s="6">
        <v>3245</v>
      </c>
      <c r="O218" s="6">
        <v>3245</v>
      </c>
      <c r="P218" s="6">
        <v>3245</v>
      </c>
      <c r="Q218" s="6">
        <v>3245</v>
      </c>
      <c r="R218" s="6">
        <v>3245</v>
      </c>
      <c r="S218" s="6">
        <v>3245</v>
      </c>
      <c r="T218" s="6">
        <v>3245</v>
      </c>
      <c r="U218" s="6">
        <v>3245</v>
      </c>
      <c r="V218" s="6">
        <v>3245</v>
      </c>
    </row>
    <row r="219" spans="1:22" x14ac:dyDescent="0.2">
      <c r="A219">
        <f>Summary!A32</f>
        <v>16</v>
      </c>
      <c r="B219" t="s">
        <v>69</v>
      </c>
      <c r="C219" s="6">
        <v>5059</v>
      </c>
      <c r="D219" s="6">
        <v>5059</v>
      </c>
      <c r="E219" s="6">
        <v>5059</v>
      </c>
      <c r="F219" s="6">
        <v>5059</v>
      </c>
      <c r="G219" s="6">
        <v>5059</v>
      </c>
      <c r="H219" s="6">
        <v>5059</v>
      </c>
      <c r="I219" s="6">
        <v>5059</v>
      </c>
      <c r="J219" s="6">
        <v>5059</v>
      </c>
      <c r="K219" s="6">
        <v>5059</v>
      </c>
      <c r="L219" s="6">
        <v>5059</v>
      </c>
      <c r="M219" s="6">
        <v>5059</v>
      </c>
      <c r="N219" s="6">
        <v>5059</v>
      </c>
      <c r="O219" s="6">
        <v>5059</v>
      </c>
      <c r="P219" s="6">
        <v>5059</v>
      </c>
      <c r="Q219" s="6">
        <v>5059</v>
      </c>
      <c r="R219" s="6">
        <v>5059</v>
      </c>
      <c r="S219" s="6">
        <v>5059</v>
      </c>
      <c r="T219" s="6">
        <v>5059</v>
      </c>
      <c r="U219" s="6">
        <v>5059</v>
      </c>
      <c r="V219" s="6">
        <v>5059</v>
      </c>
    </row>
    <row r="220" spans="1:22" x14ac:dyDescent="0.2">
      <c r="A220">
        <f>Summary!A33</f>
        <v>17</v>
      </c>
      <c r="B220" t="s">
        <v>71</v>
      </c>
      <c r="C220" s="6">
        <v>3603</v>
      </c>
      <c r="D220" s="6">
        <v>3603</v>
      </c>
      <c r="E220" s="6">
        <v>3603</v>
      </c>
      <c r="F220" s="6">
        <v>3603</v>
      </c>
      <c r="G220" s="6">
        <v>3603</v>
      </c>
      <c r="H220" s="6">
        <v>3603</v>
      </c>
      <c r="I220" s="6">
        <v>3603</v>
      </c>
      <c r="J220" s="6">
        <v>3603</v>
      </c>
      <c r="K220" s="6">
        <v>3603</v>
      </c>
      <c r="L220" s="6">
        <v>3603</v>
      </c>
      <c r="M220" s="6">
        <v>3603</v>
      </c>
      <c r="N220" s="6">
        <v>3603</v>
      </c>
      <c r="O220" s="6">
        <v>3603</v>
      </c>
      <c r="P220" s="6">
        <v>3603</v>
      </c>
      <c r="Q220" s="6">
        <v>3603</v>
      </c>
      <c r="R220" s="6">
        <v>3603</v>
      </c>
      <c r="S220" s="6">
        <v>3603</v>
      </c>
      <c r="T220" s="6">
        <v>3603</v>
      </c>
      <c r="U220" s="6">
        <v>3603</v>
      </c>
      <c r="V220" s="6">
        <v>3603</v>
      </c>
    </row>
    <row r="221" spans="1:22" x14ac:dyDescent="0.2">
      <c r="A221">
        <f>Summary!A34</f>
        <v>18</v>
      </c>
      <c r="B221" t="s">
        <v>72</v>
      </c>
      <c r="C221" s="6">
        <v>7448</v>
      </c>
      <c r="D221" s="6">
        <v>7448</v>
      </c>
      <c r="E221" s="6">
        <v>7448</v>
      </c>
      <c r="F221" s="6">
        <v>7448</v>
      </c>
      <c r="G221" s="6">
        <v>7448</v>
      </c>
      <c r="H221" s="6">
        <v>7448</v>
      </c>
      <c r="I221" s="6">
        <v>7448</v>
      </c>
      <c r="J221" s="6">
        <v>7448</v>
      </c>
      <c r="K221" s="6">
        <v>7448</v>
      </c>
      <c r="L221" s="6">
        <v>7448</v>
      </c>
      <c r="M221" s="6">
        <v>7448</v>
      </c>
      <c r="N221" s="6">
        <v>7448</v>
      </c>
      <c r="O221" s="6">
        <v>7448</v>
      </c>
      <c r="P221" s="6">
        <v>7448</v>
      </c>
      <c r="Q221" s="6">
        <v>7448</v>
      </c>
      <c r="R221" s="6">
        <v>7448</v>
      </c>
      <c r="S221" s="6">
        <v>7448</v>
      </c>
      <c r="T221" s="6">
        <v>7448</v>
      </c>
      <c r="U221" s="6">
        <v>7448</v>
      </c>
      <c r="V221" s="6">
        <v>7448</v>
      </c>
    </row>
    <row r="222" spans="1:22" x14ac:dyDescent="0.2">
      <c r="A222">
        <f>Summary!A35</f>
        <v>19</v>
      </c>
      <c r="B222" t="s">
        <v>73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</row>
    <row r="223" spans="1:22" x14ac:dyDescent="0.2">
      <c r="A223">
        <f>Summary!A36</f>
        <v>20</v>
      </c>
      <c r="B223" t="s">
        <v>74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</row>
    <row r="224" spans="1:22" x14ac:dyDescent="0.2">
      <c r="A224">
        <f>Summary!A37</f>
        <v>21</v>
      </c>
      <c r="B224" t="s">
        <v>75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</row>
    <row r="225" spans="1:22" x14ac:dyDescent="0.2">
      <c r="A225">
        <f>Summary!A38</f>
        <v>22</v>
      </c>
      <c r="B225" t="s">
        <v>86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</row>
    <row r="226" spans="1:22" x14ac:dyDescent="0.2">
      <c r="A226">
        <f>Summary!A39</f>
        <v>23</v>
      </c>
      <c r="B226" t="s">
        <v>76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</row>
    <row r="227" spans="1:22" x14ac:dyDescent="0.2">
      <c r="A227">
        <f>Summary!A40</f>
        <v>24</v>
      </c>
      <c r="B227" t="s">
        <v>77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</row>
    <row r="228" spans="1:22" x14ac:dyDescent="0.2">
      <c r="A228">
        <f>Summary!A41</f>
        <v>25</v>
      </c>
      <c r="B228" t="s">
        <v>78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</row>
    <row r="229" spans="1:22" x14ac:dyDescent="0.2">
      <c r="A229">
        <f>Summary!A42</f>
        <v>26</v>
      </c>
      <c r="B229" t="s">
        <v>79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</row>
    <row r="230" spans="1:22" x14ac:dyDescent="0.2">
      <c r="A230">
        <f>Summary!A43</f>
        <v>27</v>
      </c>
      <c r="B230" t="s">
        <v>80</v>
      </c>
      <c r="C230" s="6">
        <v>292</v>
      </c>
      <c r="D230" s="6">
        <v>292</v>
      </c>
      <c r="E230" s="6">
        <v>292</v>
      </c>
      <c r="F230" s="6">
        <v>292</v>
      </c>
      <c r="G230" s="6">
        <v>292</v>
      </c>
      <c r="H230" s="6">
        <v>292</v>
      </c>
      <c r="I230" s="6">
        <v>292</v>
      </c>
      <c r="J230" s="6">
        <v>292</v>
      </c>
      <c r="K230" s="6">
        <v>292</v>
      </c>
      <c r="L230" s="6">
        <v>292</v>
      </c>
      <c r="M230" s="6">
        <v>292</v>
      </c>
      <c r="N230" s="6">
        <v>292</v>
      </c>
      <c r="O230" s="6">
        <v>292</v>
      </c>
      <c r="P230" s="6">
        <v>292</v>
      </c>
      <c r="Q230" s="6">
        <v>292</v>
      </c>
      <c r="R230" s="6">
        <v>292</v>
      </c>
      <c r="S230" s="6">
        <v>292</v>
      </c>
      <c r="T230" s="6">
        <v>292</v>
      </c>
      <c r="U230" s="6">
        <v>292</v>
      </c>
      <c r="V230" s="6">
        <v>292</v>
      </c>
    </row>
    <row r="231" spans="1:22" x14ac:dyDescent="0.2">
      <c r="A231">
        <f>Summary!A44</f>
        <v>28</v>
      </c>
      <c r="B231" t="s">
        <v>81</v>
      </c>
      <c r="C231" s="6">
        <v>292</v>
      </c>
      <c r="D231" s="6">
        <v>292</v>
      </c>
      <c r="E231" s="6">
        <v>292</v>
      </c>
      <c r="F231" s="6">
        <v>292</v>
      </c>
      <c r="G231" s="6">
        <v>292</v>
      </c>
      <c r="H231" s="6">
        <v>292</v>
      </c>
      <c r="I231" s="6">
        <v>292</v>
      </c>
      <c r="J231" s="6">
        <v>292</v>
      </c>
      <c r="K231" s="6">
        <v>292</v>
      </c>
      <c r="L231" s="6">
        <v>292</v>
      </c>
      <c r="M231" s="6">
        <v>292</v>
      </c>
      <c r="N231" s="6">
        <v>292</v>
      </c>
      <c r="O231" s="6">
        <v>292</v>
      </c>
      <c r="P231" s="6">
        <v>292</v>
      </c>
      <c r="Q231" s="6">
        <v>292</v>
      </c>
      <c r="R231" s="6">
        <v>292</v>
      </c>
      <c r="S231" s="6">
        <v>292</v>
      </c>
      <c r="T231" s="6">
        <v>292</v>
      </c>
      <c r="U231" s="6">
        <v>292</v>
      </c>
      <c r="V231" s="6">
        <v>292</v>
      </c>
    </row>
    <row r="232" spans="1:22" x14ac:dyDescent="0.2">
      <c r="A232">
        <f>Summary!A45</f>
        <v>29</v>
      </c>
      <c r="B232" t="s">
        <v>82</v>
      </c>
      <c r="C232" s="6">
        <v>292</v>
      </c>
      <c r="D232" s="6">
        <v>292</v>
      </c>
      <c r="E232" s="6">
        <v>292</v>
      </c>
      <c r="F232" s="6">
        <v>292</v>
      </c>
      <c r="G232" s="6">
        <v>292</v>
      </c>
      <c r="H232" s="6">
        <v>292</v>
      </c>
      <c r="I232" s="6">
        <v>292</v>
      </c>
      <c r="J232" s="6">
        <v>292</v>
      </c>
      <c r="K232" s="6">
        <v>292</v>
      </c>
      <c r="L232" s="6">
        <v>292</v>
      </c>
      <c r="M232" s="6">
        <v>292</v>
      </c>
      <c r="N232" s="6">
        <v>292</v>
      </c>
      <c r="O232" s="6">
        <v>292</v>
      </c>
      <c r="P232" s="6">
        <v>292</v>
      </c>
      <c r="Q232" s="6">
        <v>292</v>
      </c>
      <c r="R232" s="6">
        <v>292</v>
      </c>
      <c r="S232" s="6">
        <v>292</v>
      </c>
      <c r="T232" s="6">
        <v>292</v>
      </c>
      <c r="U232" s="6">
        <v>292</v>
      </c>
      <c r="V232" s="6">
        <v>292</v>
      </c>
    </row>
    <row r="233" spans="1:22" x14ac:dyDescent="0.2">
      <c r="A233">
        <f>Summary!A46</f>
        <v>30</v>
      </c>
      <c r="B233" t="s">
        <v>83</v>
      </c>
      <c r="C233" s="6">
        <v>292</v>
      </c>
      <c r="D233" s="6">
        <v>292</v>
      </c>
      <c r="E233" s="6">
        <v>292</v>
      </c>
      <c r="F233" s="6">
        <v>292</v>
      </c>
      <c r="G233" s="6">
        <v>292</v>
      </c>
      <c r="H233" s="6">
        <v>292</v>
      </c>
      <c r="I233" s="6">
        <v>292</v>
      </c>
      <c r="J233" s="6">
        <v>292</v>
      </c>
      <c r="K233" s="6">
        <v>292</v>
      </c>
      <c r="L233" s="6">
        <v>292</v>
      </c>
      <c r="M233" s="6">
        <v>292</v>
      </c>
      <c r="N233" s="6">
        <v>292</v>
      </c>
      <c r="O233" s="6">
        <v>292</v>
      </c>
      <c r="P233" s="6">
        <v>292</v>
      </c>
      <c r="Q233" s="6">
        <v>292</v>
      </c>
      <c r="R233" s="6">
        <v>292</v>
      </c>
      <c r="S233" s="6">
        <v>292</v>
      </c>
      <c r="T233" s="6">
        <v>292</v>
      </c>
      <c r="U233" s="6">
        <v>292</v>
      </c>
      <c r="V233" s="6">
        <v>292</v>
      </c>
    </row>
    <row r="234" spans="1:22" x14ac:dyDescent="0.2">
      <c r="A234">
        <f>Summary!A47</f>
        <v>31</v>
      </c>
      <c r="B234" t="s">
        <v>84</v>
      </c>
      <c r="C234" s="6">
        <v>292</v>
      </c>
      <c r="D234" s="6">
        <v>292</v>
      </c>
      <c r="E234" s="6">
        <v>292</v>
      </c>
      <c r="F234" s="6">
        <v>292</v>
      </c>
      <c r="G234" s="6">
        <v>292</v>
      </c>
      <c r="H234" s="6">
        <v>292</v>
      </c>
      <c r="I234" s="6">
        <v>292</v>
      </c>
      <c r="J234" s="6">
        <v>292</v>
      </c>
      <c r="K234" s="6">
        <v>292</v>
      </c>
      <c r="L234" s="6">
        <v>292</v>
      </c>
      <c r="M234" s="6">
        <v>292</v>
      </c>
      <c r="N234" s="6">
        <v>292</v>
      </c>
      <c r="O234" s="6">
        <v>292</v>
      </c>
      <c r="P234" s="6">
        <v>292</v>
      </c>
      <c r="Q234" s="6">
        <v>292</v>
      </c>
      <c r="R234" s="6">
        <v>292</v>
      </c>
      <c r="S234" s="6">
        <v>292</v>
      </c>
      <c r="T234" s="6">
        <v>292</v>
      </c>
      <c r="U234" s="6">
        <v>292</v>
      </c>
      <c r="V234" s="6">
        <v>292</v>
      </c>
    </row>
    <row r="235" spans="1:22" x14ac:dyDescent="0.2">
      <c r="A235">
        <f>Summary!A48</f>
        <v>32</v>
      </c>
      <c r="B235" t="s">
        <v>85</v>
      </c>
      <c r="C235" s="6">
        <v>292</v>
      </c>
      <c r="D235" s="6">
        <v>292</v>
      </c>
      <c r="E235" s="6">
        <v>292</v>
      </c>
      <c r="F235" s="6">
        <v>292</v>
      </c>
      <c r="G235" s="6">
        <v>292</v>
      </c>
      <c r="H235" s="6">
        <v>292</v>
      </c>
      <c r="I235" s="6">
        <v>292</v>
      </c>
      <c r="J235" s="6">
        <v>292</v>
      </c>
      <c r="K235" s="6">
        <v>292</v>
      </c>
      <c r="L235" s="6">
        <v>292</v>
      </c>
      <c r="M235" s="6">
        <v>292</v>
      </c>
      <c r="N235" s="6">
        <v>292</v>
      </c>
      <c r="O235" s="6">
        <v>292</v>
      </c>
      <c r="P235" s="6">
        <v>292</v>
      </c>
      <c r="Q235" s="6">
        <v>292</v>
      </c>
      <c r="R235" s="6">
        <v>292</v>
      </c>
      <c r="S235" s="6">
        <v>292</v>
      </c>
      <c r="T235" s="6">
        <v>292</v>
      </c>
      <c r="U235" s="6">
        <v>292</v>
      </c>
      <c r="V235" s="6">
        <v>292</v>
      </c>
    </row>
    <row r="236" spans="1:22" x14ac:dyDescent="0.2">
      <c r="A236">
        <f>Summary!A49</f>
        <v>33</v>
      </c>
      <c r="B236" t="s">
        <v>181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</row>
    <row r="238" spans="1:22" x14ac:dyDescent="0.2">
      <c r="C238" s="6">
        <f t="shared" ref="C238:L238" si="22">SUM(C204:C236)</f>
        <v>110626</v>
      </c>
      <c r="D238" s="6">
        <f t="shared" si="22"/>
        <v>110626</v>
      </c>
      <c r="E238" s="6">
        <f t="shared" si="22"/>
        <v>110626</v>
      </c>
      <c r="F238" s="6">
        <f t="shared" si="22"/>
        <v>110626</v>
      </c>
      <c r="G238" s="6">
        <f t="shared" si="22"/>
        <v>110626</v>
      </c>
      <c r="H238" s="6">
        <f t="shared" si="22"/>
        <v>110626</v>
      </c>
      <c r="I238" s="6">
        <f t="shared" si="22"/>
        <v>110626</v>
      </c>
      <c r="J238" s="6">
        <f t="shared" si="22"/>
        <v>110626</v>
      </c>
      <c r="K238" s="6">
        <f t="shared" si="22"/>
        <v>110626</v>
      </c>
      <c r="L238" s="6">
        <f t="shared" si="22"/>
        <v>110626</v>
      </c>
      <c r="M238" s="6">
        <f t="shared" ref="M238:V238" si="23">SUM(M204:M236)</f>
        <v>110626</v>
      </c>
      <c r="N238" s="6">
        <f t="shared" si="23"/>
        <v>110626</v>
      </c>
      <c r="O238" s="6">
        <f t="shared" si="23"/>
        <v>110626</v>
      </c>
      <c r="P238" s="6">
        <f t="shared" si="23"/>
        <v>110626</v>
      </c>
      <c r="Q238" s="6">
        <f t="shared" si="23"/>
        <v>110626</v>
      </c>
      <c r="R238" s="6">
        <f t="shared" si="23"/>
        <v>110626</v>
      </c>
      <c r="S238" s="6">
        <f t="shared" si="23"/>
        <v>110626</v>
      </c>
      <c r="T238" s="6">
        <f t="shared" si="23"/>
        <v>110626</v>
      </c>
      <c r="U238" s="6">
        <f t="shared" si="23"/>
        <v>110626</v>
      </c>
      <c r="V238" s="6">
        <f t="shared" si="23"/>
        <v>110626</v>
      </c>
    </row>
    <row r="241" spans="1:23" x14ac:dyDescent="0.2">
      <c r="A241" s="45" t="s">
        <v>305</v>
      </c>
    </row>
    <row r="242" spans="1:23" x14ac:dyDescent="0.2">
      <c r="C242" s="12">
        <v>2000</v>
      </c>
      <c r="D242" s="12">
        <v>2001</v>
      </c>
      <c r="E242" s="12">
        <v>2002</v>
      </c>
      <c r="F242" s="12">
        <v>2003</v>
      </c>
      <c r="G242" s="12">
        <v>2004</v>
      </c>
      <c r="H242" s="12">
        <v>2005</v>
      </c>
      <c r="I242" s="12">
        <v>2006</v>
      </c>
      <c r="J242" s="12">
        <v>2007</v>
      </c>
      <c r="K242" s="12">
        <v>2008</v>
      </c>
      <c r="L242" s="12">
        <v>2009</v>
      </c>
      <c r="M242" s="12">
        <v>2010</v>
      </c>
      <c r="N242" s="12">
        <v>2011</v>
      </c>
      <c r="O242" s="12">
        <v>2012</v>
      </c>
      <c r="P242" s="12">
        <v>2013</v>
      </c>
      <c r="Q242" s="12">
        <v>2014</v>
      </c>
      <c r="R242" s="12">
        <v>2015</v>
      </c>
      <c r="S242" s="12">
        <v>2016</v>
      </c>
      <c r="T242" s="12">
        <v>2017</v>
      </c>
      <c r="U242" s="12">
        <v>2018</v>
      </c>
      <c r="V242" s="12">
        <v>2019</v>
      </c>
      <c r="W242" s="12" t="s">
        <v>28</v>
      </c>
    </row>
    <row r="243" spans="1:23" x14ac:dyDescent="0.2">
      <c r="A243" s="228">
        <v>2</v>
      </c>
      <c r="C243" s="67">
        <f>Assumptions!B12</f>
        <v>181.15599510176347</v>
      </c>
      <c r="D243" s="67">
        <f>Assumptions!B13</f>
        <v>198.92520866387423</v>
      </c>
      <c r="E243" s="67">
        <f>Assumptions!B14</f>
        <v>218.80258102590736</v>
      </c>
      <c r="F243" s="67">
        <f>Assumptions!B15</f>
        <v>240.4080539178627</v>
      </c>
      <c r="G243" s="67">
        <f>Assumptions!B16</f>
        <v>264.14659569665338</v>
      </c>
      <c r="H243" s="67">
        <f>Assumptions!B17</f>
        <v>290.22096928831274</v>
      </c>
      <c r="I243" s="67">
        <f>Assumptions!B18</f>
        <v>319.92473742153555</v>
      </c>
      <c r="J243" s="67">
        <f>Assumptions!B19</f>
        <v>354.61101457823628</v>
      </c>
      <c r="K243" s="67">
        <f>Assumptions!B20</f>
        <v>391.29851871019378</v>
      </c>
      <c r="L243" s="67">
        <f>Assumptions!B21</f>
        <v>429.77958121829101</v>
      </c>
      <c r="M243" s="67">
        <f>Assumptions!B22</f>
        <v>477.98097313444265</v>
      </c>
      <c r="N243" s="67">
        <f>Assumptions!B23</f>
        <v>526.53218862643894</v>
      </c>
      <c r="O243" s="67">
        <f>Assumptions!B24</f>
        <v>583.38187908572775</v>
      </c>
      <c r="P243" s="67">
        <f>Assumptions!B25</f>
        <v>654.12455073352146</v>
      </c>
      <c r="Q243" s="67">
        <f>Assumptions!B26</f>
        <v>728.14269915212174</v>
      </c>
      <c r="R243" s="67">
        <f>Assumptions!B27</f>
        <v>806.55967593313017</v>
      </c>
      <c r="S243" s="67">
        <f>Assumptions!B28</f>
        <v>885.60153229928596</v>
      </c>
      <c r="T243" s="67">
        <f>Assumptions!B29</f>
        <v>870.0603303281033</v>
      </c>
      <c r="U243" s="67">
        <f>Assumptions!B30</f>
        <v>744.38367199801439</v>
      </c>
      <c r="V243" s="67">
        <f>Assumptions!B31</f>
        <v>771.78853165204816</v>
      </c>
    </row>
    <row r="245" spans="1:23" x14ac:dyDescent="0.2">
      <c r="A245">
        <f>Summary!A17</f>
        <v>1</v>
      </c>
      <c r="B245" t="s">
        <v>55</v>
      </c>
      <c r="C245" s="6">
        <f t="shared" ref="C245:V245" si="24">C204*C$243</f>
        <v>1508304.8152172826</v>
      </c>
      <c r="D245" s="6">
        <f t="shared" si="24"/>
        <v>1656251.2873354168</v>
      </c>
      <c r="E245" s="6">
        <f t="shared" si="24"/>
        <v>1821750.2896217047</v>
      </c>
      <c r="F245" s="6">
        <f t="shared" si="24"/>
        <v>2001637.4569201248</v>
      </c>
      <c r="G245" s="6">
        <f t="shared" si="24"/>
        <v>2199284.5557703362</v>
      </c>
      <c r="H245" s="6">
        <f t="shared" si="24"/>
        <v>2416379.7902944917</v>
      </c>
      <c r="I245" s="6">
        <f t="shared" si="24"/>
        <v>2663693.363771705</v>
      </c>
      <c r="J245" s="6">
        <f t="shared" si="24"/>
        <v>2952491.3073783955</v>
      </c>
      <c r="K245" s="6">
        <f t="shared" si="24"/>
        <v>3257951.4667810732</v>
      </c>
      <c r="L245" s="6">
        <f t="shared" si="24"/>
        <v>3578344.7932234909</v>
      </c>
      <c r="M245" s="6">
        <f t="shared" si="24"/>
        <v>3979669.5823173695</v>
      </c>
      <c r="N245" s="6">
        <f t="shared" si="24"/>
        <v>4383907.0025037304</v>
      </c>
      <c r="O245" s="6">
        <f t="shared" si="24"/>
        <v>4857237.5252677696</v>
      </c>
      <c r="P245" s="6">
        <f t="shared" si="24"/>
        <v>5446241.0094072996</v>
      </c>
      <c r="Q245" s="6">
        <f t="shared" si="24"/>
        <v>6062516.1131405653</v>
      </c>
      <c r="R245" s="6">
        <f t="shared" si="24"/>
        <v>6715415.8618192421</v>
      </c>
      <c r="S245" s="6">
        <f t="shared" si="24"/>
        <v>7373518.3579238551</v>
      </c>
      <c r="T245" s="6">
        <f t="shared" si="24"/>
        <v>7244122.3103117878</v>
      </c>
      <c r="U245" s="6">
        <f t="shared" si="24"/>
        <v>6197738.4530554675</v>
      </c>
      <c r="V245" s="6">
        <f t="shared" si="24"/>
        <v>6425911.3145349529</v>
      </c>
      <c r="W245" s="6">
        <f>NPV(Assumptions!$L$16,C245:V245)</f>
        <v>26986860.562477835</v>
      </c>
    </row>
    <row r="246" spans="1:23" x14ac:dyDescent="0.2">
      <c r="A246">
        <f>Summary!A18</f>
        <v>2</v>
      </c>
      <c r="B246" t="s">
        <v>56</v>
      </c>
      <c r="C246" s="6">
        <f t="shared" ref="C246:V246" si="25">C205*C$243</f>
        <v>2315717.0853858422</v>
      </c>
      <c r="D246" s="6">
        <f t="shared" si="25"/>
        <v>2542860.9423503042</v>
      </c>
      <c r="E246" s="6">
        <f t="shared" si="25"/>
        <v>2796953.3932541739</v>
      </c>
      <c r="F246" s="6">
        <f t="shared" si="25"/>
        <v>3073136.153232039</v>
      </c>
      <c r="G246" s="6">
        <f t="shared" si="25"/>
        <v>3376585.9327903199</v>
      </c>
      <c r="H246" s="6">
        <f t="shared" si="25"/>
        <v>3709894.6504125018</v>
      </c>
      <c r="I246" s="6">
        <f t="shared" si="25"/>
        <v>4089597.918459489</v>
      </c>
      <c r="J246" s="6">
        <f t="shared" si="25"/>
        <v>4532992.5993535947</v>
      </c>
      <c r="K246" s="6">
        <f t="shared" si="25"/>
        <v>5001968.9646724071</v>
      </c>
      <c r="L246" s="6">
        <f t="shared" si="25"/>
        <v>5493872.3867134145</v>
      </c>
      <c r="M246" s="6">
        <f t="shared" si="25"/>
        <v>6110030.7795775803</v>
      </c>
      <c r="N246" s="6">
        <f t="shared" si="25"/>
        <v>6730660.967211769</v>
      </c>
      <c r="O246" s="6">
        <f t="shared" si="25"/>
        <v>7457370.5603528582</v>
      </c>
      <c r="P246" s="6">
        <f t="shared" si="25"/>
        <v>8361674.1320266044</v>
      </c>
      <c r="Q246" s="6">
        <f t="shared" si="25"/>
        <v>9307848.1232615728</v>
      </c>
      <c r="R246" s="6">
        <f t="shared" si="25"/>
        <v>10310252.337453203</v>
      </c>
      <c r="S246" s="6">
        <f t="shared" si="25"/>
        <v>11320644.387381772</v>
      </c>
      <c r="T246" s="6">
        <f t="shared" si="25"/>
        <v>11121981.202584144</v>
      </c>
      <c r="U246" s="6">
        <f t="shared" si="25"/>
        <v>9515456.4791506175</v>
      </c>
      <c r="V246" s="6">
        <f t="shared" si="25"/>
        <v>9865772.800108131</v>
      </c>
      <c r="W246" s="6">
        <f>NPV(Assumptions!$L$16,C246:V246)</f>
        <v>41433225.867181607</v>
      </c>
    </row>
    <row r="247" spans="1:23" x14ac:dyDescent="0.2">
      <c r="A247">
        <f>Summary!A19</f>
        <v>3</v>
      </c>
      <c r="B247" s="9" t="s">
        <v>57</v>
      </c>
      <c r="C247" s="6">
        <f t="shared" ref="C247:V247" si="26">C206*C$243</f>
        <v>1410299.4218672286</v>
      </c>
      <c r="D247" s="6">
        <f t="shared" si="26"/>
        <v>1548632.749448261</v>
      </c>
      <c r="E247" s="6">
        <f t="shared" si="26"/>
        <v>1703378.0932866887</v>
      </c>
      <c r="F247" s="6">
        <f t="shared" si="26"/>
        <v>1871576.699750561</v>
      </c>
      <c r="G247" s="6">
        <f t="shared" si="26"/>
        <v>2056381.2474984466</v>
      </c>
      <c r="H247" s="6">
        <f t="shared" si="26"/>
        <v>2259370.2459095148</v>
      </c>
      <c r="I247" s="6">
        <f t="shared" si="26"/>
        <v>2490614.0808266541</v>
      </c>
      <c r="J247" s="6">
        <f t="shared" si="26"/>
        <v>2760646.7484915694</v>
      </c>
      <c r="K247" s="6">
        <f t="shared" si="26"/>
        <v>3046258.9681588584</v>
      </c>
      <c r="L247" s="6">
        <f t="shared" si="26"/>
        <v>3345834.0397843956</v>
      </c>
      <c r="M247" s="6">
        <f t="shared" si="26"/>
        <v>3721081.8758516358</v>
      </c>
      <c r="N247" s="6">
        <f t="shared" si="26"/>
        <v>4099053.0884568272</v>
      </c>
      <c r="O247" s="6">
        <f t="shared" si="26"/>
        <v>4541627.9286823906</v>
      </c>
      <c r="P247" s="6">
        <f t="shared" si="26"/>
        <v>5092359.6274604648</v>
      </c>
      <c r="Q247" s="6">
        <f t="shared" si="26"/>
        <v>5668590.9128992679</v>
      </c>
      <c r="R247" s="6">
        <f t="shared" si="26"/>
        <v>6279067.0771394186</v>
      </c>
      <c r="S247" s="6">
        <f t="shared" si="26"/>
        <v>6894407.9289499409</v>
      </c>
      <c r="T247" s="6">
        <f t="shared" si="26"/>
        <v>6773419.6716042841</v>
      </c>
      <c r="U247" s="6">
        <f t="shared" si="26"/>
        <v>5795026.8865045421</v>
      </c>
      <c r="V247" s="6">
        <f t="shared" si="26"/>
        <v>6008373.7189111952</v>
      </c>
      <c r="W247" s="6">
        <f>NPV(Assumptions!$L$16,C247:V247)</f>
        <v>25233330.468278881</v>
      </c>
    </row>
    <row r="248" spans="1:23" x14ac:dyDescent="0.2">
      <c r="A248">
        <f>Summary!A20</f>
        <v>4</v>
      </c>
      <c r="B248" s="9" t="s">
        <v>58</v>
      </c>
      <c r="C248" s="6">
        <f t="shared" ref="C248:V248" si="27">C207*C$243</f>
        <v>1337655.8678314213</v>
      </c>
      <c r="D248" s="6">
        <f t="shared" si="27"/>
        <v>1468863.7407740473</v>
      </c>
      <c r="E248" s="6">
        <f t="shared" si="27"/>
        <v>1615638.2582953</v>
      </c>
      <c r="F248" s="6">
        <f t="shared" si="27"/>
        <v>1775173.0701294981</v>
      </c>
      <c r="G248" s="6">
        <f t="shared" si="27"/>
        <v>1950458.4626240886</v>
      </c>
      <c r="H248" s="6">
        <f t="shared" si="27"/>
        <v>2142991.6372249015</v>
      </c>
      <c r="I248" s="6">
        <f t="shared" si="27"/>
        <v>2362324.2611206183</v>
      </c>
      <c r="J248" s="6">
        <f t="shared" si="27"/>
        <v>2618447.7316456968</v>
      </c>
      <c r="K248" s="6">
        <f t="shared" si="27"/>
        <v>2889348.2621560707</v>
      </c>
      <c r="L248" s="6">
        <f t="shared" si="27"/>
        <v>3173492.4277158608</v>
      </c>
      <c r="M248" s="6">
        <f t="shared" si="27"/>
        <v>3529411.5056247246</v>
      </c>
      <c r="N248" s="6">
        <f t="shared" si="27"/>
        <v>3887913.680817625</v>
      </c>
      <c r="O248" s="6">
        <f t="shared" si="27"/>
        <v>4307691.7951690136</v>
      </c>
      <c r="P248" s="6">
        <f t="shared" si="27"/>
        <v>4830055.6826163223</v>
      </c>
      <c r="Q248" s="6">
        <f t="shared" si="27"/>
        <v>5376605.6905392669</v>
      </c>
      <c r="R248" s="6">
        <f t="shared" si="27"/>
        <v>5955636.6470902329</v>
      </c>
      <c r="S248" s="6">
        <f t="shared" si="27"/>
        <v>6539281.7144979276</v>
      </c>
      <c r="T248" s="6">
        <f t="shared" si="27"/>
        <v>6424525.4791427152</v>
      </c>
      <c r="U248" s="6">
        <f t="shared" si="27"/>
        <v>5496529.0340333385</v>
      </c>
      <c r="V248" s="6">
        <f t="shared" si="27"/>
        <v>5698886.517718724</v>
      </c>
      <c r="W248" s="6">
        <f>NPV(Assumptions!$L$16,C248:V248)</f>
        <v>23933578.956682242</v>
      </c>
    </row>
    <row r="249" spans="1:23" x14ac:dyDescent="0.2">
      <c r="A249">
        <f>Summary!A21</f>
        <v>5</v>
      </c>
      <c r="B249" s="9" t="s">
        <v>59</v>
      </c>
      <c r="C249" s="6">
        <f t="shared" ref="C249:V249" si="28">C208*C$243</f>
        <v>1303236.2287620865</v>
      </c>
      <c r="D249" s="6">
        <f t="shared" si="28"/>
        <v>1431067.9511279112</v>
      </c>
      <c r="E249" s="6">
        <f t="shared" si="28"/>
        <v>1574065.7679003775</v>
      </c>
      <c r="F249" s="6">
        <f t="shared" si="28"/>
        <v>1729495.5398851042</v>
      </c>
      <c r="G249" s="6">
        <f t="shared" si="28"/>
        <v>1900270.6094417244</v>
      </c>
      <c r="H249" s="6">
        <f t="shared" si="28"/>
        <v>2087849.6530601219</v>
      </c>
      <c r="I249" s="6">
        <f t="shared" si="28"/>
        <v>2301538.561010527</v>
      </c>
      <c r="J249" s="6">
        <f t="shared" si="28"/>
        <v>2551071.6388758318</v>
      </c>
      <c r="K249" s="6">
        <f t="shared" si="28"/>
        <v>2815001.5436011339</v>
      </c>
      <c r="L249" s="6">
        <f t="shared" si="28"/>
        <v>3091834.3072843854</v>
      </c>
      <c r="M249" s="6">
        <f t="shared" si="28"/>
        <v>3438595.1207291805</v>
      </c>
      <c r="N249" s="6">
        <f t="shared" si="28"/>
        <v>3787872.5649786019</v>
      </c>
      <c r="O249" s="6">
        <f t="shared" si="28"/>
        <v>4196849.2381427251</v>
      </c>
      <c r="P249" s="6">
        <f t="shared" si="28"/>
        <v>4705772.0179769536</v>
      </c>
      <c r="Q249" s="6">
        <f t="shared" si="28"/>
        <v>5238258.5777003635</v>
      </c>
      <c r="R249" s="6">
        <f t="shared" si="28"/>
        <v>5802390.308662938</v>
      </c>
      <c r="S249" s="6">
        <f t="shared" si="28"/>
        <v>6371017.423361063</v>
      </c>
      <c r="T249" s="6">
        <f t="shared" si="28"/>
        <v>6259214.0163803753</v>
      </c>
      <c r="U249" s="6">
        <f t="shared" si="28"/>
        <v>5355096.1363537153</v>
      </c>
      <c r="V249" s="6">
        <f t="shared" si="28"/>
        <v>5552246.6967048347</v>
      </c>
      <c r="W249" s="6">
        <f>NPV(Assumptions!$L$16,C249:V249)</f>
        <v>23317736.594579089</v>
      </c>
    </row>
    <row r="250" spans="1:23" x14ac:dyDescent="0.2">
      <c r="A250">
        <f>Summary!A22</f>
        <v>6</v>
      </c>
      <c r="B250" s="9" t="s">
        <v>60</v>
      </c>
      <c r="C250" s="6">
        <f t="shared" ref="C250:V250" si="29">C209*C$243</f>
        <v>1422618.0295341485</v>
      </c>
      <c r="D250" s="6">
        <f t="shared" si="29"/>
        <v>1562159.6636374043</v>
      </c>
      <c r="E250" s="6">
        <f t="shared" si="29"/>
        <v>1718256.6687964506</v>
      </c>
      <c r="F250" s="6">
        <f t="shared" si="29"/>
        <v>1887924.4474169759</v>
      </c>
      <c r="G250" s="6">
        <f t="shared" si="29"/>
        <v>2074343.2160058189</v>
      </c>
      <c r="H250" s="6">
        <f t="shared" si="29"/>
        <v>2279105.2718211198</v>
      </c>
      <c r="I250" s="6">
        <f t="shared" si="29"/>
        <v>2512368.9629713185</v>
      </c>
      <c r="J250" s="6">
        <f t="shared" si="29"/>
        <v>2784760.2974828896</v>
      </c>
      <c r="K250" s="6">
        <f t="shared" si="29"/>
        <v>3072867.2674311516</v>
      </c>
      <c r="L250" s="6">
        <f t="shared" si="29"/>
        <v>3375059.0513072391</v>
      </c>
      <c r="M250" s="6">
        <f t="shared" si="29"/>
        <v>3753584.5820247782</v>
      </c>
      <c r="N250" s="6">
        <f t="shared" si="29"/>
        <v>4134857.277283425</v>
      </c>
      <c r="O250" s="6">
        <f t="shared" si="29"/>
        <v>4581297.8964602202</v>
      </c>
      <c r="P250" s="6">
        <f t="shared" si="29"/>
        <v>5136840.0969103444</v>
      </c>
      <c r="Q250" s="6">
        <f t="shared" si="29"/>
        <v>5718104.6164416121</v>
      </c>
      <c r="R250" s="6">
        <f t="shared" si="29"/>
        <v>6333913.1351028709</v>
      </c>
      <c r="S250" s="6">
        <f t="shared" si="29"/>
        <v>6954628.8331462927</v>
      </c>
      <c r="T250" s="6">
        <f t="shared" si="29"/>
        <v>6832583.7740665954</v>
      </c>
      <c r="U250" s="6">
        <f t="shared" si="29"/>
        <v>5845644.9762004074</v>
      </c>
      <c r="V250" s="6">
        <f t="shared" si="29"/>
        <v>6060855.3390635345</v>
      </c>
      <c r="W250" s="6">
        <f>NPV(Assumptions!$L$16,C250:V250)</f>
        <v>25453737.2084</v>
      </c>
    </row>
    <row r="251" spans="1:23" x14ac:dyDescent="0.2">
      <c r="A251">
        <f>Summary!A23</f>
        <v>7</v>
      </c>
      <c r="B251" t="s">
        <v>61</v>
      </c>
      <c r="C251" s="6">
        <f t="shared" ref="C251:V251" si="30">C210*C$243</f>
        <v>861759.06869908876</v>
      </c>
      <c r="D251" s="6">
        <f t="shared" si="30"/>
        <v>946287.21761404967</v>
      </c>
      <c r="E251" s="6">
        <f t="shared" si="30"/>
        <v>1040843.8779402412</v>
      </c>
      <c r="F251" s="6">
        <f t="shared" si="30"/>
        <v>1143621.1124872728</v>
      </c>
      <c r="G251" s="6">
        <f t="shared" si="30"/>
        <v>1256545.3557289802</v>
      </c>
      <c r="H251" s="6">
        <f t="shared" si="30"/>
        <v>1380581.1509045037</v>
      </c>
      <c r="I251" s="6">
        <f t="shared" si="30"/>
        <v>1521881.9759142445</v>
      </c>
      <c r="J251" s="6">
        <f t="shared" si="30"/>
        <v>1686884.5963486701</v>
      </c>
      <c r="K251" s="6">
        <f t="shared" si="30"/>
        <v>1861407.0535043918</v>
      </c>
      <c r="L251" s="6">
        <f t="shared" si="30"/>
        <v>2044461.4678554104</v>
      </c>
      <c r="M251" s="6">
        <f t="shared" si="30"/>
        <v>2273755.4892005436</v>
      </c>
      <c r="N251" s="6">
        <f t="shared" si="30"/>
        <v>2504713.6212959699</v>
      </c>
      <c r="O251" s="6">
        <f t="shared" si="30"/>
        <v>2775147.5988108069</v>
      </c>
      <c r="P251" s="6">
        <f t="shared" si="30"/>
        <v>3111670.4878393617</v>
      </c>
      <c r="Q251" s="6">
        <f t="shared" si="30"/>
        <v>3463774.8198666433</v>
      </c>
      <c r="R251" s="6">
        <f t="shared" si="30"/>
        <v>3836804.3784139003</v>
      </c>
      <c r="S251" s="6">
        <f t="shared" si="30"/>
        <v>4212806.4891477032</v>
      </c>
      <c r="T251" s="6">
        <f t="shared" si="30"/>
        <v>4138876.9913707874</v>
      </c>
      <c r="U251" s="6">
        <f t="shared" si="30"/>
        <v>3541033.1276945546</v>
      </c>
      <c r="V251" s="6">
        <f t="shared" si="30"/>
        <v>3671398.045068793</v>
      </c>
      <c r="W251" s="6">
        <f>NPV(Assumptions!$L$16,C251:V251)</f>
        <v>15418747.98170875</v>
      </c>
    </row>
    <row r="252" spans="1:23" x14ac:dyDescent="0.2">
      <c r="A252">
        <f>Summary!A24</f>
        <v>8</v>
      </c>
      <c r="B252" t="s">
        <v>62</v>
      </c>
      <c r="C252" s="6">
        <f t="shared" ref="C252:V252" si="31">C211*C$243</f>
        <v>51448.302608900827</v>
      </c>
      <c r="D252" s="6">
        <f t="shared" si="31"/>
        <v>56494.759260540282</v>
      </c>
      <c r="E252" s="6">
        <f t="shared" si="31"/>
        <v>62139.933011357687</v>
      </c>
      <c r="F252" s="6">
        <f t="shared" si="31"/>
        <v>68275.887312673003</v>
      </c>
      <c r="G252" s="6">
        <f t="shared" si="31"/>
        <v>75017.633177849566</v>
      </c>
      <c r="H252" s="6">
        <f t="shared" si="31"/>
        <v>82422.755277880817</v>
      </c>
      <c r="I252" s="6">
        <f t="shared" si="31"/>
        <v>90858.625427716092</v>
      </c>
      <c r="J252" s="6">
        <f t="shared" si="31"/>
        <v>100709.5281402191</v>
      </c>
      <c r="K252" s="6">
        <f t="shared" si="31"/>
        <v>111128.77931369503</v>
      </c>
      <c r="L252" s="6">
        <f t="shared" si="31"/>
        <v>122057.40106599465</v>
      </c>
      <c r="M252" s="6">
        <f t="shared" si="31"/>
        <v>135746.59637018171</v>
      </c>
      <c r="N252" s="6">
        <f t="shared" si="31"/>
        <v>149535.14156990865</v>
      </c>
      <c r="O252" s="6">
        <f t="shared" si="31"/>
        <v>165680.45366034668</v>
      </c>
      <c r="P252" s="6">
        <f t="shared" si="31"/>
        <v>185771.37240832011</v>
      </c>
      <c r="Q252" s="6">
        <f t="shared" si="31"/>
        <v>206792.52655920258</v>
      </c>
      <c r="R252" s="6">
        <f t="shared" si="31"/>
        <v>229062.94796500896</v>
      </c>
      <c r="S252" s="6">
        <f t="shared" si="31"/>
        <v>251510.83517299721</v>
      </c>
      <c r="T252" s="6">
        <f t="shared" si="31"/>
        <v>247097.13381318134</v>
      </c>
      <c r="U252" s="6">
        <f t="shared" si="31"/>
        <v>211404.96284743608</v>
      </c>
      <c r="V252" s="6">
        <f t="shared" si="31"/>
        <v>219187.94298918167</v>
      </c>
      <c r="W252" s="6">
        <f>NPV(Assumptions!$L$16,C252:V252)</f>
        <v>920522.2675647015</v>
      </c>
    </row>
    <row r="253" spans="1:23" x14ac:dyDescent="0.2">
      <c r="A253">
        <f>Summary!A25</f>
        <v>9</v>
      </c>
      <c r="B253" t="s">
        <v>63</v>
      </c>
      <c r="C253" s="6">
        <f t="shared" ref="C253:V253" si="32">C212*C$243</f>
        <v>881867.3841553845</v>
      </c>
      <c r="D253" s="6">
        <f t="shared" si="32"/>
        <v>968367.9157757397</v>
      </c>
      <c r="E253" s="6">
        <f t="shared" si="32"/>
        <v>1065130.9644341171</v>
      </c>
      <c r="F253" s="6">
        <f t="shared" si="32"/>
        <v>1170306.4064721556</v>
      </c>
      <c r="G253" s="6">
        <f t="shared" si="32"/>
        <v>1285865.6278513086</v>
      </c>
      <c r="H253" s="6">
        <f t="shared" si="32"/>
        <v>1412795.6784955065</v>
      </c>
      <c r="I253" s="6">
        <f t="shared" si="32"/>
        <v>1557393.621768035</v>
      </c>
      <c r="J253" s="6">
        <f t="shared" si="32"/>
        <v>1726246.4189668542</v>
      </c>
      <c r="K253" s="6">
        <f t="shared" si="32"/>
        <v>1904841.1890812232</v>
      </c>
      <c r="L253" s="6">
        <f t="shared" si="32"/>
        <v>2092167.0013706407</v>
      </c>
      <c r="M253" s="6">
        <f t="shared" si="32"/>
        <v>2326811.3772184667</v>
      </c>
      <c r="N253" s="6">
        <f t="shared" si="32"/>
        <v>2563158.6942335046</v>
      </c>
      <c r="O253" s="6">
        <f t="shared" si="32"/>
        <v>2839902.9873893228</v>
      </c>
      <c r="P253" s="6">
        <f t="shared" si="32"/>
        <v>3184278.3129707826</v>
      </c>
      <c r="Q253" s="6">
        <f t="shared" si="32"/>
        <v>3544598.6594725284</v>
      </c>
      <c r="R253" s="6">
        <f t="shared" si="32"/>
        <v>3926332.5024424777</v>
      </c>
      <c r="S253" s="6">
        <f t="shared" si="32"/>
        <v>4311108.2592329243</v>
      </c>
      <c r="T253" s="6">
        <f t="shared" si="32"/>
        <v>4235453.6880372074</v>
      </c>
      <c r="U253" s="6">
        <f t="shared" si="32"/>
        <v>3623659.715286334</v>
      </c>
      <c r="V253" s="6">
        <f t="shared" si="32"/>
        <v>3757066.5720821703</v>
      </c>
      <c r="W253" s="6">
        <f>NPV(Assumptions!$L$16,C253:V253)</f>
        <v>15778529.572200587</v>
      </c>
    </row>
    <row r="254" spans="1:23" x14ac:dyDescent="0.2">
      <c r="A254">
        <f>Summary!A26</f>
        <v>10</v>
      </c>
      <c r="B254" t="s">
        <v>64</v>
      </c>
      <c r="C254" s="6">
        <f t="shared" ref="C254:V254" si="33">C213*C$243</f>
        <v>1911558.060313808</v>
      </c>
      <c r="D254" s="6">
        <f t="shared" si="33"/>
        <v>2099058.8018212006</v>
      </c>
      <c r="E254" s="6">
        <f t="shared" si="33"/>
        <v>2308804.8349853745</v>
      </c>
      <c r="F254" s="6">
        <f t="shared" si="33"/>
        <v>2536785.7849412872</v>
      </c>
      <c r="G254" s="6">
        <f t="shared" si="33"/>
        <v>2787274.8777910867</v>
      </c>
      <c r="H254" s="6">
        <f t="shared" si="33"/>
        <v>3062411.6679302761</v>
      </c>
      <c r="I254" s="6">
        <f t="shared" si="33"/>
        <v>3375845.829272043</v>
      </c>
      <c r="J254" s="6">
        <f t="shared" si="33"/>
        <v>3741855.4258295493</v>
      </c>
      <c r="K254" s="6">
        <f t="shared" si="33"/>
        <v>4128981.9694299647</v>
      </c>
      <c r="L254" s="6">
        <f t="shared" si="33"/>
        <v>4535034.1410154067</v>
      </c>
      <c r="M254" s="6">
        <f t="shared" si="33"/>
        <v>5043655.2285146387</v>
      </c>
      <c r="N254" s="6">
        <f t="shared" si="33"/>
        <v>5555967.6543861832</v>
      </c>
      <c r="O254" s="6">
        <f t="shared" si="33"/>
        <v>6155845.5881125992</v>
      </c>
      <c r="P254" s="6">
        <f t="shared" si="33"/>
        <v>6902322.2593401186</v>
      </c>
      <c r="Q254" s="6">
        <f t="shared" si="33"/>
        <v>7683361.761453189</v>
      </c>
      <c r="R254" s="6">
        <f t="shared" si="33"/>
        <v>8510817.7004463896</v>
      </c>
      <c r="S254" s="6">
        <f t="shared" si="33"/>
        <v>9344867.3688220661</v>
      </c>
      <c r="T254" s="6">
        <f t="shared" si="33"/>
        <v>9180876.6056221463</v>
      </c>
      <c r="U254" s="6">
        <f t="shared" si="33"/>
        <v>7854736.5069230478</v>
      </c>
      <c r="V254" s="6">
        <f t="shared" si="33"/>
        <v>8143912.5859924126</v>
      </c>
      <c r="W254" s="6">
        <f>NPV(Assumptions!$L$16,C254:V254)</f>
        <v>34201940.025854684</v>
      </c>
    </row>
    <row r="255" spans="1:23" x14ac:dyDescent="0.2">
      <c r="A255">
        <f>Summary!A27</f>
        <v>11</v>
      </c>
      <c r="B255" t="s">
        <v>65</v>
      </c>
      <c r="C255" s="6">
        <f t="shared" ref="C255:V255" si="34">C214*C$243</f>
        <v>2088547.467528231</v>
      </c>
      <c r="D255" s="6">
        <f t="shared" si="34"/>
        <v>2293408.7306858059</v>
      </c>
      <c r="E255" s="6">
        <f t="shared" si="34"/>
        <v>2522574.9566476857</v>
      </c>
      <c r="F255" s="6">
        <f t="shared" si="34"/>
        <v>2771664.4536190392</v>
      </c>
      <c r="G255" s="6">
        <f t="shared" si="34"/>
        <v>3045346.1017867168</v>
      </c>
      <c r="H255" s="6">
        <f t="shared" si="34"/>
        <v>3345957.5549249575</v>
      </c>
      <c r="I255" s="6">
        <f t="shared" si="34"/>
        <v>3688412.2977328836</v>
      </c>
      <c r="J255" s="6">
        <f t="shared" si="34"/>
        <v>4088310.3870724859</v>
      </c>
      <c r="K255" s="6">
        <f t="shared" si="34"/>
        <v>4511280.6222098237</v>
      </c>
      <c r="L255" s="6">
        <f t="shared" si="34"/>
        <v>4954928.7918656766</v>
      </c>
      <c r="M255" s="6">
        <f t="shared" si="34"/>
        <v>5510642.6392669892</v>
      </c>
      <c r="N255" s="6">
        <f t="shared" si="34"/>
        <v>6070389.6026742142</v>
      </c>
      <c r="O255" s="6">
        <f t="shared" si="34"/>
        <v>6725809.6839793548</v>
      </c>
      <c r="P255" s="6">
        <f t="shared" si="34"/>
        <v>7541401.9454067685</v>
      </c>
      <c r="Q255" s="6">
        <f t="shared" si="34"/>
        <v>8394757.1785248108</v>
      </c>
      <c r="R255" s="6">
        <f t="shared" si="34"/>
        <v>9298826.5038330574</v>
      </c>
      <c r="S255" s="6">
        <f t="shared" si="34"/>
        <v>10210100.065878468</v>
      </c>
      <c r="T255" s="6">
        <f t="shared" si="34"/>
        <v>10030925.548352703</v>
      </c>
      <c r="U255" s="6">
        <f t="shared" si="34"/>
        <v>8581999.3544651084</v>
      </c>
      <c r="V255" s="6">
        <f t="shared" si="34"/>
        <v>8897949.9814164639</v>
      </c>
      <c r="W255" s="6">
        <f>NPV(Assumptions!$L$16,C255:V255)</f>
        <v>37368666.277300857</v>
      </c>
    </row>
    <row r="256" spans="1:23" x14ac:dyDescent="0.2">
      <c r="A256">
        <f>Summary!A28</f>
        <v>12</v>
      </c>
      <c r="B256" t="s">
        <v>66</v>
      </c>
      <c r="C256" s="6">
        <f t="shared" ref="C256:V256" si="35">C215*C$243</f>
        <v>331515.47103622713</v>
      </c>
      <c r="D256" s="6">
        <f t="shared" si="35"/>
        <v>364033.13185488986</v>
      </c>
      <c r="E256" s="6">
        <f t="shared" si="35"/>
        <v>400408.72327741049</v>
      </c>
      <c r="F256" s="6">
        <f t="shared" si="35"/>
        <v>439946.73866968876</v>
      </c>
      <c r="G256" s="6">
        <f t="shared" si="35"/>
        <v>483388.27012487571</v>
      </c>
      <c r="H256" s="6">
        <f t="shared" si="35"/>
        <v>531104.37379761226</v>
      </c>
      <c r="I256" s="6">
        <f t="shared" si="35"/>
        <v>585462.26948141004</v>
      </c>
      <c r="J256" s="6">
        <f t="shared" si="35"/>
        <v>648938.15667817241</v>
      </c>
      <c r="K256" s="6">
        <f t="shared" si="35"/>
        <v>716076.28923965467</v>
      </c>
      <c r="L256" s="6">
        <f t="shared" si="35"/>
        <v>786496.63362947258</v>
      </c>
      <c r="M256" s="6">
        <f t="shared" si="35"/>
        <v>874705.18083603005</v>
      </c>
      <c r="N256" s="6">
        <f t="shared" si="35"/>
        <v>963553.90518638329</v>
      </c>
      <c r="O256" s="6">
        <f t="shared" si="35"/>
        <v>1067588.8387268819</v>
      </c>
      <c r="P256" s="6">
        <f t="shared" si="35"/>
        <v>1197047.9278423442</v>
      </c>
      <c r="Q256" s="6">
        <f t="shared" si="35"/>
        <v>1332501.1394483829</v>
      </c>
      <c r="R256" s="6">
        <f t="shared" si="35"/>
        <v>1476004.2069576283</v>
      </c>
      <c r="S256" s="6">
        <f t="shared" si="35"/>
        <v>1620650.8041076933</v>
      </c>
      <c r="T256" s="6">
        <f t="shared" si="35"/>
        <v>1592210.4045004291</v>
      </c>
      <c r="U256" s="6">
        <f t="shared" si="35"/>
        <v>1362222.1197563664</v>
      </c>
      <c r="V256" s="6">
        <f t="shared" si="35"/>
        <v>1412373.0129232481</v>
      </c>
      <c r="W256" s="6">
        <f>NPV(Assumptions!$L$16,C256:V256)</f>
        <v>5931534.3297302946</v>
      </c>
    </row>
    <row r="257" spans="1:23" x14ac:dyDescent="0.2">
      <c r="A257">
        <f>Summary!A29</f>
        <v>13</v>
      </c>
      <c r="B257" t="s">
        <v>67</v>
      </c>
      <c r="C257" s="6">
        <f t="shared" ref="C257:V257" si="36">C216*C$243</f>
        <v>335682.0589235677</v>
      </c>
      <c r="D257" s="6">
        <f t="shared" si="36"/>
        <v>368608.41165415896</v>
      </c>
      <c r="E257" s="6">
        <f t="shared" si="36"/>
        <v>405441.18264100631</v>
      </c>
      <c r="F257" s="6">
        <f t="shared" si="36"/>
        <v>445476.12390979961</v>
      </c>
      <c r="G257" s="6">
        <f t="shared" si="36"/>
        <v>489463.64182589873</v>
      </c>
      <c r="H257" s="6">
        <f t="shared" si="36"/>
        <v>537779.45609124354</v>
      </c>
      <c r="I257" s="6">
        <f t="shared" si="36"/>
        <v>592820.5384421054</v>
      </c>
      <c r="J257" s="6">
        <f t="shared" si="36"/>
        <v>657094.21001347178</v>
      </c>
      <c r="K257" s="6">
        <f t="shared" si="36"/>
        <v>725076.1551699891</v>
      </c>
      <c r="L257" s="6">
        <f t="shared" si="36"/>
        <v>796381.56399749324</v>
      </c>
      <c r="M257" s="6">
        <f t="shared" si="36"/>
        <v>885698.74321812228</v>
      </c>
      <c r="N257" s="6">
        <f t="shared" si="36"/>
        <v>975664.14552479133</v>
      </c>
      <c r="O257" s="6">
        <f t="shared" si="36"/>
        <v>1081006.6219458536</v>
      </c>
      <c r="P257" s="6">
        <f t="shared" si="36"/>
        <v>1212092.7925092152</v>
      </c>
      <c r="Q257" s="6">
        <f t="shared" si="36"/>
        <v>1349248.4215288816</v>
      </c>
      <c r="R257" s="6">
        <f t="shared" si="36"/>
        <v>1494555.0795040901</v>
      </c>
      <c r="S257" s="6">
        <f t="shared" si="36"/>
        <v>1641019.6393505768</v>
      </c>
      <c r="T257" s="6">
        <f t="shared" si="36"/>
        <v>1612221.7920979755</v>
      </c>
      <c r="U257" s="6">
        <f t="shared" si="36"/>
        <v>1379342.9442123207</v>
      </c>
      <c r="V257" s="6">
        <f t="shared" si="36"/>
        <v>1430124.1491512451</v>
      </c>
      <c r="W257" s="6">
        <f>NPV(Assumptions!$L$16,C257:V257)</f>
        <v>6006083.6683006743</v>
      </c>
    </row>
    <row r="258" spans="1:23" x14ac:dyDescent="0.2">
      <c r="A258">
        <f>Summary!A30</f>
        <v>14</v>
      </c>
      <c r="B258" t="s">
        <v>70</v>
      </c>
      <c r="C258" s="6">
        <f t="shared" ref="C258:V258" si="37">C217*C$243</f>
        <v>456694.26365154568</v>
      </c>
      <c r="D258" s="6">
        <f t="shared" si="37"/>
        <v>501490.45104162692</v>
      </c>
      <c r="E258" s="6">
        <f t="shared" si="37"/>
        <v>551601.30676631245</v>
      </c>
      <c r="F258" s="6">
        <f t="shared" si="37"/>
        <v>606068.70392693183</v>
      </c>
      <c r="G258" s="6">
        <f t="shared" si="37"/>
        <v>665913.56775126315</v>
      </c>
      <c r="H258" s="6">
        <f t="shared" si="37"/>
        <v>731647.06357583648</v>
      </c>
      <c r="I258" s="6">
        <f t="shared" si="37"/>
        <v>806530.26303969114</v>
      </c>
      <c r="J258" s="6">
        <f t="shared" si="37"/>
        <v>893974.36775173363</v>
      </c>
      <c r="K258" s="6">
        <f t="shared" si="37"/>
        <v>986463.56566839851</v>
      </c>
      <c r="L258" s="6">
        <f t="shared" si="37"/>
        <v>1083474.3242513116</v>
      </c>
      <c r="M258" s="6">
        <f t="shared" si="37"/>
        <v>1204990.0332719299</v>
      </c>
      <c r="N258" s="6">
        <f t="shared" si="37"/>
        <v>1327387.6475272526</v>
      </c>
      <c r="O258" s="6">
        <f t="shared" si="37"/>
        <v>1470705.7171751196</v>
      </c>
      <c r="P258" s="6">
        <f t="shared" si="37"/>
        <v>1649047.9923992075</v>
      </c>
      <c r="Q258" s="6">
        <f t="shared" si="37"/>
        <v>1835647.744562499</v>
      </c>
      <c r="R258" s="6">
        <f t="shared" si="37"/>
        <v>2033336.9430274211</v>
      </c>
      <c r="S258" s="6">
        <f t="shared" si="37"/>
        <v>2232601.4629265</v>
      </c>
      <c r="T258" s="6">
        <f t="shared" si="37"/>
        <v>2193422.0927571482</v>
      </c>
      <c r="U258" s="6">
        <f t="shared" si="37"/>
        <v>1876591.2371069943</v>
      </c>
      <c r="V258" s="6">
        <f t="shared" si="37"/>
        <v>1945678.8882948135</v>
      </c>
      <c r="W258" s="6">
        <f>NPV(Assumptions!$L$16,C258:V258)</f>
        <v>8171255.7624317324</v>
      </c>
    </row>
    <row r="259" spans="1:23" x14ac:dyDescent="0.2">
      <c r="A259">
        <f>Summary!A31</f>
        <v>15</v>
      </c>
      <c r="B259" t="s">
        <v>68</v>
      </c>
      <c r="C259" s="6">
        <f t="shared" ref="C259:V259" si="38">C218*C$243</f>
        <v>587851.20410522248</v>
      </c>
      <c r="D259" s="6">
        <f t="shared" si="38"/>
        <v>645512.30211427191</v>
      </c>
      <c r="E259" s="6">
        <f t="shared" si="38"/>
        <v>710014.37542906939</v>
      </c>
      <c r="F259" s="6">
        <f t="shared" si="38"/>
        <v>780124.13496346446</v>
      </c>
      <c r="G259" s="6">
        <f t="shared" si="38"/>
        <v>857155.70303564018</v>
      </c>
      <c r="H259" s="6">
        <f t="shared" si="38"/>
        <v>941767.04534057481</v>
      </c>
      <c r="I259" s="6">
        <f t="shared" si="38"/>
        <v>1038155.7729328829</v>
      </c>
      <c r="J259" s="6">
        <f t="shared" si="38"/>
        <v>1150712.7423063768</v>
      </c>
      <c r="K259" s="6">
        <f t="shared" si="38"/>
        <v>1269763.6932145788</v>
      </c>
      <c r="L259" s="6">
        <f t="shared" si="38"/>
        <v>1394634.7410533542</v>
      </c>
      <c r="M259" s="6">
        <f t="shared" si="38"/>
        <v>1551048.2578212663</v>
      </c>
      <c r="N259" s="6">
        <f t="shared" si="38"/>
        <v>1708596.9520927945</v>
      </c>
      <c r="O259" s="6">
        <f t="shared" si="38"/>
        <v>1893074.1976331866</v>
      </c>
      <c r="P259" s="6">
        <f t="shared" si="38"/>
        <v>2122634.167130277</v>
      </c>
      <c r="Q259" s="6">
        <f t="shared" si="38"/>
        <v>2362823.058748635</v>
      </c>
      <c r="R259" s="6">
        <f t="shared" si="38"/>
        <v>2617286.1484030075</v>
      </c>
      <c r="S259" s="6">
        <f t="shared" si="38"/>
        <v>2873776.9723111829</v>
      </c>
      <c r="T259" s="6">
        <f t="shared" si="38"/>
        <v>2823345.7719146954</v>
      </c>
      <c r="U259" s="6">
        <f t="shared" si="38"/>
        <v>2415525.0156335565</v>
      </c>
      <c r="V259" s="6">
        <f t="shared" si="38"/>
        <v>2504453.7852108963</v>
      </c>
      <c r="W259" s="6">
        <f>NPV(Assumptions!$L$16,C259:V259)</f>
        <v>10517939.289603718</v>
      </c>
    </row>
    <row r="260" spans="1:23" x14ac:dyDescent="0.2">
      <c r="A260">
        <f>Summary!A32</f>
        <v>16</v>
      </c>
      <c r="B260" t="s">
        <v>69</v>
      </c>
      <c r="C260" s="6">
        <f t="shared" ref="C260:V260" si="39">C219*C$243</f>
        <v>916468.17921982135</v>
      </c>
      <c r="D260" s="6">
        <f t="shared" si="39"/>
        <v>1006362.6306305397</v>
      </c>
      <c r="E260" s="6">
        <f t="shared" si="39"/>
        <v>1106922.2574100653</v>
      </c>
      <c r="F260" s="6">
        <f t="shared" si="39"/>
        <v>1216224.3447704674</v>
      </c>
      <c r="G260" s="6">
        <f t="shared" si="39"/>
        <v>1336317.6276293695</v>
      </c>
      <c r="H260" s="6">
        <f t="shared" si="39"/>
        <v>1468227.8836295742</v>
      </c>
      <c r="I260" s="6">
        <f t="shared" si="39"/>
        <v>1618499.2466155484</v>
      </c>
      <c r="J260" s="6">
        <f t="shared" si="39"/>
        <v>1793977.1227512974</v>
      </c>
      <c r="K260" s="6">
        <f t="shared" si="39"/>
        <v>1979579.2061548703</v>
      </c>
      <c r="L260" s="6">
        <f t="shared" si="39"/>
        <v>2174254.9013833343</v>
      </c>
      <c r="M260" s="6">
        <f t="shared" si="39"/>
        <v>2418105.7430871455</v>
      </c>
      <c r="N260" s="6">
        <f t="shared" si="39"/>
        <v>2663726.3422611547</v>
      </c>
      <c r="O260" s="6">
        <f t="shared" si="39"/>
        <v>2951328.9262946965</v>
      </c>
      <c r="P260" s="6">
        <f t="shared" si="39"/>
        <v>3309216.102160885</v>
      </c>
      <c r="Q260" s="6">
        <f t="shared" si="39"/>
        <v>3683673.9150105841</v>
      </c>
      <c r="R260" s="6">
        <f t="shared" si="39"/>
        <v>4080385.4005457056</v>
      </c>
      <c r="S260" s="6">
        <f t="shared" si="39"/>
        <v>4480258.151902088</v>
      </c>
      <c r="T260" s="6">
        <f t="shared" si="39"/>
        <v>4401635.2111298749</v>
      </c>
      <c r="U260" s="6">
        <f t="shared" si="39"/>
        <v>3765836.9966379548</v>
      </c>
      <c r="V260" s="6">
        <f t="shared" si="39"/>
        <v>3904478.1816277117</v>
      </c>
      <c r="W260" s="6">
        <f>NPV(Assumptions!$L$16,C260:V260)</f>
        <v>16397613.20989375</v>
      </c>
    </row>
    <row r="261" spans="1:23" x14ac:dyDescent="0.2">
      <c r="A261">
        <f>Summary!A33</f>
        <v>17</v>
      </c>
      <c r="B261" t="s">
        <v>71</v>
      </c>
      <c r="C261" s="6">
        <f t="shared" ref="C261:V261" si="40">C220*C$243</f>
        <v>652705.05035165371</v>
      </c>
      <c r="D261" s="6">
        <f t="shared" si="40"/>
        <v>716727.52681593888</v>
      </c>
      <c r="E261" s="6">
        <f t="shared" si="40"/>
        <v>788345.69943634421</v>
      </c>
      <c r="F261" s="6">
        <f t="shared" si="40"/>
        <v>866190.2182660593</v>
      </c>
      <c r="G261" s="6">
        <f t="shared" si="40"/>
        <v>951720.18429504207</v>
      </c>
      <c r="H261" s="6">
        <f t="shared" si="40"/>
        <v>1045666.1523457908</v>
      </c>
      <c r="I261" s="6">
        <f t="shared" si="40"/>
        <v>1152688.8289297926</v>
      </c>
      <c r="J261" s="6">
        <f t="shared" si="40"/>
        <v>1277663.4855253852</v>
      </c>
      <c r="K261" s="6">
        <f t="shared" si="40"/>
        <v>1409848.5629128283</v>
      </c>
      <c r="L261" s="6">
        <f t="shared" si="40"/>
        <v>1548495.8311295025</v>
      </c>
      <c r="M261" s="6">
        <f t="shared" si="40"/>
        <v>1722165.4462033969</v>
      </c>
      <c r="N261" s="6">
        <f t="shared" si="40"/>
        <v>1897095.4756210595</v>
      </c>
      <c r="O261" s="6">
        <f t="shared" si="40"/>
        <v>2101924.9103458771</v>
      </c>
      <c r="P261" s="6">
        <f t="shared" si="40"/>
        <v>2356810.7562928777</v>
      </c>
      <c r="Q261" s="6">
        <f t="shared" si="40"/>
        <v>2623498.1450450947</v>
      </c>
      <c r="R261" s="6">
        <f t="shared" si="40"/>
        <v>2906034.512387068</v>
      </c>
      <c r="S261" s="6">
        <f t="shared" si="40"/>
        <v>3190822.3208743273</v>
      </c>
      <c r="T261" s="6">
        <f t="shared" si="40"/>
        <v>3134827.370172156</v>
      </c>
      <c r="U261" s="6">
        <f t="shared" si="40"/>
        <v>2682014.3702088459</v>
      </c>
      <c r="V261" s="6">
        <f t="shared" si="40"/>
        <v>2780754.0795423295</v>
      </c>
      <c r="W261" s="6">
        <f>NPV(Assumptions!$L$16,C261:V261)</f>
        <v>11678315.950829646</v>
      </c>
    </row>
    <row r="262" spans="1:23" x14ac:dyDescent="0.2">
      <c r="A262">
        <f>Summary!A34</f>
        <v>18</v>
      </c>
      <c r="B262" t="s">
        <v>72</v>
      </c>
      <c r="C262" s="6">
        <f t="shared" ref="C262:V262" si="41">C221*C$243</f>
        <v>1349249.8515179344</v>
      </c>
      <c r="D262" s="6">
        <f t="shared" si="41"/>
        <v>1481594.9541285352</v>
      </c>
      <c r="E262" s="6">
        <f t="shared" si="41"/>
        <v>1629641.6234809579</v>
      </c>
      <c r="F262" s="6">
        <f t="shared" si="41"/>
        <v>1790559.1855802415</v>
      </c>
      <c r="G262" s="6">
        <f t="shared" si="41"/>
        <v>1967363.8447486744</v>
      </c>
      <c r="H262" s="6">
        <f t="shared" si="41"/>
        <v>2161565.7792593534</v>
      </c>
      <c r="I262" s="6">
        <f t="shared" si="41"/>
        <v>2382799.4443155969</v>
      </c>
      <c r="J262" s="6">
        <f t="shared" si="41"/>
        <v>2641142.836578704</v>
      </c>
      <c r="K262" s="6">
        <f t="shared" si="41"/>
        <v>2914391.3673535232</v>
      </c>
      <c r="L262" s="6">
        <f t="shared" si="41"/>
        <v>3200998.3209138317</v>
      </c>
      <c r="M262" s="6">
        <f t="shared" si="41"/>
        <v>3560002.2879053289</v>
      </c>
      <c r="N262" s="6">
        <f t="shared" si="41"/>
        <v>3921611.7408897174</v>
      </c>
      <c r="O262" s="6">
        <f t="shared" si="41"/>
        <v>4345028.2354305005</v>
      </c>
      <c r="P262" s="6">
        <f t="shared" si="41"/>
        <v>4871919.653863268</v>
      </c>
      <c r="Q262" s="6">
        <f t="shared" si="41"/>
        <v>5423206.8232850023</v>
      </c>
      <c r="R262" s="6">
        <f t="shared" si="41"/>
        <v>6007256.4663499538</v>
      </c>
      <c r="S262" s="6">
        <f t="shared" si="41"/>
        <v>6595960.2125650821</v>
      </c>
      <c r="T262" s="6">
        <f t="shared" si="41"/>
        <v>6480209.3402837133</v>
      </c>
      <c r="U262" s="6">
        <f t="shared" si="41"/>
        <v>5544169.5890412116</v>
      </c>
      <c r="V262" s="6">
        <f t="shared" si="41"/>
        <v>5748280.9837444546</v>
      </c>
      <c r="W262" s="6">
        <f>NPV(Assumptions!$L$16,C262:V262)</f>
        <v>24141020.594443303</v>
      </c>
    </row>
    <row r="263" spans="1:23" x14ac:dyDescent="0.2">
      <c r="A263">
        <f>Summary!A35</f>
        <v>19</v>
      </c>
      <c r="B263" t="s">
        <v>73</v>
      </c>
      <c r="C263" s="6">
        <f t="shared" ref="C263:V263" si="42">C222*C$243</f>
        <v>0</v>
      </c>
      <c r="D263" s="6">
        <f t="shared" si="42"/>
        <v>0</v>
      </c>
      <c r="E263" s="6">
        <f t="shared" si="42"/>
        <v>0</v>
      </c>
      <c r="F263" s="6">
        <f t="shared" si="42"/>
        <v>0</v>
      </c>
      <c r="G263" s="6">
        <f t="shared" si="42"/>
        <v>0</v>
      </c>
      <c r="H263" s="6">
        <f t="shared" si="42"/>
        <v>0</v>
      </c>
      <c r="I263" s="6">
        <f t="shared" si="42"/>
        <v>0</v>
      </c>
      <c r="J263" s="6">
        <f t="shared" si="42"/>
        <v>0</v>
      </c>
      <c r="K263" s="6">
        <f t="shared" si="42"/>
        <v>0</v>
      </c>
      <c r="L263" s="6">
        <f t="shared" si="42"/>
        <v>0</v>
      </c>
      <c r="M263" s="6">
        <f t="shared" si="42"/>
        <v>0</v>
      </c>
      <c r="N263" s="6">
        <f t="shared" si="42"/>
        <v>0</v>
      </c>
      <c r="O263" s="6">
        <f t="shared" si="42"/>
        <v>0</v>
      </c>
      <c r="P263" s="6">
        <f t="shared" si="42"/>
        <v>0</v>
      </c>
      <c r="Q263" s="6">
        <f t="shared" si="42"/>
        <v>0</v>
      </c>
      <c r="R263" s="6">
        <f t="shared" si="42"/>
        <v>0</v>
      </c>
      <c r="S263" s="6">
        <f t="shared" si="42"/>
        <v>0</v>
      </c>
      <c r="T263" s="6">
        <f t="shared" si="42"/>
        <v>0</v>
      </c>
      <c r="U263" s="6">
        <f t="shared" si="42"/>
        <v>0</v>
      </c>
      <c r="V263" s="6">
        <f t="shared" si="42"/>
        <v>0</v>
      </c>
      <c r="W263" s="6">
        <f>NPV(Assumptions!$L$16,C263:V263)</f>
        <v>0</v>
      </c>
    </row>
    <row r="264" spans="1:23" x14ac:dyDescent="0.2">
      <c r="A264">
        <f>Summary!A36</f>
        <v>20</v>
      </c>
      <c r="B264" t="s">
        <v>74</v>
      </c>
      <c r="C264" s="6">
        <f t="shared" ref="C264:V264" si="43">C223*C$243</f>
        <v>0</v>
      </c>
      <c r="D264" s="6">
        <f t="shared" si="43"/>
        <v>0</v>
      </c>
      <c r="E264" s="6">
        <f t="shared" si="43"/>
        <v>0</v>
      </c>
      <c r="F264" s="6">
        <f t="shared" si="43"/>
        <v>0</v>
      </c>
      <c r="G264" s="6">
        <f t="shared" si="43"/>
        <v>0</v>
      </c>
      <c r="H264" s="6">
        <f t="shared" si="43"/>
        <v>0</v>
      </c>
      <c r="I264" s="6">
        <f t="shared" si="43"/>
        <v>0</v>
      </c>
      <c r="J264" s="6">
        <f t="shared" si="43"/>
        <v>0</v>
      </c>
      <c r="K264" s="6">
        <f t="shared" si="43"/>
        <v>0</v>
      </c>
      <c r="L264" s="6">
        <f t="shared" si="43"/>
        <v>0</v>
      </c>
      <c r="M264" s="6">
        <f t="shared" si="43"/>
        <v>0</v>
      </c>
      <c r="N264" s="6">
        <f t="shared" si="43"/>
        <v>0</v>
      </c>
      <c r="O264" s="6">
        <f t="shared" si="43"/>
        <v>0</v>
      </c>
      <c r="P264" s="6">
        <f t="shared" si="43"/>
        <v>0</v>
      </c>
      <c r="Q264" s="6">
        <f t="shared" si="43"/>
        <v>0</v>
      </c>
      <c r="R264" s="6">
        <f t="shared" si="43"/>
        <v>0</v>
      </c>
      <c r="S264" s="6">
        <f t="shared" si="43"/>
        <v>0</v>
      </c>
      <c r="T264" s="6">
        <f t="shared" si="43"/>
        <v>0</v>
      </c>
      <c r="U264" s="6">
        <f t="shared" si="43"/>
        <v>0</v>
      </c>
      <c r="V264" s="6">
        <f t="shared" si="43"/>
        <v>0</v>
      </c>
      <c r="W264" s="6">
        <f>NPV(Assumptions!$L$16,C264:V264)</f>
        <v>0</v>
      </c>
    </row>
    <row r="265" spans="1:23" x14ac:dyDescent="0.2">
      <c r="A265">
        <f>Summary!A37</f>
        <v>21</v>
      </c>
      <c r="B265" t="s">
        <v>75</v>
      </c>
      <c r="C265" s="6">
        <f t="shared" ref="C265:V265" si="44">C224*C$243</f>
        <v>0</v>
      </c>
      <c r="D265" s="6">
        <f t="shared" si="44"/>
        <v>0</v>
      </c>
      <c r="E265" s="6">
        <f t="shared" si="44"/>
        <v>0</v>
      </c>
      <c r="F265" s="6">
        <f t="shared" si="44"/>
        <v>0</v>
      </c>
      <c r="G265" s="6">
        <f t="shared" si="44"/>
        <v>0</v>
      </c>
      <c r="H265" s="6">
        <f t="shared" si="44"/>
        <v>0</v>
      </c>
      <c r="I265" s="6">
        <f t="shared" si="44"/>
        <v>0</v>
      </c>
      <c r="J265" s="6">
        <f t="shared" si="44"/>
        <v>0</v>
      </c>
      <c r="K265" s="6">
        <f t="shared" si="44"/>
        <v>0</v>
      </c>
      <c r="L265" s="6">
        <f t="shared" si="44"/>
        <v>0</v>
      </c>
      <c r="M265" s="6">
        <f t="shared" si="44"/>
        <v>0</v>
      </c>
      <c r="N265" s="6">
        <f t="shared" si="44"/>
        <v>0</v>
      </c>
      <c r="O265" s="6">
        <f t="shared" si="44"/>
        <v>0</v>
      </c>
      <c r="P265" s="6">
        <f t="shared" si="44"/>
        <v>0</v>
      </c>
      <c r="Q265" s="6">
        <f t="shared" si="44"/>
        <v>0</v>
      </c>
      <c r="R265" s="6">
        <f t="shared" si="44"/>
        <v>0</v>
      </c>
      <c r="S265" s="6">
        <f t="shared" si="44"/>
        <v>0</v>
      </c>
      <c r="T265" s="6">
        <f t="shared" si="44"/>
        <v>0</v>
      </c>
      <c r="U265" s="6">
        <f t="shared" si="44"/>
        <v>0</v>
      </c>
      <c r="V265" s="6">
        <f t="shared" si="44"/>
        <v>0</v>
      </c>
      <c r="W265" s="6">
        <f>NPV(Assumptions!$L$16,C265:V265)</f>
        <v>0</v>
      </c>
    </row>
    <row r="266" spans="1:23" x14ac:dyDescent="0.2">
      <c r="A266">
        <f>Summary!A38</f>
        <v>22</v>
      </c>
      <c r="B266" t="s">
        <v>86</v>
      </c>
      <c r="C266" s="6">
        <f t="shared" ref="C266:V266" si="45">C225*C$243</f>
        <v>0</v>
      </c>
      <c r="D266" s="6">
        <f t="shared" si="45"/>
        <v>0</v>
      </c>
      <c r="E266" s="6">
        <f t="shared" si="45"/>
        <v>0</v>
      </c>
      <c r="F266" s="6">
        <f t="shared" si="45"/>
        <v>0</v>
      </c>
      <c r="G266" s="6">
        <f t="shared" si="45"/>
        <v>0</v>
      </c>
      <c r="H266" s="6">
        <f t="shared" si="45"/>
        <v>0</v>
      </c>
      <c r="I266" s="6">
        <f t="shared" si="45"/>
        <v>0</v>
      </c>
      <c r="J266" s="6">
        <f t="shared" si="45"/>
        <v>0</v>
      </c>
      <c r="K266" s="6">
        <f t="shared" si="45"/>
        <v>0</v>
      </c>
      <c r="L266" s="6">
        <f t="shared" si="45"/>
        <v>0</v>
      </c>
      <c r="M266" s="6">
        <f t="shared" si="45"/>
        <v>0</v>
      </c>
      <c r="N266" s="6">
        <f t="shared" si="45"/>
        <v>0</v>
      </c>
      <c r="O266" s="6">
        <f t="shared" si="45"/>
        <v>0</v>
      </c>
      <c r="P266" s="6">
        <f t="shared" si="45"/>
        <v>0</v>
      </c>
      <c r="Q266" s="6">
        <f t="shared" si="45"/>
        <v>0</v>
      </c>
      <c r="R266" s="6">
        <f t="shared" si="45"/>
        <v>0</v>
      </c>
      <c r="S266" s="6">
        <f t="shared" si="45"/>
        <v>0</v>
      </c>
      <c r="T266" s="6">
        <f t="shared" si="45"/>
        <v>0</v>
      </c>
      <c r="U266" s="6">
        <f t="shared" si="45"/>
        <v>0</v>
      </c>
      <c r="V266" s="6">
        <f t="shared" si="45"/>
        <v>0</v>
      </c>
      <c r="W266" s="6">
        <f>NPV(Assumptions!$L$16,C266:V266)</f>
        <v>0</v>
      </c>
    </row>
    <row r="267" spans="1:23" x14ac:dyDescent="0.2">
      <c r="A267">
        <f>Summary!A39</f>
        <v>23</v>
      </c>
      <c r="B267" t="s">
        <v>76</v>
      </c>
      <c r="C267" s="6">
        <f t="shared" ref="C267:V267" si="46">C226*C$243</f>
        <v>0</v>
      </c>
      <c r="D267" s="6">
        <f t="shared" si="46"/>
        <v>0</v>
      </c>
      <c r="E267" s="6">
        <f t="shared" si="46"/>
        <v>0</v>
      </c>
      <c r="F267" s="6">
        <f t="shared" si="46"/>
        <v>0</v>
      </c>
      <c r="G267" s="6">
        <f t="shared" si="46"/>
        <v>0</v>
      </c>
      <c r="H267" s="6">
        <f t="shared" si="46"/>
        <v>0</v>
      </c>
      <c r="I267" s="6">
        <f t="shared" si="46"/>
        <v>0</v>
      </c>
      <c r="J267" s="6">
        <f t="shared" si="46"/>
        <v>0</v>
      </c>
      <c r="K267" s="6">
        <f t="shared" si="46"/>
        <v>0</v>
      </c>
      <c r="L267" s="6">
        <f t="shared" si="46"/>
        <v>0</v>
      </c>
      <c r="M267" s="6">
        <f t="shared" si="46"/>
        <v>0</v>
      </c>
      <c r="N267" s="6">
        <f t="shared" si="46"/>
        <v>0</v>
      </c>
      <c r="O267" s="6">
        <f t="shared" si="46"/>
        <v>0</v>
      </c>
      <c r="P267" s="6">
        <f t="shared" si="46"/>
        <v>0</v>
      </c>
      <c r="Q267" s="6">
        <f t="shared" si="46"/>
        <v>0</v>
      </c>
      <c r="R267" s="6">
        <f t="shared" si="46"/>
        <v>0</v>
      </c>
      <c r="S267" s="6">
        <f t="shared" si="46"/>
        <v>0</v>
      </c>
      <c r="T267" s="6">
        <f t="shared" si="46"/>
        <v>0</v>
      </c>
      <c r="U267" s="6">
        <f t="shared" si="46"/>
        <v>0</v>
      </c>
      <c r="V267" s="6">
        <f t="shared" si="46"/>
        <v>0</v>
      </c>
      <c r="W267" s="6">
        <f>NPV(Assumptions!$L$16,C267:V267)</f>
        <v>0</v>
      </c>
    </row>
    <row r="268" spans="1:23" x14ac:dyDescent="0.2">
      <c r="A268">
        <f>Summary!A40</f>
        <v>24</v>
      </c>
      <c r="B268" t="s">
        <v>77</v>
      </c>
      <c r="C268" s="6">
        <f t="shared" ref="C268:V268" si="47">C227*C$243</f>
        <v>0</v>
      </c>
      <c r="D268" s="6">
        <f t="shared" si="47"/>
        <v>0</v>
      </c>
      <c r="E268" s="6">
        <f t="shared" si="47"/>
        <v>0</v>
      </c>
      <c r="F268" s="6">
        <f t="shared" si="47"/>
        <v>0</v>
      </c>
      <c r="G268" s="6">
        <f t="shared" si="47"/>
        <v>0</v>
      </c>
      <c r="H268" s="6">
        <f t="shared" si="47"/>
        <v>0</v>
      </c>
      <c r="I268" s="6">
        <f t="shared" si="47"/>
        <v>0</v>
      </c>
      <c r="J268" s="6">
        <f t="shared" si="47"/>
        <v>0</v>
      </c>
      <c r="K268" s="6">
        <f t="shared" si="47"/>
        <v>0</v>
      </c>
      <c r="L268" s="6">
        <f t="shared" si="47"/>
        <v>0</v>
      </c>
      <c r="M268" s="6">
        <f t="shared" si="47"/>
        <v>0</v>
      </c>
      <c r="N268" s="6">
        <f t="shared" si="47"/>
        <v>0</v>
      </c>
      <c r="O268" s="6">
        <f t="shared" si="47"/>
        <v>0</v>
      </c>
      <c r="P268" s="6">
        <f t="shared" si="47"/>
        <v>0</v>
      </c>
      <c r="Q268" s="6">
        <f t="shared" si="47"/>
        <v>0</v>
      </c>
      <c r="R268" s="6">
        <f t="shared" si="47"/>
        <v>0</v>
      </c>
      <c r="S268" s="6">
        <f t="shared" si="47"/>
        <v>0</v>
      </c>
      <c r="T268" s="6">
        <f t="shared" si="47"/>
        <v>0</v>
      </c>
      <c r="U268" s="6">
        <f t="shared" si="47"/>
        <v>0</v>
      </c>
      <c r="V268" s="6">
        <f t="shared" si="47"/>
        <v>0</v>
      </c>
      <c r="W268" s="6">
        <f>NPV(Assumptions!$L$16,C268:V268)</f>
        <v>0</v>
      </c>
    </row>
    <row r="269" spans="1:23" x14ac:dyDescent="0.2">
      <c r="A269">
        <f>Summary!A41</f>
        <v>25</v>
      </c>
      <c r="B269" t="s">
        <v>78</v>
      </c>
      <c r="C269" s="6">
        <f t="shared" ref="C269:V269" si="48">C228*C$243</f>
        <v>0</v>
      </c>
      <c r="D269" s="6">
        <f t="shared" si="48"/>
        <v>0</v>
      </c>
      <c r="E269" s="6">
        <f t="shared" si="48"/>
        <v>0</v>
      </c>
      <c r="F269" s="6">
        <f t="shared" si="48"/>
        <v>0</v>
      </c>
      <c r="G269" s="6">
        <f t="shared" si="48"/>
        <v>0</v>
      </c>
      <c r="H269" s="6">
        <f t="shared" si="48"/>
        <v>0</v>
      </c>
      <c r="I269" s="6">
        <f t="shared" si="48"/>
        <v>0</v>
      </c>
      <c r="J269" s="6">
        <f t="shared" si="48"/>
        <v>0</v>
      </c>
      <c r="K269" s="6">
        <f t="shared" si="48"/>
        <v>0</v>
      </c>
      <c r="L269" s="6">
        <f t="shared" si="48"/>
        <v>0</v>
      </c>
      <c r="M269" s="6">
        <f t="shared" si="48"/>
        <v>0</v>
      </c>
      <c r="N269" s="6">
        <f t="shared" si="48"/>
        <v>0</v>
      </c>
      <c r="O269" s="6">
        <f t="shared" si="48"/>
        <v>0</v>
      </c>
      <c r="P269" s="6">
        <f t="shared" si="48"/>
        <v>0</v>
      </c>
      <c r="Q269" s="6">
        <f t="shared" si="48"/>
        <v>0</v>
      </c>
      <c r="R269" s="6">
        <f t="shared" si="48"/>
        <v>0</v>
      </c>
      <c r="S269" s="6">
        <f t="shared" si="48"/>
        <v>0</v>
      </c>
      <c r="T269" s="6">
        <f t="shared" si="48"/>
        <v>0</v>
      </c>
      <c r="U269" s="6">
        <f t="shared" si="48"/>
        <v>0</v>
      </c>
      <c r="V269" s="6">
        <f t="shared" si="48"/>
        <v>0</v>
      </c>
      <c r="W269" s="6">
        <f>NPV(Assumptions!$L$16,C269:V269)</f>
        <v>0</v>
      </c>
    </row>
    <row r="270" spans="1:23" x14ac:dyDescent="0.2">
      <c r="A270">
        <f>Summary!A42</f>
        <v>26</v>
      </c>
      <c r="B270" t="s">
        <v>79</v>
      </c>
      <c r="C270" s="6">
        <f t="shared" ref="C270:V270" si="49">C229*C$243</f>
        <v>0</v>
      </c>
      <c r="D270" s="6">
        <f t="shared" si="49"/>
        <v>0</v>
      </c>
      <c r="E270" s="6">
        <f t="shared" si="49"/>
        <v>0</v>
      </c>
      <c r="F270" s="6">
        <f t="shared" si="49"/>
        <v>0</v>
      </c>
      <c r="G270" s="6">
        <f t="shared" si="49"/>
        <v>0</v>
      </c>
      <c r="H270" s="6">
        <f t="shared" si="49"/>
        <v>0</v>
      </c>
      <c r="I270" s="6">
        <f t="shared" si="49"/>
        <v>0</v>
      </c>
      <c r="J270" s="6">
        <f t="shared" si="49"/>
        <v>0</v>
      </c>
      <c r="K270" s="6">
        <f t="shared" si="49"/>
        <v>0</v>
      </c>
      <c r="L270" s="6">
        <f t="shared" si="49"/>
        <v>0</v>
      </c>
      <c r="M270" s="6">
        <f t="shared" si="49"/>
        <v>0</v>
      </c>
      <c r="N270" s="6">
        <f t="shared" si="49"/>
        <v>0</v>
      </c>
      <c r="O270" s="6">
        <f t="shared" si="49"/>
        <v>0</v>
      </c>
      <c r="P270" s="6">
        <f t="shared" si="49"/>
        <v>0</v>
      </c>
      <c r="Q270" s="6">
        <f t="shared" si="49"/>
        <v>0</v>
      </c>
      <c r="R270" s="6">
        <f t="shared" si="49"/>
        <v>0</v>
      </c>
      <c r="S270" s="6">
        <f t="shared" si="49"/>
        <v>0</v>
      </c>
      <c r="T270" s="6">
        <f t="shared" si="49"/>
        <v>0</v>
      </c>
      <c r="U270" s="6">
        <f t="shared" si="49"/>
        <v>0</v>
      </c>
      <c r="V270" s="6">
        <f t="shared" si="49"/>
        <v>0</v>
      </c>
      <c r="W270" s="6">
        <f>NPV(Assumptions!$L$16,C270:V270)</f>
        <v>0</v>
      </c>
    </row>
    <row r="271" spans="1:23" x14ac:dyDescent="0.2">
      <c r="A271">
        <f>Summary!A43</f>
        <v>27</v>
      </c>
      <c r="B271" t="s">
        <v>80</v>
      </c>
      <c r="C271" s="6">
        <f t="shared" ref="C271:L271" si="50">C230*C$243</f>
        <v>52897.550569714935</v>
      </c>
      <c r="D271" s="6">
        <f t="shared" si="50"/>
        <v>58086.160929851278</v>
      </c>
      <c r="E271" s="6">
        <f t="shared" si="50"/>
        <v>63890.353659564949</v>
      </c>
      <c r="F271" s="6">
        <f t="shared" si="50"/>
        <v>70199.151744015908</v>
      </c>
      <c r="G271" s="6">
        <f t="shared" si="50"/>
        <v>77130.805943422791</v>
      </c>
      <c r="H271" s="6">
        <f t="shared" si="50"/>
        <v>84744.523032187324</v>
      </c>
      <c r="I271" s="6">
        <f t="shared" si="50"/>
        <v>93418.023327088376</v>
      </c>
      <c r="J271" s="6">
        <f t="shared" si="50"/>
        <v>103546.416256845</v>
      </c>
      <c r="K271" s="6">
        <f t="shared" si="50"/>
        <v>114259.16746337658</v>
      </c>
      <c r="L271" s="6">
        <f t="shared" si="50"/>
        <v>125495.63771574097</v>
      </c>
      <c r="M271" s="6">
        <f t="shared" ref="D271:V277" si="51">M230*M$243</f>
        <v>139570.44415525725</v>
      </c>
      <c r="N271" s="6">
        <f t="shared" si="51"/>
        <v>153747.39907892016</v>
      </c>
      <c r="O271" s="6">
        <f t="shared" si="51"/>
        <v>170347.50869303249</v>
      </c>
      <c r="P271" s="6">
        <f t="shared" si="51"/>
        <v>191004.36881418826</v>
      </c>
      <c r="Q271" s="6">
        <f t="shared" si="51"/>
        <v>212617.66815241956</v>
      </c>
      <c r="R271" s="6">
        <f t="shared" si="51"/>
        <v>235515.42537247401</v>
      </c>
      <c r="S271" s="6">
        <f t="shared" si="51"/>
        <v>258595.6474313915</v>
      </c>
      <c r="T271" s="6">
        <f t="shared" si="51"/>
        <v>254057.61645580616</v>
      </c>
      <c r="U271" s="6">
        <f t="shared" si="51"/>
        <v>217360.03222342019</v>
      </c>
      <c r="V271" s="6">
        <f t="shared" si="51"/>
        <v>225362.25124239805</v>
      </c>
      <c r="W271" s="6">
        <f>NPV(Assumptions!$L$16,C271:V271)</f>
        <v>946452.4722848339</v>
      </c>
    </row>
    <row r="272" spans="1:23" x14ac:dyDescent="0.2">
      <c r="A272">
        <f>Summary!A44</f>
        <v>28</v>
      </c>
      <c r="B272" t="s">
        <v>81</v>
      </c>
      <c r="C272" s="6">
        <f t="shared" ref="C272:C277" si="52">C231*C$243</f>
        <v>52897.550569714935</v>
      </c>
      <c r="D272" s="6">
        <f t="shared" si="51"/>
        <v>58086.160929851278</v>
      </c>
      <c r="E272" s="6">
        <f t="shared" si="51"/>
        <v>63890.353659564949</v>
      </c>
      <c r="F272" s="6">
        <f t="shared" si="51"/>
        <v>70199.151744015908</v>
      </c>
      <c r="G272" s="6">
        <f t="shared" si="51"/>
        <v>77130.805943422791</v>
      </c>
      <c r="H272" s="6">
        <f t="shared" si="51"/>
        <v>84744.523032187324</v>
      </c>
      <c r="I272" s="6">
        <f t="shared" si="51"/>
        <v>93418.023327088376</v>
      </c>
      <c r="J272" s="6">
        <f t="shared" si="51"/>
        <v>103546.416256845</v>
      </c>
      <c r="K272" s="6">
        <f t="shared" si="51"/>
        <v>114259.16746337658</v>
      </c>
      <c r="L272" s="6">
        <f t="shared" si="51"/>
        <v>125495.63771574097</v>
      </c>
      <c r="M272" s="6">
        <f t="shared" si="51"/>
        <v>139570.44415525725</v>
      </c>
      <c r="N272" s="6">
        <f t="shared" si="51"/>
        <v>153747.39907892016</v>
      </c>
      <c r="O272" s="6">
        <f t="shared" si="51"/>
        <v>170347.50869303249</v>
      </c>
      <c r="P272" s="6">
        <f t="shared" si="51"/>
        <v>191004.36881418826</v>
      </c>
      <c r="Q272" s="6">
        <f t="shared" si="51"/>
        <v>212617.66815241956</v>
      </c>
      <c r="R272" s="6">
        <f t="shared" si="51"/>
        <v>235515.42537247401</v>
      </c>
      <c r="S272" s="6">
        <f t="shared" si="51"/>
        <v>258595.6474313915</v>
      </c>
      <c r="T272" s="6">
        <f t="shared" si="51"/>
        <v>254057.61645580616</v>
      </c>
      <c r="U272" s="6">
        <f t="shared" si="51"/>
        <v>217360.03222342019</v>
      </c>
      <c r="V272" s="6">
        <f t="shared" si="51"/>
        <v>225362.25124239805</v>
      </c>
      <c r="W272" s="6">
        <f>NPV(Assumptions!$L$16,C272:V272)</f>
        <v>946452.4722848339</v>
      </c>
    </row>
    <row r="273" spans="1:23" x14ac:dyDescent="0.2">
      <c r="A273">
        <f>Summary!A45</f>
        <v>29</v>
      </c>
      <c r="B273" t="s">
        <v>82</v>
      </c>
      <c r="C273" s="6">
        <f t="shared" si="52"/>
        <v>52897.550569714935</v>
      </c>
      <c r="D273" s="6">
        <f t="shared" si="51"/>
        <v>58086.160929851278</v>
      </c>
      <c r="E273" s="6">
        <f t="shared" si="51"/>
        <v>63890.353659564949</v>
      </c>
      <c r="F273" s="6">
        <f t="shared" si="51"/>
        <v>70199.151744015908</v>
      </c>
      <c r="G273" s="6">
        <f t="shared" si="51"/>
        <v>77130.805943422791</v>
      </c>
      <c r="H273" s="6">
        <f t="shared" si="51"/>
        <v>84744.523032187324</v>
      </c>
      <c r="I273" s="6">
        <f t="shared" si="51"/>
        <v>93418.023327088376</v>
      </c>
      <c r="J273" s="6">
        <f t="shared" si="51"/>
        <v>103546.416256845</v>
      </c>
      <c r="K273" s="6">
        <f t="shared" si="51"/>
        <v>114259.16746337658</v>
      </c>
      <c r="L273" s="6">
        <f t="shared" si="51"/>
        <v>125495.63771574097</v>
      </c>
      <c r="M273" s="6">
        <f t="shared" si="51"/>
        <v>139570.44415525725</v>
      </c>
      <c r="N273" s="6">
        <f t="shared" si="51"/>
        <v>153747.39907892016</v>
      </c>
      <c r="O273" s="6">
        <f t="shared" si="51"/>
        <v>170347.50869303249</v>
      </c>
      <c r="P273" s="6">
        <f t="shared" si="51"/>
        <v>191004.36881418826</v>
      </c>
      <c r="Q273" s="6">
        <f t="shared" si="51"/>
        <v>212617.66815241956</v>
      </c>
      <c r="R273" s="6">
        <f t="shared" si="51"/>
        <v>235515.42537247401</v>
      </c>
      <c r="S273" s="6">
        <f t="shared" si="51"/>
        <v>258595.6474313915</v>
      </c>
      <c r="T273" s="6">
        <f t="shared" si="51"/>
        <v>254057.61645580616</v>
      </c>
      <c r="U273" s="6">
        <f t="shared" si="51"/>
        <v>217360.03222342019</v>
      </c>
      <c r="V273" s="6">
        <f t="shared" si="51"/>
        <v>225362.25124239805</v>
      </c>
      <c r="W273" s="6">
        <f>NPV(Assumptions!$L$16,C273:V273)</f>
        <v>946452.4722848339</v>
      </c>
    </row>
    <row r="274" spans="1:23" x14ac:dyDescent="0.2">
      <c r="A274">
        <f>Summary!A46</f>
        <v>30</v>
      </c>
      <c r="B274" t="s">
        <v>83</v>
      </c>
      <c r="C274" s="6">
        <f t="shared" si="52"/>
        <v>52897.550569714935</v>
      </c>
      <c r="D274" s="6">
        <f t="shared" si="51"/>
        <v>58086.160929851278</v>
      </c>
      <c r="E274" s="6">
        <f t="shared" si="51"/>
        <v>63890.353659564949</v>
      </c>
      <c r="F274" s="6">
        <f t="shared" si="51"/>
        <v>70199.151744015908</v>
      </c>
      <c r="G274" s="6">
        <f t="shared" si="51"/>
        <v>77130.805943422791</v>
      </c>
      <c r="H274" s="6">
        <f t="shared" si="51"/>
        <v>84744.523032187324</v>
      </c>
      <c r="I274" s="6">
        <f t="shared" si="51"/>
        <v>93418.023327088376</v>
      </c>
      <c r="J274" s="6">
        <f t="shared" si="51"/>
        <v>103546.416256845</v>
      </c>
      <c r="K274" s="6">
        <f t="shared" si="51"/>
        <v>114259.16746337658</v>
      </c>
      <c r="L274" s="6">
        <f t="shared" si="51"/>
        <v>125495.63771574097</v>
      </c>
      <c r="M274" s="6">
        <f t="shared" si="51"/>
        <v>139570.44415525725</v>
      </c>
      <c r="N274" s="6">
        <f t="shared" si="51"/>
        <v>153747.39907892016</v>
      </c>
      <c r="O274" s="6">
        <f t="shared" si="51"/>
        <v>170347.50869303249</v>
      </c>
      <c r="P274" s="6">
        <f t="shared" si="51"/>
        <v>191004.36881418826</v>
      </c>
      <c r="Q274" s="6">
        <f t="shared" si="51"/>
        <v>212617.66815241956</v>
      </c>
      <c r="R274" s="6">
        <f t="shared" si="51"/>
        <v>235515.42537247401</v>
      </c>
      <c r="S274" s="6">
        <f t="shared" si="51"/>
        <v>258595.6474313915</v>
      </c>
      <c r="T274" s="6">
        <f t="shared" si="51"/>
        <v>254057.61645580616</v>
      </c>
      <c r="U274" s="6">
        <f t="shared" si="51"/>
        <v>217360.03222342019</v>
      </c>
      <c r="V274" s="6">
        <f t="shared" si="51"/>
        <v>225362.25124239805</v>
      </c>
      <c r="W274" s="6">
        <f>NPV(Assumptions!$L$16,C274:V274)</f>
        <v>946452.4722848339</v>
      </c>
    </row>
    <row r="275" spans="1:23" x14ac:dyDescent="0.2">
      <c r="A275">
        <f>Summary!A47</f>
        <v>31</v>
      </c>
      <c r="B275" t="s">
        <v>84</v>
      </c>
      <c r="C275" s="6">
        <f t="shared" si="52"/>
        <v>52897.550569714935</v>
      </c>
      <c r="D275" s="6">
        <f t="shared" si="51"/>
        <v>58086.160929851278</v>
      </c>
      <c r="E275" s="6">
        <f t="shared" si="51"/>
        <v>63890.353659564949</v>
      </c>
      <c r="F275" s="6">
        <f t="shared" si="51"/>
        <v>70199.151744015908</v>
      </c>
      <c r="G275" s="6">
        <f t="shared" si="51"/>
        <v>77130.805943422791</v>
      </c>
      <c r="H275" s="6">
        <f t="shared" si="51"/>
        <v>84744.523032187324</v>
      </c>
      <c r="I275" s="6">
        <f t="shared" si="51"/>
        <v>93418.023327088376</v>
      </c>
      <c r="J275" s="6">
        <f t="shared" si="51"/>
        <v>103546.416256845</v>
      </c>
      <c r="K275" s="6">
        <f t="shared" si="51"/>
        <v>114259.16746337658</v>
      </c>
      <c r="L275" s="6">
        <f t="shared" si="51"/>
        <v>125495.63771574097</v>
      </c>
      <c r="M275" s="6">
        <f t="shared" si="51"/>
        <v>139570.44415525725</v>
      </c>
      <c r="N275" s="6">
        <f t="shared" si="51"/>
        <v>153747.39907892016</v>
      </c>
      <c r="O275" s="6">
        <f t="shared" si="51"/>
        <v>170347.50869303249</v>
      </c>
      <c r="P275" s="6">
        <f t="shared" si="51"/>
        <v>191004.36881418826</v>
      </c>
      <c r="Q275" s="6">
        <f t="shared" si="51"/>
        <v>212617.66815241956</v>
      </c>
      <c r="R275" s="6">
        <f t="shared" si="51"/>
        <v>235515.42537247401</v>
      </c>
      <c r="S275" s="6">
        <f t="shared" si="51"/>
        <v>258595.6474313915</v>
      </c>
      <c r="T275" s="6">
        <f t="shared" si="51"/>
        <v>254057.61645580616</v>
      </c>
      <c r="U275" s="6">
        <f t="shared" si="51"/>
        <v>217360.03222342019</v>
      </c>
      <c r="V275" s="6">
        <f t="shared" si="51"/>
        <v>225362.25124239805</v>
      </c>
      <c r="W275" s="6">
        <f>NPV(Assumptions!$L$16,C275:V275)</f>
        <v>946452.4722848339</v>
      </c>
    </row>
    <row r="276" spans="1:23" x14ac:dyDescent="0.2">
      <c r="A276">
        <f>Summary!A48</f>
        <v>32</v>
      </c>
      <c r="B276" t="s">
        <v>85</v>
      </c>
      <c r="C276" s="6">
        <f t="shared" si="52"/>
        <v>52897.550569714935</v>
      </c>
      <c r="D276" s="6">
        <f t="shared" si="51"/>
        <v>58086.160929851278</v>
      </c>
      <c r="E276" s="6">
        <f t="shared" si="51"/>
        <v>63890.353659564949</v>
      </c>
      <c r="F276" s="6">
        <f t="shared" si="51"/>
        <v>70199.151744015908</v>
      </c>
      <c r="G276" s="6">
        <f t="shared" si="51"/>
        <v>77130.805943422791</v>
      </c>
      <c r="H276" s="6">
        <f t="shared" si="51"/>
        <v>84744.523032187324</v>
      </c>
      <c r="I276" s="6">
        <f t="shared" si="51"/>
        <v>93418.023327088376</v>
      </c>
      <c r="J276" s="6">
        <f t="shared" si="51"/>
        <v>103546.416256845</v>
      </c>
      <c r="K276" s="6">
        <f t="shared" si="51"/>
        <v>114259.16746337658</v>
      </c>
      <c r="L276" s="6">
        <f t="shared" si="51"/>
        <v>125495.63771574097</v>
      </c>
      <c r="M276" s="6">
        <f t="shared" si="51"/>
        <v>139570.44415525725</v>
      </c>
      <c r="N276" s="6">
        <f t="shared" si="51"/>
        <v>153747.39907892016</v>
      </c>
      <c r="O276" s="6">
        <f t="shared" si="51"/>
        <v>170347.50869303249</v>
      </c>
      <c r="P276" s="6">
        <f t="shared" si="51"/>
        <v>191004.36881418826</v>
      </c>
      <c r="Q276" s="6">
        <f t="shared" si="51"/>
        <v>212617.66815241956</v>
      </c>
      <c r="R276" s="6">
        <f t="shared" si="51"/>
        <v>235515.42537247401</v>
      </c>
      <c r="S276" s="6">
        <f t="shared" si="51"/>
        <v>258595.6474313915</v>
      </c>
      <c r="T276" s="6">
        <f t="shared" si="51"/>
        <v>254057.61645580616</v>
      </c>
      <c r="U276" s="6">
        <f t="shared" si="51"/>
        <v>217360.03222342019</v>
      </c>
      <c r="V276" s="6">
        <f t="shared" si="51"/>
        <v>225362.25124239805</v>
      </c>
      <c r="W276" s="6">
        <f>NPV(Assumptions!$L$16,C276:V276)</f>
        <v>946452.4722848339</v>
      </c>
    </row>
    <row r="277" spans="1:23" x14ac:dyDescent="0.2">
      <c r="A277">
        <f>Summary!A49</f>
        <v>33</v>
      </c>
      <c r="B277" t="s">
        <v>181</v>
      </c>
      <c r="C277" s="6">
        <f t="shared" si="52"/>
        <v>0</v>
      </c>
      <c r="D277" s="6">
        <f t="shared" si="51"/>
        <v>0</v>
      </c>
      <c r="E277" s="6">
        <f t="shared" si="51"/>
        <v>0</v>
      </c>
      <c r="F277" s="6">
        <f t="shared" si="51"/>
        <v>0</v>
      </c>
      <c r="G277" s="6">
        <f t="shared" si="51"/>
        <v>0</v>
      </c>
      <c r="H277" s="6">
        <f t="shared" si="51"/>
        <v>0</v>
      </c>
      <c r="I277" s="6">
        <f t="shared" si="51"/>
        <v>0</v>
      </c>
      <c r="J277" s="6">
        <f t="shared" si="51"/>
        <v>0</v>
      </c>
      <c r="K277" s="6">
        <f t="shared" si="51"/>
        <v>0</v>
      </c>
      <c r="L277" s="6">
        <f t="shared" si="51"/>
        <v>0</v>
      </c>
      <c r="M277" s="6">
        <f t="shared" si="51"/>
        <v>0</v>
      </c>
      <c r="N277" s="6">
        <f t="shared" si="51"/>
        <v>0</v>
      </c>
      <c r="O277" s="6">
        <f t="shared" si="51"/>
        <v>0</v>
      </c>
      <c r="P277" s="6">
        <f t="shared" si="51"/>
        <v>0</v>
      </c>
      <c r="Q277" s="6">
        <f t="shared" si="51"/>
        <v>0</v>
      </c>
      <c r="R277" s="6">
        <f t="shared" si="51"/>
        <v>0</v>
      </c>
      <c r="S277" s="6">
        <f t="shared" si="51"/>
        <v>0</v>
      </c>
      <c r="T277" s="6">
        <f t="shared" si="51"/>
        <v>0</v>
      </c>
      <c r="U277" s="6">
        <f t="shared" si="51"/>
        <v>0</v>
      </c>
      <c r="V277" s="6">
        <f t="shared" si="51"/>
        <v>0</v>
      </c>
      <c r="W277" s="6">
        <f>NPV(Assumptions!$L$16,C277:V277)</f>
        <v>0</v>
      </c>
    </row>
    <row r="279" spans="1:23" x14ac:dyDescent="0.2">
      <c r="C279" s="6">
        <f t="shared" ref="C279:V279" si="53">SUM(C245:C277)</f>
        <v>20040563.114127673</v>
      </c>
      <c r="D279" s="6">
        <f t="shared" si="53"/>
        <v>22006300.133649748</v>
      </c>
      <c r="E279" s="6">
        <f t="shared" si="53"/>
        <v>24205254.328572039</v>
      </c>
      <c r="F279" s="6">
        <f t="shared" si="53"/>
        <v>26595381.372717481</v>
      </c>
      <c r="G279" s="6">
        <f t="shared" si="53"/>
        <v>29221481.295537978</v>
      </c>
      <c r="H279" s="6">
        <f t="shared" si="53"/>
        <v>32105984.948488891</v>
      </c>
      <c r="I279" s="6">
        <f t="shared" si="53"/>
        <v>35391994.001994796</v>
      </c>
      <c r="J279" s="6">
        <f t="shared" si="53"/>
        <v>39229198.098731965</v>
      </c>
      <c r="K279" s="6">
        <f t="shared" si="53"/>
        <v>43287789.930833898</v>
      </c>
      <c r="L279" s="6">
        <f t="shared" si="53"/>
        <v>47544795.951854654</v>
      </c>
      <c r="M279" s="6">
        <f t="shared" si="53"/>
        <v>52877123.133970879</v>
      </c>
      <c r="N279" s="6">
        <f t="shared" si="53"/>
        <v>58248149.898988456</v>
      </c>
      <c r="O279" s="6">
        <f t="shared" si="53"/>
        <v>64537203.755737714</v>
      </c>
      <c r="P279" s="6">
        <f t="shared" si="53"/>
        <v>72363182.549446523</v>
      </c>
      <c r="Q279" s="6">
        <f t="shared" si="53"/>
        <v>80551514.236402646</v>
      </c>
      <c r="R279" s="6">
        <f t="shared" si="53"/>
        <v>89226470.709778503</v>
      </c>
      <c r="S279" s="6">
        <f t="shared" si="53"/>
        <v>97970555.112140819</v>
      </c>
      <c r="T279" s="6">
        <f t="shared" si="53"/>
        <v>96251294.102876753</v>
      </c>
      <c r="U279" s="6">
        <f t="shared" si="53"/>
        <v>82348188.09845233</v>
      </c>
      <c r="V279" s="6">
        <f t="shared" si="53"/>
        <v>85379878.10253948</v>
      </c>
      <c r="W279" s="6">
        <f>NPV(Assumptions!$L$16,C279:V279)</f>
        <v>358569353.42117131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48"/>
  <sheetViews>
    <sheetView topLeftCell="AE1" workbookViewId="0">
      <selection activeCell="A10" sqref="A10"/>
    </sheetView>
  </sheetViews>
  <sheetFormatPr defaultRowHeight="12.75" x14ac:dyDescent="0.2"/>
  <cols>
    <col min="1" max="1" width="10.85546875" bestFit="1" customWidth="1"/>
    <col min="2" max="2" width="11.42578125" customWidth="1"/>
    <col min="7" max="7" width="9.140625" style="4"/>
    <col min="22" max="27" width="8.5703125" bestFit="1" customWidth="1"/>
    <col min="28" max="29" width="4.7109375" bestFit="1" customWidth="1"/>
    <col min="30" max="30" width="5" bestFit="1" customWidth="1"/>
    <col min="31" max="31" width="5.7109375" bestFit="1" customWidth="1"/>
    <col min="32" max="32" width="8.85546875" bestFit="1" customWidth="1"/>
    <col min="33" max="35" width="5" bestFit="1" customWidth="1"/>
    <col min="36" max="37" width="4.42578125" bestFit="1" customWidth="1"/>
    <col min="38" max="38" width="7.85546875" bestFit="1" customWidth="1"/>
    <col min="39" max="41" width="6.85546875" bestFit="1" customWidth="1"/>
    <col min="42" max="42" width="7.5703125" bestFit="1" customWidth="1"/>
  </cols>
  <sheetData>
    <row r="1" spans="1:42" x14ac:dyDescent="0.2">
      <c r="A1" s="13" t="s">
        <v>163</v>
      </c>
      <c r="B1" s="8">
        <f>VLOOKUP($C$1,UnitData,9)</f>
        <v>11304.744680851063</v>
      </c>
      <c r="C1" s="5">
        <f>IS!B1</f>
        <v>33</v>
      </c>
    </row>
    <row r="2" spans="1:42" x14ac:dyDescent="0.2">
      <c r="A2" s="13"/>
      <c r="B2" s="8"/>
      <c r="C2" s="5"/>
    </row>
    <row r="3" spans="1:42" x14ac:dyDescent="0.2">
      <c r="A3" s="13"/>
      <c r="B3" s="8"/>
      <c r="C3" s="5"/>
    </row>
    <row r="4" spans="1:42" x14ac:dyDescent="0.2">
      <c r="A4" s="13"/>
      <c r="B4" s="8"/>
      <c r="C4" s="5"/>
    </row>
    <row r="5" spans="1:42" ht="13.5" thickBot="1" x14ac:dyDescent="0.25">
      <c r="A5" s="13"/>
      <c r="B5" s="8"/>
      <c r="C5" s="5"/>
    </row>
    <row r="6" spans="1:42" ht="13.5" thickBot="1" x14ac:dyDescent="0.25">
      <c r="C6" s="3"/>
      <c r="D6" s="3"/>
      <c r="G6" s="3" t="s">
        <v>24</v>
      </c>
      <c r="H6" s="87" t="s">
        <v>139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9"/>
      <c r="AB6" s="32" t="s">
        <v>158</v>
      </c>
      <c r="AC6" s="32" t="s">
        <v>159</v>
      </c>
      <c r="AD6" s="3" t="s">
        <v>22</v>
      </c>
      <c r="AE6" s="3" t="s">
        <v>23</v>
      </c>
      <c r="AF6" s="3" t="s">
        <v>23</v>
      </c>
      <c r="AG6" s="3" t="s">
        <v>101</v>
      </c>
      <c r="AH6" s="3" t="s">
        <v>103</v>
      </c>
      <c r="AI6" s="3" t="s">
        <v>102</v>
      </c>
      <c r="AJ6" s="3" t="s">
        <v>22</v>
      </c>
      <c r="AK6" s="3" t="s">
        <v>23</v>
      </c>
      <c r="AL6" s="481" t="s">
        <v>143</v>
      </c>
      <c r="AM6" s="481"/>
      <c r="AN6" s="481"/>
      <c r="AO6" s="481"/>
      <c r="AP6" s="481"/>
    </row>
    <row r="7" spans="1:42" ht="13.5" thickBot="1" x14ac:dyDescent="0.25">
      <c r="B7" s="201" t="str">
        <f>VLOOKUP($C$1,UnitData,13)</f>
        <v>Gas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25</v>
      </c>
      <c r="H7" s="90" t="s">
        <v>0</v>
      </c>
      <c r="I7" s="90" t="s">
        <v>1</v>
      </c>
      <c r="J7" s="90" t="s">
        <v>2</v>
      </c>
      <c r="K7" s="90" t="s">
        <v>3</v>
      </c>
      <c r="L7" s="90" t="s">
        <v>4</v>
      </c>
      <c r="M7" s="90" t="s">
        <v>5</v>
      </c>
      <c r="N7" s="90" t="s">
        <v>6</v>
      </c>
      <c r="O7" s="90" t="s">
        <v>7</v>
      </c>
      <c r="P7" s="90" t="s">
        <v>8</v>
      </c>
      <c r="Q7" s="90" t="s">
        <v>9</v>
      </c>
      <c r="R7" s="90" t="s">
        <v>10</v>
      </c>
      <c r="S7" s="90" t="s">
        <v>11</v>
      </c>
      <c r="T7" s="90" t="s">
        <v>12</v>
      </c>
      <c r="U7" s="90" t="s">
        <v>13</v>
      </c>
      <c r="V7" s="90" t="s">
        <v>14</v>
      </c>
      <c r="W7" s="90" t="s">
        <v>15</v>
      </c>
      <c r="X7" s="90" t="s">
        <v>16</v>
      </c>
      <c r="Y7" s="90" t="s">
        <v>17</v>
      </c>
      <c r="Z7" s="90" t="s">
        <v>18</v>
      </c>
      <c r="AA7" s="90" t="s">
        <v>19</v>
      </c>
      <c r="AB7" s="32" t="s">
        <v>21</v>
      </c>
      <c r="AC7" s="32" t="s">
        <v>21</v>
      </c>
      <c r="AD7" s="3" t="s">
        <v>47</v>
      </c>
      <c r="AE7" s="3" t="s">
        <v>47</v>
      </c>
      <c r="AF7" s="3" t="s">
        <v>111</v>
      </c>
      <c r="AG7" s="3" t="s">
        <v>47</v>
      </c>
      <c r="AH7" s="3" t="s">
        <v>47</v>
      </c>
      <c r="AI7" s="3" t="s">
        <v>47</v>
      </c>
      <c r="AJ7" s="3" t="s">
        <v>44</v>
      </c>
      <c r="AK7" s="3" t="s">
        <v>44</v>
      </c>
      <c r="AL7" s="35" t="s">
        <v>140</v>
      </c>
      <c r="AM7" s="35" t="s">
        <v>141</v>
      </c>
      <c r="AN7" s="35" t="s">
        <v>188</v>
      </c>
      <c r="AO7" s="35" t="s">
        <v>189</v>
      </c>
      <c r="AP7" s="35" t="s">
        <v>216</v>
      </c>
    </row>
    <row r="8" spans="1:42" x14ac:dyDescent="0.2">
      <c r="H8" s="167">
        <v>5</v>
      </c>
      <c r="I8" s="168">
        <v>5</v>
      </c>
      <c r="J8" s="168">
        <v>10</v>
      </c>
      <c r="K8" s="168">
        <v>20</v>
      </c>
      <c r="L8" s="168">
        <v>20</v>
      </c>
      <c r="M8" s="168">
        <v>40</v>
      </c>
      <c r="N8" s="168">
        <v>40</v>
      </c>
      <c r="O8" s="168">
        <v>40</v>
      </c>
      <c r="P8" s="168">
        <v>40</v>
      </c>
      <c r="Q8" s="168">
        <v>40</v>
      </c>
      <c r="R8" s="168">
        <v>40</v>
      </c>
      <c r="S8" s="168">
        <v>40</v>
      </c>
      <c r="T8" s="168">
        <v>40</v>
      </c>
      <c r="U8" s="168">
        <v>40</v>
      </c>
      <c r="V8" s="168">
        <v>40</v>
      </c>
      <c r="W8" s="168">
        <v>40</v>
      </c>
      <c r="X8" s="168">
        <v>40</v>
      </c>
      <c r="Y8" s="168">
        <v>40</v>
      </c>
      <c r="Z8" s="168">
        <v>40</v>
      </c>
      <c r="AA8" s="168">
        <v>110</v>
      </c>
    </row>
    <row r="9" spans="1:42" x14ac:dyDescent="0.2">
      <c r="A9" s="1">
        <v>36540</v>
      </c>
      <c r="B9" s="16">
        <f>IF($B$7="Coal",AG9,IF($B$7="Gas",AH9,IF($B$7="Oil",AI9,0)))</f>
        <v>3.25338889786042</v>
      </c>
      <c r="C9" s="17">
        <f t="shared" ref="C9:C72" si="0">(B9*$B$1*1000)/1000000</f>
        <v>36.778730837827482</v>
      </c>
      <c r="D9" s="16">
        <f>AB9+AC9</f>
        <v>0.60300000000000009</v>
      </c>
      <c r="E9" s="16">
        <f t="shared" ref="E9:E72" si="1">(($AJ9*$B$1*AD9*1000)/2000)/1000000</f>
        <v>0</v>
      </c>
      <c r="F9" s="16">
        <f t="shared" ref="F9:F72" si="2">AF9*(($AK9*$B$1*AE9*1000)/2000)/1000000</f>
        <v>0</v>
      </c>
      <c r="G9" s="19" t="str">
        <f>IF(IS!$C$2="Peak","-",SUM(C9:F9))</f>
        <v>-</v>
      </c>
      <c r="H9" s="236">
        <v>0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0</v>
      </c>
      <c r="Q9" s="236">
        <v>0</v>
      </c>
      <c r="R9" s="236">
        <v>0</v>
      </c>
      <c r="S9" s="236">
        <v>0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0</v>
      </c>
      <c r="AB9" s="16">
        <f>Peak!AB11</f>
        <v>0.60300000000000009</v>
      </c>
      <c r="AC9" s="16">
        <f>Peak!AC11</f>
        <v>0</v>
      </c>
      <c r="AD9" s="18">
        <f>Peak!AD11</f>
        <v>181.15599510176347</v>
      </c>
      <c r="AE9" s="18">
        <f>Peak!AE11</f>
        <v>0</v>
      </c>
      <c r="AF9" s="16">
        <f>Peak!AF11</f>
        <v>0</v>
      </c>
      <c r="AG9" s="73">
        <f>Peak!AG11</f>
        <v>0</v>
      </c>
      <c r="AH9" s="16">
        <f>Peak!AH11</f>
        <v>3.25338889786042</v>
      </c>
      <c r="AI9" s="16">
        <f>Peak!AI11</f>
        <v>3.3724832787685379</v>
      </c>
      <c r="AJ9" s="16">
        <f>Peak!AJ11</f>
        <v>0</v>
      </c>
      <c r="AK9" s="16">
        <f>Peak!AK11</f>
        <v>0</v>
      </c>
      <c r="AL9" s="79">
        <f>VLOOKUP($C$1,UnitData,10)</f>
        <v>0.96612135909558572</v>
      </c>
      <c r="AM9" s="79">
        <f>VLOOKUP($C$1,UnitData,11)</f>
        <v>0.92427661878611755</v>
      </c>
      <c r="AN9" s="79">
        <f>VLOOKUP($C$1,UnitData,12)</f>
        <v>0.95</v>
      </c>
      <c r="AO9" s="21">
        <f>AN9</f>
        <v>0.95</v>
      </c>
      <c r="AP9" s="21">
        <f>AVERAGE(AL9:AO9)</f>
        <v>0.9475994944704258</v>
      </c>
    </row>
    <row r="10" spans="1:42" x14ac:dyDescent="0.2">
      <c r="A10" s="1">
        <f>A9+30.417</f>
        <v>36570.417000000001</v>
      </c>
      <c r="B10" s="16">
        <f t="shared" ref="B10:B73" si="3">IF($B$7="Coal",AG10,IF($B$7="Gas",AH10,IF($B$7="Oil",AI10,0)))</f>
        <v>2.9159363260078761</v>
      </c>
      <c r="C10" s="17">
        <f t="shared" si="0"/>
        <v>32.963915671137926</v>
      </c>
      <c r="D10" s="16">
        <f t="shared" ref="D10:D73" si="4">AB10+AC10</f>
        <v>0.60400500000000013</v>
      </c>
      <c r="E10" s="16">
        <f t="shared" si="1"/>
        <v>0</v>
      </c>
      <c r="F10" s="16">
        <f t="shared" si="2"/>
        <v>0</v>
      </c>
      <c r="G10" s="19" t="str">
        <f>IF(IS!$C$2="Peak","-",SUM(C10:F10))</f>
        <v>-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6">
        <v>0</v>
      </c>
      <c r="S10" s="236">
        <v>0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0</v>
      </c>
      <c r="AB10" s="16">
        <f>Peak!AB12</f>
        <v>0.60400500000000013</v>
      </c>
      <c r="AC10" s="16">
        <f>Peak!AC12</f>
        <v>0</v>
      </c>
      <c r="AD10" s="18">
        <f>Peak!AD12</f>
        <v>181.15599510176347</v>
      </c>
      <c r="AE10" s="18">
        <f>Peak!AE12</f>
        <v>0</v>
      </c>
      <c r="AF10" s="16">
        <f>Peak!AF12</f>
        <v>0</v>
      </c>
      <c r="AG10" s="73">
        <f>Peak!AG12</f>
        <v>0</v>
      </c>
      <c r="AH10" s="16">
        <f>Peak!AH12</f>
        <v>2.9159363260078761</v>
      </c>
      <c r="AI10" s="16">
        <f>Peak!AI12</f>
        <v>3.3412565817429032</v>
      </c>
      <c r="AJ10" s="16">
        <f>Peak!AJ12</f>
        <v>0</v>
      </c>
      <c r="AK10" s="16">
        <f>Peak!AK12</f>
        <v>0</v>
      </c>
      <c r="AO10" s="227"/>
    </row>
    <row r="11" spans="1:42" x14ac:dyDescent="0.2">
      <c r="A11" s="1">
        <f t="shared" ref="A11:A74" si="5">A10+30.417</f>
        <v>36600.834000000003</v>
      </c>
      <c r="B11" s="16">
        <f t="shared" si="3"/>
        <v>2.8669047557387035</v>
      </c>
      <c r="C11" s="17">
        <f t="shared" si="0"/>
        <v>32.409626287943723</v>
      </c>
      <c r="D11" s="16">
        <f t="shared" si="4"/>
        <v>0.60501167500000019</v>
      </c>
      <c r="E11" s="16">
        <f t="shared" si="1"/>
        <v>0</v>
      </c>
      <c r="F11" s="16">
        <f t="shared" si="2"/>
        <v>0</v>
      </c>
      <c r="G11" s="19" t="str">
        <f>IF(IS!$C$2="Peak","-",SUM(C11:F11))</f>
        <v>-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  <c r="S11" s="236">
        <v>0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0</v>
      </c>
      <c r="AB11" s="16">
        <f>Peak!AB13</f>
        <v>0.60501167500000019</v>
      </c>
      <c r="AC11" s="16">
        <f>Peak!AC13</f>
        <v>0</v>
      </c>
      <c r="AD11" s="18">
        <f>Peak!AD13</f>
        <v>181.15599510176347</v>
      </c>
      <c r="AE11" s="18">
        <f>Peak!AE13</f>
        <v>0</v>
      </c>
      <c r="AF11" s="16">
        <f>Peak!AF13</f>
        <v>0</v>
      </c>
      <c r="AG11" s="73">
        <f>Peak!AG13</f>
        <v>0</v>
      </c>
      <c r="AH11" s="16">
        <f>Peak!AH13</f>
        <v>2.8669047557387035</v>
      </c>
      <c r="AI11" s="16">
        <f>Peak!AI13</f>
        <v>3.2163497936403647</v>
      </c>
      <c r="AJ11" s="16">
        <f>Peak!AJ13</f>
        <v>0</v>
      </c>
      <c r="AK11" s="16">
        <f>Peak!AK13</f>
        <v>0</v>
      </c>
    </row>
    <row r="12" spans="1:42" x14ac:dyDescent="0.2">
      <c r="A12" s="1">
        <f t="shared" si="5"/>
        <v>36631.251000000004</v>
      </c>
      <c r="B12" s="16">
        <f t="shared" si="3"/>
        <v>2.7255784649628518</v>
      </c>
      <c r="C12" s="17">
        <f t="shared" si="0"/>
        <v>30.811968654031006</v>
      </c>
      <c r="D12" s="16">
        <f t="shared" si="4"/>
        <v>0.60602002779166686</v>
      </c>
      <c r="E12" s="16">
        <f t="shared" si="1"/>
        <v>0</v>
      </c>
      <c r="F12" s="16">
        <f t="shared" si="2"/>
        <v>0</v>
      </c>
      <c r="G12" s="19" t="str">
        <f>IF(IS!$C$2="Peak","-",SUM(C12:F12))</f>
        <v>-</v>
      </c>
      <c r="H12" s="236">
        <v>0</v>
      </c>
      <c r="I12" s="236">
        <v>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0</v>
      </c>
      <c r="Q12" s="236">
        <v>0</v>
      </c>
      <c r="R12" s="236">
        <v>0</v>
      </c>
      <c r="S12" s="236">
        <v>0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0</v>
      </c>
      <c r="AB12" s="16">
        <f>Peak!AB14</f>
        <v>0.60602002779166686</v>
      </c>
      <c r="AC12" s="16">
        <f>Peak!AC14</f>
        <v>0</v>
      </c>
      <c r="AD12" s="18">
        <f>Peak!AD14</f>
        <v>181.15599510176347</v>
      </c>
      <c r="AE12" s="18">
        <f>Peak!AE14</f>
        <v>0</v>
      </c>
      <c r="AF12" s="16">
        <f>Peak!AF14</f>
        <v>0</v>
      </c>
      <c r="AG12" s="73">
        <f>Peak!AG14</f>
        <v>0</v>
      </c>
      <c r="AH12" s="16">
        <f>Peak!AH14</f>
        <v>2.7255784649628518</v>
      </c>
      <c r="AI12" s="16">
        <f>Peak!AI14</f>
        <v>3.0914430055378261</v>
      </c>
      <c r="AJ12" s="16">
        <f>Peak!AJ14</f>
        <v>0</v>
      </c>
      <c r="AK12" s="16">
        <f>Peak!AK14</f>
        <v>0</v>
      </c>
      <c r="AL12" s="481" t="s">
        <v>26</v>
      </c>
      <c r="AM12" s="481"/>
      <c r="AN12" s="481"/>
      <c r="AO12" s="481"/>
      <c r="AP12" s="481"/>
    </row>
    <row r="13" spans="1:42" ht="13.5" thickBot="1" x14ac:dyDescent="0.25">
      <c r="A13" s="1">
        <f t="shared" si="5"/>
        <v>36661.668000000005</v>
      </c>
      <c r="B13" s="16">
        <f t="shared" si="3"/>
        <v>2.8697889657545375</v>
      </c>
      <c r="C13" s="17">
        <f t="shared" si="0"/>
        <v>32.442231545778682</v>
      </c>
      <c r="D13" s="16">
        <f t="shared" si="4"/>
        <v>0.60703006117131963</v>
      </c>
      <c r="E13" s="16">
        <f t="shared" si="1"/>
        <v>0</v>
      </c>
      <c r="F13" s="16">
        <f t="shared" si="2"/>
        <v>0</v>
      </c>
      <c r="G13" s="19" t="str">
        <f>IF(IS!$C$2="Peak","-",SUM(C13:F13))</f>
        <v>-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6">
        <v>0</v>
      </c>
      <c r="S13" s="236">
        <v>0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0</v>
      </c>
      <c r="AB13" s="16">
        <f>Peak!AB15</f>
        <v>0.60703006117131963</v>
      </c>
      <c r="AC13" s="16">
        <f>Peak!AC15</f>
        <v>0</v>
      </c>
      <c r="AD13" s="18">
        <f>Peak!AD15</f>
        <v>181.15599510176347</v>
      </c>
      <c r="AE13" s="18">
        <f>Peak!AE15</f>
        <v>0</v>
      </c>
      <c r="AF13" s="16">
        <f>Peak!AF15</f>
        <v>0</v>
      </c>
      <c r="AG13" s="73">
        <f>Peak!AG15</f>
        <v>0</v>
      </c>
      <c r="AH13" s="16">
        <f>Peak!AH15</f>
        <v>2.8697889657545375</v>
      </c>
      <c r="AI13" s="16">
        <f>Peak!AI15</f>
        <v>2.9665362174352876</v>
      </c>
      <c r="AJ13" s="16">
        <f>Peak!AJ15</f>
        <v>0</v>
      </c>
      <c r="AK13" s="16">
        <f>Peak!AK15</f>
        <v>0</v>
      </c>
      <c r="AL13" s="35" t="s">
        <v>140</v>
      </c>
      <c r="AM13" s="35" t="s">
        <v>141</v>
      </c>
      <c r="AN13" s="35" t="s">
        <v>188</v>
      </c>
      <c r="AO13" s="35" t="s">
        <v>189</v>
      </c>
      <c r="AP13" s="35" t="s">
        <v>216</v>
      </c>
    </row>
    <row r="14" spans="1:42" x14ac:dyDescent="0.2">
      <c r="A14" s="1">
        <f t="shared" si="5"/>
        <v>36692.085000000006</v>
      </c>
      <c r="B14" s="16">
        <f t="shared" si="3"/>
        <v>2.7342310950103532</v>
      </c>
      <c r="C14" s="17">
        <f t="shared" si="0"/>
        <v>30.909784427535868</v>
      </c>
      <c r="D14" s="16">
        <f t="shared" si="4"/>
        <v>0.60804177793993852</v>
      </c>
      <c r="E14" s="16">
        <f t="shared" si="1"/>
        <v>0</v>
      </c>
      <c r="F14" s="16">
        <f t="shared" si="2"/>
        <v>0</v>
      </c>
      <c r="G14" s="19" t="str">
        <f>IF(IS!$C$2="Peak","-",SUM(C14:F14))</f>
        <v>-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6">
        <v>0</v>
      </c>
      <c r="S14" s="236">
        <v>0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0</v>
      </c>
      <c r="AB14" s="16">
        <f>Peak!AB16</f>
        <v>0.60804177793993852</v>
      </c>
      <c r="AC14" s="16">
        <f>Peak!AC16</f>
        <v>0</v>
      </c>
      <c r="AD14" s="18">
        <f>Peak!AD16</f>
        <v>181.15599510176347</v>
      </c>
      <c r="AE14" s="18">
        <f>Peak!AE16</f>
        <v>0</v>
      </c>
      <c r="AF14" s="16">
        <f>Peak!AF16</f>
        <v>0</v>
      </c>
      <c r="AG14" s="73">
        <f>Peak!AG16</f>
        <v>0</v>
      </c>
      <c r="AH14" s="16">
        <f>Peak!AH16</f>
        <v>2.7342310950103532</v>
      </c>
      <c r="AI14" s="16">
        <f>Peak!AI16</f>
        <v>2.9665362174352876</v>
      </c>
      <c r="AJ14" s="16">
        <f>Peak!AJ16</f>
        <v>0</v>
      </c>
      <c r="AK14" s="16">
        <f>Peak!AK16</f>
        <v>0</v>
      </c>
    </row>
    <row r="15" spans="1:42" x14ac:dyDescent="0.2">
      <c r="A15" s="1">
        <f t="shared" si="5"/>
        <v>36722.502000000008</v>
      </c>
      <c r="B15" s="16">
        <f t="shared" si="3"/>
        <v>2.7255784649628518</v>
      </c>
      <c r="C15" s="17">
        <f t="shared" si="0"/>
        <v>30.811968654031006</v>
      </c>
      <c r="D15" s="16">
        <f t="shared" si="4"/>
        <v>0.60905518090317179</v>
      </c>
      <c r="E15" s="16">
        <f t="shared" si="1"/>
        <v>0</v>
      </c>
      <c r="F15" s="16">
        <f t="shared" si="2"/>
        <v>0</v>
      </c>
      <c r="G15" s="19" t="str">
        <f>IF(IS!$C$2="Peak","-",SUM(C15:F15))</f>
        <v>-</v>
      </c>
      <c r="H15" s="236">
        <v>0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6">
        <v>0</v>
      </c>
      <c r="S15" s="236">
        <v>0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0</v>
      </c>
      <c r="AB15" s="16">
        <f>Peak!AB17</f>
        <v>0.60905518090317179</v>
      </c>
      <c r="AC15" s="16">
        <f>Peak!AC17</f>
        <v>0</v>
      </c>
      <c r="AD15" s="18">
        <f>Peak!AD17</f>
        <v>181.15599510176347</v>
      </c>
      <c r="AE15" s="18">
        <f>Peak!AE17</f>
        <v>0</v>
      </c>
      <c r="AF15" s="16">
        <f>Peak!AF17</f>
        <v>0</v>
      </c>
      <c r="AG15" s="73">
        <f>Peak!AG17</f>
        <v>0</v>
      </c>
      <c r="AH15" s="16">
        <f>Peak!AH17</f>
        <v>2.7255784649628518</v>
      </c>
      <c r="AI15" s="16">
        <f>Peak!AI17</f>
        <v>2.9665362174352876</v>
      </c>
      <c r="AJ15" s="16">
        <f>Peak!AJ17</f>
        <v>0</v>
      </c>
      <c r="AK15" s="16">
        <f>Peak!AK17</f>
        <v>0</v>
      </c>
      <c r="AL15" s="472">
        <f>VLOOKUP($C$1,UnitData,3)</f>
        <v>705</v>
      </c>
      <c r="AM15" s="472">
        <f>VLOOKUP($C$1,UnitData,4)</f>
        <v>705</v>
      </c>
      <c r="AN15" s="472">
        <f>VLOOKUP($C$1,UnitData,5)</f>
        <v>705</v>
      </c>
      <c r="AO15" s="472">
        <f>AN15</f>
        <v>705</v>
      </c>
      <c r="AP15" s="472">
        <f>AVERAGE(AL15:AO15)</f>
        <v>705</v>
      </c>
    </row>
    <row r="16" spans="1:42" x14ac:dyDescent="0.2">
      <c r="A16" s="1">
        <f t="shared" si="5"/>
        <v>36752.919000000009</v>
      </c>
      <c r="B16" s="16">
        <f t="shared" si="3"/>
        <v>2.5842521741870006</v>
      </c>
      <c r="C16" s="17">
        <f t="shared" si="0"/>
        <v>29.214311020118288</v>
      </c>
      <c r="D16" s="16">
        <f t="shared" si="4"/>
        <v>0.61007027287134374</v>
      </c>
      <c r="E16" s="16">
        <f t="shared" si="1"/>
        <v>0</v>
      </c>
      <c r="F16" s="16">
        <f t="shared" si="2"/>
        <v>0</v>
      </c>
      <c r="G16" s="19" t="str">
        <f>IF(IS!$C$2="Peak","-",SUM(C16:F16))</f>
        <v>-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6">
        <v>0</v>
      </c>
      <c r="S16" s="236">
        <v>0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36">
        <v>0</v>
      </c>
      <c r="AA16" s="236">
        <v>0</v>
      </c>
      <c r="AB16" s="16">
        <f>Peak!AB18</f>
        <v>0.61007027287134374</v>
      </c>
      <c r="AC16" s="16">
        <f>Peak!AC18</f>
        <v>0</v>
      </c>
      <c r="AD16" s="18">
        <f>Peak!AD18</f>
        <v>181.15599510176347</v>
      </c>
      <c r="AE16" s="18">
        <f>Peak!AE18</f>
        <v>0</v>
      </c>
      <c r="AF16" s="16">
        <f>Peak!AF18</f>
        <v>0</v>
      </c>
      <c r="AG16" s="73">
        <f>Peak!AG18</f>
        <v>0</v>
      </c>
      <c r="AH16" s="16">
        <f>Peak!AH18</f>
        <v>2.5842521741870006</v>
      </c>
      <c r="AI16" s="16">
        <f>Peak!AI18</f>
        <v>2.9665362174352876</v>
      </c>
      <c r="AJ16" s="16">
        <f>Peak!AJ18</f>
        <v>0</v>
      </c>
      <c r="AK16" s="16">
        <f>Peak!AK18</f>
        <v>0</v>
      </c>
    </row>
    <row r="17" spans="1:37" x14ac:dyDescent="0.2">
      <c r="A17" s="1">
        <f t="shared" si="5"/>
        <v>36783.33600000001</v>
      </c>
      <c r="B17" s="16">
        <f t="shared" si="3"/>
        <v>2.5755995441394992</v>
      </c>
      <c r="C17" s="17">
        <f t="shared" si="0"/>
        <v>29.116495246613429</v>
      </c>
      <c r="D17" s="16">
        <f t="shared" si="4"/>
        <v>0.61108705665946272</v>
      </c>
      <c r="E17" s="16">
        <f t="shared" si="1"/>
        <v>0</v>
      </c>
      <c r="F17" s="16">
        <f t="shared" si="2"/>
        <v>0</v>
      </c>
      <c r="G17" s="19" t="str">
        <f>IF(IS!$C$2="Peak","-",SUM(C17:F17))</f>
        <v>-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6">
        <v>0</v>
      </c>
      <c r="S17" s="236">
        <v>0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36">
        <v>0</v>
      </c>
      <c r="AA17" s="236">
        <v>0</v>
      </c>
      <c r="AB17" s="16">
        <f>Peak!AB19</f>
        <v>0.61108705665946272</v>
      </c>
      <c r="AC17" s="16">
        <f>Peak!AC19</f>
        <v>0</v>
      </c>
      <c r="AD17" s="18">
        <f>Peak!AD19</f>
        <v>181.15599510176347</v>
      </c>
      <c r="AE17" s="18">
        <f>Peak!AE19</f>
        <v>0</v>
      </c>
      <c r="AF17" s="16">
        <f>Peak!AF19</f>
        <v>0</v>
      </c>
      <c r="AG17" s="73">
        <f>Peak!AG19</f>
        <v>0</v>
      </c>
      <c r="AH17" s="16">
        <f>Peak!AH19</f>
        <v>2.5755995441394992</v>
      </c>
      <c r="AI17" s="16">
        <f>Peak!AI19</f>
        <v>2.9665362174352876</v>
      </c>
      <c r="AJ17" s="16">
        <f>Peak!AJ19</f>
        <v>0</v>
      </c>
      <c r="AK17" s="16">
        <f>Peak!AK19</f>
        <v>0</v>
      </c>
    </row>
    <row r="18" spans="1:37" x14ac:dyDescent="0.2">
      <c r="A18" s="1">
        <f t="shared" si="5"/>
        <v>36813.753000000012</v>
      </c>
      <c r="B18" s="16">
        <f t="shared" si="3"/>
        <v>2.8524837056595351</v>
      </c>
      <c r="C18" s="17">
        <f t="shared" si="0"/>
        <v>32.246599998768957</v>
      </c>
      <c r="D18" s="16">
        <f t="shared" si="4"/>
        <v>0.61210553508722854</v>
      </c>
      <c r="E18" s="16">
        <f t="shared" si="1"/>
        <v>0</v>
      </c>
      <c r="F18" s="16">
        <f t="shared" si="2"/>
        <v>0</v>
      </c>
      <c r="G18" s="19" t="str">
        <f>IF(IS!$C$2="Peak","-",SUM(C18:F18))</f>
        <v>-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16">
        <f>Peak!AB20</f>
        <v>0.61210553508722854</v>
      </c>
      <c r="AC18" s="16">
        <f>Peak!AC20</f>
        <v>0</v>
      </c>
      <c r="AD18" s="18">
        <f>Peak!AD20</f>
        <v>181.15599510176347</v>
      </c>
      <c r="AE18" s="18">
        <f>Peak!AE20</f>
        <v>0</v>
      </c>
      <c r="AF18" s="16">
        <f>Peak!AF20</f>
        <v>0</v>
      </c>
      <c r="AG18" s="73">
        <f>Peak!AG20</f>
        <v>0</v>
      </c>
      <c r="AH18" s="16">
        <f>Peak!AH20</f>
        <v>2.8524837056595351</v>
      </c>
      <c r="AI18" s="16">
        <f>Peak!AI20</f>
        <v>2.9665362174352876</v>
      </c>
      <c r="AJ18" s="16">
        <f>Peak!AJ20</f>
        <v>0</v>
      </c>
      <c r="AK18" s="16">
        <f>Peak!AK20</f>
        <v>0</v>
      </c>
    </row>
    <row r="19" spans="1:37" x14ac:dyDescent="0.2">
      <c r="A19" s="1">
        <f t="shared" si="5"/>
        <v>36844.170000000013</v>
      </c>
      <c r="B19" s="16">
        <f t="shared" si="3"/>
        <v>3.1235994471479032</v>
      </c>
      <c r="C19" s="17">
        <f t="shared" si="0"/>
        <v>35.311494235254578</v>
      </c>
      <c r="D19" s="16">
        <f t="shared" si="4"/>
        <v>0.61312571097904056</v>
      </c>
      <c r="E19" s="16">
        <f t="shared" si="1"/>
        <v>0</v>
      </c>
      <c r="F19" s="16">
        <f t="shared" si="2"/>
        <v>0</v>
      </c>
      <c r="G19" s="19" t="str">
        <f>IF(IS!$C$2="Peak","-",SUM(C19:F19))</f>
        <v>-</v>
      </c>
      <c r="H19" s="236">
        <v>0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6">
        <v>0</v>
      </c>
      <c r="S19" s="236">
        <v>0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0</v>
      </c>
      <c r="AB19" s="16">
        <f>Peak!AB21</f>
        <v>0.61312571097904056</v>
      </c>
      <c r="AC19" s="16">
        <f>Peak!AC21</f>
        <v>0</v>
      </c>
      <c r="AD19" s="18">
        <f>Peak!AD21</f>
        <v>181.15599510176347</v>
      </c>
      <c r="AE19" s="18">
        <f>Peak!AE21</f>
        <v>0</v>
      </c>
      <c r="AF19" s="16">
        <f>Peak!AF21</f>
        <v>0</v>
      </c>
      <c r="AG19" s="73">
        <f>Peak!AG21</f>
        <v>0</v>
      </c>
      <c r="AH19" s="16">
        <f>Peak!AH21</f>
        <v>3.1235994471479032</v>
      </c>
      <c r="AI19" s="16">
        <f>Peak!AI21</f>
        <v>3.2163497936403647</v>
      </c>
      <c r="AJ19" s="16">
        <f>Peak!AJ21</f>
        <v>0</v>
      </c>
      <c r="AK19" s="16">
        <f>Peak!AK21</f>
        <v>0</v>
      </c>
    </row>
    <row r="20" spans="1:37" x14ac:dyDescent="0.2">
      <c r="A20" s="1">
        <f t="shared" si="5"/>
        <v>36874.587000000014</v>
      </c>
      <c r="B20" s="16">
        <f t="shared" si="3"/>
        <v>3.3802941385571033</v>
      </c>
      <c r="C20" s="17">
        <f t="shared" si="0"/>
        <v>38.21336218256544</v>
      </c>
      <c r="D20" s="16">
        <f t="shared" si="4"/>
        <v>0.61414758716400564</v>
      </c>
      <c r="E20" s="16">
        <f t="shared" si="1"/>
        <v>0</v>
      </c>
      <c r="F20" s="16">
        <f t="shared" si="2"/>
        <v>0</v>
      </c>
      <c r="G20" s="19" t="str">
        <f>IF(IS!$C$2="Peak","-",SUM(C20:F20))</f>
        <v>-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236">
        <v>0</v>
      </c>
      <c r="R20" s="236">
        <v>0</v>
      </c>
      <c r="S20" s="236">
        <v>0</v>
      </c>
      <c r="T20" s="236">
        <v>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0</v>
      </c>
      <c r="AB20" s="16">
        <f>Peak!AB22</f>
        <v>0.61414758716400564</v>
      </c>
      <c r="AC20" s="16">
        <f>Peak!AC22</f>
        <v>0</v>
      </c>
      <c r="AD20" s="18">
        <f>Peak!AD22</f>
        <v>181.15599510176347</v>
      </c>
      <c r="AE20" s="18">
        <f>Peak!AE22</f>
        <v>0</v>
      </c>
      <c r="AF20" s="16">
        <f>Peak!AF22</f>
        <v>0</v>
      </c>
      <c r="AG20" s="73">
        <f>Peak!AG22</f>
        <v>0</v>
      </c>
      <c r="AH20" s="16">
        <f>Peak!AH22</f>
        <v>3.3802941385571033</v>
      </c>
      <c r="AI20" s="16">
        <f>Peak!AI22</f>
        <v>3.3724832787685379</v>
      </c>
      <c r="AJ20" s="16">
        <f>Peak!AJ22</f>
        <v>0</v>
      </c>
      <c r="AK20" s="16">
        <f>Peak!AK22</f>
        <v>0</v>
      </c>
    </row>
    <row r="21" spans="1:37" x14ac:dyDescent="0.2">
      <c r="A21" s="1">
        <f t="shared" si="5"/>
        <v>36905.004000000015</v>
      </c>
      <c r="B21" s="16">
        <f t="shared" si="3"/>
        <v>4.5652300825677408</v>
      </c>
      <c r="C21" s="17">
        <f t="shared" si="0"/>
        <v>51.608760492768923</v>
      </c>
      <c r="D21" s="16">
        <f t="shared" si="4"/>
        <v>0.61517116647594572</v>
      </c>
      <c r="E21" s="16">
        <f t="shared" si="1"/>
        <v>0</v>
      </c>
      <c r="F21" s="16">
        <f t="shared" si="2"/>
        <v>0</v>
      </c>
      <c r="G21" s="19" t="str">
        <f>IF(IS!$C$2="Peak","-",SUM(C21:F21))</f>
        <v>-</v>
      </c>
      <c r="H21" s="197">
        <v>65.501020134313507</v>
      </c>
      <c r="I21" s="197">
        <v>64.363456962416578</v>
      </c>
      <c r="J21" s="197">
        <v>62.31143235544819</v>
      </c>
      <c r="K21" s="197">
        <v>59.052838541552134</v>
      </c>
      <c r="L21" s="197">
        <v>58.529148600926057</v>
      </c>
      <c r="M21" s="197">
        <v>58.103280282332435</v>
      </c>
      <c r="N21" s="197">
        <v>53.988811994486383</v>
      </c>
      <c r="O21" s="197">
        <v>43.800590339459546</v>
      </c>
      <c r="P21" s="197">
        <v>38.98349486767345</v>
      </c>
      <c r="Q21" s="197">
        <v>34.864574744794744</v>
      </c>
      <c r="R21" s="197">
        <v>32.461485065381254</v>
      </c>
      <c r="S21" s="197">
        <v>25.772736886107847</v>
      </c>
      <c r="T21" s="197">
        <v>24.569477510239587</v>
      </c>
      <c r="U21" s="197">
        <v>23.524415005524908</v>
      </c>
      <c r="V21" s="197">
        <v>22.359215127740995</v>
      </c>
      <c r="W21" s="197">
        <v>21.853382962339253</v>
      </c>
      <c r="X21" s="197">
        <v>21.423012257988713</v>
      </c>
      <c r="Y21" s="197">
        <v>21.22463895950138</v>
      </c>
      <c r="Z21" s="197">
        <v>21.016540244790146</v>
      </c>
      <c r="AA21" s="197">
        <v>20.591301131894838</v>
      </c>
      <c r="AB21" s="16">
        <f>Peak!AB23</f>
        <v>0.61517116647594572</v>
      </c>
      <c r="AC21" s="16">
        <f>Peak!AC23</f>
        <v>0</v>
      </c>
      <c r="AD21" s="18">
        <f>Peak!AD23</f>
        <v>198.92520866387423</v>
      </c>
      <c r="AE21" s="18">
        <f>Peak!AE23</f>
        <v>0</v>
      </c>
      <c r="AF21" s="16">
        <f>Peak!AF23</f>
        <v>0</v>
      </c>
      <c r="AG21" s="73">
        <f>Peak!AG23</f>
        <v>0</v>
      </c>
      <c r="AH21" s="16">
        <f>Peak!AH23</f>
        <v>4.5652300825677408</v>
      </c>
      <c r="AI21" s="16">
        <f>Peak!AI23</f>
        <v>4.2923414634146342</v>
      </c>
      <c r="AJ21" s="16">
        <f>Peak!AJ23</f>
        <v>0</v>
      </c>
      <c r="AK21" s="16">
        <f>Peak!AK23</f>
        <v>0</v>
      </c>
    </row>
    <row r="22" spans="1:37" x14ac:dyDescent="0.2">
      <c r="A22" s="1">
        <f t="shared" si="5"/>
        <v>36935.421000000017</v>
      </c>
      <c r="B22" s="16">
        <f t="shared" si="3"/>
        <v>4.091708877195023</v>
      </c>
      <c r="C22" s="17">
        <f t="shared" si="0"/>
        <v>46.255724165061508</v>
      </c>
      <c r="D22" s="16">
        <f t="shared" si="4"/>
        <v>0.61619645175340565</v>
      </c>
      <c r="E22" s="16">
        <f t="shared" si="1"/>
        <v>0</v>
      </c>
      <c r="F22" s="16">
        <f t="shared" si="2"/>
        <v>0</v>
      </c>
      <c r="G22" s="19" t="str">
        <f>IF(IS!$C$2="Peak","-",SUM(C22:F22))</f>
        <v>-</v>
      </c>
      <c r="H22" s="197">
        <v>72.295988221952058</v>
      </c>
      <c r="I22" s="197">
        <v>70.242502707494509</v>
      </c>
      <c r="J22" s="197">
        <v>66.965838193908269</v>
      </c>
      <c r="K22" s="197">
        <v>65.046722806725285</v>
      </c>
      <c r="L22" s="197">
        <v>64.88753629867206</v>
      </c>
      <c r="M22" s="197">
        <v>61.888452658919618</v>
      </c>
      <c r="N22" s="197">
        <v>52.601435090402354</v>
      </c>
      <c r="O22" s="197">
        <v>44.423387242126346</v>
      </c>
      <c r="P22" s="197">
        <v>36.984351754041498</v>
      </c>
      <c r="Q22" s="197">
        <v>35.441623714759068</v>
      </c>
      <c r="R22" s="197">
        <v>27.625153444356972</v>
      </c>
      <c r="S22" s="197">
        <v>25.726367811121531</v>
      </c>
      <c r="T22" s="197">
        <v>24.948078276206562</v>
      </c>
      <c r="U22" s="197">
        <v>23.69828870262149</v>
      </c>
      <c r="V22" s="197">
        <v>23.163200824176094</v>
      </c>
      <c r="W22" s="197">
        <v>22.739462318707826</v>
      </c>
      <c r="X22" s="197">
        <v>22.381535123989412</v>
      </c>
      <c r="Y22" s="197">
        <v>22.112401897106217</v>
      </c>
      <c r="Z22" s="197">
        <v>21.956058854064121</v>
      </c>
      <c r="AA22" s="197">
        <v>21.630872042519858</v>
      </c>
      <c r="AB22" s="16">
        <f>Peak!AB24</f>
        <v>0.61619645175340565</v>
      </c>
      <c r="AC22" s="16">
        <f>Peak!AC24</f>
        <v>0</v>
      </c>
      <c r="AD22" s="18">
        <f>Peak!AD24</f>
        <v>198.92520866387423</v>
      </c>
      <c r="AE22" s="18">
        <f>Peak!AE24</f>
        <v>0</v>
      </c>
      <c r="AF22" s="16">
        <f>Peak!AF24</f>
        <v>0</v>
      </c>
      <c r="AG22" s="73">
        <f>Peak!AG24</f>
        <v>0</v>
      </c>
      <c r="AH22" s="16">
        <f>Peak!AH24</f>
        <v>4.091708877195023</v>
      </c>
      <c r="AI22" s="16">
        <f>Peak!AI24</f>
        <v>4.2525975609756097</v>
      </c>
      <c r="AJ22" s="16">
        <f>Peak!AJ24</f>
        <v>0</v>
      </c>
      <c r="AK22" s="16">
        <f>Peak!AK24</f>
        <v>0</v>
      </c>
    </row>
    <row r="23" spans="1:37" x14ac:dyDescent="0.2">
      <c r="A23" s="1">
        <f t="shared" si="5"/>
        <v>36965.838000000018</v>
      </c>
      <c r="B23" s="16">
        <f t="shared" si="3"/>
        <v>4.0229066507733462</v>
      </c>
      <c r="C23" s="17">
        <f t="shared" si="0"/>
        <v>45.477932561890356</v>
      </c>
      <c r="D23" s="16">
        <f t="shared" si="4"/>
        <v>0.61722344583966138</v>
      </c>
      <c r="E23" s="16">
        <f t="shared" si="1"/>
        <v>0</v>
      </c>
      <c r="F23" s="16">
        <f t="shared" si="2"/>
        <v>0</v>
      </c>
      <c r="G23" s="19" t="str">
        <f>IF(IS!$C$2="Peak","-",SUM(C23:F23))</f>
        <v>-</v>
      </c>
      <c r="H23" s="197">
        <v>70.425563092427197</v>
      </c>
      <c r="I23" s="197">
        <v>68.486561366576538</v>
      </c>
      <c r="J23" s="197">
        <v>66.339650527427438</v>
      </c>
      <c r="K23" s="197">
        <v>64.031830692906027</v>
      </c>
      <c r="L23" s="197">
        <v>63.682223523190459</v>
      </c>
      <c r="M23" s="197">
        <v>62.551125273916092</v>
      </c>
      <c r="N23" s="197">
        <v>57.836212198451847</v>
      </c>
      <c r="O23" s="197">
        <v>46.648782252484338</v>
      </c>
      <c r="P23" s="197">
        <v>42.678867712958791</v>
      </c>
      <c r="Q23" s="197">
        <v>36.297185879034913</v>
      </c>
      <c r="R23" s="197">
        <v>36.102620449961968</v>
      </c>
      <c r="S23" s="197">
        <v>27.196746495005261</v>
      </c>
      <c r="T23" s="197">
        <v>24.169218736944146</v>
      </c>
      <c r="U23" s="197">
        <v>23.710998782054475</v>
      </c>
      <c r="V23" s="197">
        <v>22.675814380251552</v>
      </c>
      <c r="W23" s="197">
        <v>21.741752595314821</v>
      </c>
      <c r="X23" s="197">
        <v>21.36727689346494</v>
      </c>
      <c r="Y23" s="197">
        <v>20.950374293915701</v>
      </c>
      <c r="Z23" s="197">
        <v>20.653748138456013</v>
      </c>
      <c r="AA23" s="197">
        <v>20.21226605160593</v>
      </c>
      <c r="AB23" s="16">
        <f>Peak!AB25</f>
        <v>0.61722344583966138</v>
      </c>
      <c r="AC23" s="16">
        <f>Peak!AC25</f>
        <v>0</v>
      </c>
      <c r="AD23" s="18">
        <f>Peak!AD25</f>
        <v>198.92520866387423</v>
      </c>
      <c r="AE23" s="18">
        <f>Peak!AE25</f>
        <v>0</v>
      </c>
      <c r="AF23" s="16">
        <f>Peak!AF25</f>
        <v>0</v>
      </c>
      <c r="AG23" s="73">
        <f>Peak!AG25</f>
        <v>0</v>
      </c>
      <c r="AH23" s="16">
        <f>Peak!AH25</f>
        <v>4.0229066507733462</v>
      </c>
      <c r="AI23" s="16">
        <f>Peak!AI25</f>
        <v>4.0936219512195118</v>
      </c>
      <c r="AJ23" s="16">
        <f>Peak!AJ25</f>
        <v>0</v>
      </c>
      <c r="AK23" s="16">
        <f>Peak!AK25</f>
        <v>0</v>
      </c>
    </row>
    <row r="24" spans="1:37" x14ac:dyDescent="0.2">
      <c r="A24" s="1">
        <f t="shared" si="5"/>
        <v>36996.255000000019</v>
      </c>
      <c r="B24" s="16">
        <f t="shared" si="3"/>
        <v>3.8245943510873359</v>
      </c>
      <c r="C24" s="17">
        <f t="shared" si="0"/>
        <v>43.23606264686758</v>
      </c>
      <c r="D24" s="16">
        <f t="shared" si="4"/>
        <v>0.6182521515827275</v>
      </c>
      <c r="E24" s="16">
        <f t="shared" si="1"/>
        <v>0</v>
      </c>
      <c r="F24" s="16">
        <f t="shared" si="2"/>
        <v>0</v>
      </c>
      <c r="G24" s="19" t="str">
        <f>IF(IS!$C$2="Peak","-",SUM(C24:F24))</f>
        <v>-</v>
      </c>
      <c r="H24" s="197">
        <v>69.341409252379094</v>
      </c>
      <c r="I24" s="197">
        <v>66.676579507074749</v>
      </c>
      <c r="J24" s="197">
        <v>65.643581736709365</v>
      </c>
      <c r="K24" s="197">
        <v>65.558319964368096</v>
      </c>
      <c r="L24" s="197">
        <v>64.611359324929992</v>
      </c>
      <c r="M24" s="197">
        <v>59.452327357320527</v>
      </c>
      <c r="N24" s="197">
        <v>47.283434245950716</v>
      </c>
      <c r="O24" s="197">
        <v>41.596389022628536</v>
      </c>
      <c r="P24" s="197">
        <v>37.297770647662986</v>
      </c>
      <c r="Q24" s="197">
        <v>31.848638200029484</v>
      </c>
      <c r="R24" s="197">
        <v>23.101740849368067</v>
      </c>
      <c r="S24" s="197">
        <v>22.521268083047559</v>
      </c>
      <c r="T24" s="197">
        <v>21.280319172819468</v>
      </c>
      <c r="U24" s="197">
        <v>20.331595265566694</v>
      </c>
      <c r="V24" s="197">
        <v>19.818380106086074</v>
      </c>
      <c r="W24" s="197">
        <v>19.460184909105102</v>
      </c>
      <c r="X24" s="197">
        <v>19.230994576497736</v>
      </c>
      <c r="Y24" s="197">
        <v>19.056240608552677</v>
      </c>
      <c r="Z24" s="197">
        <v>18.79711403696183</v>
      </c>
      <c r="AA24" s="197">
        <v>18.528378831198022</v>
      </c>
      <c r="AB24" s="16">
        <f>Peak!AB26</f>
        <v>0.6182521515827275</v>
      </c>
      <c r="AC24" s="16">
        <f>Peak!AC26</f>
        <v>0</v>
      </c>
      <c r="AD24" s="18">
        <f>Peak!AD26</f>
        <v>198.92520866387423</v>
      </c>
      <c r="AE24" s="18">
        <f>Peak!AE26</f>
        <v>0</v>
      </c>
      <c r="AF24" s="16">
        <f>Peak!AF26</f>
        <v>0</v>
      </c>
      <c r="AG24" s="73">
        <f>Peak!AG26</f>
        <v>0</v>
      </c>
      <c r="AH24" s="16">
        <f>Peak!AH26</f>
        <v>3.8245943510873359</v>
      </c>
      <c r="AI24" s="16">
        <f>Peak!AI26</f>
        <v>3.9346463414634143</v>
      </c>
      <c r="AJ24" s="16">
        <f>Peak!AJ26</f>
        <v>0</v>
      </c>
      <c r="AK24" s="16">
        <f>Peak!AK26</f>
        <v>0</v>
      </c>
    </row>
    <row r="25" spans="1:37" x14ac:dyDescent="0.2">
      <c r="A25" s="1">
        <f t="shared" si="5"/>
        <v>37026.67200000002</v>
      </c>
      <c r="B25" s="16">
        <f t="shared" si="3"/>
        <v>4.0269538405628564</v>
      </c>
      <c r="C25" s="17">
        <f t="shared" si="0"/>
        <v>45.523685009135711</v>
      </c>
      <c r="D25" s="16">
        <f t="shared" si="4"/>
        <v>0.61928257183536539</v>
      </c>
      <c r="E25" s="16">
        <f t="shared" si="1"/>
        <v>0</v>
      </c>
      <c r="F25" s="16">
        <f t="shared" si="2"/>
        <v>0</v>
      </c>
      <c r="G25" s="19" t="str">
        <f>IF(IS!$C$2="Peak","-",SUM(C25:F25))</f>
        <v>-</v>
      </c>
      <c r="H25" s="197">
        <v>63.113980176149518</v>
      </c>
      <c r="I25" s="197">
        <v>55.550094531867522</v>
      </c>
      <c r="J25" s="197">
        <v>53.705110089514037</v>
      </c>
      <c r="K25" s="197">
        <v>51.38064803010365</v>
      </c>
      <c r="L25" s="197">
        <v>48.088606423289441</v>
      </c>
      <c r="M25" s="197">
        <v>46.893131568112253</v>
      </c>
      <c r="N25" s="197">
        <v>45.28896252568633</v>
      </c>
      <c r="O25" s="197">
        <v>35.956275073741111</v>
      </c>
      <c r="P25" s="197">
        <v>31.923351765201517</v>
      </c>
      <c r="Q25" s="197">
        <v>27.427728584671936</v>
      </c>
      <c r="R25" s="197">
        <v>27.244930278160442</v>
      </c>
      <c r="S25" s="197">
        <v>25.584730979585782</v>
      </c>
      <c r="T25" s="197">
        <v>24.923912894748437</v>
      </c>
      <c r="U25" s="197">
        <v>23.426721702750623</v>
      </c>
      <c r="V25" s="197">
        <v>22.781072945806645</v>
      </c>
      <c r="W25" s="197">
        <v>22.313655698607516</v>
      </c>
      <c r="X25" s="197">
        <v>22.046888979792563</v>
      </c>
      <c r="Y25" s="197">
        <v>21.783402420480456</v>
      </c>
      <c r="Z25" s="197">
        <v>21.624018718661056</v>
      </c>
      <c r="AA25" s="197">
        <v>21.281940712610112</v>
      </c>
      <c r="AB25" s="16">
        <f>Peak!AB27</f>
        <v>0.61928257183536539</v>
      </c>
      <c r="AC25" s="16">
        <f>Peak!AC27</f>
        <v>0</v>
      </c>
      <c r="AD25" s="18">
        <f>Peak!AD27</f>
        <v>198.92520866387423</v>
      </c>
      <c r="AE25" s="18">
        <f>Peak!AE27</f>
        <v>0</v>
      </c>
      <c r="AF25" s="16">
        <f>Peak!AF27</f>
        <v>0</v>
      </c>
      <c r="AG25" s="73">
        <f>Peak!AG27</f>
        <v>0</v>
      </c>
      <c r="AH25" s="16">
        <f>Peak!AH27</f>
        <v>4.0269538405628564</v>
      </c>
      <c r="AI25" s="16">
        <f>Peak!AI27</f>
        <v>3.7756707317073168</v>
      </c>
      <c r="AJ25" s="16">
        <f>Peak!AJ27</f>
        <v>0</v>
      </c>
      <c r="AK25" s="16">
        <f>Peak!AK27</f>
        <v>0</v>
      </c>
    </row>
    <row r="26" spans="1:37" x14ac:dyDescent="0.2">
      <c r="A26" s="1">
        <f t="shared" si="5"/>
        <v>37057.089000000022</v>
      </c>
      <c r="B26" s="16">
        <f t="shared" si="3"/>
        <v>3.8367359204558671</v>
      </c>
      <c r="C26" s="17">
        <f t="shared" si="0"/>
        <v>43.373319988603676</v>
      </c>
      <c r="D26" s="16">
        <f t="shared" si="4"/>
        <v>0.62031470945509104</v>
      </c>
      <c r="E26" s="16">
        <f t="shared" si="1"/>
        <v>0</v>
      </c>
      <c r="F26" s="16">
        <f t="shared" si="2"/>
        <v>0</v>
      </c>
      <c r="G26" s="19" t="str">
        <f>IF(IS!$C$2="Peak","-",SUM(C26:F26))</f>
        <v>-</v>
      </c>
      <c r="H26" s="197">
        <v>168.69153762716547</v>
      </c>
      <c r="I26" s="197">
        <v>88.102812452760077</v>
      </c>
      <c r="J26" s="197">
        <v>78.34135830682095</v>
      </c>
      <c r="K26" s="197">
        <v>73.479978869463906</v>
      </c>
      <c r="L26" s="197">
        <v>68.167946757768192</v>
      </c>
      <c r="M26" s="197">
        <v>66.722172455234485</v>
      </c>
      <c r="N26" s="197">
        <v>55.038321392460766</v>
      </c>
      <c r="O26" s="197">
        <v>42.517707397507351</v>
      </c>
      <c r="P26" s="197">
        <v>37.264434463058357</v>
      </c>
      <c r="Q26" s="197">
        <v>27.442008292445486</v>
      </c>
      <c r="R26" s="197">
        <v>25.909471192294845</v>
      </c>
      <c r="S26" s="197">
        <v>24.012006192818582</v>
      </c>
      <c r="T26" s="197">
        <v>23.305382169285995</v>
      </c>
      <c r="U26" s="197">
        <v>22.561989437189091</v>
      </c>
      <c r="V26" s="197">
        <v>22.141255811626817</v>
      </c>
      <c r="W26" s="197">
        <v>21.875844685169092</v>
      </c>
      <c r="X26" s="197">
        <v>21.583010759058826</v>
      </c>
      <c r="Y26" s="197">
        <v>21.452267739528363</v>
      </c>
      <c r="Z26" s="197">
        <v>21.343121917136553</v>
      </c>
      <c r="AA26" s="197">
        <v>20.954189432857959</v>
      </c>
      <c r="AB26" s="16">
        <f>Peak!AB28</f>
        <v>0.62031470945509104</v>
      </c>
      <c r="AC26" s="16">
        <f>Peak!AC28</f>
        <v>0</v>
      </c>
      <c r="AD26" s="18">
        <f>Peak!AD28</f>
        <v>198.92520866387423</v>
      </c>
      <c r="AE26" s="18">
        <f>Peak!AE28</f>
        <v>0</v>
      </c>
      <c r="AF26" s="16">
        <f>Peak!AF28</f>
        <v>0</v>
      </c>
      <c r="AG26" s="73">
        <f>Peak!AG28</f>
        <v>0</v>
      </c>
      <c r="AH26" s="16">
        <f>Peak!AH28</f>
        <v>3.8367359204558671</v>
      </c>
      <c r="AI26" s="16">
        <f>Peak!AI28</f>
        <v>3.7756707317073168</v>
      </c>
      <c r="AJ26" s="16">
        <f>Peak!AJ28</f>
        <v>0</v>
      </c>
      <c r="AK26" s="16">
        <f>Peak!AK28</f>
        <v>0</v>
      </c>
    </row>
    <row r="27" spans="1:37" x14ac:dyDescent="0.2">
      <c r="A27" s="1">
        <f t="shared" si="5"/>
        <v>37087.506000000023</v>
      </c>
      <c r="B27" s="16">
        <f t="shared" si="3"/>
        <v>3.8245943510873359</v>
      </c>
      <c r="C27" s="17">
        <f t="shared" si="0"/>
        <v>43.23606264686758</v>
      </c>
      <c r="D27" s="16">
        <f t="shared" si="4"/>
        <v>0.62134856730418286</v>
      </c>
      <c r="E27" s="16">
        <f t="shared" si="1"/>
        <v>0</v>
      </c>
      <c r="F27" s="16">
        <f t="shared" si="2"/>
        <v>0</v>
      </c>
      <c r="G27" s="19" t="str">
        <f>IF(IS!$C$2="Peak","-",SUM(C27:F27))</f>
        <v>-</v>
      </c>
      <c r="H27" s="197">
        <v>1335.6561520342393</v>
      </c>
      <c r="I27" s="197">
        <v>672.52635398981772</v>
      </c>
      <c r="J27" s="197">
        <v>399.31907723268876</v>
      </c>
      <c r="K27" s="197">
        <v>234.19997196902099</v>
      </c>
      <c r="L27" s="197">
        <v>74.294776679788711</v>
      </c>
      <c r="M27" s="197">
        <v>53.706988698813845</v>
      </c>
      <c r="N27" s="197">
        <v>49.532051821208221</v>
      </c>
      <c r="O27" s="197">
        <v>46.782884859243872</v>
      </c>
      <c r="P27" s="197">
        <v>45.61595145051939</v>
      </c>
      <c r="Q27" s="197">
        <v>37.583084166070854</v>
      </c>
      <c r="R27" s="197">
        <v>30.523600428078417</v>
      </c>
      <c r="S27" s="197">
        <v>27.242617564476443</v>
      </c>
      <c r="T27" s="197">
        <v>24.276755910388566</v>
      </c>
      <c r="U27" s="197">
        <v>23.111113092723869</v>
      </c>
      <c r="V27" s="197">
        <v>21.508336093960171</v>
      </c>
      <c r="W27" s="197">
        <v>20.86034277692378</v>
      </c>
      <c r="X27" s="197">
        <v>20.299474645503786</v>
      </c>
      <c r="Y27" s="197">
        <v>19.988995103129909</v>
      </c>
      <c r="Z27" s="197">
        <v>19.701044467192041</v>
      </c>
      <c r="AA27" s="197">
        <v>19.214950206110533</v>
      </c>
      <c r="AB27" s="16">
        <f>Peak!AB29</f>
        <v>0.62134856730418286</v>
      </c>
      <c r="AC27" s="16">
        <f>Peak!AC29</f>
        <v>0</v>
      </c>
      <c r="AD27" s="18">
        <f>Peak!AD29</f>
        <v>198.92520866387423</v>
      </c>
      <c r="AE27" s="18">
        <f>Peak!AE29</f>
        <v>0</v>
      </c>
      <c r="AF27" s="16">
        <f>Peak!AF29</f>
        <v>0</v>
      </c>
      <c r="AG27" s="73">
        <f>Peak!AG29</f>
        <v>0</v>
      </c>
      <c r="AH27" s="16">
        <f>Peak!AH29</f>
        <v>3.8245943510873359</v>
      </c>
      <c r="AI27" s="16">
        <f>Peak!AI29</f>
        <v>3.7756707317073168</v>
      </c>
      <c r="AJ27" s="16">
        <f>Peak!AJ29</f>
        <v>0</v>
      </c>
      <c r="AK27" s="16">
        <f>Peak!AK29</f>
        <v>0</v>
      </c>
    </row>
    <row r="28" spans="1:37" x14ac:dyDescent="0.2">
      <c r="A28" s="1">
        <f t="shared" si="5"/>
        <v>37117.923000000024</v>
      </c>
      <c r="B28" s="16">
        <f t="shared" si="3"/>
        <v>3.6262820514013261</v>
      </c>
      <c r="C28" s="17">
        <f t="shared" si="0"/>
        <v>40.994192731844819</v>
      </c>
      <c r="D28" s="16">
        <f t="shared" si="4"/>
        <v>0.62238414824968991</v>
      </c>
      <c r="E28" s="16">
        <f t="shared" si="1"/>
        <v>0</v>
      </c>
      <c r="F28" s="16">
        <f t="shared" si="2"/>
        <v>0</v>
      </c>
      <c r="G28" s="19" t="str">
        <f>IF(IS!$C$2="Peak","-",SUM(C28:F28))</f>
        <v>-</v>
      </c>
      <c r="H28" s="197">
        <v>4372.2517708777741</v>
      </c>
      <c r="I28" s="197">
        <v>1648.175815853371</v>
      </c>
      <c r="J28" s="197">
        <v>879.77263027914069</v>
      </c>
      <c r="K28" s="197">
        <v>402.73852725793444</v>
      </c>
      <c r="L28" s="197">
        <v>223.54934456624324</v>
      </c>
      <c r="M28" s="197">
        <v>56.951450771268171</v>
      </c>
      <c r="N28" s="197">
        <v>45.125663762761519</v>
      </c>
      <c r="O28" s="197">
        <v>40.409858381824527</v>
      </c>
      <c r="P28" s="197">
        <v>38.480972012031614</v>
      </c>
      <c r="Q28" s="197">
        <v>29.936979013595952</v>
      </c>
      <c r="R28" s="197">
        <v>25.176980031670698</v>
      </c>
      <c r="S28" s="197">
        <v>23.644609197066746</v>
      </c>
      <c r="T28" s="197">
        <v>23.322002893919507</v>
      </c>
      <c r="U28" s="197">
        <v>21.97464640568943</v>
      </c>
      <c r="V28" s="197">
        <v>21.29852279200496</v>
      </c>
      <c r="W28" s="197">
        <v>20.793558011132198</v>
      </c>
      <c r="X28" s="197">
        <v>20.406328926481891</v>
      </c>
      <c r="Y28" s="197">
        <v>20.166472818756255</v>
      </c>
      <c r="Z28" s="197">
        <v>19.951638850896778</v>
      </c>
      <c r="AA28" s="197">
        <v>19.555253104908672</v>
      </c>
      <c r="AB28" s="16">
        <f>Peak!AB30</f>
        <v>0.62238414824968991</v>
      </c>
      <c r="AC28" s="16">
        <f>Peak!AC30</f>
        <v>0</v>
      </c>
      <c r="AD28" s="18">
        <f>Peak!AD30</f>
        <v>198.92520866387423</v>
      </c>
      <c r="AE28" s="18">
        <f>Peak!AE30</f>
        <v>0</v>
      </c>
      <c r="AF28" s="16">
        <f>Peak!AF30</f>
        <v>0</v>
      </c>
      <c r="AG28" s="73">
        <f>Peak!AG30</f>
        <v>0</v>
      </c>
      <c r="AH28" s="16">
        <f>Peak!AH30</f>
        <v>3.6262820514013261</v>
      </c>
      <c r="AI28" s="16">
        <f>Peak!AI30</f>
        <v>3.7756707317073168</v>
      </c>
      <c r="AJ28" s="16">
        <f>Peak!AJ30</f>
        <v>0</v>
      </c>
      <c r="AK28" s="16">
        <f>Peak!AK30</f>
        <v>0</v>
      </c>
    </row>
    <row r="29" spans="1:37" x14ac:dyDescent="0.2">
      <c r="A29" s="1">
        <f t="shared" si="5"/>
        <v>37148.340000000026</v>
      </c>
      <c r="B29" s="16">
        <f t="shared" si="3"/>
        <v>3.6141404820327949</v>
      </c>
      <c r="C29" s="17">
        <f t="shared" si="0"/>
        <v>40.856935390108731</v>
      </c>
      <c r="D29" s="16">
        <f t="shared" si="4"/>
        <v>0.62342145516343939</v>
      </c>
      <c r="E29" s="16">
        <f t="shared" si="1"/>
        <v>0</v>
      </c>
      <c r="F29" s="16">
        <f t="shared" si="2"/>
        <v>0</v>
      </c>
      <c r="G29" s="19" t="str">
        <f>IF(IS!$C$2="Peak","-",SUM(C29:F29))</f>
        <v>-</v>
      </c>
      <c r="H29" s="197">
        <v>465.60281250659966</v>
      </c>
      <c r="I29" s="197">
        <v>264.92218756673026</v>
      </c>
      <c r="J29" s="197">
        <v>182.29261917776941</v>
      </c>
      <c r="K29" s="197">
        <v>73.277367932323301</v>
      </c>
      <c r="L29" s="197">
        <v>49.927519241861042</v>
      </c>
      <c r="M29" s="197">
        <v>43.469949397864795</v>
      </c>
      <c r="N29" s="197">
        <v>39.38618246280889</v>
      </c>
      <c r="O29" s="197">
        <v>38.682561608485571</v>
      </c>
      <c r="P29" s="197">
        <v>34.4203759889254</v>
      </c>
      <c r="Q29" s="197">
        <v>28.438971640100458</v>
      </c>
      <c r="R29" s="197">
        <v>25.732801544377697</v>
      </c>
      <c r="S29" s="197">
        <v>23.75827650719981</v>
      </c>
      <c r="T29" s="197">
        <v>23.11090646117167</v>
      </c>
      <c r="U29" s="197">
        <v>22.96463578254475</v>
      </c>
      <c r="V29" s="197">
        <v>22.162018735617814</v>
      </c>
      <c r="W29" s="197">
        <v>21.435707532171179</v>
      </c>
      <c r="X29" s="197">
        <v>21.038554356199811</v>
      </c>
      <c r="Y29" s="197">
        <v>20.813617536224982</v>
      </c>
      <c r="Z29" s="197">
        <v>20.518935901676812</v>
      </c>
      <c r="AA29" s="197">
        <v>20.027632150868584</v>
      </c>
      <c r="AB29" s="16">
        <f>Peak!AB31</f>
        <v>0.62342145516343939</v>
      </c>
      <c r="AC29" s="16">
        <f>Peak!AC31</f>
        <v>0</v>
      </c>
      <c r="AD29" s="18">
        <f>Peak!AD31</f>
        <v>198.92520866387423</v>
      </c>
      <c r="AE29" s="18">
        <f>Peak!AE31</f>
        <v>0</v>
      </c>
      <c r="AF29" s="16">
        <f>Peak!AF31</f>
        <v>0</v>
      </c>
      <c r="AG29" s="73">
        <f>Peak!AG31</f>
        <v>0</v>
      </c>
      <c r="AH29" s="16">
        <f>Peak!AH31</f>
        <v>3.6141404820327949</v>
      </c>
      <c r="AI29" s="16">
        <f>Peak!AI31</f>
        <v>3.7756707317073168</v>
      </c>
      <c r="AJ29" s="16">
        <f>Peak!AJ31</f>
        <v>0</v>
      </c>
      <c r="AK29" s="16">
        <f>Peak!AK31</f>
        <v>0</v>
      </c>
    </row>
    <row r="30" spans="1:37" x14ac:dyDescent="0.2">
      <c r="A30" s="1">
        <f t="shared" si="5"/>
        <v>37178.757000000027</v>
      </c>
      <c r="B30" s="16">
        <f t="shared" si="3"/>
        <v>4.0026707018257941</v>
      </c>
      <c r="C30" s="17">
        <f t="shared" si="0"/>
        <v>45.249170325663535</v>
      </c>
      <c r="D30" s="16">
        <f t="shared" si="4"/>
        <v>0.62446049092204514</v>
      </c>
      <c r="E30" s="16">
        <f t="shared" si="1"/>
        <v>0</v>
      </c>
      <c r="F30" s="16">
        <f t="shared" si="2"/>
        <v>0</v>
      </c>
      <c r="G30" s="19" t="str">
        <f>IF(IS!$C$2="Peak","-",SUM(C30:F30))</f>
        <v>-</v>
      </c>
      <c r="H30" s="197">
        <v>61.304244711702268</v>
      </c>
      <c r="I30" s="197">
        <v>60.218941752759619</v>
      </c>
      <c r="J30" s="197">
        <v>59.015897399342535</v>
      </c>
      <c r="K30" s="197">
        <v>55.807856932456545</v>
      </c>
      <c r="L30" s="197">
        <v>54.33485218749022</v>
      </c>
      <c r="M30" s="197">
        <v>54.242482210254884</v>
      </c>
      <c r="N30" s="197">
        <v>52.549419796499777</v>
      </c>
      <c r="O30" s="197">
        <v>41.074234544984492</v>
      </c>
      <c r="P30" s="197">
        <v>38.319339367687121</v>
      </c>
      <c r="Q30" s="197">
        <v>38.292607429390529</v>
      </c>
      <c r="R30" s="197">
        <v>37.001524331233874</v>
      </c>
      <c r="S30" s="197">
        <v>26.981509794889423</v>
      </c>
      <c r="T30" s="197">
        <v>24.604901478062164</v>
      </c>
      <c r="U30" s="197">
        <v>24.047183729174446</v>
      </c>
      <c r="V30" s="197">
        <v>22.762760608057892</v>
      </c>
      <c r="W30" s="197">
        <v>22.02889337690258</v>
      </c>
      <c r="X30" s="197">
        <v>21.598624196738992</v>
      </c>
      <c r="Y30" s="197">
        <v>21.36519978865498</v>
      </c>
      <c r="Z30" s="197">
        <v>21.097694555038636</v>
      </c>
      <c r="AA30" s="197">
        <v>20.658143674031365</v>
      </c>
      <c r="AB30" s="16">
        <f>Peak!AB32</f>
        <v>0.62446049092204514</v>
      </c>
      <c r="AC30" s="16">
        <f>Peak!AC32</f>
        <v>0</v>
      </c>
      <c r="AD30" s="18">
        <f>Peak!AD32</f>
        <v>198.92520866387423</v>
      </c>
      <c r="AE30" s="18">
        <f>Peak!AE32</f>
        <v>0</v>
      </c>
      <c r="AF30" s="16">
        <f>Peak!AF32</f>
        <v>0</v>
      </c>
      <c r="AG30" s="73">
        <f>Peak!AG32</f>
        <v>0</v>
      </c>
      <c r="AH30" s="16">
        <f>Peak!AH32</f>
        <v>4.0026707018257941</v>
      </c>
      <c r="AI30" s="16">
        <f>Peak!AI32</f>
        <v>3.7756707317073168</v>
      </c>
      <c r="AJ30" s="16">
        <f>Peak!AJ32</f>
        <v>0</v>
      </c>
      <c r="AK30" s="16">
        <f>Peak!AK32</f>
        <v>0</v>
      </c>
    </row>
    <row r="31" spans="1:37" x14ac:dyDescent="0.2">
      <c r="A31" s="1">
        <f t="shared" si="5"/>
        <v>37209.174000000028</v>
      </c>
      <c r="B31" s="16">
        <f t="shared" si="3"/>
        <v>4.3831065420397719</v>
      </c>
      <c r="C31" s="17">
        <f t="shared" si="0"/>
        <v>49.549900366727606</v>
      </c>
      <c r="D31" s="16">
        <f t="shared" si="4"/>
        <v>0.62550125840691528</v>
      </c>
      <c r="E31" s="16">
        <f t="shared" si="1"/>
        <v>0</v>
      </c>
      <c r="F31" s="16">
        <f t="shared" si="2"/>
        <v>0</v>
      </c>
      <c r="G31" s="19" t="str">
        <f>IF(IS!$C$2="Peak","-",SUM(C31:F31))</f>
        <v>-</v>
      </c>
      <c r="H31" s="197">
        <v>89.60176072929562</v>
      </c>
      <c r="I31" s="197">
        <v>79.163362953591374</v>
      </c>
      <c r="J31" s="197">
        <v>69.39661946896851</v>
      </c>
      <c r="K31" s="197">
        <v>59.201606426916179</v>
      </c>
      <c r="L31" s="197">
        <v>56.758926726818473</v>
      </c>
      <c r="M31" s="197">
        <v>53.201978385674771</v>
      </c>
      <c r="N31" s="197">
        <v>50.708012500067795</v>
      </c>
      <c r="O31" s="197">
        <v>50.608278829362895</v>
      </c>
      <c r="P31" s="197">
        <v>47.138703354391325</v>
      </c>
      <c r="Q31" s="197">
        <v>37.52064815583114</v>
      </c>
      <c r="R31" s="197">
        <v>34.042267416934884</v>
      </c>
      <c r="S31" s="197">
        <v>29.377606666702825</v>
      </c>
      <c r="T31" s="197">
        <v>28.967797583390592</v>
      </c>
      <c r="U31" s="197">
        <v>26.002366660937696</v>
      </c>
      <c r="V31" s="197">
        <v>25.090198182761082</v>
      </c>
      <c r="W31" s="197">
        <v>23.548692144616798</v>
      </c>
      <c r="X31" s="197">
        <v>22.847541013888545</v>
      </c>
      <c r="Y31" s="197">
        <v>22.30913680895582</v>
      </c>
      <c r="Z31" s="197">
        <v>21.879283063841946</v>
      </c>
      <c r="AA31" s="197">
        <v>21.345472763375472</v>
      </c>
      <c r="AB31" s="16">
        <f>Peak!AB33</f>
        <v>0.62550125840691528</v>
      </c>
      <c r="AC31" s="16">
        <f>Peak!AC33</f>
        <v>0</v>
      </c>
      <c r="AD31" s="18">
        <f>Peak!AD33</f>
        <v>198.92520866387423</v>
      </c>
      <c r="AE31" s="18">
        <f>Peak!AE33</f>
        <v>0</v>
      </c>
      <c r="AF31" s="16">
        <f>Peak!AF33</f>
        <v>0</v>
      </c>
      <c r="AG31" s="73">
        <f>Peak!AG33</f>
        <v>0</v>
      </c>
      <c r="AH31" s="16">
        <f>Peak!AH33</f>
        <v>4.3831065420397719</v>
      </c>
      <c r="AI31" s="16">
        <f>Peak!AI33</f>
        <v>4.0936219512195118</v>
      </c>
      <c r="AJ31" s="16">
        <f>Peak!AJ33</f>
        <v>0</v>
      </c>
      <c r="AK31" s="16">
        <f>Peak!AK33</f>
        <v>0</v>
      </c>
    </row>
    <row r="32" spans="1:37" x14ac:dyDescent="0.2">
      <c r="A32" s="1">
        <f t="shared" si="5"/>
        <v>37239.591000000029</v>
      </c>
      <c r="B32" s="16">
        <f t="shared" si="3"/>
        <v>4.7433064333061985</v>
      </c>
      <c r="C32" s="17">
        <f t="shared" si="0"/>
        <v>53.621868171564877</v>
      </c>
      <c r="D32" s="16">
        <f t="shared" si="4"/>
        <v>0.62654376050426019</v>
      </c>
      <c r="E32" s="16">
        <f t="shared" si="1"/>
        <v>0</v>
      </c>
      <c r="F32" s="16">
        <f t="shared" si="2"/>
        <v>0</v>
      </c>
      <c r="G32" s="19" t="str">
        <f>IF(IS!$C$2="Peak","-",SUM(C32:F32))</f>
        <v>-</v>
      </c>
      <c r="H32" s="197">
        <v>93.278708978317795</v>
      </c>
      <c r="I32" s="197">
        <v>89.712457289696701</v>
      </c>
      <c r="J32" s="197">
        <v>86.809253395685715</v>
      </c>
      <c r="K32" s="197">
        <v>86.307265112837428</v>
      </c>
      <c r="L32" s="197">
        <v>86.290043585282731</v>
      </c>
      <c r="M32" s="197">
        <v>82.533956348267424</v>
      </c>
      <c r="N32" s="197">
        <v>65.729929849049867</v>
      </c>
      <c r="O32" s="197">
        <v>58.211508636939904</v>
      </c>
      <c r="P32" s="197">
        <v>55.419680468435587</v>
      </c>
      <c r="Q32" s="197">
        <v>55.333716237686232</v>
      </c>
      <c r="R32" s="197">
        <v>27.913033022208197</v>
      </c>
      <c r="S32" s="197">
        <v>24.926841444885437</v>
      </c>
      <c r="T32" s="197">
        <v>24.298916490687837</v>
      </c>
      <c r="U32" s="197">
        <v>23.426936536936545</v>
      </c>
      <c r="V32" s="197">
        <v>22.320481449553743</v>
      </c>
      <c r="W32" s="197">
        <v>21.858567203839108</v>
      </c>
      <c r="X32" s="197">
        <v>21.473608956298431</v>
      </c>
      <c r="Y32" s="197">
        <v>21.232941048445301</v>
      </c>
      <c r="Z32" s="197">
        <v>20.99232746115711</v>
      </c>
      <c r="AA32" s="197">
        <v>20.52235632462871</v>
      </c>
      <c r="AB32" s="16">
        <f>Peak!AB34</f>
        <v>0.62654376050426019</v>
      </c>
      <c r="AC32" s="16">
        <f>Peak!AC34</f>
        <v>0</v>
      </c>
      <c r="AD32" s="18">
        <f>Peak!AD34</f>
        <v>198.92520866387423</v>
      </c>
      <c r="AE32" s="18">
        <f>Peak!AE34</f>
        <v>0</v>
      </c>
      <c r="AF32" s="16">
        <f>Peak!AF34</f>
        <v>0</v>
      </c>
      <c r="AG32" s="73">
        <f>Peak!AG34</f>
        <v>0</v>
      </c>
      <c r="AH32" s="16">
        <f>Peak!AH34</f>
        <v>4.7433064333061985</v>
      </c>
      <c r="AI32" s="16">
        <f>Peak!AI34</f>
        <v>4.2923414634146342</v>
      </c>
      <c r="AJ32" s="16">
        <f>Peak!AJ34</f>
        <v>0</v>
      </c>
      <c r="AK32" s="16">
        <f>Peak!AK34</f>
        <v>0</v>
      </c>
    </row>
    <row r="33" spans="1:38" x14ac:dyDescent="0.2">
      <c r="A33" s="1">
        <f t="shared" si="5"/>
        <v>37270.008000000031</v>
      </c>
      <c r="B33" s="16">
        <f t="shared" si="3"/>
        <v>4.1606975675827789</v>
      </c>
      <c r="C33" s="17">
        <f t="shared" si="0"/>
        <v>47.035623695761373</v>
      </c>
      <c r="D33" s="16">
        <f t="shared" si="4"/>
        <v>0.62758800010510063</v>
      </c>
      <c r="E33" s="16">
        <f t="shared" si="1"/>
        <v>0</v>
      </c>
      <c r="F33" s="16">
        <f t="shared" si="2"/>
        <v>0</v>
      </c>
      <c r="G33" s="19" t="str">
        <f>IF(IS!$C$2="Peak","-",SUM(C33:F33))</f>
        <v>-</v>
      </c>
      <c r="H33" s="197">
        <v>77.619688937682881</v>
      </c>
      <c r="I33" s="197">
        <v>75.711203786504399</v>
      </c>
      <c r="J33" s="197">
        <v>73.78410128803003</v>
      </c>
      <c r="K33" s="197">
        <v>69.692918356594618</v>
      </c>
      <c r="L33" s="197">
        <v>68.657800810470818</v>
      </c>
      <c r="M33" s="197">
        <v>68.299843104989094</v>
      </c>
      <c r="N33" s="197">
        <v>64.436204034381973</v>
      </c>
      <c r="O33" s="197">
        <v>52.580480235146702</v>
      </c>
      <c r="P33" s="197">
        <v>46.206641503579462</v>
      </c>
      <c r="Q33" s="197">
        <v>41.405894413389028</v>
      </c>
      <c r="R33" s="197">
        <v>37.880297087824729</v>
      </c>
      <c r="S33" s="197">
        <v>26.615622323594394</v>
      </c>
      <c r="T33" s="197">
        <v>24.797814763733417</v>
      </c>
      <c r="U33" s="197">
        <v>24.116929007254381</v>
      </c>
      <c r="V33" s="197">
        <v>22.794354166470747</v>
      </c>
      <c r="W33" s="197">
        <v>22.207132341659275</v>
      </c>
      <c r="X33" s="197">
        <v>21.861331403753546</v>
      </c>
      <c r="Y33" s="197">
        <v>21.528588324610666</v>
      </c>
      <c r="Z33" s="197">
        <v>21.301869470401293</v>
      </c>
      <c r="AA33" s="197">
        <v>20.847407529582057</v>
      </c>
      <c r="AB33" s="16">
        <f>Peak!AB35</f>
        <v>0.62758800010510063</v>
      </c>
      <c r="AC33" s="16">
        <f>Peak!AC35</f>
        <v>0</v>
      </c>
      <c r="AD33" s="18">
        <f>Peak!AD35</f>
        <v>218.80258102590736</v>
      </c>
      <c r="AE33" s="18">
        <f>Peak!AE35</f>
        <v>0</v>
      </c>
      <c r="AF33" s="16">
        <f>Peak!AF35</f>
        <v>0</v>
      </c>
      <c r="AG33" s="73">
        <f>Peak!AG35</f>
        <v>0</v>
      </c>
      <c r="AH33" s="16">
        <f>Peak!AH35</f>
        <v>4.1606975675827789</v>
      </c>
      <c r="AI33" s="16">
        <f>Peak!AI35</f>
        <v>3.9054604358353529</v>
      </c>
      <c r="AJ33" s="16">
        <f>Peak!AJ35</f>
        <v>0</v>
      </c>
      <c r="AK33" s="16">
        <f>Peak!AK35</f>
        <v>0</v>
      </c>
    </row>
    <row r="34" spans="1:38" x14ac:dyDescent="0.2">
      <c r="A34" s="1">
        <f t="shared" si="5"/>
        <v>37300.425000000032</v>
      </c>
      <c r="B34" s="16">
        <f t="shared" si="3"/>
        <v>3.7291358517962672</v>
      </c>
      <c r="C34" s="17">
        <f t="shared" si="0"/>
        <v>42.15692868476485</v>
      </c>
      <c r="D34" s="16">
        <f t="shared" si="4"/>
        <v>0.62863398010527582</v>
      </c>
      <c r="E34" s="16">
        <f t="shared" si="1"/>
        <v>0</v>
      </c>
      <c r="F34" s="16">
        <f t="shared" si="2"/>
        <v>0</v>
      </c>
      <c r="G34" s="19" t="str">
        <f>IF(IS!$C$2="Peak","-",SUM(C34:F34))</f>
        <v>-</v>
      </c>
      <c r="H34" s="197">
        <v>187.53697382609306</v>
      </c>
      <c r="I34" s="197">
        <v>104.02247061300116</v>
      </c>
      <c r="J34" s="197">
        <v>86.059835618879717</v>
      </c>
      <c r="K34" s="197">
        <v>65.257061758178793</v>
      </c>
      <c r="L34" s="197">
        <v>55.481156323912892</v>
      </c>
      <c r="M34" s="197">
        <v>52.189227629941016</v>
      </c>
      <c r="N34" s="197">
        <v>48.314758359370956</v>
      </c>
      <c r="O34" s="197">
        <v>47.919360511893828</v>
      </c>
      <c r="P34" s="197">
        <v>45.394252149101554</v>
      </c>
      <c r="Q34" s="197">
        <v>36.118328093413211</v>
      </c>
      <c r="R34" s="197">
        <v>34.054617668247836</v>
      </c>
      <c r="S34" s="197">
        <v>28.965482260046556</v>
      </c>
      <c r="T34" s="197">
        <v>27.890325606343374</v>
      </c>
      <c r="U34" s="197">
        <v>27.187373053256131</v>
      </c>
      <c r="V34" s="197">
        <v>26.220341540765521</v>
      </c>
      <c r="W34" s="197">
        <v>24.779411712521686</v>
      </c>
      <c r="X34" s="197">
        <v>24.135924287314982</v>
      </c>
      <c r="Y34" s="197">
        <v>23.424666076124076</v>
      </c>
      <c r="Z34" s="197">
        <v>22.817911254663347</v>
      </c>
      <c r="AA34" s="197">
        <v>22.338050286879817</v>
      </c>
      <c r="AB34" s="16">
        <f>Peak!AB36</f>
        <v>0.62863398010527582</v>
      </c>
      <c r="AC34" s="16">
        <f>Peak!AC36</f>
        <v>0</v>
      </c>
      <c r="AD34" s="18">
        <f>Peak!AD36</f>
        <v>218.80258102590736</v>
      </c>
      <c r="AE34" s="18">
        <f>Peak!AE36</f>
        <v>0</v>
      </c>
      <c r="AF34" s="16">
        <f>Peak!AF36</f>
        <v>0</v>
      </c>
      <c r="AG34" s="73">
        <f>Peak!AG36</f>
        <v>0</v>
      </c>
      <c r="AH34" s="16">
        <f>Peak!AH36</f>
        <v>3.7291358517962672</v>
      </c>
      <c r="AI34" s="16">
        <f>Peak!AI36</f>
        <v>3.8692987651331734</v>
      </c>
      <c r="AJ34" s="16">
        <f>Peak!AJ36</f>
        <v>0</v>
      </c>
      <c r="AK34" s="16">
        <f>Peak!AK36</f>
        <v>0</v>
      </c>
    </row>
    <row r="35" spans="1:38" x14ac:dyDescent="0.2">
      <c r="A35" s="1">
        <f t="shared" si="5"/>
        <v>37330.842000000033</v>
      </c>
      <c r="B35" s="16">
        <f t="shared" si="3"/>
        <v>3.6664303033486547</v>
      </c>
      <c r="C35" s="17">
        <f t="shared" si="0"/>
        <v>41.448058469491855</v>
      </c>
      <c r="D35" s="16">
        <f t="shared" si="4"/>
        <v>0.62968170340545127</v>
      </c>
      <c r="E35" s="16">
        <f t="shared" si="1"/>
        <v>0</v>
      </c>
      <c r="F35" s="16">
        <f t="shared" si="2"/>
        <v>0</v>
      </c>
      <c r="G35" s="19" t="str">
        <f>IF(IS!$C$2="Peak","-",SUM(C35:F35))</f>
        <v>-</v>
      </c>
      <c r="H35" s="197">
        <v>74.472344708406197</v>
      </c>
      <c r="I35" s="197">
        <v>71.699674653338178</v>
      </c>
      <c r="J35" s="197">
        <v>70.515954849927567</v>
      </c>
      <c r="K35" s="197">
        <v>66.821077220360479</v>
      </c>
      <c r="L35" s="197">
        <v>64.914537002916092</v>
      </c>
      <c r="M35" s="197">
        <v>64.768200365504953</v>
      </c>
      <c r="N35" s="197">
        <v>62.764682794640734</v>
      </c>
      <c r="O35" s="197">
        <v>49.317206155876832</v>
      </c>
      <c r="P35" s="197">
        <v>45.037211650050878</v>
      </c>
      <c r="Q35" s="197">
        <v>44.884727774528244</v>
      </c>
      <c r="R35" s="197">
        <v>44.722799770156904</v>
      </c>
      <c r="S35" s="197">
        <v>25.78236639803777</v>
      </c>
      <c r="T35" s="197">
        <v>23.264392800970487</v>
      </c>
      <c r="U35" s="197">
        <v>22.837620092156364</v>
      </c>
      <c r="V35" s="197">
        <v>21.638335614202116</v>
      </c>
      <c r="W35" s="197">
        <v>20.94105001959209</v>
      </c>
      <c r="X35" s="197">
        <v>20.461231362748634</v>
      </c>
      <c r="Y35" s="197">
        <v>20.016343397958778</v>
      </c>
      <c r="Z35" s="197">
        <v>19.763924129829654</v>
      </c>
      <c r="AA35" s="197">
        <v>19.253775197355935</v>
      </c>
      <c r="AB35" s="16">
        <f>Peak!AB37</f>
        <v>0.62968170340545127</v>
      </c>
      <c r="AC35" s="16">
        <f>Peak!AC37</f>
        <v>0</v>
      </c>
      <c r="AD35" s="18">
        <f>Peak!AD37</f>
        <v>218.80258102590736</v>
      </c>
      <c r="AE35" s="18">
        <f>Peak!AE37</f>
        <v>0</v>
      </c>
      <c r="AF35" s="16">
        <f>Peak!AF37</f>
        <v>0</v>
      </c>
      <c r="AG35" s="73">
        <f>Peak!AG37</f>
        <v>0</v>
      </c>
      <c r="AH35" s="16">
        <f>Peak!AH37</f>
        <v>3.6664303033486547</v>
      </c>
      <c r="AI35" s="16">
        <f>Peak!AI37</f>
        <v>3.7246520823244564</v>
      </c>
      <c r="AJ35" s="16">
        <f>Peak!AJ37</f>
        <v>0</v>
      </c>
      <c r="AK35" s="16">
        <f>Peak!AK37</f>
        <v>0</v>
      </c>
    </row>
    <row r="36" spans="1:38" x14ac:dyDescent="0.2">
      <c r="A36" s="1">
        <f t="shared" si="5"/>
        <v>37361.259000000035</v>
      </c>
      <c r="B36" s="16">
        <f t="shared" si="3"/>
        <v>3.4856907813525941</v>
      </c>
      <c r="C36" s="17">
        <f t="shared" si="0"/>
        <v>39.404844319587326</v>
      </c>
      <c r="D36" s="16">
        <f t="shared" si="4"/>
        <v>0.63073117291112701</v>
      </c>
      <c r="E36" s="16">
        <f t="shared" si="1"/>
        <v>0</v>
      </c>
      <c r="F36" s="16">
        <f t="shared" si="2"/>
        <v>0</v>
      </c>
      <c r="G36" s="19" t="str">
        <f>IF(IS!$C$2="Peak","-",SUM(C36:F36))</f>
        <v>-</v>
      </c>
      <c r="H36" s="197">
        <v>69.099344266976644</v>
      </c>
      <c r="I36" s="197">
        <v>66.375706093132948</v>
      </c>
      <c r="J36" s="197">
        <v>64.254460502531202</v>
      </c>
      <c r="K36" s="197">
        <v>63.772249657018989</v>
      </c>
      <c r="L36" s="197">
        <v>63.406557508401534</v>
      </c>
      <c r="M36" s="197">
        <v>60.15921507751267</v>
      </c>
      <c r="N36" s="197">
        <v>47.263003755572747</v>
      </c>
      <c r="O36" s="197">
        <v>42.335809717655252</v>
      </c>
      <c r="P36" s="197">
        <v>39.505859485741787</v>
      </c>
      <c r="Q36" s="197">
        <v>33.46502583887883</v>
      </c>
      <c r="R36" s="197">
        <v>23.15465545992538</v>
      </c>
      <c r="S36" s="197">
        <v>21.922629247050711</v>
      </c>
      <c r="T36" s="197">
        <v>21.380490087644301</v>
      </c>
      <c r="U36" s="197">
        <v>20.308684174883247</v>
      </c>
      <c r="V36" s="197">
        <v>19.835700772146346</v>
      </c>
      <c r="W36" s="197">
        <v>19.453473749354306</v>
      </c>
      <c r="X36" s="197">
        <v>19.207296402411327</v>
      </c>
      <c r="Y36" s="197">
        <v>19.039240123450099</v>
      </c>
      <c r="Z36" s="197">
        <v>18.899697131657796</v>
      </c>
      <c r="AA36" s="197">
        <v>18.485972251630265</v>
      </c>
      <c r="AB36" s="16">
        <f>Peak!AB38</f>
        <v>0.63073117291112701</v>
      </c>
      <c r="AC36" s="16">
        <f>Peak!AC38</f>
        <v>0</v>
      </c>
      <c r="AD36" s="18">
        <f>Peak!AD38</f>
        <v>218.80258102590736</v>
      </c>
      <c r="AE36" s="18">
        <f>Peak!AE38</f>
        <v>0</v>
      </c>
      <c r="AF36" s="16">
        <f>Peak!AF38</f>
        <v>0</v>
      </c>
      <c r="AG36" s="73">
        <f>Peak!AG38</f>
        <v>0</v>
      </c>
      <c r="AH36" s="16">
        <f>Peak!AH38</f>
        <v>3.4856907813525941</v>
      </c>
      <c r="AI36" s="16">
        <f>Peak!AI38</f>
        <v>3.5800053995157399</v>
      </c>
      <c r="AJ36" s="16">
        <f>Peak!AJ38</f>
        <v>0</v>
      </c>
      <c r="AK36" s="16">
        <f>Peak!AK38</f>
        <v>0</v>
      </c>
    </row>
    <row r="37" spans="1:38" x14ac:dyDescent="0.2">
      <c r="A37" s="1">
        <f t="shared" si="5"/>
        <v>37391.676000000036</v>
      </c>
      <c r="B37" s="16">
        <f t="shared" si="3"/>
        <v>3.6701188650220438</v>
      </c>
      <c r="C37" s="17">
        <f t="shared" si="0"/>
        <v>41.48975671744909</v>
      </c>
      <c r="D37" s="16">
        <f t="shared" si="4"/>
        <v>0.63178239153264559</v>
      </c>
      <c r="E37" s="16">
        <f t="shared" si="1"/>
        <v>0</v>
      </c>
      <c r="F37" s="16">
        <f t="shared" si="2"/>
        <v>0</v>
      </c>
      <c r="G37" s="19" t="str">
        <f>IF(IS!$C$2="Peak","-",SUM(C37:F37))</f>
        <v>-</v>
      </c>
      <c r="H37" s="197">
        <v>60.92043001130908</v>
      </c>
      <c r="I37" s="197">
        <v>57.763638834758595</v>
      </c>
      <c r="J37" s="197">
        <v>55.393817889237823</v>
      </c>
      <c r="K37" s="197">
        <v>51.364113584617414</v>
      </c>
      <c r="L37" s="197">
        <v>50.835156117668888</v>
      </c>
      <c r="M37" s="197">
        <v>45.309173750761438</v>
      </c>
      <c r="N37" s="197">
        <v>37.434387069229565</v>
      </c>
      <c r="O37" s="197">
        <v>36.396137285552399</v>
      </c>
      <c r="P37" s="197">
        <v>32.876254800430416</v>
      </c>
      <c r="Q37" s="197">
        <v>29.447965218104383</v>
      </c>
      <c r="R37" s="197">
        <v>27.401861581004134</v>
      </c>
      <c r="S37" s="197">
        <v>26.463445835062547</v>
      </c>
      <c r="T37" s="197">
        <v>25.637953846258863</v>
      </c>
      <c r="U37" s="197">
        <v>24.846873383355966</v>
      </c>
      <c r="V37" s="197">
        <v>23.166611246790268</v>
      </c>
      <c r="W37" s="197">
        <v>22.482630798047047</v>
      </c>
      <c r="X37" s="197">
        <v>21.843023952242469</v>
      </c>
      <c r="Y37" s="197">
        <v>21.449365048558491</v>
      </c>
      <c r="Z37" s="197">
        <v>21.187016341850647</v>
      </c>
      <c r="AA37" s="197">
        <v>20.67426584328998</v>
      </c>
      <c r="AB37" s="16">
        <f>Peak!AB39</f>
        <v>0.63178239153264559</v>
      </c>
      <c r="AC37" s="16">
        <f>Peak!AC39</f>
        <v>0</v>
      </c>
      <c r="AD37" s="18">
        <f>Peak!AD39</f>
        <v>218.80258102590736</v>
      </c>
      <c r="AE37" s="18">
        <f>Peak!AE39</f>
        <v>0</v>
      </c>
      <c r="AF37" s="16">
        <f>Peak!AF39</f>
        <v>0</v>
      </c>
      <c r="AG37" s="73">
        <f>Peak!AG39</f>
        <v>0</v>
      </c>
      <c r="AH37" s="16">
        <f>Peak!AH39</f>
        <v>3.6701188650220438</v>
      </c>
      <c r="AI37" s="16">
        <f>Peak!AI39</f>
        <v>3.435358716707023</v>
      </c>
      <c r="AJ37" s="16">
        <f>Peak!AJ39</f>
        <v>0</v>
      </c>
      <c r="AK37" s="16">
        <f>Peak!AK39</f>
        <v>0</v>
      </c>
    </row>
    <row r="38" spans="1:38" x14ac:dyDescent="0.2">
      <c r="A38" s="1">
        <f t="shared" si="5"/>
        <v>37422.093000000037</v>
      </c>
      <c r="B38" s="16">
        <f t="shared" si="3"/>
        <v>3.4967564663727608</v>
      </c>
      <c r="C38" s="17">
        <f t="shared" si="0"/>
        <v>39.529939063459032</v>
      </c>
      <c r="D38" s="16">
        <f t="shared" si="4"/>
        <v>0.63283536218519998</v>
      </c>
      <c r="E38" s="16">
        <f t="shared" si="1"/>
        <v>0</v>
      </c>
      <c r="F38" s="16">
        <f t="shared" si="2"/>
        <v>0</v>
      </c>
      <c r="G38" s="19" t="str">
        <f>IF(IS!$C$2="Peak","-",SUM(C38:F38))</f>
        <v>-</v>
      </c>
      <c r="H38" s="197">
        <v>369.69652614314498</v>
      </c>
      <c r="I38" s="197">
        <v>232.20462315963829</v>
      </c>
      <c r="J38" s="197">
        <v>126.00609111676519</v>
      </c>
      <c r="K38" s="197">
        <v>58.282397392635161</v>
      </c>
      <c r="L38" s="197">
        <v>53.795914011554792</v>
      </c>
      <c r="M38" s="197">
        <v>49.735571781617196</v>
      </c>
      <c r="N38" s="197">
        <v>48.544661905387237</v>
      </c>
      <c r="O38" s="197">
        <v>43.928310955151829</v>
      </c>
      <c r="P38" s="197">
        <v>34.226034727598432</v>
      </c>
      <c r="Q38" s="197">
        <v>29.113610276756745</v>
      </c>
      <c r="R38" s="197">
        <v>27.05725640650585</v>
      </c>
      <c r="S38" s="197">
        <v>24.625543612645551</v>
      </c>
      <c r="T38" s="197">
        <v>23.146377135870374</v>
      </c>
      <c r="U38" s="197">
        <v>21.942429519214677</v>
      </c>
      <c r="V38" s="197">
        <v>21.253758935960995</v>
      </c>
      <c r="W38" s="197">
        <v>20.998453826358254</v>
      </c>
      <c r="X38" s="197">
        <v>20.818182725658986</v>
      </c>
      <c r="Y38" s="197">
        <v>20.535441030875354</v>
      </c>
      <c r="Z38" s="197">
        <v>20.372784727048831</v>
      </c>
      <c r="AA38" s="197">
        <v>19.949904828713674</v>
      </c>
      <c r="AB38" s="16">
        <f>Peak!AB40</f>
        <v>0.63283536218519998</v>
      </c>
      <c r="AC38" s="16">
        <f>Peak!AC40</f>
        <v>0</v>
      </c>
      <c r="AD38" s="18">
        <f>Peak!AD40</f>
        <v>218.80258102590736</v>
      </c>
      <c r="AE38" s="18">
        <f>Peak!AE40</f>
        <v>0</v>
      </c>
      <c r="AF38" s="16">
        <f>Peak!AF40</f>
        <v>0</v>
      </c>
      <c r="AG38" s="73">
        <f>Peak!AG40</f>
        <v>0</v>
      </c>
      <c r="AH38" s="16">
        <f>Peak!AH40</f>
        <v>3.4967564663727608</v>
      </c>
      <c r="AI38" s="16">
        <f>Peak!AI40</f>
        <v>3.435358716707023</v>
      </c>
      <c r="AJ38" s="16">
        <f>Peak!AJ40</f>
        <v>0</v>
      </c>
      <c r="AK38" s="16">
        <f>Peak!AK40</f>
        <v>0</v>
      </c>
    </row>
    <row r="39" spans="1:38" x14ac:dyDescent="0.2">
      <c r="A39" s="1">
        <f t="shared" si="5"/>
        <v>37452.510000000038</v>
      </c>
      <c r="B39" s="16">
        <f t="shared" si="3"/>
        <v>3.4856907813525941</v>
      </c>
      <c r="C39" s="17">
        <f t="shared" si="0"/>
        <v>39.404844319587326</v>
      </c>
      <c r="D39" s="16">
        <f t="shared" si="4"/>
        <v>0.63389008778884204</v>
      </c>
      <c r="E39" s="16">
        <f t="shared" si="1"/>
        <v>0</v>
      </c>
      <c r="F39" s="16">
        <f t="shared" si="2"/>
        <v>0</v>
      </c>
      <c r="G39" s="19" t="str">
        <f>IF(IS!$C$2="Peak","-",SUM(C39:F39))</f>
        <v>-</v>
      </c>
      <c r="H39" s="197">
        <v>1055.5831613825278</v>
      </c>
      <c r="I39" s="197">
        <v>557.80810355480537</v>
      </c>
      <c r="J39" s="197">
        <v>347.35746153335202</v>
      </c>
      <c r="K39" s="197">
        <v>212.79104294126213</v>
      </c>
      <c r="L39" s="197">
        <v>68.033570902138052</v>
      </c>
      <c r="M39" s="197">
        <v>58.669496459004584</v>
      </c>
      <c r="N39" s="197">
        <v>53.816271048005468</v>
      </c>
      <c r="O39" s="197">
        <v>51.527330112054003</v>
      </c>
      <c r="P39" s="197">
        <v>49.482742898876126</v>
      </c>
      <c r="Q39" s="197">
        <v>39.84270191008082</v>
      </c>
      <c r="R39" s="197">
        <v>32.177011164873605</v>
      </c>
      <c r="S39" s="197">
        <v>29.040320027713939</v>
      </c>
      <c r="T39" s="197">
        <v>24.44197558605282</v>
      </c>
      <c r="U39" s="197">
        <v>23.078108810754358</v>
      </c>
      <c r="V39" s="197">
        <v>21.541527608861919</v>
      </c>
      <c r="W39" s="197">
        <v>20.870205523287261</v>
      </c>
      <c r="X39" s="197">
        <v>20.43309520169106</v>
      </c>
      <c r="Y39" s="197">
        <v>20.083665243686326</v>
      </c>
      <c r="Z39" s="197">
        <v>19.858194470189485</v>
      </c>
      <c r="AA39" s="197">
        <v>19.358128130329455</v>
      </c>
      <c r="AB39" s="16">
        <f>Peak!AB41</f>
        <v>0.63389008778884204</v>
      </c>
      <c r="AC39" s="16">
        <f>Peak!AC41</f>
        <v>0</v>
      </c>
      <c r="AD39" s="18">
        <f>Peak!AD41</f>
        <v>218.80258102590736</v>
      </c>
      <c r="AE39" s="18">
        <f>Peak!AE41</f>
        <v>0</v>
      </c>
      <c r="AF39" s="16">
        <f>Peak!AF41</f>
        <v>0</v>
      </c>
      <c r="AG39" s="73">
        <f>Peak!AG41</f>
        <v>0</v>
      </c>
      <c r="AH39" s="16">
        <f>Peak!AH41</f>
        <v>3.4856907813525941</v>
      </c>
      <c r="AI39" s="16">
        <f>Peak!AI41</f>
        <v>3.435358716707023</v>
      </c>
      <c r="AJ39" s="16">
        <f>Peak!AJ41</f>
        <v>0</v>
      </c>
      <c r="AK39" s="16">
        <f>Peak!AK41</f>
        <v>0</v>
      </c>
    </row>
    <row r="40" spans="1:38" x14ac:dyDescent="0.2">
      <c r="A40" s="1">
        <f t="shared" si="5"/>
        <v>37482.92700000004</v>
      </c>
      <c r="B40" s="16">
        <f t="shared" si="3"/>
        <v>3.304951259356534</v>
      </c>
      <c r="C40" s="17">
        <f t="shared" si="0"/>
        <v>37.361630169682797</v>
      </c>
      <c r="D40" s="16">
        <f t="shared" si="4"/>
        <v>0.63494657126849008</v>
      </c>
      <c r="E40" s="16">
        <f t="shared" si="1"/>
        <v>0</v>
      </c>
      <c r="F40" s="16">
        <f t="shared" si="2"/>
        <v>0</v>
      </c>
      <c r="G40" s="19" t="str">
        <f>IF(IS!$C$2="Peak","-",SUM(C40:F40))</f>
        <v>-</v>
      </c>
      <c r="H40" s="197">
        <v>2214.6198515256228</v>
      </c>
      <c r="I40" s="197">
        <v>982.19166419557007</v>
      </c>
      <c r="J40" s="197">
        <v>550.78247770454811</v>
      </c>
      <c r="K40" s="197">
        <v>276.99517556332842</v>
      </c>
      <c r="L40" s="197">
        <v>133.31662885966114</v>
      </c>
      <c r="M40" s="197">
        <v>71.63936069653947</v>
      </c>
      <c r="N40" s="197">
        <v>63.940004549254319</v>
      </c>
      <c r="O40" s="197">
        <v>60.980928581600779</v>
      </c>
      <c r="P40" s="197">
        <v>48.641443497059171</v>
      </c>
      <c r="Q40" s="197">
        <v>40.584015886968224</v>
      </c>
      <c r="R40" s="197">
        <v>34.514254406945568</v>
      </c>
      <c r="S40" s="197">
        <v>32.127259208906061</v>
      </c>
      <c r="T40" s="197">
        <v>30.838936311707535</v>
      </c>
      <c r="U40" s="197">
        <v>26.010970736211501</v>
      </c>
      <c r="V40" s="197">
        <v>24.426905224326084</v>
      </c>
      <c r="W40" s="197">
        <v>22.99601096858272</v>
      </c>
      <c r="X40" s="197">
        <v>22.179932264453043</v>
      </c>
      <c r="Y40" s="197">
        <v>21.869864771443179</v>
      </c>
      <c r="Z40" s="197">
        <v>21.616216401319392</v>
      </c>
      <c r="AA40" s="197">
        <v>20.966881061636702</v>
      </c>
      <c r="AB40" s="16">
        <f>Peak!AB42</f>
        <v>0.63494657126849008</v>
      </c>
      <c r="AC40" s="16">
        <f>Peak!AC42</f>
        <v>0</v>
      </c>
      <c r="AD40" s="18">
        <f>Peak!AD42</f>
        <v>218.80258102590736</v>
      </c>
      <c r="AE40" s="18">
        <f>Peak!AE42</f>
        <v>0</v>
      </c>
      <c r="AF40" s="16">
        <f>Peak!AF42</f>
        <v>0</v>
      </c>
      <c r="AG40" s="73">
        <f>Peak!AG42</f>
        <v>0</v>
      </c>
      <c r="AH40" s="16">
        <f>Peak!AH42</f>
        <v>3.304951259356534</v>
      </c>
      <c r="AI40" s="16">
        <f>Peak!AI42</f>
        <v>3.435358716707023</v>
      </c>
      <c r="AJ40" s="16">
        <f>Peak!AJ42</f>
        <v>0</v>
      </c>
      <c r="AK40" s="16">
        <f>Peak!AK42</f>
        <v>0</v>
      </c>
    </row>
    <row r="41" spans="1:38" x14ac:dyDescent="0.2">
      <c r="A41" s="1">
        <f t="shared" si="5"/>
        <v>37513.344000000041</v>
      </c>
      <c r="B41" s="16">
        <f t="shared" si="3"/>
        <v>3.2938855743363669</v>
      </c>
      <c r="C41" s="17">
        <f t="shared" si="0"/>
        <v>37.236535425811091</v>
      </c>
      <c r="D41" s="16">
        <f t="shared" si="4"/>
        <v>0.63600481555393762</v>
      </c>
      <c r="E41" s="16">
        <f t="shared" si="1"/>
        <v>0</v>
      </c>
      <c r="F41" s="16">
        <f t="shared" si="2"/>
        <v>0</v>
      </c>
      <c r="G41" s="19" t="str">
        <f>IF(IS!$C$2="Peak","-",SUM(C41:F41))</f>
        <v>-</v>
      </c>
      <c r="H41" s="197">
        <v>456.21662556815892</v>
      </c>
      <c r="I41" s="197">
        <v>267.8990473735762</v>
      </c>
      <c r="J41" s="197">
        <v>197.83923666433392</v>
      </c>
      <c r="K41" s="197">
        <v>63.388434167870216</v>
      </c>
      <c r="L41" s="197">
        <v>46.357745399998016</v>
      </c>
      <c r="M41" s="197">
        <v>40.185146010028582</v>
      </c>
      <c r="N41" s="197">
        <v>36.35859950575739</v>
      </c>
      <c r="O41" s="197">
        <v>35.304665816361684</v>
      </c>
      <c r="P41" s="197">
        <v>32.585080284017629</v>
      </c>
      <c r="Q41" s="197">
        <v>26.652497571820184</v>
      </c>
      <c r="R41" s="197">
        <v>25.073863098392756</v>
      </c>
      <c r="S41" s="197">
        <v>23.836612299808017</v>
      </c>
      <c r="T41" s="197">
        <v>22.050006835328414</v>
      </c>
      <c r="U41" s="197">
        <v>21.186062737084427</v>
      </c>
      <c r="V41" s="197">
        <v>21.116498425392223</v>
      </c>
      <c r="W41" s="197">
        <v>20.771698530267805</v>
      </c>
      <c r="X41" s="197">
        <v>20.362804213127838</v>
      </c>
      <c r="Y41" s="197">
        <v>20.031062025985296</v>
      </c>
      <c r="Z41" s="197">
        <v>19.787734247744858</v>
      </c>
      <c r="AA41" s="197">
        <v>19.347517015117138</v>
      </c>
      <c r="AB41" s="16">
        <f>Peak!AB43</f>
        <v>0.63600481555393762</v>
      </c>
      <c r="AC41" s="16">
        <f>Peak!AC43</f>
        <v>0</v>
      </c>
      <c r="AD41" s="18">
        <f>Peak!AD43</f>
        <v>218.80258102590736</v>
      </c>
      <c r="AE41" s="18">
        <f>Peak!AE43</f>
        <v>0</v>
      </c>
      <c r="AF41" s="16">
        <f>Peak!AF43</f>
        <v>0</v>
      </c>
      <c r="AG41" s="73">
        <f>Peak!AG43</f>
        <v>0</v>
      </c>
      <c r="AH41" s="16">
        <f>Peak!AH43</f>
        <v>3.2938855743363669</v>
      </c>
      <c r="AI41" s="16">
        <f>Peak!AI43</f>
        <v>3.435358716707023</v>
      </c>
      <c r="AJ41" s="16">
        <f>Peak!AJ43</f>
        <v>0</v>
      </c>
      <c r="AK41" s="16">
        <f>Peak!AK43</f>
        <v>0</v>
      </c>
    </row>
    <row r="42" spans="1:38" x14ac:dyDescent="0.2">
      <c r="A42" s="1">
        <f t="shared" si="5"/>
        <v>37543.761000000042</v>
      </c>
      <c r="B42" s="16">
        <f t="shared" si="3"/>
        <v>3.6479874949817095</v>
      </c>
      <c r="C42" s="17">
        <f t="shared" si="0"/>
        <v>41.239567229705678</v>
      </c>
      <c r="D42" s="16">
        <f t="shared" si="4"/>
        <v>0.63706482357986083</v>
      </c>
      <c r="E42" s="16">
        <f t="shared" si="1"/>
        <v>0</v>
      </c>
      <c r="F42" s="16">
        <f t="shared" si="2"/>
        <v>0</v>
      </c>
      <c r="G42" s="19" t="str">
        <f>IF(IS!$C$2="Peak","-",SUM(C42:F42))</f>
        <v>-</v>
      </c>
      <c r="H42" s="197">
        <v>57.006142922524738</v>
      </c>
      <c r="I42" s="197">
        <v>56.040761732617263</v>
      </c>
      <c r="J42" s="197">
        <v>54.740886369632719</v>
      </c>
      <c r="K42" s="197">
        <v>52.62768407506006</v>
      </c>
      <c r="L42" s="197">
        <v>50.217795242768652</v>
      </c>
      <c r="M42" s="197">
        <v>48.76559951993525</v>
      </c>
      <c r="N42" s="197">
        <v>48.638725296568417</v>
      </c>
      <c r="O42" s="197">
        <v>45.683376491748547</v>
      </c>
      <c r="P42" s="197">
        <v>36.688748232550807</v>
      </c>
      <c r="Q42" s="197">
        <v>34.365545523634452</v>
      </c>
      <c r="R42" s="197">
        <v>28.906273685521207</v>
      </c>
      <c r="S42" s="197">
        <v>28.333261203807076</v>
      </c>
      <c r="T42" s="197">
        <v>27.231769522040128</v>
      </c>
      <c r="U42" s="197">
        <v>26.240079571408636</v>
      </c>
      <c r="V42" s="197">
        <v>24.750438797629815</v>
      </c>
      <c r="W42" s="197">
        <v>23.682460652555424</v>
      </c>
      <c r="X42" s="197">
        <v>23.035655624432707</v>
      </c>
      <c r="Y42" s="197">
        <v>22.43229591980225</v>
      </c>
      <c r="Z42" s="197">
        <v>22.126096747118428</v>
      </c>
      <c r="AA42" s="197">
        <v>21.579800289647636</v>
      </c>
      <c r="AB42" s="16">
        <f>Peak!AB44</f>
        <v>0.63706482357986083</v>
      </c>
      <c r="AC42" s="16">
        <f>Peak!AC44</f>
        <v>0</v>
      </c>
      <c r="AD42" s="18">
        <f>Peak!AD44</f>
        <v>218.80258102590736</v>
      </c>
      <c r="AE42" s="18">
        <f>Peak!AE44</f>
        <v>0</v>
      </c>
      <c r="AF42" s="16">
        <f>Peak!AF44</f>
        <v>0</v>
      </c>
      <c r="AG42" s="73">
        <f>Peak!AG44</f>
        <v>0</v>
      </c>
      <c r="AH42" s="16">
        <f>Peak!AH44</f>
        <v>3.6479874949817095</v>
      </c>
      <c r="AI42" s="16">
        <f>Peak!AI44</f>
        <v>3.435358716707023</v>
      </c>
      <c r="AJ42" s="16">
        <f>Peak!AJ44</f>
        <v>0</v>
      </c>
      <c r="AK42" s="16">
        <f>Peak!AK44</f>
        <v>0</v>
      </c>
    </row>
    <row r="43" spans="1:38" x14ac:dyDescent="0.2">
      <c r="A43" s="1">
        <f t="shared" si="5"/>
        <v>37574.178000000044</v>
      </c>
      <c r="B43" s="16">
        <f t="shared" si="3"/>
        <v>3.9947122922802745</v>
      </c>
      <c r="C43" s="17">
        <f t="shared" si="0"/>
        <v>45.159202537685786</v>
      </c>
      <c r="D43" s="16">
        <f t="shared" si="4"/>
        <v>0.6381265982858273</v>
      </c>
      <c r="E43" s="16">
        <f t="shared" si="1"/>
        <v>0</v>
      </c>
      <c r="F43" s="16">
        <f t="shared" si="2"/>
        <v>0</v>
      </c>
      <c r="G43" s="19" t="str">
        <f>IF(IS!$C$2="Peak","-",SUM(C43:F43))</f>
        <v>-</v>
      </c>
      <c r="H43" s="197">
        <v>81.719667091237312</v>
      </c>
      <c r="I43" s="197">
        <v>70.159320331937181</v>
      </c>
      <c r="J43" s="197">
        <v>67.095752685073052</v>
      </c>
      <c r="K43" s="197">
        <v>63.853907515457706</v>
      </c>
      <c r="L43" s="197">
        <v>59.803205265538168</v>
      </c>
      <c r="M43" s="197">
        <v>58.007957767646047</v>
      </c>
      <c r="N43" s="197">
        <v>56.982965979184243</v>
      </c>
      <c r="O43" s="197">
        <v>47.962078826274947</v>
      </c>
      <c r="P43" s="197">
        <v>40.67215677369326</v>
      </c>
      <c r="Q43" s="197">
        <v>33.46691003161763</v>
      </c>
      <c r="R43" s="197">
        <v>32.585813980086577</v>
      </c>
      <c r="S43" s="197">
        <v>29.625966433836272</v>
      </c>
      <c r="T43" s="197">
        <v>29.625966433836272</v>
      </c>
      <c r="U43" s="197">
        <v>29.541670909900702</v>
      </c>
      <c r="V43" s="197">
        <v>29.299400375655477</v>
      </c>
      <c r="W43" s="197">
        <v>24.080534054725973</v>
      </c>
      <c r="X43" s="197">
        <v>22.759920017739283</v>
      </c>
      <c r="Y43" s="197">
        <v>21.531707394619289</v>
      </c>
      <c r="Z43" s="197">
        <v>20.647493928612192</v>
      </c>
      <c r="AA43" s="197">
        <v>19.695587829446993</v>
      </c>
      <c r="AB43" s="16">
        <f>Peak!AB45</f>
        <v>0.6381265982858273</v>
      </c>
      <c r="AC43" s="16">
        <f>Peak!AC45</f>
        <v>0</v>
      </c>
      <c r="AD43" s="18">
        <f>Peak!AD45</f>
        <v>218.80258102590736</v>
      </c>
      <c r="AE43" s="18">
        <f>Peak!AE45</f>
        <v>0</v>
      </c>
      <c r="AF43" s="16">
        <f>Peak!AF45</f>
        <v>0</v>
      </c>
      <c r="AG43" s="73">
        <f>Peak!AG45</f>
        <v>0</v>
      </c>
      <c r="AH43" s="16">
        <f>Peak!AH45</f>
        <v>3.9947122922802745</v>
      </c>
      <c r="AI43" s="16">
        <f>Peak!AI45</f>
        <v>3.7246520823244564</v>
      </c>
      <c r="AJ43" s="16">
        <f>Peak!AJ45</f>
        <v>0</v>
      </c>
      <c r="AK43" s="16">
        <f>Peak!AK45</f>
        <v>0</v>
      </c>
    </row>
    <row r="44" spans="1:38" x14ac:dyDescent="0.2">
      <c r="A44" s="1">
        <f t="shared" si="5"/>
        <v>37604.595000000045</v>
      </c>
      <c r="B44" s="16">
        <f t="shared" si="3"/>
        <v>4.3229942812118942</v>
      </c>
      <c r="C44" s="17">
        <f t="shared" si="0"/>
        <v>48.870346605879725</v>
      </c>
      <c r="D44" s="16">
        <f t="shared" si="4"/>
        <v>0.63919014261630369</v>
      </c>
      <c r="E44" s="16">
        <f t="shared" si="1"/>
        <v>0</v>
      </c>
      <c r="F44" s="16">
        <f t="shared" si="2"/>
        <v>0</v>
      </c>
      <c r="G44" s="19" t="str">
        <f>IF(IS!$C$2="Peak","-",SUM(C44:F44))</f>
        <v>-</v>
      </c>
      <c r="H44" s="197">
        <v>84.119426862222653</v>
      </c>
      <c r="I44" s="197">
        <v>76.12353258684513</v>
      </c>
      <c r="J44" s="197">
        <v>74.332274868709035</v>
      </c>
      <c r="K44" s="197">
        <v>70.884443720119123</v>
      </c>
      <c r="L44" s="197">
        <v>66.727670262545445</v>
      </c>
      <c r="M44" s="197">
        <v>65.032198740499382</v>
      </c>
      <c r="N44" s="197">
        <v>64.493876889460211</v>
      </c>
      <c r="O44" s="197">
        <v>59.244323721414652</v>
      </c>
      <c r="P44" s="197">
        <v>46.97174242695845</v>
      </c>
      <c r="Q44" s="197">
        <v>42.887291263159092</v>
      </c>
      <c r="R44" s="197">
        <v>37.014647076443147</v>
      </c>
      <c r="S44" s="197">
        <v>35.625733349195443</v>
      </c>
      <c r="T44" s="197">
        <v>26.8157386494157</v>
      </c>
      <c r="U44" s="197">
        <v>25.728933776355788</v>
      </c>
      <c r="V44" s="197">
        <v>24.002608701604075</v>
      </c>
      <c r="W44" s="197">
        <v>22.776321447061623</v>
      </c>
      <c r="X44" s="197">
        <v>22.22656526514379</v>
      </c>
      <c r="Y44" s="197">
        <v>21.819644030236663</v>
      </c>
      <c r="Z44" s="197">
        <v>21.46613043327919</v>
      </c>
      <c r="AA44" s="197">
        <v>20.856624001489145</v>
      </c>
      <c r="AB44" s="16">
        <f>Peak!AB46</f>
        <v>0.63919014261630369</v>
      </c>
      <c r="AC44" s="16">
        <f>Peak!AC46</f>
        <v>0</v>
      </c>
      <c r="AD44" s="18">
        <f>Peak!AD46</f>
        <v>218.80258102590736</v>
      </c>
      <c r="AE44" s="18">
        <f>Peak!AE46</f>
        <v>0</v>
      </c>
      <c r="AF44" s="16">
        <f>Peak!AF46</f>
        <v>0</v>
      </c>
      <c r="AG44" s="73">
        <f>Peak!AG46</f>
        <v>0</v>
      </c>
      <c r="AH44" s="16">
        <f>Peak!AH46</f>
        <v>4.3229942812118942</v>
      </c>
      <c r="AI44" s="16">
        <f>Peak!AI46</f>
        <v>3.9054604358353529</v>
      </c>
      <c r="AJ44" s="16">
        <f>Peak!AJ46</f>
        <v>0</v>
      </c>
      <c r="AK44" s="16">
        <f>Peak!AK46</f>
        <v>0</v>
      </c>
    </row>
    <row r="45" spans="1:38" x14ac:dyDescent="0.2">
      <c r="A45" s="1">
        <f t="shared" si="5"/>
        <v>37635.012000000046</v>
      </c>
      <c r="B45" s="16">
        <f t="shared" si="3"/>
        <v>3.9896555363352655</v>
      </c>
      <c r="C45" s="17">
        <f t="shared" si="0"/>
        <v>45.102037202814088</v>
      </c>
      <c r="D45" s="16">
        <f t="shared" si="4"/>
        <v>0.64025545952066421</v>
      </c>
      <c r="E45" s="16">
        <f t="shared" si="1"/>
        <v>0</v>
      </c>
      <c r="F45" s="16">
        <f t="shared" si="2"/>
        <v>0</v>
      </c>
      <c r="G45" s="19" t="str">
        <f>IF(IS!$C$2="Peak","-",SUM(C45:F45))</f>
        <v>-</v>
      </c>
      <c r="H45" s="197">
        <v>74.028231842640821</v>
      </c>
      <c r="I45" s="197">
        <v>71.633993864981036</v>
      </c>
      <c r="J45" s="197">
        <v>66.883973322967805</v>
      </c>
      <c r="K45" s="197">
        <v>60.321597098039646</v>
      </c>
      <c r="L45" s="197">
        <v>55.062612679049195</v>
      </c>
      <c r="M45" s="197">
        <v>52.480110542031355</v>
      </c>
      <c r="N45" s="197">
        <v>49.328971455208524</v>
      </c>
      <c r="O45" s="197">
        <v>48.897765739432565</v>
      </c>
      <c r="P45" s="197">
        <v>47.513146539933118</v>
      </c>
      <c r="Q45" s="197">
        <v>37.361930008329139</v>
      </c>
      <c r="R45" s="197">
        <v>35.57364104503786</v>
      </c>
      <c r="S45" s="197">
        <v>34.931762563240625</v>
      </c>
      <c r="T45" s="197">
        <v>27.888519862783046</v>
      </c>
      <c r="U45" s="197">
        <v>25.602155362477049</v>
      </c>
      <c r="V45" s="197">
        <v>25.421649063098961</v>
      </c>
      <c r="W45" s="197">
        <v>25.018727472501162</v>
      </c>
      <c r="X45" s="197">
        <v>23.995763829819953</v>
      </c>
      <c r="Y45" s="197">
        <v>23.190517805433011</v>
      </c>
      <c r="Z45" s="197">
        <v>22.123427149241571</v>
      </c>
      <c r="AA45" s="197">
        <v>21.031465550528427</v>
      </c>
      <c r="AB45" s="16">
        <f>Peak!AB47</f>
        <v>0.64025545952066421</v>
      </c>
      <c r="AC45" s="16">
        <f>Peak!AC47</f>
        <v>0</v>
      </c>
      <c r="AD45" s="18">
        <f>Peak!AD47</f>
        <v>240.4080539178627</v>
      </c>
      <c r="AE45" s="18">
        <f>Peak!AE47</f>
        <v>4274.5039754649742</v>
      </c>
      <c r="AF45" s="16">
        <f>Peak!AF47</f>
        <v>0</v>
      </c>
      <c r="AG45" s="73">
        <f>Peak!AG47</f>
        <v>0</v>
      </c>
      <c r="AH45" s="16">
        <f>Peak!AH47</f>
        <v>3.9896555363352655</v>
      </c>
      <c r="AI45" s="16">
        <f>Peak!AI47</f>
        <v>3.808396097560975</v>
      </c>
      <c r="AJ45" s="16">
        <f>Peak!AJ47</f>
        <v>0</v>
      </c>
      <c r="AK45" s="16">
        <f>Peak!AK47</f>
        <v>0</v>
      </c>
      <c r="AL45" s="4"/>
    </row>
    <row r="46" spans="1:38" x14ac:dyDescent="0.2">
      <c r="A46" s="1">
        <f t="shared" si="5"/>
        <v>37665.429000000047</v>
      </c>
      <c r="B46" s="16">
        <f t="shared" si="3"/>
        <v>3.5758348823004904</v>
      </c>
      <c r="C46" s="17">
        <f t="shared" si="0"/>
        <v>40.423900365288162</v>
      </c>
      <c r="D46" s="16">
        <f t="shared" si="4"/>
        <v>0.64132255195319865</v>
      </c>
      <c r="E46" s="16">
        <f t="shared" si="1"/>
        <v>0</v>
      </c>
      <c r="F46" s="16">
        <f t="shared" si="2"/>
        <v>0</v>
      </c>
      <c r="G46" s="19" t="str">
        <f>IF(IS!$C$2="Peak","-",SUM(C46:F46))</f>
        <v>-</v>
      </c>
      <c r="H46" s="197">
        <v>117.50502983162259</v>
      </c>
      <c r="I46" s="197">
        <v>73.056560333132126</v>
      </c>
      <c r="J46" s="197">
        <v>64.707655712366389</v>
      </c>
      <c r="K46" s="197">
        <v>59.587951919959515</v>
      </c>
      <c r="L46" s="197">
        <v>57.049526657934145</v>
      </c>
      <c r="M46" s="197">
        <v>53.974672035976383</v>
      </c>
      <c r="N46" s="197">
        <v>51.143237675113873</v>
      </c>
      <c r="O46" s="197">
        <v>50.902569355894421</v>
      </c>
      <c r="P46" s="197">
        <v>46.256806556604104</v>
      </c>
      <c r="Q46" s="197">
        <v>36.717227987826099</v>
      </c>
      <c r="R46" s="197">
        <v>31.825957338689449</v>
      </c>
      <c r="S46" s="197">
        <v>29.579854489679825</v>
      </c>
      <c r="T46" s="197">
        <v>27.310203818911244</v>
      </c>
      <c r="U46" s="197">
        <v>25.319175204033961</v>
      </c>
      <c r="V46" s="197">
        <v>24.456729162346843</v>
      </c>
      <c r="W46" s="197">
        <v>23.212075497993908</v>
      </c>
      <c r="X46" s="197">
        <v>22.735601559567971</v>
      </c>
      <c r="Y46" s="197">
        <v>22.327077911242728</v>
      </c>
      <c r="Z46" s="197">
        <v>21.926088590252714</v>
      </c>
      <c r="AA46" s="197">
        <v>21.439021540675689</v>
      </c>
      <c r="AB46" s="16">
        <f>Peak!AB48</f>
        <v>0.64132255195319865</v>
      </c>
      <c r="AC46" s="16">
        <f>Peak!AC48</f>
        <v>0</v>
      </c>
      <c r="AD46" s="18">
        <f>Peak!AD48</f>
        <v>240.4080539178627</v>
      </c>
      <c r="AE46" s="18">
        <f>Peak!AE48</f>
        <v>4274.5039754649742</v>
      </c>
      <c r="AF46" s="16">
        <f>Peak!AF48</f>
        <v>0</v>
      </c>
      <c r="AG46" s="73">
        <f>Peak!AG48</f>
        <v>0</v>
      </c>
      <c r="AH46" s="16">
        <f>Peak!AH48</f>
        <v>3.5758348823004904</v>
      </c>
      <c r="AI46" s="16">
        <f>Peak!AI48</f>
        <v>3.7731331707317071</v>
      </c>
      <c r="AJ46" s="16">
        <f>Peak!AJ48</f>
        <v>0</v>
      </c>
      <c r="AK46" s="16">
        <f>Peak!AK48</f>
        <v>0</v>
      </c>
      <c r="AL46" s="4"/>
    </row>
    <row r="47" spans="1:38" x14ac:dyDescent="0.2">
      <c r="A47" s="1">
        <f t="shared" si="5"/>
        <v>37695.846000000049</v>
      </c>
      <c r="B47" s="16">
        <f t="shared" si="3"/>
        <v>3.5157070949621048</v>
      </c>
      <c r="C47" s="17">
        <f t="shared" si="0"/>
        <v>39.744171081203191</v>
      </c>
      <c r="D47" s="16">
        <f t="shared" si="4"/>
        <v>0.64239142287312068</v>
      </c>
      <c r="E47" s="16">
        <f t="shared" si="1"/>
        <v>0</v>
      </c>
      <c r="F47" s="16">
        <f t="shared" si="2"/>
        <v>0</v>
      </c>
      <c r="G47" s="19" t="str">
        <f>IF(IS!$C$2="Peak","-",SUM(C47:F47))</f>
        <v>-</v>
      </c>
      <c r="H47" s="197">
        <v>79.200863106730282</v>
      </c>
      <c r="I47" s="197">
        <v>70.213735561138677</v>
      </c>
      <c r="J47" s="197">
        <v>62.347127630750776</v>
      </c>
      <c r="K47" s="197">
        <v>59.974670810236979</v>
      </c>
      <c r="L47" s="197">
        <v>57.287550027261908</v>
      </c>
      <c r="M47" s="197">
        <v>53.710844545722281</v>
      </c>
      <c r="N47" s="197">
        <v>53.103338445906381</v>
      </c>
      <c r="O47" s="197">
        <v>51.9983722885178</v>
      </c>
      <c r="P47" s="197">
        <v>45.252404931858834</v>
      </c>
      <c r="Q47" s="197">
        <v>37.602507522029136</v>
      </c>
      <c r="R47" s="197">
        <v>34.219566952446208</v>
      </c>
      <c r="S47" s="197">
        <v>30.655113837816739</v>
      </c>
      <c r="T47" s="197">
        <v>30.480109483427547</v>
      </c>
      <c r="U47" s="197">
        <v>27.377428571776974</v>
      </c>
      <c r="V47" s="197">
        <v>26.373578806429645</v>
      </c>
      <c r="W47" s="197">
        <v>25.455681414833656</v>
      </c>
      <c r="X47" s="197">
        <v>24.169747935253728</v>
      </c>
      <c r="Y47" s="197">
        <v>23.707990701041744</v>
      </c>
      <c r="Z47" s="197">
        <v>23.163111857270806</v>
      </c>
      <c r="AA47" s="197">
        <v>22.525068739664277</v>
      </c>
      <c r="AB47" s="16">
        <f>Peak!AB49</f>
        <v>0.64239142287312068</v>
      </c>
      <c r="AC47" s="16">
        <f>Peak!AC49</f>
        <v>0</v>
      </c>
      <c r="AD47" s="18">
        <f>Peak!AD49</f>
        <v>240.4080539178627</v>
      </c>
      <c r="AE47" s="18">
        <f>Peak!AE49</f>
        <v>4274.5039754649742</v>
      </c>
      <c r="AF47" s="16">
        <f>Peak!AF49</f>
        <v>0</v>
      </c>
      <c r="AG47" s="73">
        <f>Peak!AG49</f>
        <v>0</v>
      </c>
      <c r="AH47" s="16">
        <f>Peak!AH49</f>
        <v>3.5157070949621048</v>
      </c>
      <c r="AI47" s="16">
        <f>Peak!AI49</f>
        <v>3.6320814634146337</v>
      </c>
      <c r="AJ47" s="16">
        <f>Peak!AJ49</f>
        <v>0</v>
      </c>
      <c r="AK47" s="16">
        <f>Peak!AK49</f>
        <v>0</v>
      </c>
      <c r="AL47" s="4"/>
    </row>
    <row r="48" spans="1:38" x14ac:dyDescent="0.2">
      <c r="A48" s="1">
        <f t="shared" si="5"/>
        <v>37726.26300000005</v>
      </c>
      <c r="B48" s="16">
        <f t="shared" si="3"/>
        <v>3.342397590280874</v>
      </c>
      <c r="C48" s="17">
        <f t="shared" si="0"/>
        <v>37.78495138001712</v>
      </c>
      <c r="D48" s="16">
        <f t="shared" si="4"/>
        <v>0.64346207524457588</v>
      </c>
      <c r="E48" s="16">
        <f t="shared" si="1"/>
        <v>0</v>
      </c>
      <c r="F48" s="16">
        <f t="shared" si="2"/>
        <v>0</v>
      </c>
      <c r="G48" s="19" t="str">
        <f>IF(IS!$C$2="Peak","-",SUM(C48:F48))</f>
        <v>-</v>
      </c>
      <c r="H48" s="197">
        <v>63.677584810919441</v>
      </c>
      <c r="I48" s="197">
        <v>63.677584810919441</v>
      </c>
      <c r="J48" s="197">
        <v>63.227961110744914</v>
      </c>
      <c r="K48" s="197">
        <v>59.634810729951781</v>
      </c>
      <c r="L48" s="197">
        <v>49.736984622867716</v>
      </c>
      <c r="M48" s="197">
        <v>42.408531692128804</v>
      </c>
      <c r="N48" s="197">
        <v>37.733638968158537</v>
      </c>
      <c r="O48" s="197">
        <v>34.713776986132764</v>
      </c>
      <c r="P48" s="197">
        <v>32.395204863624528</v>
      </c>
      <c r="Q48" s="197">
        <v>32.395204863624528</v>
      </c>
      <c r="R48" s="197">
        <v>32.395204863624528</v>
      </c>
      <c r="S48" s="197">
        <v>30.032329990683291</v>
      </c>
      <c r="T48" s="197">
        <v>26.478946976939628</v>
      </c>
      <c r="U48" s="197">
        <v>25.801155027575781</v>
      </c>
      <c r="V48" s="197">
        <v>24.599634890927209</v>
      </c>
      <c r="W48" s="197">
        <v>23.794887999960469</v>
      </c>
      <c r="X48" s="197">
        <v>23.437162086970655</v>
      </c>
      <c r="Y48" s="197">
        <v>23.078756290729139</v>
      </c>
      <c r="Z48" s="197">
        <v>22.82259669896926</v>
      </c>
      <c r="AA48" s="197">
        <v>22.325350075265384</v>
      </c>
      <c r="AB48" s="16">
        <f>Peak!AB50</f>
        <v>0.64346207524457588</v>
      </c>
      <c r="AC48" s="16">
        <f>Peak!AC50</f>
        <v>0</v>
      </c>
      <c r="AD48" s="18">
        <f>Peak!AD50</f>
        <v>240.4080539178627</v>
      </c>
      <c r="AE48" s="18">
        <f>Peak!AE50</f>
        <v>4274.5039754649742</v>
      </c>
      <c r="AF48" s="16">
        <f>Peak!AF50</f>
        <v>0</v>
      </c>
      <c r="AG48" s="73">
        <f>Peak!AG50</f>
        <v>0</v>
      </c>
      <c r="AH48" s="16">
        <f>Peak!AH50</f>
        <v>3.342397590280874</v>
      </c>
      <c r="AI48" s="16">
        <f>Peak!AI50</f>
        <v>3.4910297560975603</v>
      </c>
      <c r="AJ48" s="16">
        <f>Peak!AJ50</f>
        <v>0</v>
      </c>
      <c r="AK48" s="16">
        <f>Peak!AK50</f>
        <v>0</v>
      </c>
      <c r="AL48" s="4"/>
    </row>
    <row r="49" spans="1:38" x14ac:dyDescent="0.2">
      <c r="A49" s="1">
        <f t="shared" si="5"/>
        <v>37756.680000000051</v>
      </c>
      <c r="B49" s="16">
        <f t="shared" si="3"/>
        <v>3.5192440236290685</v>
      </c>
      <c r="C49" s="17">
        <f t="shared" si="0"/>
        <v>39.784155156737611</v>
      </c>
      <c r="D49" s="16">
        <f t="shared" si="4"/>
        <v>0.64453451203665024</v>
      </c>
      <c r="E49" s="16">
        <f t="shared" si="1"/>
        <v>0</v>
      </c>
      <c r="F49" s="16">
        <f t="shared" si="2"/>
        <v>0</v>
      </c>
      <c r="G49" s="19" t="str">
        <f>IF(IS!$C$2="Peak","-",SUM(C49:F49))</f>
        <v>-</v>
      </c>
      <c r="H49" s="197">
        <v>78.432296188507138</v>
      </c>
      <c r="I49" s="197">
        <v>72.178618729435158</v>
      </c>
      <c r="J49" s="197">
        <v>68.71995139670878</v>
      </c>
      <c r="K49" s="197">
        <v>64.194505496564858</v>
      </c>
      <c r="L49" s="197">
        <v>60.138395340018391</v>
      </c>
      <c r="M49" s="197">
        <v>58.227973052312812</v>
      </c>
      <c r="N49" s="197">
        <v>56.703802578782145</v>
      </c>
      <c r="O49" s="197">
        <v>43.482140808795748</v>
      </c>
      <c r="P49" s="197">
        <v>38.794790561262481</v>
      </c>
      <c r="Q49" s="197">
        <v>33.537844081419777</v>
      </c>
      <c r="R49" s="197">
        <v>33.332377150933503</v>
      </c>
      <c r="S49" s="197">
        <v>32.062747245659502</v>
      </c>
      <c r="T49" s="197">
        <v>30.062367550673311</v>
      </c>
      <c r="U49" s="197">
        <v>28.780648233385659</v>
      </c>
      <c r="V49" s="197">
        <v>28.484845063347358</v>
      </c>
      <c r="W49" s="197">
        <v>27.867135492491499</v>
      </c>
      <c r="X49" s="197">
        <v>27.19156344132492</v>
      </c>
      <c r="Y49" s="197">
        <v>26.748298290299051</v>
      </c>
      <c r="Z49" s="197">
        <v>26.315433229657284</v>
      </c>
      <c r="AA49" s="197">
        <v>25.618611554271897</v>
      </c>
      <c r="AB49" s="16">
        <f>Peak!AB51</f>
        <v>0.64453451203665024</v>
      </c>
      <c r="AC49" s="16">
        <f>Peak!AC51</f>
        <v>0</v>
      </c>
      <c r="AD49" s="18">
        <f>Peak!AD51</f>
        <v>240.4080539178627</v>
      </c>
      <c r="AE49" s="18">
        <f>Peak!AE51</f>
        <v>4274.5039754649742</v>
      </c>
      <c r="AF49" s="16">
        <f>Peak!AF51</f>
        <v>1</v>
      </c>
      <c r="AG49" s="73">
        <f>Peak!AG51</f>
        <v>0</v>
      </c>
      <c r="AH49" s="16">
        <f>Peak!AH51</f>
        <v>3.5192440236290685</v>
      </c>
      <c r="AI49" s="16">
        <f>Peak!AI51</f>
        <v>3.3499780487804869</v>
      </c>
      <c r="AJ49" s="16">
        <f>Peak!AJ51</f>
        <v>0</v>
      </c>
      <c r="AK49" s="16">
        <f>Peak!AK51</f>
        <v>0</v>
      </c>
      <c r="AL49" s="4"/>
    </row>
    <row r="50" spans="1:38" x14ac:dyDescent="0.2">
      <c r="A50" s="1">
        <f t="shared" si="5"/>
        <v>37787.097000000053</v>
      </c>
      <c r="B50" s="16">
        <f t="shared" si="3"/>
        <v>3.3530083762817657</v>
      </c>
      <c r="C50" s="17">
        <f t="shared" si="0"/>
        <v>37.904903606620351</v>
      </c>
      <c r="D50" s="16">
        <f t="shared" si="4"/>
        <v>0.645608736223378</v>
      </c>
      <c r="E50" s="16">
        <f t="shared" si="1"/>
        <v>0</v>
      </c>
      <c r="F50" s="16">
        <f t="shared" si="2"/>
        <v>0</v>
      </c>
      <c r="G50" s="19" t="str">
        <f>IF(IS!$C$2="Peak","-",SUM(C50:F50))</f>
        <v>-</v>
      </c>
      <c r="H50" s="197">
        <v>279.59627063945044</v>
      </c>
      <c r="I50" s="197">
        <v>193.6508018465415</v>
      </c>
      <c r="J50" s="197">
        <v>107.37453031660434</v>
      </c>
      <c r="K50" s="197">
        <v>76.682479313998471</v>
      </c>
      <c r="L50" s="197">
        <v>65.02490680262089</v>
      </c>
      <c r="M50" s="197">
        <v>59.053872167654774</v>
      </c>
      <c r="N50" s="197">
        <v>54.082517147956608</v>
      </c>
      <c r="O50" s="197">
        <v>51.531831289566746</v>
      </c>
      <c r="P50" s="197">
        <v>40.10804114935943</v>
      </c>
      <c r="Q50" s="197">
        <v>39.016987895921353</v>
      </c>
      <c r="R50" s="197">
        <v>36.684863557543324</v>
      </c>
      <c r="S50" s="197">
        <v>31.676910024665471</v>
      </c>
      <c r="T50" s="197">
        <v>29.891593867077614</v>
      </c>
      <c r="U50" s="197">
        <v>29.150394411199365</v>
      </c>
      <c r="V50" s="197">
        <v>28.47227833759786</v>
      </c>
      <c r="W50" s="197">
        <v>28.045054302138315</v>
      </c>
      <c r="X50" s="197">
        <v>27.306433639772123</v>
      </c>
      <c r="Y50" s="197">
        <v>26.718820062353704</v>
      </c>
      <c r="Z50" s="197">
        <v>26.02802640624904</v>
      </c>
      <c r="AA50" s="197">
        <v>24.456340317409929</v>
      </c>
      <c r="AB50" s="16">
        <f>Peak!AB52</f>
        <v>0.645608736223378</v>
      </c>
      <c r="AC50" s="16">
        <f>Peak!AC52</f>
        <v>0</v>
      </c>
      <c r="AD50" s="18">
        <f>Peak!AD52</f>
        <v>240.4080539178627</v>
      </c>
      <c r="AE50" s="18">
        <f>Peak!AE52</f>
        <v>4274.5039754649742</v>
      </c>
      <c r="AF50" s="16">
        <f>Peak!AF52</f>
        <v>1</v>
      </c>
      <c r="AG50" s="73">
        <f>Peak!AG52</f>
        <v>0</v>
      </c>
      <c r="AH50" s="16">
        <f>Peak!AH52</f>
        <v>3.3530083762817657</v>
      </c>
      <c r="AI50" s="16">
        <f>Peak!AI52</f>
        <v>3.3499780487804869</v>
      </c>
      <c r="AJ50" s="16">
        <f>Peak!AJ52</f>
        <v>0</v>
      </c>
      <c r="AK50" s="16">
        <f>Peak!AK52</f>
        <v>0</v>
      </c>
      <c r="AL50" s="4"/>
    </row>
    <row r="51" spans="1:38" x14ac:dyDescent="0.2">
      <c r="A51" s="1">
        <f t="shared" si="5"/>
        <v>37817.514000000054</v>
      </c>
      <c r="B51" s="16">
        <f t="shared" si="3"/>
        <v>3.342397590280874</v>
      </c>
      <c r="C51" s="17">
        <f t="shared" si="0"/>
        <v>37.78495138001712</v>
      </c>
      <c r="D51" s="16">
        <f t="shared" si="4"/>
        <v>0.64668475078375032</v>
      </c>
      <c r="E51" s="16">
        <f t="shared" si="1"/>
        <v>0</v>
      </c>
      <c r="F51" s="16">
        <f t="shared" si="2"/>
        <v>0</v>
      </c>
      <c r="G51" s="19" t="str">
        <f>IF(IS!$C$2="Peak","-",SUM(C51:F51))</f>
        <v>-</v>
      </c>
      <c r="H51" s="197">
        <v>859.48305581503337</v>
      </c>
      <c r="I51" s="197">
        <v>473.70757579450583</v>
      </c>
      <c r="J51" s="197">
        <v>303.81592564862189</v>
      </c>
      <c r="K51" s="197">
        <v>195.49377956891368</v>
      </c>
      <c r="L51" s="197">
        <v>89.589284251866331</v>
      </c>
      <c r="M51" s="197">
        <v>72.669109214856292</v>
      </c>
      <c r="N51" s="197">
        <v>60.105336207781669</v>
      </c>
      <c r="O51" s="197">
        <v>54.954947032173145</v>
      </c>
      <c r="P51" s="197">
        <v>52.453711459269151</v>
      </c>
      <c r="Q51" s="197">
        <v>49.707123249122397</v>
      </c>
      <c r="R51" s="197">
        <v>40.871302295451848</v>
      </c>
      <c r="S51" s="197">
        <v>39.494409235647332</v>
      </c>
      <c r="T51" s="197">
        <v>37.184011116541541</v>
      </c>
      <c r="U51" s="197">
        <v>35.206004824571117</v>
      </c>
      <c r="V51" s="197">
        <v>33.245676000666904</v>
      </c>
      <c r="W51" s="197">
        <v>31.704321493295758</v>
      </c>
      <c r="X51" s="197">
        <v>30.922816019176555</v>
      </c>
      <c r="Y51" s="197">
        <v>30.418036437875909</v>
      </c>
      <c r="Z51" s="197">
        <v>29.72400936899724</v>
      </c>
      <c r="AA51" s="197">
        <v>27.395895579734667</v>
      </c>
      <c r="AB51" s="16">
        <f>Peak!AB53</f>
        <v>0.64668475078375032</v>
      </c>
      <c r="AC51" s="16">
        <f>Peak!AC53</f>
        <v>0</v>
      </c>
      <c r="AD51" s="18">
        <f>Peak!AD53</f>
        <v>240.4080539178627</v>
      </c>
      <c r="AE51" s="18">
        <f>Peak!AE53</f>
        <v>4274.5039754649742</v>
      </c>
      <c r="AF51" s="16">
        <f>Peak!AF53</f>
        <v>1</v>
      </c>
      <c r="AG51" s="73">
        <f>Peak!AG53</f>
        <v>0</v>
      </c>
      <c r="AH51" s="16">
        <f>Peak!AH53</f>
        <v>3.342397590280874</v>
      </c>
      <c r="AI51" s="16">
        <f>Peak!AI53</f>
        <v>3.3499780487804869</v>
      </c>
      <c r="AJ51" s="16">
        <f>Peak!AJ53</f>
        <v>0</v>
      </c>
      <c r="AK51" s="16">
        <f>Peak!AK53</f>
        <v>0</v>
      </c>
      <c r="AL51" s="4"/>
    </row>
    <row r="52" spans="1:38" x14ac:dyDescent="0.2">
      <c r="A52" s="1">
        <f t="shared" si="5"/>
        <v>37847.931000000055</v>
      </c>
      <c r="B52" s="16">
        <f t="shared" si="3"/>
        <v>3.1690880855996437</v>
      </c>
      <c r="C52" s="17">
        <f t="shared" si="0"/>
        <v>35.825731678831048</v>
      </c>
      <c r="D52" s="16">
        <f t="shared" si="4"/>
        <v>0.64776255870172328</v>
      </c>
      <c r="E52" s="16">
        <f t="shared" si="1"/>
        <v>0</v>
      </c>
      <c r="F52" s="16">
        <f t="shared" si="2"/>
        <v>0</v>
      </c>
      <c r="G52" s="19" t="str">
        <f>IF(IS!$C$2="Peak","-",SUM(C52:F52))</f>
        <v>-</v>
      </c>
      <c r="H52" s="197">
        <v>1783.4584120462423</v>
      </c>
      <c r="I52" s="197">
        <v>821.600196973626</v>
      </c>
      <c r="J52" s="197">
        <v>477.67586208541707</v>
      </c>
      <c r="K52" s="197">
        <v>247.96854478524637</v>
      </c>
      <c r="L52" s="197">
        <v>150.1364155822242</v>
      </c>
      <c r="M52" s="197">
        <v>91.064805553063309</v>
      </c>
      <c r="N52" s="197">
        <v>78.348591394381501</v>
      </c>
      <c r="O52" s="197">
        <v>72.795175737680694</v>
      </c>
      <c r="P52" s="197">
        <v>64.369943483334453</v>
      </c>
      <c r="Q52" s="197">
        <v>47.958708635409778</v>
      </c>
      <c r="R52" s="197">
        <v>41.118750635394036</v>
      </c>
      <c r="S52" s="197">
        <v>37.735427765940933</v>
      </c>
      <c r="T52" s="197">
        <v>34.03312904064628</v>
      </c>
      <c r="U52" s="197">
        <v>32.664490758808526</v>
      </c>
      <c r="V52" s="197">
        <v>32.071413621710306</v>
      </c>
      <c r="W52" s="197">
        <v>31.507016750892149</v>
      </c>
      <c r="X52" s="197">
        <v>30.617290349368318</v>
      </c>
      <c r="Y52" s="197">
        <v>29.756718723707845</v>
      </c>
      <c r="Z52" s="197">
        <v>28.74573954278247</v>
      </c>
      <c r="AA52" s="197">
        <v>27.099459633045274</v>
      </c>
      <c r="AB52" s="16">
        <f>Peak!AB54</f>
        <v>0.64776255870172328</v>
      </c>
      <c r="AC52" s="16">
        <f>Peak!AC54</f>
        <v>0</v>
      </c>
      <c r="AD52" s="18">
        <f>Peak!AD54</f>
        <v>240.4080539178627</v>
      </c>
      <c r="AE52" s="18">
        <f>Peak!AE54</f>
        <v>4274.5039754649742</v>
      </c>
      <c r="AF52" s="16">
        <f>Peak!AF54</f>
        <v>1</v>
      </c>
      <c r="AG52" s="73">
        <f>Peak!AG54</f>
        <v>0</v>
      </c>
      <c r="AH52" s="16">
        <f>Peak!AH54</f>
        <v>3.1690880855996437</v>
      </c>
      <c r="AI52" s="16">
        <f>Peak!AI54</f>
        <v>3.3499780487804869</v>
      </c>
      <c r="AJ52" s="16">
        <f>Peak!AJ54</f>
        <v>0</v>
      </c>
      <c r="AK52" s="16">
        <f>Peak!AK54</f>
        <v>0</v>
      </c>
      <c r="AL52" s="4"/>
    </row>
    <row r="53" spans="1:38" x14ac:dyDescent="0.2">
      <c r="A53" s="1">
        <f t="shared" si="5"/>
        <v>37878.348000000056</v>
      </c>
      <c r="B53" s="16">
        <f t="shared" si="3"/>
        <v>3.158477299598752</v>
      </c>
      <c r="C53" s="17">
        <f t="shared" si="0"/>
        <v>35.705779452227823</v>
      </c>
      <c r="D53" s="16">
        <f t="shared" si="4"/>
        <v>0.64884216296622621</v>
      </c>
      <c r="E53" s="16">
        <f t="shared" si="1"/>
        <v>0</v>
      </c>
      <c r="F53" s="16">
        <f t="shared" si="2"/>
        <v>0</v>
      </c>
      <c r="G53" s="19" t="str">
        <f>IF(IS!$C$2="Peak","-",SUM(C53:F53))</f>
        <v>-</v>
      </c>
      <c r="H53" s="197">
        <v>189.4924103063496</v>
      </c>
      <c r="I53" s="197">
        <v>116.49255602144783</v>
      </c>
      <c r="J53" s="197">
        <v>99.280172823737104</v>
      </c>
      <c r="K53" s="197">
        <v>67.622072900753068</v>
      </c>
      <c r="L53" s="197">
        <v>54.177233538903621</v>
      </c>
      <c r="M53" s="197">
        <v>52.76377714797907</v>
      </c>
      <c r="N53" s="197">
        <v>49.192405689861559</v>
      </c>
      <c r="O53" s="197">
        <v>45.404603114951122</v>
      </c>
      <c r="P53" s="197">
        <v>45.022535037316423</v>
      </c>
      <c r="Q53" s="197">
        <v>41.82566877861678</v>
      </c>
      <c r="R53" s="197">
        <v>37.455161376200309</v>
      </c>
      <c r="S53" s="197">
        <v>35.158415128954097</v>
      </c>
      <c r="T53" s="197">
        <v>34.261490006315661</v>
      </c>
      <c r="U53" s="197">
        <v>33.161186043473656</v>
      </c>
      <c r="V53" s="197">
        <v>32.71844314339446</v>
      </c>
      <c r="W53" s="197">
        <v>32.506459100341921</v>
      </c>
      <c r="X53" s="197">
        <v>32.038069271291775</v>
      </c>
      <c r="Y53" s="197">
        <v>31.295226732535202</v>
      </c>
      <c r="Z53" s="197">
        <v>30.758700780609693</v>
      </c>
      <c r="AA53" s="197">
        <v>28.926725315633028</v>
      </c>
      <c r="AB53" s="16">
        <f>Peak!AB55</f>
        <v>0.64884216296622621</v>
      </c>
      <c r="AC53" s="16">
        <f>Peak!AC55</f>
        <v>0</v>
      </c>
      <c r="AD53" s="18">
        <f>Peak!AD55</f>
        <v>240.4080539178627</v>
      </c>
      <c r="AE53" s="18">
        <f>Peak!AE55</f>
        <v>4274.5039754649742</v>
      </c>
      <c r="AF53" s="16">
        <f>Peak!AF55</f>
        <v>1</v>
      </c>
      <c r="AG53" s="73">
        <f>Peak!AG55</f>
        <v>0</v>
      </c>
      <c r="AH53" s="16">
        <f>Peak!AH55</f>
        <v>3.158477299598752</v>
      </c>
      <c r="AI53" s="16">
        <f>Peak!AI55</f>
        <v>3.3499780487804869</v>
      </c>
      <c r="AJ53" s="16">
        <f>Peak!AJ55</f>
        <v>0</v>
      </c>
      <c r="AK53" s="16">
        <f>Peak!AK55</f>
        <v>0</v>
      </c>
      <c r="AL53" s="4"/>
    </row>
    <row r="54" spans="1:38" x14ac:dyDescent="0.2">
      <c r="A54" s="1">
        <f t="shared" si="5"/>
        <v>37908.765000000058</v>
      </c>
      <c r="B54" s="16">
        <f t="shared" si="3"/>
        <v>3.4980224516272855</v>
      </c>
      <c r="C54" s="17">
        <f t="shared" si="0"/>
        <v>39.544250703531155</v>
      </c>
      <c r="D54" s="16">
        <f t="shared" si="4"/>
        <v>0.6499235665711699</v>
      </c>
      <c r="E54" s="16">
        <f t="shared" si="1"/>
        <v>0</v>
      </c>
      <c r="F54" s="16">
        <f t="shared" si="2"/>
        <v>0</v>
      </c>
      <c r="G54" s="19" t="str">
        <f>IF(IS!$C$2="Peak","-",SUM(C54:F54))</f>
        <v>-</v>
      </c>
      <c r="H54" s="197">
        <v>65.977933928873625</v>
      </c>
      <c r="I54" s="197">
        <v>63.741495704892074</v>
      </c>
      <c r="J54" s="197">
        <v>62.554235306004728</v>
      </c>
      <c r="K54" s="197">
        <v>59.04991668824141</v>
      </c>
      <c r="L54" s="197">
        <v>57.436681485054244</v>
      </c>
      <c r="M54" s="197">
        <v>57.285519486389163</v>
      </c>
      <c r="N54" s="197">
        <v>51.640111540665046</v>
      </c>
      <c r="O54" s="197">
        <v>43.6962399341609</v>
      </c>
      <c r="P54" s="197">
        <v>42.905529187316588</v>
      </c>
      <c r="Q54" s="197">
        <v>40.372405687050176</v>
      </c>
      <c r="R54" s="197">
        <v>31.259923126493863</v>
      </c>
      <c r="S54" s="197">
        <v>29.375572858362908</v>
      </c>
      <c r="T54" s="197">
        <v>28.967777362326522</v>
      </c>
      <c r="U54" s="197">
        <v>28.938793733846786</v>
      </c>
      <c r="V54" s="197">
        <v>25.879977100537332</v>
      </c>
      <c r="W54" s="197">
        <v>24.644746489389469</v>
      </c>
      <c r="X54" s="197">
        <v>23.262867181278772</v>
      </c>
      <c r="Y54" s="197">
        <v>22.396640766634068</v>
      </c>
      <c r="Z54" s="197">
        <v>21.748856590514201</v>
      </c>
      <c r="AA54" s="197">
        <v>21.021056240554358</v>
      </c>
      <c r="AB54" s="16">
        <f>Peak!AB56</f>
        <v>0.6499235665711699</v>
      </c>
      <c r="AC54" s="16">
        <f>Peak!AC56</f>
        <v>0</v>
      </c>
      <c r="AD54" s="18">
        <f>Peak!AD56</f>
        <v>240.4080539178627</v>
      </c>
      <c r="AE54" s="18">
        <f>Peak!AE56</f>
        <v>4274.5039754649742</v>
      </c>
      <c r="AF54" s="16">
        <f>Peak!AF56</f>
        <v>0</v>
      </c>
      <c r="AG54" s="73">
        <f>Peak!AG56</f>
        <v>0</v>
      </c>
      <c r="AH54" s="16">
        <f>Peak!AH56</f>
        <v>3.4980224516272855</v>
      </c>
      <c r="AI54" s="16">
        <f>Peak!AI56</f>
        <v>3.3499780487804869</v>
      </c>
      <c r="AJ54" s="16">
        <f>Peak!AJ56</f>
        <v>0</v>
      </c>
      <c r="AK54" s="16">
        <f>Peak!AK56</f>
        <v>0</v>
      </c>
      <c r="AL54" s="4"/>
    </row>
    <row r="55" spans="1:38" x14ac:dyDescent="0.2">
      <c r="A55" s="1">
        <f t="shared" si="5"/>
        <v>37939.182000000059</v>
      </c>
      <c r="B55" s="16">
        <f t="shared" si="3"/>
        <v>3.8304937463218907</v>
      </c>
      <c r="C55" s="17">
        <f t="shared" si="0"/>
        <v>43.302753803765654</v>
      </c>
      <c r="D55" s="16">
        <f t="shared" si="4"/>
        <v>0.65100677251545525</v>
      </c>
      <c r="E55" s="16">
        <f t="shared" si="1"/>
        <v>0</v>
      </c>
      <c r="F55" s="16">
        <f t="shared" si="2"/>
        <v>0</v>
      </c>
      <c r="G55" s="19" t="str">
        <f>IF(IS!$C$2="Peak","-",SUM(C55:F55))</f>
        <v>-</v>
      </c>
      <c r="H55" s="197">
        <v>75.657803801230017</v>
      </c>
      <c r="I55" s="197">
        <v>73.878793945720417</v>
      </c>
      <c r="J55" s="197">
        <v>71.392811624549879</v>
      </c>
      <c r="K55" s="197">
        <v>66.900707385534048</v>
      </c>
      <c r="L55" s="197">
        <v>65.136766073318341</v>
      </c>
      <c r="M55" s="197">
        <v>64.597485608818431</v>
      </c>
      <c r="N55" s="197">
        <v>57.354286677840051</v>
      </c>
      <c r="O55" s="197">
        <v>45.252785946837356</v>
      </c>
      <c r="P55" s="197">
        <v>39.299342527483148</v>
      </c>
      <c r="Q55" s="197">
        <v>37.072941905769781</v>
      </c>
      <c r="R55" s="197">
        <v>34.062255128064891</v>
      </c>
      <c r="S55" s="197">
        <v>33.321432864986932</v>
      </c>
      <c r="T55" s="197">
        <v>32.398808835402832</v>
      </c>
      <c r="U55" s="197">
        <v>26.790041395936814</v>
      </c>
      <c r="V55" s="197">
        <v>25.296177537903759</v>
      </c>
      <c r="W55" s="197">
        <v>24.407427962115811</v>
      </c>
      <c r="X55" s="197">
        <v>23.267853379319302</v>
      </c>
      <c r="Y55" s="197">
        <v>22.834655678301718</v>
      </c>
      <c r="Z55" s="197">
        <v>22.439919331554925</v>
      </c>
      <c r="AA55" s="197">
        <v>21.811307753831347</v>
      </c>
      <c r="AB55" s="16">
        <f>Peak!AB57</f>
        <v>0.65100677251545525</v>
      </c>
      <c r="AC55" s="16">
        <f>Peak!AC57</f>
        <v>0</v>
      </c>
      <c r="AD55" s="18">
        <f>Peak!AD57</f>
        <v>240.4080539178627</v>
      </c>
      <c r="AE55" s="18">
        <f>Peak!AE57</f>
        <v>4274.5039754649742</v>
      </c>
      <c r="AF55" s="16">
        <f>Peak!AF57</f>
        <v>0</v>
      </c>
      <c r="AG55" s="73">
        <f>Peak!AG57</f>
        <v>0</v>
      </c>
      <c r="AH55" s="16">
        <f>Peak!AH57</f>
        <v>3.8304937463218907</v>
      </c>
      <c r="AI55" s="16">
        <f>Peak!AI57</f>
        <v>3.6320814634146337</v>
      </c>
      <c r="AJ55" s="16">
        <f>Peak!AJ57</f>
        <v>0</v>
      </c>
      <c r="AK55" s="16">
        <f>Peak!AK57</f>
        <v>0</v>
      </c>
      <c r="AL55" s="4"/>
    </row>
    <row r="56" spans="1:38" x14ac:dyDescent="0.2">
      <c r="A56" s="1">
        <f t="shared" si="5"/>
        <v>37969.59900000006</v>
      </c>
      <c r="B56" s="16">
        <f t="shared" si="3"/>
        <v>4.1452803976816766</v>
      </c>
      <c r="C56" s="17">
        <f t="shared" si="0"/>
        <v>46.861336526328117</v>
      </c>
      <c r="D56" s="16">
        <f t="shared" si="4"/>
        <v>0.65209178380298105</v>
      </c>
      <c r="E56" s="16">
        <f t="shared" si="1"/>
        <v>0</v>
      </c>
      <c r="F56" s="16">
        <f t="shared" si="2"/>
        <v>0</v>
      </c>
      <c r="G56" s="19" t="str">
        <f>IF(IS!$C$2="Peak","-",SUM(C56:F56))</f>
        <v>-</v>
      </c>
      <c r="H56" s="197">
        <v>86.503101636355069</v>
      </c>
      <c r="I56" s="197">
        <v>75.300460574016114</v>
      </c>
      <c r="J56" s="197">
        <v>73.153484633885597</v>
      </c>
      <c r="K56" s="197">
        <v>69.621438686686844</v>
      </c>
      <c r="L56" s="197">
        <v>65.22375044606072</v>
      </c>
      <c r="M56" s="197">
        <v>64.385070052265007</v>
      </c>
      <c r="N56" s="197">
        <v>62.52217220964134</v>
      </c>
      <c r="O56" s="197">
        <v>51.497249805531567</v>
      </c>
      <c r="P56" s="197">
        <v>44.564201434030942</v>
      </c>
      <c r="Q56" s="197">
        <v>36.82929609896901</v>
      </c>
      <c r="R56" s="197">
        <v>36.53704952600684</v>
      </c>
      <c r="S56" s="197">
        <v>32.613774760640247</v>
      </c>
      <c r="T56" s="197">
        <v>32.470062410947378</v>
      </c>
      <c r="U56" s="197">
        <v>32.470062410947378</v>
      </c>
      <c r="V56" s="197">
        <v>32.470062410947378</v>
      </c>
      <c r="W56" s="197">
        <v>32.470062410947378</v>
      </c>
      <c r="X56" s="197">
        <v>31.204365610780673</v>
      </c>
      <c r="Y56" s="197">
        <v>27.609596638703099</v>
      </c>
      <c r="Z56" s="197">
        <v>26.679184826872763</v>
      </c>
      <c r="AA56" s="197">
        <v>24.082999903243813</v>
      </c>
      <c r="AB56" s="16">
        <f>Peak!AB58</f>
        <v>0.65209178380298105</v>
      </c>
      <c r="AC56" s="16">
        <f>Peak!AC58</f>
        <v>0</v>
      </c>
      <c r="AD56" s="18">
        <f>Peak!AD58</f>
        <v>240.4080539178627</v>
      </c>
      <c r="AE56" s="18">
        <f>Peak!AE58</f>
        <v>4274.5039754649742</v>
      </c>
      <c r="AF56" s="16">
        <f>Peak!AF58</f>
        <v>0</v>
      </c>
      <c r="AG56" s="73">
        <f>Peak!AG58</f>
        <v>0</v>
      </c>
      <c r="AH56" s="16">
        <f>Peak!AH58</f>
        <v>4.1452803976816766</v>
      </c>
      <c r="AI56" s="16">
        <f>Peak!AI58</f>
        <v>3.808396097560975</v>
      </c>
      <c r="AJ56" s="16">
        <f>Peak!AJ58</f>
        <v>0</v>
      </c>
      <c r="AK56" s="16">
        <f>Peak!AK58</f>
        <v>0</v>
      </c>
      <c r="AL56" s="4"/>
    </row>
    <row r="57" spans="1:38" x14ac:dyDescent="0.2">
      <c r="A57" s="1">
        <f t="shared" si="5"/>
        <v>38000.016000000061</v>
      </c>
      <c r="B57" s="16">
        <f t="shared" si="3"/>
        <v>4.0146933517713324</v>
      </c>
      <c r="C57" s="17">
        <f t="shared" si="0"/>
        <v>45.385083313685087</v>
      </c>
      <c r="D57" s="16">
        <f t="shared" si="4"/>
        <v>0.65317860344265266</v>
      </c>
      <c r="E57" s="16">
        <f t="shared" si="1"/>
        <v>0</v>
      </c>
      <c r="F57" s="16">
        <f t="shared" si="2"/>
        <v>0</v>
      </c>
      <c r="G57" s="19" t="str">
        <f>IF(IS!$C$2="Peak","-",SUM(C57:F57))</f>
        <v>-</v>
      </c>
      <c r="H57" s="197">
        <v>77.924930636924003</v>
      </c>
      <c r="I57" s="197">
        <v>74.66636620142063</v>
      </c>
      <c r="J57" s="197">
        <v>73.465830468650381</v>
      </c>
      <c r="K57" s="197">
        <v>73.349873419039511</v>
      </c>
      <c r="L57" s="197">
        <v>72.207054737877598</v>
      </c>
      <c r="M57" s="197">
        <v>66.384015791666826</v>
      </c>
      <c r="N57" s="197">
        <v>50.552298397304433</v>
      </c>
      <c r="O57" s="197">
        <v>45.56320712107329</v>
      </c>
      <c r="P57" s="197">
        <v>44.237650471047104</v>
      </c>
      <c r="Q57" s="197">
        <v>37.540990539524365</v>
      </c>
      <c r="R57" s="197">
        <v>37.026939056060776</v>
      </c>
      <c r="S57" s="197">
        <v>33.062702315870887</v>
      </c>
      <c r="T57" s="197">
        <v>26.89445212205688</v>
      </c>
      <c r="U57" s="197">
        <v>25.498154211301053</v>
      </c>
      <c r="V57" s="197">
        <v>24.924639905935848</v>
      </c>
      <c r="W57" s="197">
        <v>23.746461063724208</v>
      </c>
      <c r="X57" s="197">
        <v>23.317715759704434</v>
      </c>
      <c r="Y57" s="197">
        <v>23.00679745296468</v>
      </c>
      <c r="Z57" s="197">
        <v>22.71501965906161</v>
      </c>
      <c r="AA57" s="197">
        <v>22.197177358218802</v>
      </c>
      <c r="AB57" s="16">
        <f>Peak!AB59</f>
        <v>0.65317860344265266</v>
      </c>
      <c r="AC57" s="16">
        <f>Peak!AC59</f>
        <v>0</v>
      </c>
      <c r="AD57" s="18">
        <f>Peak!AD59</f>
        <v>264.14659569665338</v>
      </c>
      <c r="AE57" s="18">
        <f>Peak!AE59</f>
        <v>3642.145326358393</v>
      </c>
      <c r="AF57" s="16">
        <f>Peak!AF59</f>
        <v>0</v>
      </c>
      <c r="AG57" s="73">
        <f>Peak!AG59</f>
        <v>0</v>
      </c>
      <c r="AH57" s="16">
        <f>Peak!AH59</f>
        <v>4.0146933517713324</v>
      </c>
      <c r="AI57" s="16">
        <f>Peak!AI59</f>
        <v>3.8442498113207555</v>
      </c>
      <c r="AJ57" s="16">
        <f>Peak!AJ59</f>
        <v>0</v>
      </c>
      <c r="AK57" s="16">
        <f>Peak!AK59</f>
        <v>0</v>
      </c>
      <c r="AL57" s="4"/>
    </row>
    <row r="58" spans="1:38" x14ac:dyDescent="0.2">
      <c r="A58" s="1">
        <f t="shared" si="5"/>
        <v>38030.433000000063</v>
      </c>
      <c r="B58" s="16">
        <f t="shared" si="3"/>
        <v>3.598275690284412</v>
      </c>
      <c r="C58" s="17">
        <f t="shared" si="0"/>
        <v>40.67758796997839</v>
      </c>
      <c r="D58" s="16">
        <f t="shared" si="4"/>
        <v>0.65426723444839041</v>
      </c>
      <c r="E58" s="16">
        <f t="shared" si="1"/>
        <v>0</v>
      </c>
      <c r="F58" s="16">
        <f t="shared" si="2"/>
        <v>0</v>
      </c>
      <c r="G58" s="19" t="str">
        <f>IF(IS!$C$2="Peak","-",SUM(C58:F58))</f>
        <v>-</v>
      </c>
      <c r="H58" s="197">
        <v>78.142813113795825</v>
      </c>
      <c r="I58" s="197">
        <v>72.281333737853146</v>
      </c>
      <c r="J58" s="197">
        <v>70.173761672953589</v>
      </c>
      <c r="K58" s="197">
        <v>65.94643925395701</v>
      </c>
      <c r="L58" s="197">
        <v>64.925792395300903</v>
      </c>
      <c r="M58" s="197">
        <v>64.186181966721833</v>
      </c>
      <c r="N58" s="197">
        <v>52.786163879704105</v>
      </c>
      <c r="O58" s="197">
        <v>43.846434738629199</v>
      </c>
      <c r="P58" s="197">
        <v>40.833843313038102</v>
      </c>
      <c r="Q58" s="197">
        <v>35.856297136856675</v>
      </c>
      <c r="R58" s="197">
        <v>32.972799474753295</v>
      </c>
      <c r="S58" s="197">
        <v>32.972799474753295</v>
      </c>
      <c r="T58" s="197">
        <v>32.56027203123918</v>
      </c>
      <c r="U58" s="197">
        <v>28.804382663798624</v>
      </c>
      <c r="V58" s="197">
        <v>26.442055403281351</v>
      </c>
      <c r="W58" s="197">
        <v>25.861423422490013</v>
      </c>
      <c r="X58" s="197">
        <v>24.88162250217631</v>
      </c>
      <c r="Y58" s="197">
        <v>24.411510453752474</v>
      </c>
      <c r="Z58" s="197">
        <v>24.146909059052184</v>
      </c>
      <c r="AA58" s="197">
        <v>23.625690100140467</v>
      </c>
      <c r="AB58" s="16">
        <f>Peak!AB60</f>
        <v>0.65426723444839041</v>
      </c>
      <c r="AC58" s="16">
        <f>Peak!AC60</f>
        <v>0</v>
      </c>
      <c r="AD58" s="18">
        <f>Peak!AD60</f>
        <v>264.14659569665338</v>
      </c>
      <c r="AE58" s="18">
        <f>Peak!AE60</f>
        <v>3642.145326358393</v>
      </c>
      <c r="AF58" s="16">
        <f>Peak!AF60</f>
        <v>0</v>
      </c>
      <c r="AG58" s="73">
        <f>Peak!AG60</f>
        <v>0</v>
      </c>
      <c r="AH58" s="16">
        <f>Peak!AH60</f>
        <v>3.598275690284412</v>
      </c>
      <c r="AI58" s="16">
        <f>Peak!AI60</f>
        <v>3.8086549056603785</v>
      </c>
      <c r="AJ58" s="16">
        <f>Peak!AJ60</f>
        <v>0</v>
      </c>
      <c r="AK58" s="16">
        <f>Peak!AK60</f>
        <v>0</v>
      </c>
      <c r="AL58" s="4"/>
    </row>
    <row r="59" spans="1:38" x14ac:dyDescent="0.2">
      <c r="A59" s="1">
        <f t="shared" si="5"/>
        <v>38060.850000000064</v>
      </c>
      <c r="B59" s="16">
        <f t="shared" si="3"/>
        <v>3.5377705599828939</v>
      </c>
      <c r="C59" s="17">
        <f t="shared" si="0"/>
        <v>39.993592920038104</v>
      </c>
      <c r="D59" s="16">
        <f t="shared" si="4"/>
        <v>0.65535767983913773</v>
      </c>
      <c r="E59" s="16">
        <f t="shared" si="1"/>
        <v>0</v>
      </c>
      <c r="F59" s="16">
        <f t="shared" si="2"/>
        <v>0</v>
      </c>
      <c r="G59" s="19" t="str">
        <f>IF(IS!$C$2="Peak","-",SUM(C59:F59))</f>
        <v>-</v>
      </c>
      <c r="H59" s="197">
        <v>102.87258516876197</v>
      </c>
      <c r="I59" s="197">
        <v>75.110789904043301</v>
      </c>
      <c r="J59" s="197">
        <v>62.754755032448429</v>
      </c>
      <c r="K59" s="197">
        <v>60.217613918866121</v>
      </c>
      <c r="L59" s="197">
        <v>56.646191573736232</v>
      </c>
      <c r="M59" s="197">
        <v>53.779938074099405</v>
      </c>
      <c r="N59" s="197">
        <v>53.371222025270598</v>
      </c>
      <c r="O59" s="197">
        <v>48.485718160965426</v>
      </c>
      <c r="P59" s="197">
        <v>38.515918646043062</v>
      </c>
      <c r="Q59" s="197">
        <v>33.858109398151001</v>
      </c>
      <c r="R59" s="197">
        <v>30.91725023147734</v>
      </c>
      <c r="S59" s="197">
        <v>28.736500981307977</v>
      </c>
      <c r="T59" s="197">
        <v>27.706836538767316</v>
      </c>
      <c r="U59" s="197">
        <v>27.706836538767316</v>
      </c>
      <c r="V59" s="197">
        <v>27.586936268338171</v>
      </c>
      <c r="W59" s="197">
        <v>27.496258880636564</v>
      </c>
      <c r="X59" s="197">
        <v>27.380342368650986</v>
      </c>
      <c r="Y59" s="197">
        <v>26.691893344235091</v>
      </c>
      <c r="Z59" s="197">
        <v>23.552613559515532</v>
      </c>
      <c r="AA59" s="197">
        <v>21.199341710079153</v>
      </c>
      <c r="AB59" s="16">
        <f>Peak!AB61</f>
        <v>0.65535767983913773</v>
      </c>
      <c r="AC59" s="16">
        <f>Peak!AC61</f>
        <v>0</v>
      </c>
      <c r="AD59" s="18">
        <f>Peak!AD61</f>
        <v>264.14659569665338</v>
      </c>
      <c r="AE59" s="18">
        <f>Peak!AE61</f>
        <v>3642.145326358393</v>
      </c>
      <c r="AF59" s="16">
        <f>Peak!AF61</f>
        <v>0</v>
      </c>
      <c r="AG59" s="73">
        <f>Peak!AG61</f>
        <v>0</v>
      </c>
      <c r="AH59" s="16">
        <f>Peak!AH61</f>
        <v>3.5377705599828939</v>
      </c>
      <c r="AI59" s="16">
        <f>Peak!AI61</f>
        <v>3.6662752830188685</v>
      </c>
      <c r="AJ59" s="16">
        <f>Peak!AJ61</f>
        <v>0</v>
      </c>
      <c r="AK59" s="16">
        <f>Peak!AK61</f>
        <v>0</v>
      </c>
      <c r="AL59" s="4"/>
    </row>
    <row r="60" spans="1:38" x14ac:dyDescent="0.2">
      <c r="A60" s="1">
        <f t="shared" si="5"/>
        <v>38091.267000000065</v>
      </c>
      <c r="B60" s="16">
        <f t="shared" si="3"/>
        <v>3.3633734197020471</v>
      </c>
      <c r="C60" s="17">
        <f t="shared" si="0"/>
        <v>38.022077776092573</v>
      </c>
      <c r="D60" s="16">
        <f t="shared" si="4"/>
        <v>0.65644994263886969</v>
      </c>
      <c r="E60" s="16">
        <f t="shared" si="1"/>
        <v>0</v>
      </c>
      <c r="F60" s="16">
        <f t="shared" si="2"/>
        <v>0</v>
      </c>
      <c r="G60" s="19" t="str">
        <f>IF(IS!$C$2="Peak","-",SUM(C60:F60))</f>
        <v>-</v>
      </c>
      <c r="H60" s="197">
        <v>64.094135083462817</v>
      </c>
      <c r="I60" s="197">
        <v>56.252229689460094</v>
      </c>
      <c r="J60" s="197">
        <v>54.424556013860425</v>
      </c>
      <c r="K60" s="197">
        <v>50.894599112358897</v>
      </c>
      <c r="L60" s="197">
        <v>49.146184882367947</v>
      </c>
      <c r="M60" s="197">
        <v>49.028168109510474</v>
      </c>
      <c r="N60" s="197">
        <v>41.223842564640663</v>
      </c>
      <c r="O60" s="197">
        <v>35.657668472219967</v>
      </c>
      <c r="P60" s="197">
        <v>35.467053872397898</v>
      </c>
      <c r="Q60" s="197">
        <v>35.120540773395845</v>
      </c>
      <c r="R60" s="197">
        <v>29.850501240756135</v>
      </c>
      <c r="S60" s="197">
        <v>27.148931990278786</v>
      </c>
      <c r="T60" s="197">
        <v>25.719677727754508</v>
      </c>
      <c r="U60" s="197">
        <v>25.546975814515481</v>
      </c>
      <c r="V60" s="197">
        <v>25.546975814515481</v>
      </c>
      <c r="W60" s="197">
        <v>25.35956303738897</v>
      </c>
      <c r="X60" s="197">
        <v>24.369456548653204</v>
      </c>
      <c r="Y60" s="197">
        <v>24.16156497315631</v>
      </c>
      <c r="Z60" s="197">
        <v>23.862147244439008</v>
      </c>
      <c r="AA60" s="197">
        <v>23.242870661266856</v>
      </c>
      <c r="AB60" s="16">
        <f>Peak!AB62</f>
        <v>0.65644994263886969</v>
      </c>
      <c r="AC60" s="16">
        <f>Peak!AC62</f>
        <v>0</v>
      </c>
      <c r="AD60" s="18">
        <f>Peak!AD62</f>
        <v>264.14659569665338</v>
      </c>
      <c r="AE60" s="18">
        <f>Peak!AE62</f>
        <v>3642.145326358393</v>
      </c>
      <c r="AF60" s="16">
        <f>Peak!AF62</f>
        <v>0</v>
      </c>
      <c r="AG60" s="73">
        <f>Peak!AG62</f>
        <v>0</v>
      </c>
      <c r="AH60" s="16">
        <f>Peak!AH62</f>
        <v>3.3633734197020471</v>
      </c>
      <c r="AI60" s="16">
        <f>Peak!AI62</f>
        <v>3.523895660377359</v>
      </c>
      <c r="AJ60" s="16">
        <f>Peak!AJ62</f>
        <v>0</v>
      </c>
      <c r="AK60" s="16">
        <f>Peak!AK62</f>
        <v>0</v>
      </c>
      <c r="AL60" s="4"/>
    </row>
    <row r="61" spans="1:38" x14ac:dyDescent="0.2">
      <c r="A61" s="1">
        <f t="shared" si="5"/>
        <v>38121.684000000067</v>
      </c>
      <c r="B61" s="16">
        <f t="shared" si="3"/>
        <v>3.5413296852947478</v>
      </c>
      <c r="C61" s="17">
        <f t="shared" si="0"/>
        <v>40.033827922975775</v>
      </c>
      <c r="D61" s="16">
        <f t="shared" si="4"/>
        <v>0.65754402587660121</v>
      </c>
      <c r="E61" s="16">
        <f t="shared" si="1"/>
        <v>0</v>
      </c>
      <c r="F61" s="16">
        <f t="shared" si="2"/>
        <v>0</v>
      </c>
      <c r="G61" s="19" t="str">
        <f>IF(IS!$C$2="Peak","-",SUM(C61:F61))</f>
        <v>-</v>
      </c>
      <c r="H61" s="197">
        <v>72.265641483905199</v>
      </c>
      <c r="I61" s="197">
        <v>68.532451347526901</v>
      </c>
      <c r="J61" s="197">
        <v>64.999490797839854</v>
      </c>
      <c r="K61" s="197">
        <v>64.410875507792042</v>
      </c>
      <c r="L61" s="197">
        <v>57.520470353531231</v>
      </c>
      <c r="M61" s="197">
        <v>51.228044258165966</v>
      </c>
      <c r="N61" s="197">
        <v>44.690881374892271</v>
      </c>
      <c r="O61" s="197">
        <v>35.40871644973749</v>
      </c>
      <c r="P61" s="197">
        <v>32.422654688059417</v>
      </c>
      <c r="Q61" s="197">
        <v>31.619879302169142</v>
      </c>
      <c r="R61" s="197">
        <v>31.498410041090978</v>
      </c>
      <c r="S61" s="197">
        <v>31.498410041090978</v>
      </c>
      <c r="T61" s="197">
        <v>31.367804479480846</v>
      </c>
      <c r="U61" s="197">
        <v>31.248842107747077</v>
      </c>
      <c r="V61" s="197">
        <v>30.703733088166292</v>
      </c>
      <c r="W61" s="197">
        <v>29.676308296012323</v>
      </c>
      <c r="X61" s="197">
        <v>29.142619820810172</v>
      </c>
      <c r="Y61" s="197">
        <v>28.999831339466564</v>
      </c>
      <c r="Z61" s="197">
        <v>28.606411451430318</v>
      </c>
      <c r="AA61" s="197">
        <v>27.365219931964525</v>
      </c>
      <c r="AB61" s="16">
        <f>Peak!AB63</f>
        <v>0.65754402587660121</v>
      </c>
      <c r="AC61" s="16">
        <f>Peak!AC63</f>
        <v>0</v>
      </c>
      <c r="AD61" s="18">
        <f>Peak!AD63</f>
        <v>264.14659569665338</v>
      </c>
      <c r="AE61" s="18">
        <f>Peak!AE63</f>
        <v>3642.145326358393</v>
      </c>
      <c r="AF61" s="16">
        <f>Peak!AF63</f>
        <v>1</v>
      </c>
      <c r="AG61" s="73">
        <f>Peak!AG63</f>
        <v>0</v>
      </c>
      <c r="AH61" s="16">
        <f>Peak!AH63</f>
        <v>3.5413296852947478</v>
      </c>
      <c r="AI61" s="16">
        <f>Peak!AI63</f>
        <v>3.3815160377358495</v>
      </c>
      <c r="AJ61" s="16">
        <f>Peak!AJ63</f>
        <v>0</v>
      </c>
      <c r="AK61" s="16">
        <f>Peak!AK63</f>
        <v>0</v>
      </c>
      <c r="AL61" s="4"/>
    </row>
    <row r="62" spans="1:38" x14ac:dyDescent="0.2">
      <c r="A62" s="1">
        <f t="shared" si="5"/>
        <v>38152.101000000068</v>
      </c>
      <c r="B62" s="16">
        <f t="shared" si="3"/>
        <v>3.3740507956376091</v>
      </c>
      <c r="C62" s="17">
        <f t="shared" si="0"/>
        <v>38.142782784905563</v>
      </c>
      <c r="D62" s="16">
        <f t="shared" si="4"/>
        <v>0.65863993258639553</v>
      </c>
      <c r="E62" s="16">
        <f t="shared" si="1"/>
        <v>0</v>
      </c>
      <c r="F62" s="16">
        <f t="shared" si="2"/>
        <v>0</v>
      </c>
      <c r="G62" s="19" t="str">
        <f>IF(IS!$C$2="Peak","-",SUM(C62:F62))</f>
        <v>-</v>
      </c>
      <c r="H62" s="197">
        <v>329.79568723500768</v>
      </c>
      <c r="I62" s="197">
        <v>213.93891521747696</v>
      </c>
      <c r="J62" s="197">
        <v>157.45825850279422</v>
      </c>
      <c r="K62" s="197">
        <v>67.224761468180802</v>
      </c>
      <c r="L62" s="197">
        <v>57.634479163676914</v>
      </c>
      <c r="M62" s="197">
        <v>51.563810972489733</v>
      </c>
      <c r="N62" s="197">
        <v>47.258167326754617</v>
      </c>
      <c r="O62" s="197">
        <v>45.616128877236513</v>
      </c>
      <c r="P62" s="197">
        <v>35.754753944355052</v>
      </c>
      <c r="Q62" s="197">
        <v>33.805534854943062</v>
      </c>
      <c r="R62" s="197">
        <v>32.150737210807229</v>
      </c>
      <c r="S62" s="197">
        <v>29.317029477157444</v>
      </c>
      <c r="T62" s="197">
        <v>27.762260714706759</v>
      </c>
      <c r="U62" s="197">
        <v>27.385413353657793</v>
      </c>
      <c r="V62" s="197">
        <v>26.461720393921354</v>
      </c>
      <c r="W62" s="197">
        <v>25.827235611550229</v>
      </c>
      <c r="X62" s="197">
        <v>24.802472841271946</v>
      </c>
      <c r="Y62" s="197">
        <v>24.097291563206028</v>
      </c>
      <c r="Z62" s="197">
        <v>23.998514691064521</v>
      </c>
      <c r="AA62" s="197">
        <v>22.678617579027815</v>
      </c>
      <c r="AB62" s="16">
        <f>Peak!AB64</f>
        <v>0.65863993258639553</v>
      </c>
      <c r="AC62" s="16">
        <f>Peak!AC64</f>
        <v>0</v>
      </c>
      <c r="AD62" s="18">
        <f>Peak!AD64</f>
        <v>264.14659569665338</v>
      </c>
      <c r="AE62" s="18">
        <f>Peak!AE64</f>
        <v>3642.145326358393</v>
      </c>
      <c r="AF62" s="16">
        <f>Peak!AF64</f>
        <v>1</v>
      </c>
      <c r="AG62" s="73">
        <f>Peak!AG64</f>
        <v>0</v>
      </c>
      <c r="AH62" s="16">
        <f>Peak!AH64</f>
        <v>3.3740507956376091</v>
      </c>
      <c r="AI62" s="16">
        <f>Peak!AI64</f>
        <v>3.3815160377358495</v>
      </c>
      <c r="AJ62" s="16">
        <f>Peak!AJ64</f>
        <v>0</v>
      </c>
      <c r="AK62" s="16">
        <f>Peak!AK64</f>
        <v>0</v>
      </c>
      <c r="AL62" s="4"/>
    </row>
    <row r="63" spans="1:38" x14ac:dyDescent="0.2">
      <c r="A63" s="1">
        <f t="shared" si="5"/>
        <v>38182.518000000069</v>
      </c>
      <c r="B63" s="16">
        <f t="shared" si="3"/>
        <v>3.3633734197020471</v>
      </c>
      <c r="C63" s="17">
        <f t="shared" si="0"/>
        <v>38.022077776092573</v>
      </c>
      <c r="D63" s="16">
        <f t="shared" si="4"/>
        <v>0.65973766580737292</v>
      </c>
      <c r="E63" s="16">
        <f t="shared" si="1"/>
        <v>0</v>
      </c>
      <c r="F63" s="16">
        <f t="shared" si="2"/>
        <v>0</v>
      </c>
      <c r="G63" s="19" t="str">
        <f>IF(IS!$C$2="Peak","-",SUM(C63:F63))</f>
        <v>-</v>
      </c>
      <c r="H63" s="197">
        <v>480.70051839704712</v>
      </c>
      <c r="I63" s="197">
        <v>279.43392623901167</v>
      </c>
      <c r="J63" s="197">
        <v>200.46398979230241</v>
      </c>
      <c r="K63" s="197">
        <v>115.82122062394672</v>
      </c>
      <c r="L63" s="197">
        <v>85.177887484427316</v>
      </c>
      <c r="M63" s="197">
        <v>74.849212254957635</v>
      </c>
      <c r="N63" s="197">
        <v>68.815570285160959</v>
      </c>
      <c r="O63" s="197">
        <v>66.924565510086381</v>
      </c>
      <c r="P63" s="197">
        <v>50.114333555445363</v>
      </c>
      <c r="Q63" s="197">
        <v>44.705864261783674</v>
      </c>
      <c r="R63" s="197">
        <v>41.897137266814497</v>
      </c>
      <c r="S63" s="197">
        <v>35.553567608667223</v>
      </c>
      <c r="T63" s="197">
        <v>33.167677143235181</v>
      </c>
      <c r="U63" s="197">
        <v>33.146371516503734</v>
      </c>
      <c r="V63" s="197">
        <v>33.146371516503734</v>
      </c>
      <c r="W63" s="197">
        <v>32.862634633153199</v>
      </c>
      <c r="X63" s="197">
        <v>31.743271678563417</v>
      </c>
      <c r="Y63" s="197">
        <v>31.32740976863618</v>
      </c>
      <c r="Z63" s="197">
        <v>30.583569104163935</v>
      </c>
      <c r="AA63" s="197">
        <v>28.756178860417961</v>
      </c>
      <c r="AB63" s="16">
        <f>Peak!AB65</f>
        <v>0.65973766580737292</v>
      </c>
      <c r="AC63" s="16">
        <f>Peak!AC65</f>
        <v>0</v>
      </c>
      <c r="AD63" s="18">
        <f>Peak!AD65</f>
        <v>264.14659569665338</v>
      </c>
      <c r="AE63" s="18">
        <f>Peak!AE65</f>
        <v>3642.145326358393</v>
      </c>
      <c r="AF63" s="16">
        <f>Peak!AF65</f>
        <v>1</v>
      </c>
      <c r="AG63" s="73">
        <f>Peak!AG65</f>
        <v>0</v>
      </c>
      <c r="AH63" s="16">
        <f>Peak!AH65</f>
        <v>3.3633734197020471</v>
      </c>
      <c r="AI63" s="16">
        <f>Peak!AI65</f>
        <v>3.3815160377358495</v>
      </c>
      <c r="AJ63" s="16">
        <f>Peak!AJ65</f>
        <v>0</v>
      </c>
      <c r="AK63" s="16">
        <f>Peak!AK65</f>
        <v>0</v>
      </c>
      <c r="AL63" s="4"/>
    </row>
    <row r="64" spans="1:38" x14ac:dyDescent="0.2">
      <c r="A64" s="1">
        <f t="shared" si="5"/>
        <v>38212.93500000007</v>
      </c>
      <c r="B64" s="16">
        <f t="shared" si="3"/>
        <v>3.1889762794212002</v>
      </c>
      <c r="C64" s="17">
        <f t="shared" si="0"/>
        <v>36.050562632147027</v>
      </c>
      <c r="D64" s="16">
        <f t="shared" si="4"/>
        <v>0.66083722858371852</v>
      </c>
      <c r="E64" s="16">
        <f t="shared" si="1"/>
        <v>0</v>
      </c>
      <c r="F64" s="16">
        <f t="shared" si="2"/>
        <v>0</v>
      </c>
      <c r="G64" s="19" t="str">
        <f>IF(IS!$C$2="Peak","-",SUM(C64:F64))</f>
        <v>-</v>
      </c>
      <c r="H64" s="197">
        <v>1628.7024036401699</v>
      </c>
      <c r="I64" s="197">
        <v>797.53502335473297</v>
      </c>
      <c r="J64" s="197">
        <v>480.88558800833215</v>
      </c>
      <c r="K64" s="197">
        <v>258.59729819595134</v>
      </c>
      <c r="L64" s="197">
        <v>155.2187087150852</v>
      </c>
      <c r="M64" s="197">
        <v>64.180352660245759</v>
      </c>
      <c r="N64" s="197">
        <v>51.122684368686649</v>
      </c>
      <c r="O64" s="197">
        <v>45.480348343963776</v>
      </c>
      <c r="P64" s="197">
        <v>43.827749891303974</v>
      </c>
      <c r="Q64" s="197">
        <v>35.597235392085928</v>
      </c>
      <c r="R64" s="197">
        <v>32.395312526247224</v>
      </c>
      <c r="S64" s="197">
        <v>31.396119018990639</v>
      </c>
      <c r="T64" s="197">
        <v>30.552708125968806</v>
      </c>
      <c r="U64" s="197">
        <v>29.601438376882921</v>
      </c>
      <c r="V64" s="197">
        <v>29.159195757010153</v>
      </c>
      <c r="W64" s="197">
        <v>28.633769177563273</v>
      </c>
      <c r="X64" s="197">
        <v>28.075394106308426</v>
      </c>
      <c r="Y64" s="197">
        <v>27.508496376106898</v>
      </c>
      <c r="Z64" s="197">
        <v>26.896894847671508</v>
      </c>
      <c r="AA64" s="197">
        <v>26.005201303072024</v>
      </c>
      <c r="AB64" s="16">
        <f>Peak!AB66</f>
        <v>0.66083722858371852</v>
      </c>
      <c r="AC64" s="16">
        <f>Peak!AC66</f>
        <v>0</v>
      </c>
      <c r="AD64" s="18">
        <f>Peak!AD66</f>
        <v>264.14659569665338</v>
      </c>
      <c r="AE64" s="18">
        <f>Peak!AE66</f>
        <v>3642.145326358393</v>
      </c>
      <c r="AF64" s="16">
        <f>Peak!AF66</f>
        <v>1</v>
      </c>
      <c r="AG64" s="73">
        <f>Peak!AG66</f>
        <v>0</v>
      </c>
      <c r="AH64" s="16">
        <f>Peak!AH66</f>
        <v>3.1889762794212002</v>
      </c>
      <c r="AI64" s="16">
        <f>Peak!AI66</f>
        <v>3.3815160377358495</v>
      </c>
      <c r="AJ64" s="16">
        <f>Peak!AJ66</f>
        <v>0</v>
      </c>
      <c r="AK64" s="16">
        <f>Peak!AK66</f>
        <v>0</v>
      </c>
      <c r="AL64" s="4"/>
    </row>
    <row r="65" spans="1:38" x14ac:dyDescent="0.2">
      <c r="A65" s="1">
        <f t="shared" si="5"/>
        <v>38243.352000000072</v>
      </c>
      <c r="B65" s="16">
        <f t="shared" si="3"/>
        <v>3.1782989034856381</v>
      </c>
      <c r="C65" s="17">
        <f t="shared" si="0"/>
        <v>35.929857623334037</v>
      </c>
      <c r="D65" s="16">
        <f t="shared" si="4"/>
        <v>0.66193862396469139</v>
      </c>
      <c r="E65" s="16">
        <f t="shared" si="1"/>
        <v>0</v>
      </c>
      <c r="F65" s="16">
        <f t="shared" si="2"/>
        <v>0</v>
      </c>
      <c r="G65" s="19" t="str">
        <f>IF(IS!$C$2="Peak","-",SUM(C65:F65))</f>
        <v>-</v>
      </c>
      <c r="H65" s="197">
        <v>116.61713602511725</v>
      </c>
      <c r="I65" s="197">
        <v>92.598682253508869</v>
      </c>
      <c r="J65" s="197">
        <v>78.292384039574884</v>
      </c>
      <c r="K65" s="197">
        <v>68.690584008832232</v>
      </c>
      <c r="L65" s="197">
        <v>63.805360042668553</v>
      </c>
      <c r="M65" s="197">
        <v>61.937232257057019</v>
      </c>
      <c r="N65" s="197">
        <v>53.68231470723692</v>
      </c>
      <c r="O65" s="197">
        <v>46.165074179889274</v>
      </c>
      <c r="P65" s="197">
        <v>39.149954217681383</v>
      </c>
      <c r="Q65" s="197">
        <v>33.385020360034218</v>
      </c>
      <c r="R65" s="197">
        <v>31.869295640467669</v>
      </c>
      <c r="S65" s="197">
        <v>31.148844564556516</v>
      </c>
      <c r="T65" s="197">
        <v>31.041719087737857</v>
      </c>
      <c r="U65" s="197">
        <v>31.041719087737857</v>
      </c>
      <c r="V65" s="197">
        <v>30.810965079053187</v>
      </c>
      <c r="W65" s="197">
        <v>30.698911852223933</v>
      </c>
      <c r="X65" s="197">
        <v>29.94097012306694</v>
      </c>
      <c r="Y65" s="197">
        <v>29.394846969620268</v>
      </c>
      <c r="Z65" s="197">
        <v>29.150333255241414</v>
      </c>
      <c r="AA65" s="197">
        <v>27.796803395581527</v>
      </c>
      <c r="AB65" s="16">
        <f>Peak!AB67</f>
        <v>0.66193862396469139</v>
      </c>
      <c r="AC65" s="16">
        <f>Peak!AC67</f>
        <v>0</v>
      </c>
      <c r="AD65" s="18">
        <f>Peak!AD67</f>
        <v>264.14659569665338</v>
      </c>
      <c r="AE65" s="18">
        <f>Peak!AE67</f>
        <v>3642.145326358393</v>
      </c>
      <c r="AF65" s="16">
        <f>Peak!AF67</f>
        <v>1</v>
      </c>
      <c r="AG65" s="73">
        <f>Peak!AG67</f>
        <v>0</v>
      </c>
      <c r="AH65" s="16">
        <f>Peak!AH67</f>
        <v>3.1782989034856381</v>
      </c>
      <c r="AI65" s="16">
        <f>Peak!AI67</f>
        <v>3.3815160377358495</v>
      </c>
      <c r="AJ65" s="16">
        <f>Peak!AJ67</f>
        <v>0</v>
      </c>
      <c r="AK65" s="16">
        <f>Peak!AK67</f>
        <v>0</v>
      </c>
      <c r="AL65" s="4"/>
    </row>
    <row r="66" spans="1:38" x14ac:dyDescent="0.2">
      <c r="A66" s="1">
        <f t="shared" si="5"/>
        <v>38273.769000000073</v>
      </c>
      <c r="B66" s="16">
        <f t="shared" si="3"/>
        <v>3.5199749334236237</v>
      </c>
      <c r="C66" s="17">
        <f t="shared" si="0"/>
        <v>39.792417905349787</v>
      </c>
      <c r="D66" s="16">
        <f t="shared" si="4"/>
        <v>0.66304185500463253</v>
      </c>
      <c r="E66" s="16">
        <f t="shared" si="1"/>
        <v>0</v>
      </c>
      <c r="F66" s="16">
        <f t="shared" si="2"/>
        <v>0</v>
      </c>
      <c r="G66" s="19" t="str">
        <f>IF(IS!$C$2="Peak","-",SUM(C66:F66))</f>
        <v>-</v>
      </c>
      <c r="H66" s="197">
        <v>64.416434267290214</v>
      </c>
      <c r="I66" s="197">
        <v>62.964214475930895</v>
      </c>
      <c r="J66" s="197">
        <v>60.120941634334848</v>
      </c>
      <c r="K66" s="197">
        <v>57.13132356710021</v>
      </c>
      <c r="L66" s="197">
        <v>56.842616531325405</v>
      </c>
      <c r="M66" s="197">
        <v>54.498260120396061</v>
      </c>
      <c r="N66" s="197">
        <v>42.333673725214837</v>
      </c>
      <c r="O66" s="197">
        <v>36.420008190825413</v>
      </c>
      <c r="P66" s="197">
        <v>32.649395483373553</v>
      </c>
      <c r="Q66" s="197">
        <v>30.361320288947201</v>
      </c>
      <c r="R66" s="197">
        <v>29.156405330228655</v>
      </c>
      <c r="S66" s="197">
        <v>29.156405330228655</v>
      </c>
      <c r="T66" s="197">
        <v>29.008874974473915</v>
      </c>
      <c r="U66" s="197">
        <v>28.931753991926247</v>
      </c>
      <c r="V66" s="197">
        <v>28.771366761737674</v>
      </c>
      <c r="W66" s="197">
        <v>28.707648322142717</v>
      </c>
      <c r="X66" s="197">
        <v>28.39756776707474</v>
      </c>
      <c r="Y66" s="197">
        <v>24.039938588816405</v>
      </c>
      <c r="Z66" s="197">
        <v>22.87685725027886</v>
      </c>
      <c r="AA66" s="197">
        <v>21.04733929005409</v>
      </c>
      <c r="AB66" s="16">
        <f>Peak!AB68</f>
        <v>0.66304185500463253</v>
      </c>
      <c r="AC66" s="16">
        <f>Peak!AC68</f>
        <v>0</v>
      </c>
      <c r="AD66" s="18">
        <f>Peak!AD68</f>
        <v>264.14659569665338</v>
      </c>
      <c r="AE66" s="18">
        <f>Peak!AE68</f>
        <v>3642.145326358393</v>
      </c>
      <c r="AF66" s="16">
        <f>Peak!AF68</f>
        <v>0</v>
      </c>
      <c r="AG66" s="73">
        <f>Peak!AG68</f>
        <v>0</v>
      </c>
      <c r="AH66" s="16">
        <f>Peak!AH68</f>
        <v>3.5199749334236237</v>
      </c>
      <c r="AI66" s="16">
        <f>Peak!AI68</f>
        <v>3.3815160377358495</v>
      </c>
      <c r="AJ66" s="16">
        <f>Peak!AJ68</f>
        <v>0</v>
      </c>
      <c r="AK66" s="16">
        <f>Peak!AK68</f>
        <v>0</v>
      </c>
      <c r="AL66" s="4"/>
    </row>
    <row r="67" spans="1:38" x14ac:dyDescent="0.2">
      <c r="A67" s="1">
        <f t="shared" si="5"/>
        <v>38304.186000000074</v>
      </c>
      <c r="B67" s="16">
        <f t="shared" si="3"/>
        <v>3.8545327127379014</v>
      </c>
      <c r="C67" s="17">
        <f t="shared" si="0"/>
        <v>43.574508181490202</v>
      </c>
      <c r="D67" s="16">
        <f t="shared" si="4"/>
        <v>0.66414692476297366</v>
      </c>
      <c r="E67" s="16">
        <f t="shared" si="1"/>
        <v>0</v>
      </c>
      <c r="F67" s="16">
        <f t="shared" si="2"/>
        <v>0</v>
      </c>
      <c r="G67" s="19" t="str">
        <f>IF(IS!$C$2="Peak","-",SUM(C67:F67))</f>
        <v>-</v>
      </c>
      <c r="H67" s="197">
        <v>80.208553162574574</v>
      </c>
      <c r="I67" s="197">
        <v>78.1817208468768</v>
      </c>
      <c r="J67" s="197">
        <v>78.115776968555224</v>
      </c>
      <c r="K67" s="197">
        <v>77.573873474116766</v>
      </c>
      <c r="L67" s="197">
        <v>74.316134404804387</v>
      </c>
      <c r="M67" s="197">
        <v>59.930483597347084</v>
      </c>
      <c r="N67" s="197">
        <v>50.594986587370919</v>
      </c>
      <c r="O67" s="197">
        <v>45.224759133939514</v>
      </c>
      <c r="P67" s="197">
        <v>40.623889175872065</v>
      </c>
      <c r="Q67" s="197">
        <v>28.90640163101866</v>
      </c>
      <c r="R67" s="197">
        <v>28.08807065788136</v>
      </c>
      <c r="S67" s="197">
        <v>26.748180359511771</v>
      </c>
      <c r="T67" s="197">
        <v>25.651569145397421</v>
      </c>
      <c r="U67" s="197">
        <v>25.208937943677277</v>
      </c>
      <c r="V67" s="197">
        <v>24.801875744360199</v>
      </c>
      <c r="W67" s="197">
        <v>24.482097129030077</v>
      </c>
      <c r="X67" s="197">
        <v>24.238813608935615</v>
      </c>
      <c r="Y67" s="197">
        <v>23.954602579162778</v>
      </c>
      <c r="Z67" s="197">
        <v>23.795996622938404</v>
      </c>
      <c r="AA67" s="197">
        <v>23.284694235607216</v>
      </c>
      <c r="AB67" s="16">
        <f>Peak!AB69</f>
        <v>0.66414692476297366</v>
      </c>
      <c r="AC67" s="16">
        <f>Peak!AC69</f>
        <v>0</v>
      </c>
      <c r="AD67" s="18">
        <f>Peak!AD69</f>
        <v>264.14659569665338</v>
      </c>
      <c r="AE67" s="18">
        <f>Peak!AE69</f>
        <v>3642.145326358393</v>
      </c>
      <c r="AF67" s="16">
        <f>Peak!AF69</f>
        <v>0</v>
      </c>
      <c r="AG67" s="73">
        <f>Peak!AG69</f>
        <v>0</v>
      </c>
      <c r="AH67" s="16">
        <f>Peak!AH69</f>
        <v>3.8545327127379014</v>
      </c>
      <c r="AI67" s="16">
        <f>Peak!AI69</f>
        <v>3.6662752830188685</v>
      </c>
      <c r="AJ67" s="16">
        <f>Peak!AJ69</f>
        <v>0</v>
      </c>
      <c r="AK67" s="16">
        <f>Peak!AK69</f>
        <v>0</v>
      </c>
      <c r="AL67" s="4"/>
    </row>
    <row r="68" spans="1:38" x14ac:dyDescent="0.2">
      <c r="A68" s="1">
        <f t="shared" si="5"/>
        <v>38334.603000000076</v>
      </c>
      <c r="B68" s="16">
        <f t="shared" si="3"/>
        <v>4.171294865492909</v>
      </c>
      <c r="C68" s="17">
        <f t="shared" si="0"/>
        <v>47.155423442942315</v>
      </c>
      <c r="D68" s="16">
        <f t="shared" si="4"/>
        <v>0.66525383630424528</v>
      </c>
      <c r="E68" s="16">
        <f t="shared" si="1"/>
        <v>0</v>
      </c>
      <c r="F68" s="16">
        <f t="shared" si="2"/>
        <v>0</v>
      </c>
      <c r="G68" s="19" t="str">
        <f>IF(IS!$C$2="Peak","-",SUM(C68:F68))</f>
        <v>-</v>
      </c>
      <c r="H68" s="197">
        <v>74.062591725701139</v>
      </c>
      <c r="I68" s="197">
        <v>71.875315325656146</v>
      </c>
      <c r="J68" s="197">
        <v>69.783748992439143</v>
      </c>
      <c r="K68" s="197">
        <v>65.858541797323966</v>
      </c>
      <c r="L68" s="197">
        <v>65.064261191047393</v>
      </c>
      <c r="M68" s="197">
        <v>64.369943660715734</v>
      </c>
      <c r="N68" s="197">
        <v>53.66054571964159</v>
      </c>
      <c r="O68" s="197">
        <v>48.507152388090113</v>
      </c>
      <c r="P68" s="197">
        <v>46.578522151351677</v>
      </c>
      <c r="Q68" s="197">
        <v>42.629513722559537</v>
      </c>
      <c r="R68" s="197">
        <v>32.795019197352403</v>
      </c>
      <c r="S68" s="197">
        <v>32.795019197352403</v>
      </c>
      <c r="T68" s="197">
        <v>32.679138849411814</v>
      </c>
      <c r="U68" s="197">
        <v>32.534740732191203</v>
      </c>
      <c r="V68" s="197">
        <v>32.481246792003347</v>
      </c>
      <c r="W68" s="197">
        <v>27.505849760045123</v>
      </c>
      <c r="X68" s="197">
        <v>25.954034489745535</v>
      </c>
      <c r="Y68" s="197">
        <v>24.019225326399194</v>
      </c>
      <c r="Z68" s="197">
        <v>23.169838083346107</v>
      </c>
      <c r="AA68" s="197">
        <v>22.503925199874686</v>
      </c>
      <c r="AB68" s="16">
        <f>Peak!AB70</f>
        <v>0.66525383630424528</v>
      </c>
      <c r="AC68" s="16">
        <f>Peak!AC70</f>
        <v>0</v>
      </c>
      <c r="AD68" s="18">
        <f>Peak!AD70</f>
        <v>264.14659569665338</v>
      </c>
      <c r="AE68" s="18">
        <f>Peak!AE70</f>
        <v>3642.145326358393</v>
      </c>
      <c r="AF68" s="16">
        <f>Peak!AF70</f>
        <v>0</v>
      </c>
      <c r="AG68" s="73">
        <f>Peak!AG70</f>
        <v>0</v>
      </c>
      <c r="AH68" s="16">
        <f>Peak!AH70</f>
        <v>4.171294865492909</v>
      </c>
      <c r="AI68" s="16">
        <f>Peak!AI70</f>
        <v>3.8442498113207555</v>
      </c>
      <c r="AJ68" s="16">
        <f>Peak!AJ70</f>
        <v>0</v>
      </c>
      <c r="AK68" s="16">
        <f>Peak!AK70</f>
        <v>0</v>
      </c>
      <c r="AL68" s="4"/>
    </row>
    <row r="69" spans="1:38" x14ac:dyDescent="0.2">
      <c r="A69" s="1">
        <f t="shared" si="5"/>
        <v>38365.020000000077</v>
      </c>
      <c r="B69" s="16">
        <f t="shared" si="3"/>
        <v>4.0539502921348314</v>
      </c>
      <c r="C69" s="17">
        <f t="shared" si="0"/>
        <v>45.828873001445849</v>
      </c>
      <c r="D69" s="16">
        <f t="shared" si="4"/>
        <v>0.66636259269808573</v>
      </c>
      <c r="E69" s="16">
        <f t="shared" si="1"/>
        <v>0</v>
      </c>
      <c r="F69" s="16">
        <f t="shared" si="2"/>
        <v>0</v>
      </c>
      <c r="G69" s="19" t="str">
        <f>IF(IS!$C$2="Peak","-",SUM(C69:F69))</f>
        <v>-</v>
      </c>
      <c r="H69" s="197">
        <v>73.401895751362176</v>
      </c>
      <c r="I69" s="197">
        <v>71.068778498723574</v>
      </c>
      <c r="J69" s="197">
        <v>67.747450749798332</v>
      </c>
      <c r="K69" s="197">
        <v>66.487340606394383</v>
      </c>
      <c r="L69" s="197">
        <v>66.254418827685654</v>
      </c>
      <c r="M69" s="197">
        <v>60.451742496969985</v>
      </c>
      <c r="N69" s="197">
        <v>46.594160126047285</v>
      </c>
      <c r="O69" s="197">
        <v>39.165986928499699</v>
      </c>
      <c r="P69" s="197">
        <v>37.733888947700052</v>
      </c>
      <c r="Q69" s="197">
        <v>33.915931016028118</v>
      </c>
      <c r="R69" s="197">
        <v>33.687230299456296</v>
      </c>
      <c r="S69" s="197">
        <v>33.687230299456296</v>
      </c>
      <c r="T69" s="197">
        <v>33.687230299456296</v>
      </c>
      <c r="U69" s="197">
        <v>33.687230299456296</v>
      </c>
      <c r="V69" s="197">
        <v>33.687230299456296</v>
      </c>
      <c r="W69" s="197">
        <v>31.334243177532802</v>
      </c>
      <c r="X69" s="197">
        <v>28.183496931421907</v>
      </c>
      <c r="Y69" s="197">
        <v>27.479230138707372</v>
      </c>
      <c r="Z69" s="197">
        <v>26.38152685570461</v>
      </c>
      <c r="AA69" s="197">
        <v>25.516315540917017</v>
      </c>
      <c r="AB69" s="16">
        <f>Peak!AB71</f>
        <v>0.66636259269808573</v>
      </c>
      <c r="AC69" s="16">
        <f>Peak!AC71</f>
        <v>0</v>
      </c>
      <c r="AD69" s="18">
        <f>Peak!AD71</f>
        <v>290.22096928831274</v>
      </c>
      <c r="AE69" s="18">
        <f>Peak!AE71</f>
        <v>3781.0444397566248</v>
      </c>
      <c r="AF69" s="16">
        <f>Peak!AF71</f>
        <v>0</v>
      </c>
      <c r="AG69" s="73">
        <f>Peak!AG71</f>
        <v>0</v>
      </c>
      <c r="AH69" s="16">
        <f>Peak!AH71</f>
        <v>4.0539502921348314</v>
      </c>
      <c r="AI69" s="16">
        <f>Peak!AI71</f>
        <v>3.8826460507614224</v>
      </c>
      <c r="AJ69" s="16">
        <f>Peak!AJ71</f>
        <v>0</v>
      </c>
      <c r="AK69" s="16">
        <f>Peak!AK71</f>
        <v>0</v>
      </c>
      <c r="AL69" s="4"/>
    </row>
    <row r="70" spans="1:38" x14ac:dyDescent="0.2">
      <c r="A70" s="1">
        <f t="shared" si="5"/>
        <v>38395.437000000078</v>
      </c>
      <c r="B70" s="16">
        <f t="shared" si="3"/>
        <v>3.6334607671527612</v>
      </c>
      <c r="C70" s="17">
        <f t="shared" si="0"/>
        <v>41.075346280551202</v>
      </c>
      <c r="D70" s="16">
        <f t="shared" si="4"/>
        <v>0.66747319701924923</v>
      </c>
      <c r="E70" s="16">
        <f t="shared" si="1"/>
        <v>0</v>
      </c>
      <c r="F70" s="16">
        <f t="shared" si="2"/>
        <v>0</v>
      </c>
      <c r="G70" s="19" t="str">
        <f>IF(IS!$C$2="Peak","-",SUM(C70:F70))</f>
        <v>-</v>
      </c>
      <c r="H70" s="197">
        <v>81.889367586608245</v>
      </c>
      <c r="I70" s="197">
        <v>77.073808874671428</v>
      </c>
      <c r="J70" s="197">
        <v>74.339865388168192</v>
      </c>
      <c r="K70" s="197">
        <v>70.205037570063013</v>
      </c>
      <c r="L70" s="197">
        <v>69.851329995864987</v>
      </c>
      <c r="M70" s="197">
        <v>63.697333387765902</v>
      </c>
      <c r="N70" s="197">
        <v>51.547807014422524</v>
      </c>
      <c r="O70" s="197">
        <v>49.281657868326256</v>
      </c>
      <c r="P70" s="197">
        <v>40.617843702545251</v>
      </c>
      <c r="Q70" s="197">
        <v>34.915106469135196</v>
      </c>
      <c r="R70" s="197">
        <v>34.862836581106265</v>
      </c>
      <c r="S70" s="197">
        <v>34.634084039153109</v>
      </c>
      <c r="T70" s="197">
        <v>34.621781113400068</v>
      </c>
      <c r="U70" s="197">
        <v>27.944721023680181</v>
      </c>
      <c r="V70" s="197">
        <v>26.513886537364495</v>
      </c>
      <c r="W70" s="197">
        <v>25.446948356893852</v>
      </c>
      <c r="X70" s="197">
        <v>24.634094839049062</v>
      </c>
      <c r="Y70" s="197">
        <v>24.179274496272615</v>
      </c>
      <c r="Z70" s="197">
        <v>23.748435689688797</v>
      </c>
      <c r="AA70" s="197">
        <v>22.977671384480828</v>
      </c>
      <c r="AB70" s="16">
        <f>Peak!AB72</f>
        <v>0.66747319701924923</v>
      </c>
      <c r="AC70" s="16">
        <f>Peak!AC72</f>
        <v>0</v>
      </c>
      <c r="AD70" s="18">
        <f>Peak!AD72</f>
        <v>290.22096928831274</v>
      </c>
      <c r="AE70" s="18">
        <f>Peak!AE72</f>
        <v>3781.0444397566248</v>
      </c>
      <c r="AF70" s="16">
        <f>Peak!AF72</f>
        <v>0</v>
      </c>
      <c r="AG70" s="73">
        <f>Peak!AG72</f>
        <v>0</v>
      </c>
      <c r="AH70" s="16">
        <f>Peak!AH72</f>
        <v>3.6334607671527612</v>
      </c>
      <c r="AI70" s="16">
        <f>Peak!AI72</f>
        <v>3.8466956243654833</v>
      </c>
      <c r="AJ70" s="16">
        <f>Peak!AJ72</f>
        <v>0</v>
      </c>
      <c r="AK70" s="16">
        <f>Peak!AK72</f>
        <v>0</v>
      </c>
      <c r="AL70" s="4"/>
    </row>
    <row r="71" spans="1:38" x14ac:dyDescent="0.2">
      <c r="A71" s="1">
        <f t="shared" si="5"/>
        <v>38425.854000000079</v>
      </c>
      <c r="B71" s="16">
        <f t="shared" si="3"/>
        <v>3.5723639985656233</v>
      </c>
      <c r="C71" s="17">
        <f t="shared" si="0"/>
        <v>40.384662910848569</v>
      </c>
      <c r="D71" s="16">
        <f t="shared" si="4"/>
        <v>0.66858565234761469</v>
      </c>
      <c r="E71" s="16">
        <f t="shared" si="1"/>
        <v>0</v>
      </c>
      <c r="F71" s="16">
        <f t="shared" si="2"/>
        <v>0</v>
      </c>
      <c r="G71" s="19" t="str">
        <f>IF(IS!$C$2="Peak","-",SUM(C71:F71))</f>
        <v>-</v>
      </c>
      <c r="H71" s="197">
        <v>72.859033951990526</v>
      </c>
      <c r="I71" s="197">
        <v>70.440020011307595</v>
      </c>
      <c r="J71" s="197">
        <v>66.904526734369782</v>
      </c>
      <c r="K71" s="197">
        <v>65.318298961946709</v>
      </c>
      <c r="L71" s="197">
        <v>65.13992287496211</v>
      </c>
      <c r="M71" s="197">
        <v>59.291772288461559</v>
      </c>
      <c r="N71" s="197">
        <v>45.806097924994987</v>
      </c>
      <c r="O71" s="197">
        <v>39.388388559906375</v>
      </c>
      <c r="P71" s="197">
        <v>37.169759446371579</v>
      </c>
      <c r="Q71" s="197">
        <v>33.399512488964618</v>
      </c>
      <c r="R71" s="197">
        <v>32.390926529977889</v>
      </c>
      <c r="S71" s="197">
        <v>32.390926529977889</v>
      </c>
      <c r="T71" s="197">
        <v>32.390926529977889</v>
      </c>
      <c r="U71" s="197">
        <v>32.390926529977889</v>
      </c>
      <c r="V71" s="197">
        <v>32.292194794541246</v>
      </c>
      <c r="W71" s="197">
        <v>27.956466166983596</v>
      </c>
      <c r="X71" s="197">
        <v>26.684013612399497</v>
      </c>
      <c r="Y71" s="197">
        <v>25.523476061622883</v>
      </c>
      <c r="Z71" s="197">
        <v>24.547637321220051</v>
      </c>
      <c r="AA71" s="197">
        <v>23.405650581200366</v>
      </c>
      <c r="AB71" s="16">
        <f>Peak!AB73</f>
        <v>0.66858565234761469</v>
      </c>
      <c r="AC71" s="16">
        <f>Peak!AC73</f>
        <v>0</v>
      </c>
      <c r="AD71" s="18">
        <f>Peak!AD73</f>
        <v>290.22096928831274</v>
      </c>
      <c r="AE71" s="18">
        <f>Peak!AE73</f>
        <v>3781.0444397566248</v>
      </c>
      <c r="AF71" s="16">
        <f>Peak!AF73</f>
        <v>0</v>
      </c>
      <c r="AG71" s="73">
        <f>Peak!AG73</f>
        <v>0</v>
      </c>
      <c r="AH71" s="16">
        <f>Peak!AH73</f>
        <v>3.5723639985656233</v>
      </c>
      <c r="AI71" s="16">
        <f>Peak!AI73</f>
        <v>3.7028939187817267</v>
      </c>
      <c r="AJ71" s="16">
        <f>Peak!AJ73</f>
        <v>0</v>
      </c>
      <c r="AK71" s="16">
        <f>Peak!AK73</f>
        <v>0</v>
      </c>
      <c r="AL71" s="4"/>
    </row>
    <row r="72" spans="1:38" x14ac:dyDescent="0.2">
      <c r="A72" s="1">
        <f t="shared" si="5"/>
        <v>38456.271000000081</v>
      </c>
      <c r="B72" s="16">
        <f t="shared" si="3"/>
        <v>3.3962615479321063</v>
      </c>
      <c r="C72" s="17">
        <f t="shared" si="0"/>
        <v>38.393869668764481</v>
      </c>
      <c r="D72" s="16">
        <f t="shared" si="4"/>
        <v>0.66969996176819402</v>
      </c>
      <c r="E72" s="16">
        <f t="shared" si="1"/>
        <v>0</v>
      </c>
      <c r="F72" s="16">
        <f t="shared" si="2"/>
        <v>0</v>
      </c>
      <c r="G72" s="19" t="str">
        <f>IF(IS!$C$2="Peak","-",SUM(C72:F72))</f>
        <v>-</v>
      </c>
      <c r="H72" s="197">
        <v>59.304207670478448</v>
      </c>
      <c r="I72" s="197">
        <v>57.153144791661227</v>
      </c>
      <c r="J72" s="197">
        <v>54.514346482828131</v>
      </c>
      <c r="K72" s="197">
        <v>53.925877605716984</v>
      </c>
      <c r="L72" s="197">
        <v>53.747379476491261</v>
      </c>
      <c r="M72" s="197">
        <v>44.921195076783491</v>
      </c>
      <c r="N72" s="197">
        <v>41.142651300265285</v>
      </c>
      <c r="O72" s="197">
        <v>38.25698050341866</v>
      </c>
      <c r="P72" s="197">
        <v>33.580074866121329</v>
      </c>
      <c r="Q72" s="197">
        <v>28.473309975048657</v>
      </c>
      <c r="R72" s="197">
        <v>28.091822839289478</v>
      </c>
      <c r="S72" s="197">
        <v>28.091822839289478</v>
      </c>
      <c r="T72" s="197">
        <v>28.069235654794589</v>
      </c>
      <c r="U72" s="197">
        <v>27.000060290338403</v>
      </c>
      <c r="V72" s="197">
        <v>26.03130176602982</v>
      </c>
      <c r="W72" s="197">
        <v>25.8264181537693</v>
      </c>
      <c r="X72" s="197">
        <v>24.787727500442877</v>
      </c>
      <c r="Y72" s="197">
        <v>24.228992862438613</v>
      </c>
      <c r="Z72" s="197">
        <v>23.764155709058386</v>
      </c>
      <c r="AA72" s="197">
        <v>23.342453097807564</v>
      </c>
      <c r="AB72" s="16">
        <f>Peak!AB74</f>
        <v>0.66969996176819402</v>
      </c>
      <c r="AC72" s="16">
        <f>Peak!AC74</f>
        <v>0</v>
      </c>
      <c r="AD72" s="18">
        <f>Peak!AD74</f>
        <v>290.22096928831274</v>
      </c>
      <c r="AE72" s="18">
        <f>Peak!AE74</f>
        <v>3781.0444397566248</v>
      </c>
      <c r="AF72" s="16">
        <f>Peak!AF74</f>
        <v>0</v>
      </c>
      <c r="AG72" s="73">
        <f>Peak!AG74</f>
        <v>0</v>
      </c>
      <c r="AH72" s="16">
        <f>Peak!AH74</f>
        <v>3.3962615479321063</v>
      </c>
      <c r="AI72" s="16">
        <f>Peak!AI74</f>
        <v>3.5590922131979701</v>
      </c>
      <c r="AJ72" s="16">
        <f>Peak!AJ74</f>
        <v>0</v>
      </c>
      <c r="AK72" s="16">
        <f>Peak!AK74</f>
        <v>0</v>
      </c>
      <c r="AL72" s="4"/>
    </row>
    <row r="73" spans="1:38" x14ac:dyDescent="0.2">
      <c r="A73" s="1">
        <f t="shared" si="5"/>
        <v>38486.688000000082</v>
      </c>
      <c r="B73" s="16">
        <f t="shared" si="3"/>
        <v>3.5759579261295724</v>
      </c>
      <c r="C73" s="17">
        <f t="shared" ref="C73:C136" si="6">(B73*$B$1*1000)/1000000</f>
        <v>40.425291344360488</v>
      </c>
      <c r="D73" s="16">
        <f t="shared" si="4"/>
        <v>0.67081612837114102</v>
      </c>
      <c r="E73" s="16">
        <f t="shared" ref="E73:E136" si="7">(($AJ73*$B$1*AD73*1000)/2000)/1000000</f>
        <v>0</v>
      </c>
      <c r="F73" s="16">
        <f t="shared" ref="F73:F136" si="8">AF73*(($AK73*$B$1*AE73*1000)/2000)/1000000</f>
        <v>0</v>
      </c>
      <c r="G73" s="19" t="str">
        <f>IF(IS!$C$2="Peak","-",SUM(C73:F73))</f>
        <v>-</v>
      </c>
      <c r="H73" s="197">
        <v>78.954243060226901</v>
      </c>
      <c r="I73" s="197">
        <v>68.904304346369585</v>
      </c>
      <c r="J73" s="197">
        <v>63.73488773375616</v>
      </c>
      <c r="K73" s="197">
        <v>59.36596721769159</v>
      </c>
      <c r="L73" s="197">
        <v>56.653486044397098</v>
      </c>
      <c r="M73" s="197">
        <v>55.742286293884561</v>
      </c>
      <c r="N73" s="197">
        <v>42.576779265072318</v>
      </c>
      <c r="O73" s="197">
        <v>38.09531917765127</v>
      </c>
      <c r="P73" s="197">
        <v>33.522022269532705</v>
      </c>
      <c r="Q73" s="197">
        <v>32.593107351583242</v>
      </c>
      <c r="R73" s="197">
        <v>32.520934450584477</v>
      </c>
      <c r="S73" s="197">
        <v>32.193409488355812</v>
      </c>
      <c r="T73" s="197">
        <v>31.145975872484065</v>
      </c>
      <c r="U73" s="197">
        <v>30.553405508985712</v>
      </c>
      <c r="V73" s="197">
        <v>29.782198894825463</v>
      </c>
      <c r="W73" s="197">
        <v>28.943665048298296</v>
      </c>
      <c r="X73" s="197">
        <v>28.55102057495386</v>
      </c>
      <c r="Y73" s="197">
        <v>28.075022317654909</v>
      </c>
      <c r="Z73" s="197">
        <v>27.852420117745723</v>
      </c>
      <c r="AA73" s="197">
        <v>27.333079765250901</v>
      </c>
      <c r="AB73" s="16">
        <f>Peak!AB75</f>
        <v>0.67081612837114102</v>
      </c>
      <c r="AC73" s="16">
        <f>Peak!AC75</f>
        <v>0</v>
      </c>
      <c r="AD73" s="18">
        <f>Peak!AD75</f>
        <v>290.22096928831274</v>
      </c>
      <c r="AE73" s="18">
        <f>Peak!AE75</f>
        <v>3781.0444397566248</v>
      </c>
      <c r="AF73" s="16">
        <f>Peak!AF75</f>
        <v>1</v>
      </c>
      <c r="AG73" s="73">
        <f>Peak!AG75</f>
        <v>0</v>
      </c>
      <c r="AH73" s="16">
        <f>Peak!AH75</f>
        <v>3.5759579261295724</v>
      </c>
      <c r="AI73" s="16">
        <f>Peak!AI75</f>
        <v>3.4152905076142135</v>
      </c>
      <c r="AJ73" s="16">
        <f>Peak!AJ75</f>
        <v>0</v>
      </c>
      <c r="AK73" s="16">
        <f>Peak!AK75</f>
        <v>0</v>
      </c>
      <c r="AL73" s="4"/>
    </row>
    <row r="74" spans="1:38" x14ac:dyDescent="0.2">
      <c r="A74" s="1">
        <f t="shared" si="5"/>
        <v>38517.105000000083</v>
      </c>
      <c r="B74" s="16">
        <f t="shared" ref="B74:B137" si="9">IF($B$7="Coal",AG74,IF($B$7="Gas",AH74,IF($B$7="Oil",AI74,0)))</f>
        <v>3.4070433306239543</v>
      </c>
      <c r="C74" s="17">
        <f t="shared" si="6"/>
        <v>38.515754969300239</v>
      </c>
      <c r="D74" s="16">
        <f t="shared" ref="D74:D137" si="10">AB74+AC74</f>
        <v>0.67193415525175959</v>
      </c>
      <c r="E74" s="16">
        <f t="shared" si="7"/>
        <v>0</v>
      </c>
      <c r="F74" s="16">
        <f t="shared" si="8"/>
        <v>0</v>
      </c>
      <c r="G74" s="19" t="str">
        <f>IF(IS!$C$2="Peak","-",SUM(C74:F74))</f>
        <v>-</v>
      </c>
      <c r="H74" s="197">
        <v>241.70667877359452</v>
      </c>
      <c r="I74" s="197">
        <v>177.47379728950406</v>
      </c>
      <c r="J74" s="197">
        <v>155.06651786181317</v>
      </c>
      <c r="K74" s="197">
        <v>103.08410065676853</v>
      </c>
      <c r="L74" s="197">
        <v>56.542479759817162</v>
      </c>
      <c r="M74" s="197">
        <v>49.718862572536736</v>
      </c>
      <c r="N74" s="197">
        <v>45.771565786234348</v>
      </c>
      <c r="O74" s="197">
        <v>43.810271197535357</v>
      </c>
      <c r="P74" s="197">
        <v>36.217239978675082</v>
      </c>
      <c r="Q74" s="197">
        <v>33.004697757326063</v>
      </c>
      <c r="R74" s="197">
        <v>32.141583282745493</v>
      </c>
      <c r="S74" s="197">
        <v>30.926889089179308</v>
      </c>
      <c r="T74" s="197">
        <v>30.431018900446762</v>
      </c>
      <c r="U74" s="197">
        <v>29.863307458356541</v>
      </c>
      <c r="V74" s="197">
        <v>29.064365718843742</v>
      </c>
      <c r="W74" s="197">
        <v>28.168833154531605</v>
      </c>
      <c r="X74" s="197">
        <v>27.788275328263701</v>
      </c>
      <c r="Y74" s="197">
        <v>27.206268287558629</v>
      </c>
      <c r="Z74" s="197">
        <v>26.67189572346296</v>
      </c>
      <c r="AA74" s="197">
        <v>25.332208281715893</v>
      </c>
      <c r="AB74" s="16">
        <f>Peak!AB76</f>
        <v>0.67193415525175959</v>
      </c>
      <c r="AC74" s="16">
        <f>Peak!AC76</f>
        <v>0</v>
      </c>
      <c r="AD74" s="18">
        <f>Peak!AD76</f>
        <v>290.22096928831274</v>
      </c>
      <c r="AE74" s="18">
        <f>Peak!AE76</f>
        <v>3781.0444397566248</v>
      </c>
      <c r="AF74" s="16">
        <f>Peak!AF76</f>
        <v>1</v>
      </c>
      <c r="AG74" s="73">
        <f>Peak!AG76</f>
        <v>0</v>
      </c>
      <c r="AH74" s="16">
        <f>Peak!AH76</f>
        <v>3.4070433306239543</v>
      </c>
      <c r="AI74" s="16">
        <f>Peak!AI76</f>
        <v>3.4152905076142135</v>
      </c>
      <c r="AJ74" s="16">
        <f>Peak!AJ76</f>
        <v>0</v>
      </c>
      <c r="AK74" s="16">
        <f>Peak!AK76</f>
        <v>0</v>
      </c>
      <c r="AL74" s="4"/>
    </row>
    <row r="75" spans="1:38" x14ac:dyDescent="0.2">
      <c r="A75" s="1">
        <f t="shared" ref="A75:A138" si="11">A74+30.417</f>
        <v>38547.522000000085</v>
      </c>
      <c r="B75" s="16">
        <f t="shared" si="9"/>
        <v>3.3962615479321063</v>
      </c>
      <c r="C75" s="17">
        <f t="shared" si="6"/>
        <v>38.393869668764481</v>
      </c>
      <c r="D75" s="16">
        <f t="shared" si="10"/>
        <v>0.67305404551051251</v>
      </c>
      <c r="E75" s="16">
        <f t="shared" si="7"/>
        <v>0</v>
      </c>
      <c r="F75" s="16">
        <f t="shared" si="8"/>
        <v>0</v>
      </c>
      <c r="G75" s="19" t="str">
        <f>IF(IS!$C$2="Peak","-",SUM(C75:F75))</f>
        <v>-</v>
      </c>
      <c r="H75" s="197">
        <v>538.65154979934925</v>
      </c>
      <c r="I75" s="197">
        <v>363.78976732443232</v>
      </c>
      <c r="J75" s="197">
        <v>265.11515640925103</v>
      </c>
      <c r="K75" s="197">
        <v>184.26477432184845</v>
      </c>
      <c r="L75" s="197">
        <v>138.26579161345902</v>
      </c>
      <c r="M75" s="197">
        <v>75.861740833625078</v>
      </c>
      <c r="N75" s="197">
        <v>55.78916722948766</v>
      </c>
      <c r="O75" s="197">
        <v>50.355753662897158</v>
      </c>
      <c r="P75" s="197">
        <v>49.400118586026949</v>
      </c>
      <c r="Q75" s="197">
        <v>41.033626228973205</v>
      </c>
      <c r="R75" s="197">
        <v>35.45540942269092</v>
      </c>
      <c r="S75" s="197">
        <v>33.61021216590909</v>
      </c>
      <c r="T75" s="197">
        <v>32.083696778697806</v>
      </c>
      <c r="U75" s="197">
        <v>31.052985577680836</v>
      </c>
      <c r="V75" s="197">
        <v>30.63577362230118</v>
      </c>
      <c r="W75" s="197">
        <v>29.587872692851061</v>
      </c>
      <c r="X75" s="197">
        <v>28.840599713448128</v>
      </c>
      <c r="Y75" s="197">
        <v>28.570829098161244</v>
      </c>
      <c r="Z75" s="197">
        <v>27.694272637399806</v>
      </c>
      <c r="AA75" s="197">
        <v>25.364665524611709</v>
      </c>
      <c r="AB75" s="16">
        <f>Peak!AB77</f>
        <v>0.67305404551051251</v>
      </c>
      <c r="AC75" s="16">
        <f>Peak!AC77</f>
        <v>0</v>
      </c>
      <c r="AD75" s="18">
        <f>Peak!AD77</f>
        <v>290.22096928831274</v>
      </c>
      <c r="AE75" s="18">
        <f>Peak!AE77</f>
        <v>3781.0444397566248</v>
      </c>
      <c r="AF75" s="16">
        <f>Peak!AF77</f>
        <v>1</v>
      </c>
      <c r="AG75" s="73">
        <f>Peak!AG77</f>
        <v>0</v>
      </c>
      <c r="AH75" s="16">
        <f>Peak!AH77</f>
        <v>3.3962615479321063</v>
      </c>
      <c r="AI75" s="16">
        <f>Peak!AI77</f>
        <v>3.4152905076142135</v>
      </c>
      <c r="AJ75" s="16">
        <f>Peak!AJ77</f>
        <v>0</v>
      </c>
      <c r="AK75" s="16">
        <f>Peak!AK77</f>
        <v>0</v>
      </c>
      <c r="AL75" s="4"/>
    </row>
    <row r="76" spans="1:38" x14ac:dyDescent="0.2">
      <c r="A76" s="1">
        <f t="shared" si="11"/>
        <v>38577.939000000086</v>
      </c>
      <c r="B76" s="16">
        <f t="shared" si="9"/>
        <v>3.2201590972985898</v>
      </c>
      <c r="C76" s="17">
        <f t="shared" si="6"/>
        <v>36.403076426680393</v>
      </c>
      <c r="D76" s="16">
        <f t="shared" si="10"/>
        <v>0.67417580225303009</v>
      </c>
      <c r="E76" s="16">
        <f t="shared" si="7"/>
        <v>0</v>
      </c>
      <c r="F76" s="16">
        <f t="shared" si="8"/>
        <v>0</v>
      </c>
      <c r="G76" s="19" t="str">
        <f>IF(IS!$C$2="Peak","-",SUM(C76:F76))</f>
        <v>-</v>
      </c>
      <c r="H76" s="197">
        <v>848.60440930492678</v>
      </c>
      <c r="I76" s="197">
        <v>492.21352996723846</v>
      </c>
      <c r="J76" s="197">
        <v>337.34197106825741</v>
      </c>
      <c r="K76" s="197">
        <v>211.36095838200896</v>
      </c>
      <c r="L76" s="197">
        <v>154.35257701520936</v>
      </c>
      <c r="M76" s="197">
        <v>92.460781836924269</v>
      </c>
      <c r="N76" s="197">
        <v>70.371508885798306</v>
      </c>
      <c r="O76" s="197">
        <v>63.410366051871598</v>
      </c>
      <c r="P76" s="197">
        <v>58.60725984460089</v>
      </c>
      <c r="Q76" s="197">
        <v>44.158609073707218</v>
      </c>
      <c r="R76" s="197">
        <v>38.558858534401345</v>
      </c>
      <c r="S76" s="197">
        <v>36.270460739600395</v>
      </c>
      <c r="T76" s="197">
        <v>35.685278546820697</v>
      </c>
      <c r="U76" s="197">
        <v>34.985838864093857</v>
      </c>
      <c r="V76" s="197">
        <v>34.244297745175643</v>
      </c>
      <c r="W76" s="197">
        <v>33.497073014835209</v>
      </c>
      <c r="X76" s="197">
        <v>32.361724423187844</v>
      </c>
      <c r="Y76" s="197">
        <v>31.627564811723648</v>
      </c>
      <c r="Z76" s="197">
        <v>30.881168562599782</v>
      </c>
      <c r="AA76" s="197">
        <v>28.466644256673749</v>
      </c>
      <c r="AB76" s="16">
        <f>Peak!AB78</f>
        <v>0.67417580225303009</v>
      </c>
      <c r="AC76" s="16">
        <f>Peak!AC78</f>
        <v>0</v>
      </c>
      <c r="AD76" s="18">
        <f>Peak!AD78</f>
        <v>290.22096928831274</v>
      </c>
      <c r="AE76" s="18">
        <f>Peak!AE78</f>
        <v>3781.0444397566248</v>
      </c>
      <c r="AF76" s="16">
        <f>Peak!AF78</f>
        <v>1</v>
      </c>
      <c r="AG76" s="73">
        <f>Peak!AG78</f>
        <v>0</v>
      </c>
      <c r="AH76" s="16">
        <f>Peak!AH78</f>
        <v>3.2201590972985898</v>
      </c>
      <c r="AI76" s="16">
        <f>Peak!AI78</f>
        <v>3.4152905076142135</v>
      </c>
      <c r="AJ76" s="16">
        <f>Peak!AJ78</f>
        <v>0</v>
      </c>
      <c r="AK76" s="16">
        <f>Peak!AK78</f>
        <v>0</v>
      </c>
      <c r="AL76" s="4"/>
    </row>
    <row r="77" spans="1:38" x14ac:dyDescent="0.2">
      <c r="A77" s="1">
        <f t="shared" si="11"/>
        <v>38608.356000000087</v>
      </c>
      <c r="B77" s="16">
        <f t="shared" si="9"/>
        <v>3.2093773146067419</v>
      </c>
      <c r="C77" s="17">
        <f t="shared" si="6"/>
        <v>36.281191126144641</v>
      </c>
      <c r="D77" s="16">
        <f t="shared" si="10"/>
        <v>0.67529942859011849</v>
      </c>
      <c r="E77" s="16">
        <f t="shared" si="7"/>
        <v>0</v>
      </c>
      <c r="F77" s="16">
        <f t="shared" si="8"/>
        <v>0</v>
      </c>
      <c r="G77" s="19" t="str">
        <f>IF(IS!$C$2="Peak","-",SUM(C77:F77))</f>
        <v>-</v>
      </c>
      <c r="H77" s="197">
        <v>197.77839709212429</v>
      </c>
      <c r="I77" s="197">
        <v>162.04618741458313</v>
      </c>
      <c r="J77" s="197">
        <v>134.26062354709208</v>
      </c>
      <c r="K77" s="197">
        <v>86.696652264740578</v>
      </c>
      <c r="L77" s="197">
        <v>66.515579944064299</v>
      </c>
      <c r="M77" s="197">
        <v>60.224210625544387</v>
      </c>
      <c r="N77" s="197">
        <v>58.177400998196298</v>
      </c>
      <c r="O77" s="197">
        <v>47.558647732152693</v>
      </c>
      <c r="P77" s="197">
        <v>38.804618791091123</v>
      </c>
      <c r="Q77" s="197">
        <v>33.451605575851708</v>
      </c>
      <c r="R77" s="197">
        <v>32.599208182595028</v>
      </c>
      <c r="S77" s="197">
        <v>30.921321456169345</v>
      </c>
      <c r="T77" s="197">
        <v>29.882953764424315</v>
      </c>
      <c r="U77" s="197">
        <v>29.338415542563091</v>
      </c>
      <c r="V77" s="197">
        <v>29.016018223345053</v>
      </c>
      <c r="W77" s="197">
        <v>28.583219579332059</v>
      </c>
      <c r="X77" s="197">
        <v>28.579620939492337</v>
      </c>
      <c r="Y77" s="197">
        <v>28.57930148007377</v>
      </c>
      <c r="Z77" s="197">
        <v>28.579092043973112</v>
      </c>
      <c r="AA77" s="197">
        <v>27.287897619430755</v>
      </c>
      <c r="AB77" s="16">
        <f>Peak!AB79</f>
        <v>0.67529942859011849</v>
      </c>
      <c r="AC77" s="16">
        <f>Peak!AC79</f>
        <v>0</v>
      </c>
      <c r="AD77" s="18">
        <f>Peak!AD79</f>
        <v>290.22096928831274</v>
      </c>
      <c r="AE77" s="18">
        <f>Peak!AE79</f>
        <v>3781.0444397566248</v>
      </c>
      <c r="AF77" s="16">
        <f>Peak!AF79</f>
        <v>1</v>
      </c>
      <c r="AG77" s="73">
        <f>Peak!AG79</f>
        <v>0</v>
      </c>
      <c r="AH77" s="16">
        <f>Peak!AH79</f>
        <v>3.2093773146067419</v>
      </c>
      <c r="AI77" s="16">
        <f>Peak!AI79</f>
        <v>3.4152905076142135</v>
      </c>
      <c r="AJ77" s="16">
        <f>Peak!AJ79</f>
        <v>0</v>
      </c>
      <c r="AK77" s="16">
        <f>Peak!AK79</f>
        <v>0</v>
      </c>
      <c r="AL77" s="4"/>
    </row>
    <row r="78" spans="1:38" x14ac:dyDescent="0.2">
      <c r="A78" s="1">
        <f t="shared" si="11"/>
        <v>38638.773000000088</v>
      </c>
      <c r="B78" s="16">
        <f t="shared" si="9"/>
        <v>3.5543943607458766</v>
      </c>
      <c r="C78" s="17">
        <f t="shared" si="6"/>
        <v>40.181520743288964</v>
      </c>
      <c r="D78" s="16">
        <f t="shared" si="10"/>
        <v>0.67642492763776874</v>
      </c>
      <c r="E78" s="16">
        <f t="shared" si="7"/>
        <v>0</v>
      </c>
      <c r="F78" s="16">
        <f t="shared" si="8"/>
        <v>0</v>
      </c>
      <c r="G78" s="19" t="str">
        <f>IF(IS!$C$2="Peak","-",SUM(C78:F78))</f>
        <v>-</v>
      </c>
      <c r="H78" s="197">
        <v>70.845104078451627</v>
      </c>
      <c r="I78" s="197">
        <v>64.726857695634948</v>
      </c>
      <c r="J78" s="197">
        <v>61.058495768739782</v>
      </c>
      <c r="K78" s="197">
        <v>58.821351401554672</v>
      </c>
      <c r="L78" s="197">
        <v>56.564892943892929</v>
      </c>
      <c r="M78" s="197">
        <v>52.779488744957817</v>
      </c>
      <c r="N78" s="197">
        <v>52.036801256080423</v>
      </c>
      <c r="O78" s="197">
        <v>50.753882254161418</v>
      </c>
      <c r="P78" s="197">
        <v>42.092796856663071</v>
      </c>
      <c r="Q78" s="197">
        <v>37.027770893507849</v>
      </c>
      <c r="R78" s="197">
        <v>30.630191959776589</v>
      </c>
      <c r="S78" s="197">
        <v>30.086294003242891</v>
      </c>
      <c r="T78" s="197">
        <v>28.132474745209436</v>
      </c>
      <c r="U78" s="197">
        <v>27.465657885533339</v>
      </c>
      <c r="V78" s="197">
        <v>27.393732203125118</v>
      </c>
      <c r="W78" s="197">
        <v>25.624874324669086</v>
      </c>
      <c r="X78" s="197">
        <v>24.766604913054859</v>
      </c>
      <c r="Y78" s="197">
        <v>24.389961327824285</v>
      </c>
      <c r="Z78" s="197">
        <v>23.419244672150459</v>
      </c>
      <c r="AA78" s="197">
        <v>22.439473295236162</v>
      </c>
      <c r="AB78" s="16">
        <f>Peak!AB80</f>
        <v>0.67642492763776874</v>
      </c>
      <c r="AC78" s="16">
        <f>Peak!AC80</f>
        <v>0</v>
      </c>
      <c r="AD78" s="18">
        <f>Peak!AD80</f>
        <v>290.22096928831274</v>
      </c>
      <c r="AE78" s="18">
        <f>Peak!AE80</f>
        <v>3781.0444397566248</v>
      </c>
      <c r="AF78" s="16">
        <f>Peak!AF80</f>
        <v>0</v>
      </c>
      <c r="AG78" s="73">
        <f>Peak!AG80</f>
        <v>0</v>
      </c>
      <c r="AH78" s="16">
        <f>Peak!AH80</f>
        <v>3.5543943607458766</v>
      </c>
      <c r="AI78" s="16">
        <f>Peak!AI80</f>
        <v>3.4152905076142135</v>
      </c>
      <c r="AJ78" s="16">
        <f>Peak!AJ80</f>
        <v>0</v>
      </c>
      <c r="AK78" s="16">
        <f>Peak!AK80</f>
        <v>0</v>
      </c>
      <c r="AL78" s="4"/>
    </row>
    <row r="79" spans="1:38" x14ac:dyDescent="0.2">
      <c r="A79" s="1">
        <f t="shared" si="11"/>
        <v>38669.19000000009</v>
      </c>
      <c r="B79" s="16">
        <f t="shared" si="9"/>
        <v>3.8922235517571124</v>
      </c>
      <c r="C79" s="17">
        <f t="shared" si="6"/>
        <v>44.000593493409447</v>
      </c>
      <c r="D79" s="16">
        <f t="shared" si="10"/>
        <v>0.67755230251716503</v>
      </c>
      <c r="E79" s="16">
        <f t="shared" si="7"/>
        <v>0</v>
      </c>
      <c r="F79" s="16">
        <f t="shared" si="8"/>
        <v>0</v>
      </c>
      <c r="G79" s="19" t="str">
        <f>IF(IS!$C$2="Peak","-",SUM(C79:F79))</f>
        <v>-</v>
      </c>
      <c r="H79" s="197">
        <v>78.5916063147165</v>
      </c>
      <c r="I79" s="197">
        <v>73.455675139125873</v>
      </c>
      <c r="J79" s="197">
        <v>67.192291077685724</v>
      </c>
      <c r="K79" s="197">
        <v>64.263780003509197</v>
      </c>
      <c r="L79" s="197">
        <v>60.861515878851563</v>
      </c>
      <c r="M79" s="197">
        <v>58.437917222810746</v>
      </c>
      <c r="N79" s="197">
        <v>58.229875602103689</v>
      </c>
      <c r="O79" s="197">
        <v>53.40232357475751</v>
      </c>
      <c r="P79" s="197">
        <v>41.00300755352098</v>
      </c>
      <c r="Q79" s="197">
        <v>40.893253350993398</v>
      </c>
      <c r="R79" s="197">
        <v>40.85446059360293</v>
      </c>
      <c r="S79" s="197">
        <v>31.630371233466015</v>
      </c>
      <c r="T79" s="197">
        <v>29.592053942844377</v>
      </c>
      <c r="U79" s="197">
        <v>29.393205022048797</v>
      </c>
      <c r="V79" s="197">
        <v>28.412182934262198</v>
      </c>
      <c r="W79" s="197">
        <v>26.689439849946801</v>
      </c>
      <c r="X79" s="197">
        <v>26.24783029766337</v>
      </c>
      <c r="Y79" s="197">
        <v>25.446986755743513</v>
      </c>
      <c r="Z79" s="197">
        <v>24.703139788446911</v>
      </c>
      <c r="AA79" s="197">
        <v>23.804449506315599</v>
      </c>
      <c r="AB79" s="16">
        <f>Peak!AB81</f>
        <v>0.67755230251716503</v>
      </c>
      <c r="AC79" s="16">
        <f>Peak!AC81</f>
        <v>0</v>
      </c>
      <c r="AD79" s="18">
        <f>Peak!AD81</f>
        <v>290.22096928831274</v>
      </c>
      <c r="AE79" s="18">
        <f>Peak!AE81</f>
        <v>3781.0444397566248</v>
      </c>
      <c r="AF79" s="16">
        <f>Peak!AF81</f>
        <v>0</v>
      </c>
      <c r="AG79" s="73">
        <f>Peak!AG81</f>
        <v>0</v>
      </c>
      <c r="AH79" s="16">
        <f>Peak!AH81</f>
        <v>3.8922235517571124</v>
      </c>
      <c r="AI79" s="16">
        <f>Peak!AI81</f>
        <v>3.7028939187817267</v>
      </c>
      <c r="AJ79" s="16">
        <f>Peak!AJ81</f>
        <v>0</v>
      </c>
      <c r="AK79" s="16">
        <f>Peak!AK81</f>
        <v>0</v>
      </c>
      <c r="AL79" s="4"/>
    </row>
    <row r="80" spans="1:38" x14ac:dyDescent="0.2">
      <c r="A80" s="1">
        <f t="shared" si="11"/>
        <v>38699.607000000091</v>
      </c>
      <c r="B80" s="16">
        <f t="shared" si="9"/>
        <v>4.2120831049486016</v>
      </c>
      <c r="C80" s="17">
        <f t="shared" si="6"/>
        <v>47.616524075970339</v>
      </c>
      <c r="D80" s="16">
        <f t="shared" si="10"/>
        <v>0.67868155635469363</v>
      </c>
      <c r="E80" s="16">
        <f t="shared" si="7"/>
        <v>0</v>
      </c>
      <c r="F80" s="16">
        <f t="shared" si="8"/>
        <v>0</v>
      </c>
      <c r="G80" s="19" t="str">
        <f>IF(IS!$C$2="Peak","-",SUM(C80:F80))</f>
        <v>-</v>
      </c>
      <c r="H80" s="197">
        <v>90.488934570895111</v>
      </c>
      <c r="I80" s="197">
        <v>87.532116567806582</v>
      </c>
      <c r="J80" s="197">
        <v>84.530636725157109</v>
      </c>
      <c r="K80" s="197">
        <v>80.492668977979292</v>
      </c>
      <c r="L80" s="197">
        <v>76.57010633719176</v>
      </c>
      <c r="M80" s="197">
        <v>76.339780772696486</v>
      </c>
      <c r="N80" s="197">
        <v>73.836059491009379</v>
      </c>
      <c r="O80" s="197">
        <v>62.118352523284557</v>
      </c>
      <c r="P80" s="197">
        <v>52.441015293726736</v>
      </c>
      <c r="Q80" s="197">
        <v>45.397520194960336</v>
      </c>
      <c r="R80" s="197">
        <v>43.047883078771463</v>
      </c>
      <c r="S80" s="197">
        <v>38.10207688914182</v>
      </c>
      <c r="T80" s="197">
        <v>30.3282711793453</v>
      </c>
      <c r="U80" s="197">
        <v>28.299426809518412</v>
      </c>
      <c r="V80" s="197">
        <v>27.294440415790714</v>
      </c>
      <c r="W80" s="197">
        <v>27.042250375285953</v>
      </c>
      <c r="X80" s="197">
        <v>26.196748153912086</v>
      </c>
      <c r="Y80" s="197">
        <v>25.441610787256234</v>
      </c>
      <c r="Z80" s="197">
        <v>24.97392618855984</v>
      </c>
      <c r="AA80" s="197">
        <v>24.37226702126954</v>
      </c>
      <c r="AB80" s="16">
        <f>Peak!AB82</f>
        <v>0.67868155635469363</v>
      </c>
      <c r="AC80" s="16">
        <f>Peak!AC82</f>
        <v>0</v>
      </c>
      <c r="AD80" s="18">
        <f>Peak!AD82</f>
        <v>290.22096928831274</v>
      </c>
      <c r="AE80" s="18">
        <f>Peak!AE82</f>
        <v>3781.0444397566248</v>
      </c>
      <c r="AF80" s="16">
        <f>Peak!AF82</f>
        <v>0</v>
      </c>
      <c r="AG80" s="73">
        <f>Peak!AG82</f>
        <v>0</v>
      </c>
      <c r="AH80" s="16">
        <f>Peak!AH82</f>
        <v>4.2120831049486016</v>
      </c>
      <c r="AI80" s="16">
        <f>Peak!AI82</f>
        <v>3.8826460507614224</v>
      </c>
      <c r="AJ80" s="16">
        <f>Peak!AJ82</f>
        <v>0</v>
      </c>
      <c r="AK80" s="16">
        <f>Peak!AK82</f>
        <v>0</v>
      </c>
      <c r="AL80" s="4"/>
    </row>
    <row r="81" spans="1:38" x14ac:dyDescent="0.2">
      <c r="A81" s="1">
        <f t="shared" si="11"/>
        <v>38730.024000000092</v>
      </c>
      <c r="B81" s="16">
        <f t="shared" si="9"/>
        <v>4.0827587934965441</v>
      </c>
      <c r="C81" s="17">
        <f t="shared" si="6"/>
        <v>46.154545753977963</v>
      </c>
      <c r="D81" s="16">
        <f t="shared" si="10"/>
        <v>0.67981269228195151</v>
      </c>
      <c r="E81" s="16">
        <f t="shared" si="7"/>
        <v>0</v>
      </c>
      <c r="F81" s="16">
        <f t="shared" si="8"/>
        <v>0</v>
      </c>
      <c r="G81" s="19" t="str">
        <f>IF(IS!$C$2="Peak","-",SUM(C81:F81))</f>
        <v>-</v>
      </c>
      <c r="H81" s="197">
        <v>90.871466975174343</v>
      </c>
      <c r="I81" s="197">
        <v>79.475179888670567</v>
      </c>
      <c r="J81" s="197">
        <v>71.987376253097565</v>
      </c>
      <c r="K81" s="197">
        <v>66.106841992823234</v>
      </c>
      <c r="L81" s="197">
        <v>63.451964872503616</v>
      </c>
      <c r="M81" s="197">
        <v>59.730244379693829</v>
      </c>
      <c r="N81" s="197">
        <v>56.710878266528582</v>
      </c>
      <c r="O81" s="197">
        <v>56.482445132018697</v>
      </c>
      <c r="P81" s="197">
        <v>51.910480854302186</v>
      </c>
      <c r="Q81" s="197">
        <v>41.124652502399734</v>
      </c>
      <c r="R81" s="197">
        <v>35.906991274837978</v>
      </c>
      <c r="S81" s="197">
        <v>32.560457628054934</v>
      </c>
      <c r="T81" s="197">
        <v>30.286180523270374</v>
      </c>
      <c r="U81" s="197">
        <v>29.228102994602473</v>
      </c>
      <c r="V81" s="197">
        <v>28.113307285673674</v>
      </c>
      <c r="W81" s="197">
        <v>25.970498766617649</v>
      </c>
      <c r="X81" s="197">
        <v>24.994647358506988</v>
      </c>
      <c r="Y81" s="197">
        <v>24.436107424033185</v>
      </c>
      <c r="Z81" s="197">
        <v>23.980407011930563</v>
      </c>
      <c r="AA81" s="197">
        <v>22.937159138345464</v>
      </c>
      <c r="AB81" s="16">
        <f>Peak!AB83</f>
        <v>0.67981269228195151</v>
      </c>
      <c r="AC81" s="16">
        <f>Peak!AC83</f>
        <v>0</v>
      </c>
      <c r="AD81" s="18">
        <f>Peak!AD83</f>
        <v>319.92473742153555</v>
      </c>
      <c r="AE81" s="18">
        <f>Peak!AE83</f>
        <v>3926.9475616572372</v>
      </c>
      <c r="AF81" s="16">
        <f>Peak!AF83</f>
        <v>0</v>
      </c>
      <c r="AG81" s="73">
        <f>Peak!AG83</f>
        <v>0</v>
      </c>
      <c r="AH81" s="16">
        <f>Peak!AH83</f>
        <v>4.0827587934965441</v>
      </c>
      <c r="AI81" s="16">
        <f>Peak!AI83</f>
        <v>3.9163658823529417</v>
      </c>
      <c r="AJ81" s="16">
        <f>Peak!AJ83</f>
        <v>0</v>
      </c>
      <c r="AK81" s="16">
        <f>Peak!AK83</f>
        <v>0</v>
      </c>
      <c r="AL81" s="4"/>
    </row>
    <row r="82" spans="1:38" x14ac:dyDescent="0.2">
      <c r="A82" s="1">
        <f t="shared" si="11"/>
        <v>38760.441000000093</v>
      </c>
      <c r="B82" s="16">
        <f t="shared" si="9"/>
        <v>3.6592811526817428</v>
      </c>
      <c r="C82" s="17">
        <f t="shared" si="6"/>
        <v>41.367239146517477</v>
      </c>
      <c r="D82" s="16">
        <f t="shared" si="10"/>
        <v>0.68094571343575483</v>
      </c>
      <c r="E82" s="16">
        <f t="shared" si="7"/>
        <v>0</v>
      </c>
      <c r="F82" s="16">
        <f t="shared" si="8"/>
        <v>0</v>
      </c>
      <c r="G82" s="19" t="str">
        <f>IF(IS!$C$2="Peak","-",SUM(C82:F82))</f>
        <v>-</v>
      </c>
      <c r="H82" s="197">
        <v>77.028705550120307</v>
      </c>
      <c r="I82" s="197">
        <v>74.094600946607628</v>
      </c>
      <c r="J82" s="197">
        <v>74.080026412624235</v>
      </c>
      <c r="K82" s="197">
        <v>68.957815664169829</v>
      </c>
      <c r="L82" s="197">
        <v>54.467900376146488</v>
      </c>
      <c r="M82" s="197">
        <v>52.394089576330821</v>
      </c>
      <c r="N82" s="197">
        <v>51.610550912575412</v>
      </c>
      <c r="O82" s="197">
        <v>45.623208152161325</v>
      </c>
      <c r="P82" s="197">
        <v>41.295686568967312</v>
      </c>
      <c r="Q82" s="197">
        <v>36.753257845410431</v>
      </c>
      <c r="R82" s="197">
        <v>36.510702110603802</v>
      </c>
      <c r="S82" s="197">
        <v>36.510702110603802</v>
      </c>
      <c r="T82" s="197">
        <v>36.284157497063838</v>
      </c>
      <c r="U82" s="197">
        <v>36.21197235376998</v>
      </c>
      <c r="V82" s="197">
        <v>36.21197235376998</v>
      </c>
      <c r="W82" s="197">
        <v>36.21197235376998</v>
      </c>
      <c r="X82" s="197">
        <v>36.21197235376998</v>
      </c>
      <c r="Y82" s="197">
        <v>29.222674848316451</v>
      </c>
      <c r="Z82" s="197">
        <v>23.547266582679143</v>
      </c>
      <c r="AA82" s="197">
        <v>22.04478038944308</v>
      </c>
      <c r="AB82" s="16">
        <f>Peak!AB84</f>
        <v>0.68094571343575483</v>
      </c>
      <c r="AC82" s="16">
        <f>Peak!AC84</f>
        <v>0</v>
      </c>
      <c r="AD82" s="18">
        <f>Peak!AD84</f>
        <v>319.92473742153555</v>
      </c>
      <c r="AE82" s="18">
        <f>Peak!AE84</f>
        <v>3926.9475616572372</v>
      </c>
      <c r="AF82" s="16">
        <f>Peak!AF84</f>
        <v>0</v>
      </c>
      <c r="AG82" s="73">
        <f>Peak!AG84</f>
        <v>0</v>
      </c>
      <c r="AH82" s="16">
        <f>Peak!AH84</f>
        <v>3.6592811526817428</v>
      </c>
      <c r="AI82" s="16">
        <f>Peak!AI84</f>
        <v>3.8801032352941185</v>
      </c>
      <c r="AJ82" s="16">
        <f>Peak!AJ84</f>
        <v>0</v>
      </c>
      <c r="AK82" s="16">
        <f>Peak!AK84</f>
        <v>0</v>
      </c>
      <c r="AL82" s="4"/>
    </row>
    <row r="83" spans="1:38" x14ac:dyDescent="0.2">
      <c r="A83" s="1">
        <f t="shared" si="11"/>
        <v>38790.858000000095</v>
      </c>
      <c r="B83" s="16">
        <f t="shared" si="9"/>
        <v>3.5977502134180543</v>
      </c>
      <c r="C83" s="17">
        <f t="shared" si="6"/>
        <v>40.671647588168526</v>
      </c>
      <c r="D83" s="16">
        <f t="shared" si="10"/>
        <v>0.68208062295814775</v>
      </c>
      <c r="E83" s="16">
        <f t="shared" si="7"/>
        <v>0</v>
      </c>
      <c r="F83" s="16">
        <f t="shared" si="8"/>
        <v>0</v>
      </c>
      <c r="G83" s="19" t="str">
        <f>IF(IS!$C$2="Peak","-",SUM(C83:F83))</f>
        <v>-</v>
      </c>
      <c r="H83" s="197">
        <v>88.245016267231591</v>
      </c>
      <c r="I83" s="197">
        <v>80.211653502084872</v>
      </c>
      <c r="J83" s="197">
        <v>69.851392443673603</v>
      </c>
      <c r="K83" s="197">
        <v>65.588647830888718</v>
      </c>
      <c r="L83" s="197">
        <v>62.390420028623488</v>
      </c>
      <c r="M83" s="197">
        <v>58.151795269736724</v>
      </c>
      <c r="N83" s="197">
        <v>57.420133603159627</v>
      </c>
      <c r="O83" s="197">
        <v>55.229927007399219</v>
      </c>
      <c r="P83" s="197">
        <v>45.314459149772958</v>
      </c>
      <c r="Q83" s="197">
        <v>40.090454712844348</v>
      </c>
      <c r="R83" s="197">
        <v>33.162696263167376</v>
      </c>
      <c r="S83" s="197">
        <v>32.943917422857417</v>
      </c>
      <c r="T83" s="197">
        <v>29.549185694337208</v>
      </c>
      <c r="U83" s="197">
        <v>29.451920351882055</v>
      </c>
      <c r="V83" s="197">
        <v>29.451920351882055</v>
      </c>
      <c r="W83" s="197">
        <v>29.382992058883087</v>
      </c>
      <c r="X83" s="197">
        <v>28.725903766978508</v>
      </c>
      <c r="Y83" s="197">
        <v>26.209374166316252</v>
      </c>
      <c r="Z83" s="197">
        <v>24.813531653499474</v>
      </c>
      <c r="AA83" s="197">
        <v>23.44589721494162</v>
      </c>
      <c r="AB83" s="16">
        <f>Peak!AB85</f>
        <v>0.68208062295814775</v>
      </c>
      <c r="AC83" s="16">
        <f>Peak!AC85</f>
        <v>0</v>
      </c>
      <c r="AD83" s="18">
        <f>Peak!AD85</f>
        <v>319.92473742153555</v>
      </c>
      <c r="AE83" s="18">
        <f>Peak!AE85</f>
        <v>3926.9475616572372</v>
      </c>
      <c r="AF83" s="16">
        <f>Peak!AF85</f>
        <v>0</v>
      </c>
      <c r="AG83" s="73">
        <f>Peak!AG85</f>
        <v>0</v>
      </c>
      <c r="AH83" s="16">
        <f>Peak!AH85</f>
        <v>3.5977502134180543</v>
      </c>
      <c r="AI83" s="16">
        <f>Peak!AI85</f>
        <v>3.7350526470588239</v>
      </c>
      <c r="AJ83" s="16">
        <f>Peak!AJ85</f>
        <v>0</v>
      </c>
      <c r="AK83" s="16">
        <f>Peak!AK85</f>
        <v>0</v>
      </c>
      <c r="AL83" s="4"/>
    </row>
    <row r="84" spans="1:38" x14ac:dyDescent="0.2">
      <c r="A84" s="1">
        <f t="shared" si="11"/>
        <v>38821.275000000096</v>
      </c>
      <c r="B84" s="16">
        <f t="shared" si="9"/>
        <v>3.4203963296580091</v>
      </c>
      <c r="C84" s="17">
        <f t="shared" si="6"/>
        <v>38.66670721410388</v>
      </c>
      <c r="D84" s="16">
        <f t="shared" si="10"/>
        <v>0.68321742399641139</v>
      </c>
      <c r="E84" s="16">
        <f t="shared" si="7"/>
        <v>0</v>
      </c>
      <c r="F84" s="16">
        <f t="shared" si="8"/>
        <v>0</v>
      </c>
      <c r="G84" s="19" t="str">
        <f>IF(IS!$C$2="Peak","-",SUM(C84:F84))</f>
        <v>-</v>
      </c>
      <c r="H84" s="197">
        <v>73.439747626919058</v>
      </c>
      <c r="I84" s="197">
        <v>72.729605765512616</v>
      </c>
      <c r="J84" s="197">
        <v>72.729605765512616</v>
      </c>
      <c r="K84" s="197">
        <v>70.967939515391876</v>
      </c>
      <c r="L84" s="197">
        <v>64.018227366218767</v>
      </c>
      <c r="M84" s="197">
        <v>51.0060616044195</v>
      </c>
      <c r="N84" s="197">
        <v>42.179377890204719</v>
      </c>
      <c r="O84" s="197">
        <v>40.427353904439784</v>
      </c>
      <c r="P84" s="197">
        <v>35.630790959975116</v>
      </c>
      <c r="Q84" s="197">
        <v>35.630790959975116</v>
      </c>
      <c r="R84" s="197">
        <v>35.630790959975116</v>
      </c>
      <c r="S84" s="197">
        <v>33.139261519957849</v>
      </c>
      <c r="T84" s="197">
        <v>26.816920856065284</v>
      </c>
      <c r="U84" s="197">
        <v>25.898447766693238</v>
      </c>
      <c r="V84" s="197">
        <v>24.791022433939386</v>
      </c>
      <c r="W84" s="197">
        <v>24.32120655092459</v>
      </c>
      <c r="X84" s="197">
        <v>23.955195366891001</v>
      </c>
      <c r="Y84" s="197">
        <v>23.623999780332419</v>
      </c>
      <c r="Z84" s="197">
        <v>23.304351721217678</v>
      </c>
      <c r="AA84" s="197">
        <v>22.760108909881524</v>
      </c>
      <c r="AB84" s="16">
        <f>Peak!AB86</f>
        <v>0.68321742399641139</v>
      </c>
      <c r="AC84" s="16">
        <f>Peak!AC86</f>
        <v>0</v>
      </c>
      <c r="AD84" s="18">
        <f>Peak!AD86</f>
        <v>319.92473742153555</v>
      </c>
      <c r="AE84" s="18">
        <f>Peak!AE86</f>
        <v>3926.9475616572372</v>
      </c>
      <c r="AF84" s="16">
        <f>Peak!AF86</f>
        <v>0</v>
      </c>
      <c r="AG84" s="73">
        <f>Peak!AG86</f>
        <v>0</v>
      </c>
      <c r="AH84" s="16">
        <f>Peak!AH86</f>
        <v>3.4203963296580091</v>
      </c>
      <c r="AI84" s="16">
        <f>Peak!AI86</f>
        <v>3.5900020588235297</v>
      </c>
      <c r="AJ84" s="16">
        <f>Peak!AJ86</f>
        <v>0</v>
      </c>
      <c r="AK84" s="16">
        <f>Peak!AK86</f>
        <v>0</v>
      </c>
      <c r="AL84" s="4"/>
    </row>
    <row r="85" spans="1:38" x14ac:dyDescent="0.2">
      <c r="A85" s="1">
        <f t="shared" si="11"/>
        <v>38851.692000000097</v>
      </c>
      <c r="B85" s="16">
        <f t="shared" si="9"/>
        <v>3.6013696804335655</v>
      </c>
      <c r="C85" s="17">
        <f t="shared" si="6"/>
        <v>40.712564738659644</v>
      </c>
      <c r="D85" s="16">
        <f t="shared" si="10"/>
        <v>0.68435611970307209</v>
      </c>
      <c r="E85" s="16">
        <f t="shared" si="7"/>
        <v>0</v>
      </c>
      <c r="F85" s="16">
        <f t="shared" si="8"/>
        <v>0</v>
      </c>
      <c r="G85" s="19" t="str">
        <f>IF(IS!$C$2="Peak","-",SUM(C85:F85))</f>
        <v>-</v>
      </c>
      <c r="H85" s="197">
        <v>152.95094881229366</v>
      </c>
      <c r="I85" s="197">
        <v>91.408355710881466</v>
      </c>
      <c r="J85" s="197">
        <v>82.105459152257623</v>
      </c>
      <c r="K85" s="197">
        <v>75.197769592872504</v>
      </c>
      <c r="L85" s="197">
        <v>73.444320596302688</v>
      </c>
      <c r="M85" s="197">
        <v>70.49024237552446</v>
      </c>
      <c r="N85" s="197">
        <v>51.309243754724172</v>
      </c>
      <c r="O85" s="197">
        <v>43.443865668106476</v>
      </c>
      <c r="P85" s="197">
        <v>40.910432634777166</v>
      </c>
      <c r="Q85" s="197">
        <v>32.323303038090224</v>
      </c>
      <c r="R85" s="197">
        <v>30.99271300488703</v>
      </c>
      <c r="S85" s="197">
        <v>30.077474029193759</v>
      </c>
      <c r="T85" s="197">
        <v>29.277743687878026</v>
      </c>
      <c r="U85" s="197">
        <v>28.771604586257723</v>
      </c>
      <c r="V85" s="197">
        <v>28.351746312293368</v>
      </c>
      <c r="W85" s="197">
        <v>28.197176878314544</v>
      </c>
      <c r="X85" s="197">
        <v>28.045531961317153</v>
      </c>
      <c r="Y85" s="197">
        <v>27.825713490892866</v>
      </c>
      <c r="Z85" s="197">
        <v>27.738492777200399</v>
      </c>
      <c r="AA85" s="197">
        <v>26.984441778401486</v>
      </c>
      <c r="AB85" s="16">
        <f>Peak!AB87</f>
        <v>0.68435611970307209</v>
      </c>
      <c r="AC85" s="16">
        <f>Peak!AC87</f>
        <v>0</v>
      </c>
      <c r="AD85" s="18">
        <f>Peak!AD87</f>
        <v>319.92473742153555</v>
      </c>
      <c r="AE85" s="18">
        <f>Peak!AE87</f>
        <v>3926.9475616572372</v>
      </c>
      <c r="AF85" s="16">
        <f>Peak!AF87</f>
        <v>1</v>
      </c>
      <c r="AG85" s="73">
        <f>Peak!AG87</f>
        <v>0</v>
      </c>
      <c r="AH85" s="16">
        <f>Peak!AH87</f>
        <v>3.6013696804335655</v>
      </c>
      <c r="AI85" s="16">
        <f>Peak!AI87</f>
        <v>3.4449514705882356</v>
      </c>
      <c r="AJ85" s="16">
        <f>Peak!AJ87</f>
        <v>0</v>
      </c>
      <c r="AK85" s="16">
        <f>Peak!AK87</f>
        <v>0</v>
      </c>
      <c r="AL85" s="4"/>
    </row>
    <row r="86" spans="1:38" x14ac:dyDescent="0.2">
      <c r="A86" s="1">
        <f t="shared" si="11"/>
        <v>38882.109000000099</v>
      </c>
      <c r="B86" s="16">
        <f t="shared" si="9"/>
        <v>3.4312547307045427</v>
      </c>
      <c r="C86" s="17">
        <f t="shared" si="6"/>
        <v>38.789458665577236</v>
      </c>
      <c r="D86" s="16">
        <f t="shared" si="10"/>
        <v>0.68549671323591055</v>
      </c>
      <c r="E86" s="16">
        <f t="shared" si="7"/>
        <v>0</v>
      </c>
      <c r="F86" s="16">
        <f t="shared" si="8"/>
        <v>0</v>
      </c>
      <c r="G86" s="19" t="str">
        <f>IF(IS!$C$2="Peak","-",SUM(C86:F86))</f>
        <v>-</v>
      </c>
      <c r="H86" s="197">
        <v>166.07453610162523</v>
      </c>
      <c r="I86" s="197">
        <v>125.32491700188299</v>
      </c>
      <c r="J86" s="197">
        <v>91.404246522033475</v>
      </c>
      <c r="K86" s="197">
        <v>78.684227228694652</v>
      </c>
      <c r="L86" s="197">
        <v>71.059753845209414</v>
      </c>
      <c r="M86" s="197">
        <v>68.959392769903175</v>
      </c>
      <c r="N86" s="197">
        <v>54.87350998439743</v>
      </c>
      <c r="O86" s="197">
        <v>45.998952707556796</v>
      </c>
      <c r="P86" s="197">
        <v>40.087968042384617</v>
      </c>
      <c r="Q86" s="197">
        <v>39.40294082735587</v>
      </c>
      <c r="R86" s="197">
        <v>37.810309447465151</v>
      </c>
      <c r="S86" s="197">
        <v>35.681607755083363</v>
      </c>
      <c r="T86" s="197">
        <v>34.724160590350188</v>
      </c>
      <c r="U86" s="197">
        <v>34.085100402304661</v>
      </c>
      <c r="V86" s="197">
        <v>34.011314117355184</v>
      </c>
      <c r="W86" s="197">
        <v>33.895866861008251</v>
      </c>
      <c r="X86" s="197">
        <v>33.725036539689292</v>
      </c>
      <c r="Y86" s="197">
        <v>33.387398089484734</v>
      </c>
      <c r="Z86" s="197">
        <v>33.181551836855313</v>
      </c>
      <c r="AA86" s="197">
        <v>30.693461523323965</v>
      </c>
      <c r="AB86" s="16">
        <f>Peak!AB88</f>
        <v>0.68549671323591055</v>
      </c>
      <c r="AC86" s="16">
        <f>Peak!AC88</f>
        <v>0</v>
      </c>
      <c r="AD86" s="18">
        <f>Peak!AD88</f>
        <v>319.92473742153555</v>
      </c>
      <c r="AE86" s="18">
        <f>Peak!AE88</f>
        <v>3926.9475616572372</v>
      </c>
      <c r="AF86" s="16">
        <f>Peak!AF88</f>
        <v>1</v>
      </c>
      <c r="AG86" s="73">
        <f>Peak!AG88</f>
        <v>0</v>
      </c>
      <c r="AH86" s="16">
        <f>Peak!AH88</f>
        <v>3.4312547307045427</v>
      </c>
      <c r="AI86" s="16">
        <f>Peak!AI88</f>
        <v>3.4449514705882356</v>
      </c>
      <c r="AJ86" s="16">
        <f>Peak!AJ88</f>
        <v>0</v>
      </c>
      <c r="AK86" s="16">
        <f>Peak!AK88</f>
        <v>0</v>
      </c>
      <c r="AL86" s="4"/>
    </row>
    <row r="87" spans="1:38" x14ac:dyDescent="0.2">
      <c r="A87" s="1">
        <f t="shared" si="11"/>
        <v>38912.5260000001</v>
      </c>
      <c r="B87" s="16">
        <f t="shared" si="9"/>
        <v>3.4203963296580091</v>
      </c>
      <c r="C87" s="17">
        <f t="shared" si="6"/>
        <v>38.66670721410388</v>
      </c>
      <c r="D87" s="16">
        <f t="shared" si="10"/>
        <v>0.68663920775797038</v>
      </c>
      <c r="E87" s="16">
        <f t="shared" si="7"/>
        <v>0</v>
      </c>
      <c r="F87" s="16">
        <f t="shared" si="8"/>
        <v>0</v>
      </c>
      <c r="G87" s="19" t="str">
        <f>IF(IS!$C$2="Peak","-",SUM(C87:F87))</f>
        <v>-</v>
      </c>
      <c r="H87" s="197">
        <v>211.3394752548549</v>
      </c>
      <c r="I87" s="197">
        <v>165.50999241682567</v>
      </c>
      <c r="J87" s="197">
        <v>146.60122411564006</v>
      </c>
      <c r="K87" s="197">
        <v>119.19239886696752</v>
      </c>
      <c r="L87" s="197">
        <v>108.65594378760196</v>
      </c>
      <c r="M87" s="197">
        <v>99.653127438509003</v>
      </c>
      <c r="N87" s="197">
        <v>95.129119679657492</v>
      </c>
      <c r="O87" s="197">
        <v>69.394760734456924</v>
      </c>
      <c r="P87" s="197">
        <v>55.375049796425969</v>
      </c>
      <c r="Q87" s="197">
        <v>49.174432270155854</v>
      </c>
      <c r="R87" s="197">
        <v>46.575931058986463</v>
      </c>
      <c r="S87" s="197">
        <v>46.131933881373186</v>
      </c>
      <c r="T87" s="197">
        <v>46.131933881373186</v>
      </c>
      <c r="U87" s="197">
        <v>41.657964007877339</v>
      </c>
      <c r="V87" s="197">
        <v>36.176983760707849</v>
      </c>
      <c r="W87" s="197">
        <v>34.520291463599833</v>
      </c>
      <c r="X87" s="197">
        <v>32.834978683253674</v>
      </c>
      <c r="Y87" s="197">
        <v>31.947813502419571</v>
      </c>
      <c r="Z87" s="197">
        <v>31.493017004302157</v>
      </c>
      <c r="AA87" s="197">
        <v>30.303699681999991</v>
      </c>
      <c r="AB87" s="16">
        <f>Peak!AB89</f>
        <v>0.68663920775797038</v>
      </c>
      <c r="AC87" s="16">
        <f>Peak!AC89</f>
        <v>0</v>
      </c>
      <c r="AD87" s="18">
        <f>Peak!AD89</f>
        <v>319.92473742153555</v>
      </c>
      <c r="AE87" s="18">
        <f>Peak!AE89</f>
        <v>3926.9475616572372</v>
      </c>
      <c r="AF87" s="16">
        <f>Peak!AF89</f>
        <v>1</v>
      </c>
      <c r="AG87" s="73">
        <f>Peak!AG89</f>
        <v>0</v>
      </c>
      <c r="AH87" s="16">
        <f>Peak!AH89</f>
        <v>3.4203963296580091</v>
      </c>
      <c r="AI87" s="16">
        <f>Peak!AI89</f>
        <v>3.4449514705882356</v>
      </c>
      <c r="AJ87" s="16">
        <f>Peak!AJ89</f>
        <v>0</v>
      </c>
      <c r="AK87" s="16">
        <f>Peak!AK89</f>
        <v>0</v>
      </c>
      <c r="AL87" s="4"/>
    </row>
    <row r="88" spans="1:38" x14ac:dyDescent="0.2">
      <c r="A88" s="1">
        <f t="shared" si="11"/>
        <v>38942.943000000101</v>
      </c>
      <c r="B88" s="16">
        <f t="shared" si="9"/>
        <v>3.2430424458979643</v>
      </c>
      <c r="C88" s="17">
        <f t="shared" si="6"/>
        <v>36.661766840039242</v>
      </c>
      <c r="D88" s="16">
        <f t="shared" si="10"/>
        <v>0.68778360643756697</v>
      </c>
      <c r="E88" s="16">
        <f t="shared" si="7"/>
        <v>0</v>
      </c>
      <c r="F88" s="16">
        <f t="shared" si="8"/>
        <v>0</v>
      </c>
      <c r="G88" s="19" t="str">
        <f>IF(IS!$C$2="Peak","-",SUM(C88:F88))</f>
        <v>-</v>
      </c>
      <c r="H88" s="197">
        <v>583.76452323825242</v>
      </c>
      <c r="I88" s="197">
        <v>382.22843311937851</v>
      </c>
      <c r="J88" s="197">
        <v>283.01608014104204</v>
      </c>
      <c r="K88" s="197">
        <v>195.605936490327</v>
      </c>
      <c r="L88" s="197">
        <v>148.10054394724131</v>
      </c>
      <c r="M88" s="197">
        <v>94.079917618786084</v>
      </c>
      <c r="N88" s="197">
        <v>80.911810218899035</v>
      </c>
      <c r="O88" s="197">
        <v>76.000939486482395</v>
      </c>
      <c r="P88" s="197">
        <v>61.590844186170536</v>
      </c>
      <c r="Q88" s="197">
        <v>49.487953769701207</v>
      </c>
      <c r="R88" s="197">
        <v>41.614728540842393</v>
      </c>
      <c r="S88" s="197">
        <v>37.053634309893567</v>
      </c>
      <c r="T88" s="197">
        <v>36.785153400485527</v>
      </c>
      <c r="U88" s="197">
        <v>36.46139137241137</v>
      </c>
      <c r="V88" s="197">
        <v>35.567581282888007</v>
      </c>
      <c r="W88" s="197">
        <v>32.566363447768005</v>
      </c>
      <c r="X88" s="197">
        <v>30.662900759657362</v>
      </c>
      <c r="Y88" s="197">
        <v>29.519711995208461</v>
      </c>
      <c r="Z88" s="197">
        <v>28.864568487311196</v>
      </c>
      <c r="AA88" s="197">
        <v>26.215724832813198</v>
      </c>
      <c r="AB88" s="16">
        <f>Peak!AB90</f>
        <v>0.68778360643756697</v>
      </c>
      <c r="AC88" s="16">
        <f>Peak!AC90</f>
        <v>0</v>
      </c>
      <c r="AD88" s="18">
        <f>Peak!AD90</f>
        <v>319.92473742153555</v>
      </c>
      <c r="AE88" s="18">
        <f>Peak!AE90</f>
        <v>3926.9475616572372</v>
      </c>
      <c r="AF88" s="16">
        <f>Peak!AF90</f>
        <v>1</v>
      </c>
      <c r="AG88" s="73">
        <f>Peak!AG90</f>
        <v>0</v>
      </c>
      <c r="AH88" s="16">
        <f>Peak!AH90</f>
        <v>3.2430424458979643</v>
      </c>
      <c r="AI88" s="16">
        <f>Peak!AI90</f>
        <v>3.4449514705882356</v>
      </c>
      <c r="AJ88" s="16">
        <f>Peak!AJ90</f>
        <v>0</v>
      </c>
      <c r="AK88" s="16">
        <f>Peak!AK90</f>
        <v>0</v>
      </c>
      <c r="AL88" s="4"/>
    </row>
    <row r="89" spans="1:38" x14ac:dyDescent="0.2">
      <c r="A89" s="1">
        <f t="shared" si="11"/>
        <v>38973.360000000102</v>
      </c>
      <c r="B89" s="16">
        <f t="shared" si="9"/>
        <v>3.2321840448514312</v>
      </c>
      <c r="C89" s="17">
        <f t="shared" si="6"/>
        <v>36.539015388565893</v>
      </c>
      <c r="D89" s="16">
        <f t="shared" si="10"/>
        <v>0.68892991244829627</v>
      </c>
      <c r="E89" s="16">
        <f t="shared" si="7"/>
        <v>0</v>
      </c>
      <c r="F89" s="16">
        <f t="shared" si="8"/>
        <v>0</v>
      </c>
      <c r="G89" s="19" t="str">
        <f>IF(IS!$C$2="Peak","-",SUM(C89:F89))</f>
        <v>-</v>
      </c>
      <c r="H89" s="197">
        <v>232.6563387840153</v>
      </c>
      <c r="I89" s="197">
        <v>177.77936791807628</v>
      </c>
      <c r="J89" s="197">
        <v>151.86937963762645</v>
      </c>
      <c r="K89" s="197">
        <v>79.401883910270229</v>
      </c>
      <c r="L89" s="197">
        <v>69.887055848904851</v>
      </c>
      <c r="M89" s="197">
        <v>63.014308402863172</v>
      </c>
      <c r="N89" s="197">
        <v>57.980757490705436</v>
      </c>
      <c r="O89" s="197">
        <v>57.315946320020444</v>
      </c>
      <c r="P89" s="197">
        <v>48.276083991651916</v>
      </c>
      <c r="Q89" s="197">
        <v>40.165517542455667</v>
      </c>
      <c r="R89" s="197">
        <v>33.789134939337799</v>
      </c>
      <c r="S89" s="197">
        <v>32.964370252454927</v>
      </c>
      <c r="T89" s="197">
        <v>31.686617410582777</v>
      </c>
      <c r="U89" s="197">
        <v>30.126518452051155</v>
      </c>
      <c r="V89" s="197">
        <v>29.155689729287207</v>
      </c>
      <c r="W89" s="197">
        <v>28.606808481908523</v>
      </c>
      <c r="X89" s="197">
        <v>28.180684153199984</v>
      </c>
      <c r="Y89" s="197">
        <v>27.969390279022814</v>
      </c>
      <c r="Z89" s="197">
        <v>27.512693383138576</v>
      </c>
      <c r="AA89" s="197">
        <v>26.797816128261815</v>
      </c>
      <c r="AB89" s="16">
        <f>Peak!AB91</f>
        <v>0.68892991244829627</v>
      </c>
      <c r="AC89" s="16">
        <f>Peak!AC91</f>
        <v>0</v>
      </c>
      <c r="AD89" s="18">
        <f>Peak!AD91</f>
        <v>319.92473742153555</v>
      </c>
      <c r="AE89" s="18">
        <f>Peak!AE91</f>
        <v>3926.9475616572372</v>
      </c>
      <c r="AF89" s="16">
        <f>Peak!AF91</f>
        <v>1</v>
      </c>
      <c r="AG89" s="73">
        <f>Peak!AG91</f>
        <v>0</v>
      </c>
      <c r="AH89" s="16">
        <f>Peak!AH91</f>
        <v>3.2321840448514312</v>
      </c>
      <c r="AI89" s="16">
        <f>Peak!AI91</f>
        <v>3.4449514705882356</v>
      </c>
      <c r="AJ89" s="16">
        <f>Peak!AJ91</f>
        <v>0</v>
      </c>
      <c r="AK89" s="16">
        <f>Peak!AK91</f>
        <v>0</v>
      </c>
      <c r="AL89" s="4"/>
    </row>
    <row r="90" spans="1:38" x14ac:dyDescent="0.2">
      <c r="A90" s="1">
        <f t="shared" si="11"/>
        <v>39003.777000000104</v>
      </c>
      <c r="B90" s="16">
        <f t="shared" si="9"/>
        <v>3.5796528783404988</v>
      </c>
      <c r="C90" s="17">
        <f t="shared" si="6"/>
        <v>40.467061835712947</v>
      </c>
      <c r="D90" s="16">
        <f t="shared" si="10"/>
        <v>0.69007812896904341</v>
      </c>
      <c r="E90" s="16">
        <f t="shared" si="7"/>
        <v>0</v>
      </c>
      <c r="F90" s="16">
        <f t="shared" si="8"/>
        <v>0</v>
      </c>
      <c r="G90" s="19" t="str">
        <f>IF(IS!$C$2="Peak","-",SUM(C90:F90))</f>
        <v>-</v>
      </c>
      <c r="H90" s="197">
        <v>70.427613969035804</v>
      </c>
      <c r="I90" s="197">
        <v>68.162521371052918</v>
      </c>
      <c r="J90" s="197">
        <v>66.18981139947806</v>
      </c>
      <c r="K90" s="197">
        <v>62.175497918766006</v>
      </c>
      <c r="L90" s="197">
        <v>61.390338265413014</v>
      </c>
      <c r="M90" s="197">
        <v>60.263607088057178</v>
      </c>
      <c r="N90" s="197">
        <v>49.060576321043186</v>
      </c>
      <c r="O90" s="197">
        <v>42.072716796990171</v>
      </c>
      <c r="P90" s="197">
        <v>35.074862864108802</v>
      </c>
      <c r="Q90" s="197">
        <v>34.629276073389825</v>
      </c>
      <c r="R90" s="197">
        <v>30.789696742492293</v>
      </c>
      <c r="S90" s="197">
        <v>30.731752048146458</v>
      </c>
      <c r="T90" s="197">
        <v>30.731110667399427</v>
      </c>
      <c r="U90" s="197">
        <v>30.731062572796077</v>
      </c>
      <c r="V90" s="197">
        <v>30.731062572796077</v>
      </c>
      <c r="W90" s="197">
        <v>30.025801457471459</v>
      </c>
      <c r="X90" s="197">
        <v>27.178732046862912</v>
      </c>
      <c r="Y90" s="197">
        <v>26.670266987238058</v>
      </c>
      <c r="Z90" s="197">
        <v>25.472703633066416</v>
      </c>
      <c r="AA90" s="197">
        <v>24.432749027638799</v>
      </c>
      <c r="AB90" s="16">
        <f>Peak!AB92</f>
        <v>0.69007812896904341</v>
      </c>
      <c r="AC90" s="16">
        <f>Peak!AC92</f>
        <v>0</v>
      </c>
      <c r="AD90" s="18">
        <f>Peak!AD92</f>
        <v>319.92473742153555</v>
      </c>
      <c r="AE90" s="18">
        <f>Peak!AE92</f>
        <v>3926.9475616572372</v>
      </c>
      <c r="AF90" s="16">
        <f>Peak!AF92</f>
        <v>0</v>
      </c>
      <c r="AG90" s="73">
        <f>Peak!AG92</f>
        <v>0</v>
      </c>
      <c r="AH90" s="16">
        <f>Peak!AH92</f>
        <v>3.5796528783404988</v>
      </c>
      <c r="AI90" s="16">
        <f>Peak!AI92</f>
        <v>3.4449514705882356</v>
      </c>
      <c r="AJ90" s="16">
        <f>Peak!AJ92</f>
        <v>0</v>
      </c>
      <c r="AK90" s="16">
        <f>Peak!AK92</f>
        <v>0</v>
      </c>
      <c r="AL90" s="4"/>
    </row>
    <row r="91" spans="1:38" x14ac:dyDescent="0.2">
      <c r="A91" s="1">
        <f t="shared" si="11"/>
        <v>39034.194000000105</v>
      </c>
      <c r="B91" s="16">
        <f t="shared" si="9"/>
        <v>3.9198827777985441</v>
      </c>
      <c r="C91" s="17">
        <f t="shared" si="6"/>
        <v>44.313273981877785</v>
      </c>
      <c r="D91" s="16">
        <f t="shared" si="10"/>
        <v>0.69122825918399189</v>
      </c>
      <c r="E91" s="16">
        <f t="shared" si="7"/>
        <v>0</v>
      </c>
      <c r="F91" s="16">
        <f t="shared" si="8"/>
        <v>0</v>
      </c>
      <c r="G91" s="19" t="str">
        <f>IF(IS!$C$2="Peak","-",SUM(C91:F91))</f>
        <v>-</v>
      </c>
      <c r="H91" s="197">
        <v>80.999582783374265</v>
      </c>
      <c r="I91" s="197">
        <v>76.821692838900702</v>
      </c>
      <c r="J91" s="197">
        <v>75.117756774418794</v>
      </c>
      <c r="K91" s="197">
        <v>70.935882606473683</v>
      </c>
      <c r="L91" s="197">
        <v>69.406043346531959</v>
      </c>
      <c r="M91" s="197">
        <v>69.087940747996882</v>
      </c>
      <c r="N91" s="197">
        <v>64.007356384368194</v>
      </c>
      <c r="O91" s="197">
        <v>48.094809323298797</v>
      </c>
      <c r="P91" s="197">
        <v>45.151659373820095</v>
      </c>
      <c r="Q91" s="197">
        <v>43.981774996425322</v>
      </c>
      <c r="R91" s="197">
        <v>35.629186128575753</v>
      </c>
      <c r="S91" s="197">
        <v>34.206875204455145</v>
      </c>
      <c r="T91" s="197">
        <v>34.206875204455145</v>
      </c>
      <c r="U91" s="197">
        <v>32.085343921559321</v>
      </c>
      <c r="V91" s="197">
        <v>26.658911268550462</v>
      </c>
      <c r="W91" s="197">
        <v>25.669871438802588</v>
      </c>
      <c r="X91" s="197">
        <v>24.678542848996472</v>
      </c>
      <c r="Y91" s="197">
        <v>24.204769937297858</v>
      </c>
      <c r="Z91" s="197">
        <v>23.816235387322486</v>
      </c>
      <c r="AA91" s="197">
        <v>23.082924592459293</v>
      </c>
      <c r="AB91" s="16">
        <f>Peak!AB93</f>
        <v>0.69122825918399189</v>
      </c>
      <c r="AC91" s="16">
        <f>Peak!AC93</f>
        <v>0</v>
      </c>
      <c r="AD91" s="18">
        <f>Peak!AD93</f>
        <v>319.92473742153555</v>
      </c>
      <c r="AE91" s="18">
        <f>Peak!AE93</f>
        <v>3926.9475616572372</v>
      </c>
      <c r="AF91" s="16">
        <f>Peak!AF93</f>
        <v>0</v>
      </c>
      <c r="AG91" s="73">
        <f>Peak!AG93</f>
        <v>0</v>
      </c>
      <c r="AH91" s="16">
        <f>Peak!AH93</f>
        <v>3.9198827777985441</v>
      </c>
      <c r="AI91" s="16">
        <f>Peak!AI93</f>
        <v>3.7350526470588239</v>
      </c>
      <c r="AJ91" s="16">
        <f>Peak!AJ93</f>
        <v>0</v>
      </c>
      <c r="AK91" s="16">
        <f>Peak!AK93</f>
        <v>0</v>
      </c>
      <c r="AL91" s="4"/>
    </row>
    <row r="92" spans="1:38" x14ac:dyDescent="0.2">
      <c r="A92" s="1">
        <f t="shared" si="11"/>
        <v>39064.611000000106</v>
      </c>
      <c r="B92" s="16">
        <f t="shared" si="9"/>
        <v>4.2420153421790339</v>
      </c>
      <c r="C92" s="17">
        <f t="shared" si="6"/>
        <v>47.954900375587037</v>
      </c>
      <c r="D92" s="16">
        <f t="shared" si="10"/>
        <v>0.69238030628263192</v>
      </c>
      <c r="E92" s="16">
        <f t="shared" si="7"/>
        <v>0</v>
      </c>
      <c r="F92" s="16">
        <f t="shared" si="8"/>
        <v>0</v>
      </c>
      <c r="G92" s="19" t="str">
        <f>IF(IS!$C$2="Peak","-",SUM(C92:F92))</f>
        <v>-</v>
      </c>
      <c r="H92" s="197">
        <v>163.69646160424401</v>
      </c>
      <c r="I92" s="197">
        <v>153.62847377574602</v>
      </c>
      <c r="J92" s="197">
        <v>90.098241136503717</v>
      </c>
      <c r="K92" s="197">
        <v>70.779883203132016</v>
      </c>
      <c r="L92" s="197">
        <v>65.102066403574781</v>
      </c>
      <c r="M92" s="197">
        <v>62.58428096032177</v>
      </c>
      <c r="N92" s="197">
        <v>59.316603094978305</v>
      </c>
      <c r="O92" s="197">
        <v>56.0349934422281</v>
      </c>
      <c r="P92" s="197">
        <v>55.69903066562987</v>
      </c>
      <c r="Q92" s="197">
        <v>54.749972151767139</v>
      </c>
      <c r="R92" s="197">
        <v>48.454161741236646</v>
      </c>
      <c r="S92" s="197">
        <v>39.417865037190012</v>
      </c>
      <c r="T92" s="197">
        <v>33.639068036480886</v>
      </c>
      <c r="U92" s="197">
        <v>31.955814110234797</v>
      </c>
      <c r="V92" s="197">
        <v>28.921337464605067</v>
      </c>
      <c r="W92" s="197">
        <v>28.269997327529673</v>
      </c>
      <c r="X92" s="197">
        <v>28.269514368240319</v>
      </c>
      <c r="Y92" s="197">
        <v>27.930599479089697</v>
      </c>
      <c r="Z92" s="197">
        <v>26.733816945864767</v>
      </c>
      <c r="AA92" s="197">
        <v>24.906779298592756</v>
      </c>
      <c r="AB92" s="16">
        <f>Peak!AB94</f>
        <v>0.69238030628263192</v>
      </c>
      <c r="AC92" s="16">
        <f>Peak!AC94</f>
        <v>0</v>
      </c>
      <c r="AD92" s="18">
        <f>Peak!AD94</f>
        <v>319.92473742153555</v>
      </c>
      <c r="AE92" s="18">
        <f>Peak!AE94</f>
        <v>3926.9475616572372</v>
      </c>
      <c r="AF92" s="16">
        <f>Peak!AF94</f>
        <v>0</v>
      </c>
      <c r="AG92" s="73">
        <f>Peak!AG94</f>
        <v>0</v>
      </c>
      <c r="AH92" s="16">
        <f>Peak!AH94</f>
        <v>4.2420153421790339</v>
      </c>
      <c r="AI92" s="16">
        <f>Peak!AI94</f>
        <v>3.9163658823529417</v>
      </c>
      <c r="AJ92" s="16">
        <f>Peak!AJ94</f>
        <v>0</v>
      </c>
      <c r="AK92" s="16">
        <f>Peak!AK94</f>
        <v>0</v>
      </c>
      <c r="AL92" s="4"/>
    </row>
    <row r="93" spans="1:38" x14ac:dyDescent="0.2">
      <c r="A93" s="1">
        <f t="shared" si="11"/>
        <v>39095.028000000108</v>
      </c>
      <c r="B93" s="16">
        <f t="shared" si="9"/>
        <v>4.1475159064986542</v>
      </c>
      <c r="C93" s="17">
        <f t="shared" si="6"/>
        <v>46.886608382735844</v>
      </c>
      <c r="D93" s="16">
        <f t="shared" si="10"/>
        <v>0.6935342734597697</v>
      </c>
      <c r="E93" s="16">
        <f t="shared" si="7"/>
        <v>0</v>
      </c>
      <c r="F93" s="16">
        <f t="shared" si="8"/>
        <v>0</v>
      </c>
      <c r="G93" s="19" t="str">
        <f>IF(IS!$C$2="Peak","-",SUM(C93:F93))</f>
        <v>-</v>
      </c>
      <c r="H93" s="197">
        <v>88.210592783978655</v>
      </c>
      <c r="I93" s="197">
        <v>85.507492675197241</v>
      </c>
      <c r="J93" s="197">
        <v>81.111011258175907</v>
      </c>
      <c r="K93" s="197">
        <v>80.03162108305564</v>
      </c>
      <c r="L93" s="197">
        <v>79.337243111260619</v>
      </c>
      <c r="M93" s="197">
        <v>71.697844852664147</v>
      </c>
      <c r="N93" s="197">
        <v>54.832676903634194</v>
      </c>
      <c r="O93" s="197">
        <v>45.98743440905649</v>
      </c>
      <c r="P93" s="197">
        <v>44.874161771136599</v>
      </c>
      <c r="Q93" s="197">
        <v>38.962603525917942</v>
      </c>
      <c r="R93" s="197">
        <v>38.313990559248019</v>
      </c>
      <c r="S93" s="197">
        <v>38.313924061579911</v>
      </c>
      <c r="T93" s="197">
        <v>38.31381490390185</v>
      </c>
      <c r="U93" s="197">
        <v>38.31337570036753</v>
      </c>
      <c r="V93" s="197">
        <v>35.978174523844224</v>
      </c>
      <c r="W93" s="197">
        <v>33.079357022006349</v>
      </c>
      <c r="X93" s="197">
        <v>31.378865163025448</v>
      </c>
      <c r="Y93" s="197">
        <v>30.777416519772306</v>
      </c>
      <c r="Z93" s="197">
        <v>30.598542229177795</v>
      </c>
      <c r="AA93" s="197">
        <v>29.80523337732674</v>
      </c>
      <c r="AB93" s="16">
        <f>Peak!AB95</f>
        <v>0.6935342734597697</v>
      </c>
      <c r="AC93" s="16">
        <f>Peak!AC95</f>
        <v>0</v>
      </c>
      <c r="AD93" s="18">
        <f>Peak!AD95</f>
        <v>354.61101457823628</v>
      </c>
      <c r="AE93" s="18">
        <f>Peak!AE95</f>
        <v>2147.6543804486269</v>
      </c>
      <c r="AF93" s="16">
        <f>Peak!AF95</f>
        <v>1</v>
      </c>
      <c r="AG93" s="73">
        <f>Peak!AG95</f>
        <v>0</v>
      </c>
      <c r="AH93" s="16">
        <f>Peak!AH95</f>
        <v>4.1475159064986542</v>
      </c>
      <c r="AI93" s="16">
        <f>Peak!AI95</f>
        <v>3.9745426415094349</v>
      </c>
      <c r="AJ93" s="16">
        <f>Peak!AJ95</f>
        <v>0</v>
      </c>
      <c r="AK93" s="16">
        <f>Peak!AK95</f>
        <v>0</v>
      </c>
      <c r="AL93" s="4"/>
    </row>
    <row r="94" spans="1:38" x14ac:dyDescent="0.2">
      <c r="A94" s="1">
        <f t="shared" si="11"/>
        <v>39125.445000000109</v>
      </c>
      <c r="B94" s="16">
        <f t="shared" si="9"/>
        <v>3.7173214374735277</v>
      </c>
      <c r="C94" s="17">
        <f t="shared" si="6"/>
        <v>42.023369747292492</v>
      </c>
      <c r="D94" s="16">
        <f t="shared" si="10"/>
        <v>0.69469016391553606</v>
      </c>
      <c r="E94" s="16">
        <f t="shared" si="7"/>
        <v>0</v>
      </c>
      <c r="F94" s="16">
        <f t="shared" si="8"/>
        <v>0</v>
      </c>
      <c r="G94" s="19" t="str">
        <f>IF(IS!$C$2="Peak","-",SUM(C94:F94))</f>
        <v>-</v>
      </c>
      <c r="H94" s="197">
        <v>158.64767780106166</v>
      </c>
      <c r="I94" s="197">
        <v>120.8425049386249</v>
      </c>
      <c r="J94" s="197">
        <v>95.980273118565336</v>
      </c>
      <c r="K94" s="197">
        <v>79.339314609615045</v>
      </c>
      <c r="L94" s="197">
        <v>70.863549322916867</v>
      </c>
      <c r="M94" s="197">
        <v>66.876626313031778</v>
      </c>
      <c r="N94" s="197">
        <v>63.94811216406702</v>
      </c>
      <c r="O94" s="197">
        <v>63.227654201916053</v>
      </c>
      <c r="P94" s="197">
        <v>48.301308383779499</v>
      </c>
      <c r="Q94" s="197">
        <v>45.909651469922693</v>
      </c>
      <c r="R94" s="197">
        <v>44.650765604759243</v>
      </c>
      <c r="S94" s="197">
        <v>39.031222417482986</v>
      </c>
      <c r="T94" s="197">
        <v>35.499430240029099</v>
      </c>
      <c r="U94" s="197">
        <v>34.247218780510586</v>
      </c>
      <c r="V94" s="197">
        <v>32.922543342672199</v>
      </c>
      <c r="W94" s="197">
        <v>31.927799279081107</v>
      </c>
      <c r="X94" s="197">
        <v>31.806429048934298</v>
      </c>
      <c r="Y94" s="197">
        <v>31.65505942435481</v>
      </c>
      <c r="Z94" s="197">
        <v>30.19139623914138</v>
      </c>
      <c r="AA94" s="197">
        <v>27.238309293402718</v>
      </c>
      <c r="AB94" s="16">
        <f>Peak!AB96</f>
        <v>0.69469016391553606</v>
      </c>
      <c r="AC94" s="16">
        <f>Peak!AC96</f>
        <v>0</v>
      </c>
      <c r="AD94" s="18">
        <f>Peak!AD96</f>
        <v>354.61101457823628</v>
      </c>
      <c r="AE94" s="18">
        <f>Peak!AE96</f>
        <v>2147.6543804486269</v>
      </c>
      <c r="AF94" s="16">
        <f>Peak!AF96</f>
        <v>1</v>
      </c>
      <c r="AG94" s="73">
        <f>Peak!AG96</f>
        <v>0</v>
      </c>
      <c r="AH94" s="16">
        <f>Peak!AH96</f>
        <v>3.7173214374735277</v>
      </c>
      <c r="AI94" s="16">
        <f>Peak!AI96</f>
        <v>3.9377413207547178</v>
      </c>
      <c r="AJ94" s="16">
        <f>Peak!AJ96</f>
        <v>0</v>
      </c>
      <c r="AK94" s="16">
        <f>Peak!AK96</f>
        <v>0</v>
      </c>
      <c r="AL94" s="4"/>
    </row>
    <row r="95" spans="1:38" x14ac:dyDescent="0.2">
      <c r="A95" s="1">
        <f t="shared" si="11"/>
        <v>39155.86200000011</v>
      </c>
      <c r="B95" s="16">
        <f t="shared" si="9"/>
        <v>3.6548145488117578</v>
      </c>
      <c r="C95" s="17">
        <f t="shared" si="6"/>
        <v>41.316745330176794</v>
      </c>
      <c r="D95" s="16">
        <f t="shared" si="10"/>
        <v>0.69584798085539534</v>
      </c>
      <c r="E95" s="16">
        <f t="shared" si="7"/>
        <v>0</v>
      </c>
      <c r="F95" s="16">
        <f t="shared" si="8"/>
        <v>0</v>
      </c>
      <c r="G95" s="19" t="str">
        <f>IF(IS!$C$2="Peak","-",SUM(C95:F95))</f>
        <v>-</v>
      </c>
      <c r="H95" s="197">
        <v>84.4024032991978</v>
      </c>
      <c r="I95" s="197">
        <v>79.333468805175713</v>
      </c>
      <c r="J95" s="197">
        <v>76.32789073325867</v>
      </c>
      <c r="K95" s="197">
        <v>73.464285891327862</v>
      </c>
      <c r="L95" s="197">
        <v>70.29766129217407</v>
      </c>
      <c r="M95" s="197">
        <v>68.337589480089903</v>
      </c>
      <c r="N95" s="197">
        <v>67.980417947198447</v>
      </c>
      <c r="O95" s="197">
        <v>63.714833541778866</v>
      </c>
      <c r="P95" s="197">
        <v>48.69761447840591</v>
      </c>
      <c r="Q95" s="197">
        <v>45.359358398110608</v>
      </c>
      <c r="R95" s="197">
        <v>41.208045929879574</v>
      </c>
      <c r="S95" s="197">
        <v>40.274297239900406</v>
      </c>
      <c r="T95" s="197">
        <v>33.47006016540702</v>
      </c>
      <c r="U95" s="197">
        <v>33.195754675616357</v>
      </c>
      <c r="V95" s="197">
        <v>33.008582740420998</v>
      </c>
      <c r="W95" s="197">
        <v>31.073292314167077</v>
      </c>
      <c r="X95" s="197">
        <v>29.375050162970894</v>
      </c>
      <c r="Y95" s="197">
        <v>28.527029777197097</v>
      </c>
      <c r="Z95" s="197">
        <v>28.148847614835592</v>
      </c>
      <c r="AA95" s="197">
        <v>25.788952620533895</v>
      </c>
      <c r="AB95" s="16">
        <f>Peak!AB97</f>
        <v>0.69584798085539534</v>
      </c>
      <c r="AC95" s="16">
        <f>Peak!AC97</f>
        <v>0</v>
      </c>
      <c r="AD95" s="18">
        <f>Peak!AD97</f>
        <v>354.61101457823628</v>
      </c>
      <c r="AE95" s="18">
        <f>Peak!AE97</f>
        <v>2147.6543804486269</v>
      </c>
      <c r="AF95" s="16">
        <f>Peak!AF97</f>
        <v>1</v>
      </c>
      <c r="AG95" s="73">
        <f>Peak!AG97</f>
        <v>0</v>
      </c>
      <c r="AH95" s="16">
        <f>Peak!AH97</f>
        <v>3.6548145488117578</v>
      </c>
      <c r="AI95" s="16">
        <f>Peak!AI97</f>
        <v>3.7905360377358499</v>
      </c>
      <c r="AJ95" s="16">
        <f>Peak!AJ97</f>
        <v>0</v>
      </c>
      <c r="AK95" s="16">
        <f>Peak!AK97</f>
        <v>0</v>
      </c>
      <c r="AL95" s="4"/>
    </row>
    <row r="96" spans="1:38" x14ac:dyDescent="0.2">
      <c r="A96" s="1">
        <f t="shared" si="11"/>
        <v>39186.279000000111</v>
      </c>
      <c r="B96" s="16">
        <f t="shared" si="9"/>
        <v>3.4746476344337132</v>
      </c>
      <c r="C96" s="17">
        <f t="shared" si="6"/>
        <v>39.280004363196248</v>
      </c>
      <c r="D96" s="16">
        <f t="shared" si="10"/>
        <v>0.69700772749015438</v>
      </c>
      <c r="E96" s="16">
        <f t="shared" si="7"/>
        <v>0</v>
      </c>
      <c r="F96" s="16">
        <f t="shared" si="8"/>
        <v>0</v>
      </c>
      <c r="G96" s="19" t="str">
        <f>IF(IS!$C$2="Peak","-",SUM(C96:F96))</f>
        <v>-</v>
      </c>
      <c r="H96" s="197">
        <v>82.841030605113218</v>
      </c>
      <c r="I96" s="197">
        <v>82.841030605113218</v>
      </c>
      <c r="J96" s="197">
        <v>81.591252068554439</v>
      </c>
      <c r="K96" s="197">
        <v>66.101242953810441</v>
      </c>
      <c r="L96" s="197">
        <v>56.624926773897769</v>
      </c>
      <c r="M96" s="197">
        <v>51.324998501918159</v>
      </c>
      <c r="N96" s="197">
        <v>49.270984726870786</v>
      </c>
      <c r="O96" s="197">
        <v>41.078171695552356</v>
      </c>
      <c r="P96" s="197">
        <v>40.77615157976058</v>
      </c>
      <c r="Q96" s="197">
        <v>40.392417820685061</v>
      </c>
      <c r="R96" s="197">
        <v>38.666292181244287</v>
      </c>
      <c r="S96" s="197">
        <v>36.618292356772571</v>
      </c>
      <c r="T96" s="197">
        <v>34.657079869667783</v>
      </c>
      <c r="U96" s="197">
        <v>33.593722992958796</v>
      </c>
      <c r="V96" s="197">
        <v>32.523467189985354</v>
      </c>
      <c r="W96" s="197">
        <v>31.599300552367101</v>
      </c>
      <c r="X96" s="197">
        <v>30.726483378972411</v>
      </c>
      <c r="Y96" s="197">
        <v>30.110278245736264</v>
      </c>
      <c r="Z96" s="197">
        <v>28.582449181391336</v>
      </c>
      <c r="AA96" s="197">
        <v>27.112600221515635</v>
      </c>
      <c r="AB96" s="16">
        <f>Peak!AB98</f>
        <v>0.69700772749015438</v>
      </c>
      <c r="AC96" s="16">
        <f>Peak!AC98</f>
        <v>0</v>
      </c>
      <c r="AD96" s="18">
        <f>Peak!AD98</f>
        <v>354.61101457823628</v>
      </c>
      <c r="AE96" s="18">
        <f>Peak!AE98</f>
        <v>2147.6543804486269</v>
      </c>
      <c r="AF96" s="16">
        <f>Peak!AF98</f>
        <v>1</v>
      </c>
      <c r="AG96" s="73">
        <f>Peak!AG98</f>
        <v>0</v>
      </c>
      <c r="AH96" s="16">
        <f>Peak!AH98</f>
        <v>3.4746476344337132</v>
      </c>
      <c r="AI96" s="16">
        <f>Peak!AI98</f>
        <v>3.6433307547169815</v>
      </c>
      <c r="AJ96" s="16">
        <f>Peak!AJ98</f>
        <v>0</v>
      </c>
      <c r="AK96" s="16">
        <f>Peak!AK98</f>
        <v>0</v>
      </c>
      <c r="AL96" s="4"/>
    </row>
    <row r="97" spans="1:38" x14ac:dyDescent="0.2">
      <c r="A97" s="1">
        <f t="shared" si="11"/>
        <v>39216.696000000113</v>
      </c>
      <c r="B97" s="16">
        <f t="shared" si="9"/>
        <v>3.6584914246153915</v>
      </c>
      <c r="C97" s="17">
        <f t="shared" si="6"/>
        <v>41.358311472360072</v>
      </c>
      <c r="D97" s="16">
        <f t="shared" si="10"/>
        <v>0.6981694070359713</v>
      </c>
      <c r="E97" s="16">
        <f t="shared" si="7"/>
        <v>0</v>
      </c>
      <c r="F97" s="16">
        <f t="shared" si="8"/>
        <v>0</v>
      </c>
      <c r="G97" s="19" t="str">
        <f>IF(IS!$C$2="Peak","-",SUM(C97:F97))</f>
        <v>-</v>
      </c>
      <c r="H97" s="197">
        <v>75.503084164780304</v>
      </c>
      <c r="I97" s="197">
        <v>69.184215629459032</v>
      </c>
      <c r="J97" s="197">
        <v>65.322505792944128</v>
      </c>
      <c r="K97" s="197">
        <v>60.340339484311926</v>
      </c>
      <c r="L97" s="197">
        <v>58.971647503358341</v>
      </c>
      <c r="M97" s="197">
        <v>56.479937423028481</v>
      </c>
      <c r="N97" s="197">
        <v>44.003479520751156</v>
      </c>
      <c r="O97" s="197">
        <v>41.139879606909673</v>
      </c>
      <c r="P97" s="197">
        <v>38.040168654174273</v>
      </c>
      <c r="Q97" s="197">
        <v>36.119708078056746</v>
      </c>
      <c r="R97" s="197">
        <v>35.348062242142035</v>
      </c>
      <c r="S97" s="197">
        <v>34.159909091037704</v>
      </c>
      <c r="T97" s="197">
        <v>33.784878668457779</v>
      </c>
      <c r="U97" s="197">
        <v>33.481906349668087</v>
      </c>
      <c r="V97" s="197">
        <v>33.115625746796781</v>
      </c>
      <c r="W97" s="197">
        <v>31.242278582035993</v>
      </c>
      <c r="X97" s="197">
        <v>30.122067524222153</v>
      </c>
      <c r="Y97" s="197">
        <v>29.939539106707432</v>
      </c>
      <c r="Z97" s="197">
        <v>29.703456303145451</v>
      </c>
      <c r="AA97" s="197">
        <v>29.357419185786632</v>
      </c>
      <c r="AB97" s="16">
        <f>Peak!AB99</f>
        <v>0.6981694070359713</v>
      </c>
      <c r="AC97" s="16">
        <f>Peak!AC99</f>
        <v>0</v>
      </c>
      <c r="AD97" s="18">
        <f>Peak!AD99</f>
        <v>354.61101457823628</v>
      </c>
      <c r="AE97" s="18">
        <f>Peak!AE99</f>
        <v>2147.6543804486269</v>
      </c>
      <c r="AF97" s="16">
        <f>Peak!AF99</f>
        <v>1</v>
      </c>
      <c r="AG97" s="73">
        <f>Peak!AG99</f>
        <v>0</v>
      </c>
      <c r="AH97" s="16">
        <f>Peak!AH99</f>
        <v>3.6584914246153915</v>
      </c>
      <c r="AI97" s="16">
        <f>Peak!AI99</f>
        <v>3.4961254716981136</v>
      </c>
      <c r="AJ97" s="16">
        <f>Peak!AJ99</f>
        <v>0</v>
      </c>
      <c r="AK97" s="16">
        <f>Peak!AK99</f>
        <v>0</v>
      </c>
      <c r="AL97" s="4"/>
    </row>
    <row r="98" spans="1:38" x14ac:dyDescent="0.2">
      <c r="A98" s="1">
        <f t="shared" si="11"/>
        <v>39247.113000000114</v>
      </c>
      <c r="B98" s="16">
        <f t="shared" si="9"/>
        <v>3.485678261844614</v>
      </c>
      <c r="C98" s="17">
        <f t="shared" si="6"/>
        <v>39.404702789746075</v>
      </c>
      <c r="D98" s="16">
        <f t="shared" si="10"/>
        <v>0.69933302271436459</v>
      </c>
      <c r="E98" s="16">
        <f t="shared" si="7"/>
        <v>0</v>
      </c>
      <c r="F98" s="16">
        <f t="shared" si="8"/>
        <v>0</v>
      </c>
      <c r="G98" s="19" t="str">
        <f>IF(IS!$C$2="Peak","-",SUM(C98:F98))</f>
        <v>-</v>
      </c>
      <c r="H98" s="197">
        <v>210.46246187641509</v>
      </c>
      <c r="I98" s="197">
        <v>170.05150156564048</v>
      </c>
      <c r="J98" s="197">
        <v>140.19507863339425</v>
      </c>
      <c r="K98" s="197">
        <v>89.143228562397425</v>
      </c>
      <c r="L98" s="197">
        <v>74.405977067551888</v>
      </c>
      <c r="M98" s="197">
        <v>65.29233306967086</v>
      </c>
      <c r="N98" s="197">
        <v>60.143973507136593</v>
      </c>
      <c r="O98" s="197">
        <v>54.992366751888945</v>
      </c>
      <c r="P98" s="197">
        <v>44.90003531261258</v>
      </c>
      <c r="Q98" s="197">
        <v>41.972539779143872</v>
      </c>
      <c r="R98" s="197">
        <v>34.039676947770964</v>
      </c>
      <c r="S98" s="197">
        <v>30.722056075049288</v>
      </c>
      <c r="T98" s="197">
        <v>29.606737747168303</v>
      </c>
      <c r="U98" s="197">
        <v>29.545425557353624</v>
      </c>
      <c r="V98" s="197">
        <v>29.274407144578014</v>
      </c>
      <c r="W98" s="197">
        <v>28.973796967232079</v>
      </c>
      <c r="X98" s="197">
        <v>27.947473921490808</v>
      </c>
      <c r="Y98" s="197">
        <v>26.876698700774377</v>
      </c>
      <c r="Z98" s="197">
        <v>25.492976902161384</v>
      </c>
      <c r="AA98" s="197">
        <v>23.457387176534667</v>
      </c>
      <c r="AB98" s="16">
        <f>Peak!AB100</f>
        <v>0.69933302271436459</v>
      </c>
      <c r="AC98" s="16">
        <f>Peak!AC100</f>
        <v>0</v>
      </c>
      <c r="AD98" s="18">
        <f>Peak!AD100</f>
        <v>354.61101457823628</v>
      </c>
      <c r="AE98" s="18">
        <f>Peak!AE100</f>
        <v>2147.6543804486269</v>
      </c>
      <c r="AF98" s="16">
        <f>Peak!AF100</f>
        <v>1</v>
      </c>
      <c r="AG98" s="73">
        <f>Peak!AG100</f>
        <v>0</v>
      </c>
      <c r="AH98" s="16">
        <f>Peak!AH100</f>
        <v>3.485678261844614</v>
      </c>
      <c r="AI98" s="16">
        <f>Peak!AI100</f>
        <v>3.4961254716981136</v>
      </c>
      <c r="AJ98" s="16">
        <f>Peak!AJ100</f>
        <v>0</v>
      </c>
      <c r="AK98" s="16">
        <f>Peak!AK100</f>
        <v>0</v>
      </c>
      <c r="AL98" s="4"/>
    </row>
    <row r="99" spans="1:38" x14ac:dyDescent="0.2">
      <c r="A99" s="1">
        <f t="shared" si="11"/>
        <v>39277.530000000115</v>
      </c>
      <c r="B99" s="16">
        <f t="shared" si="9"/>
        <v>3.4746476344337132</v>
      </c>
      <c r="C99" s="17">
        <f t="shared" si="6"/>
        <v>39.280004363196248</v>
      </c>
      <c r="D99" s="16">
        <f t="shared" si="10"/>
        <v>0.70049857775222191</v>
      </c>
      <c r="E99" s="16">
        <f t="shared" si="7"/>
        <v>0</v>
      </c>
      <c r="F99" s="16">
        <f t="shared" si="8"/>
        <v>0</v>
      </c>
      <c r="G99" s="19" t="str">
        <f>IF(IS!$C$2="Peak","-",SUM(C99:F99))</f>
        <v>-</v>
      </c>
      <c r="H99" s="197">
        <v>293.33618394641104</v>
      </c>
      <c r="I99" s="197">
        <v>224.8132364596112</v>
      </c>
      <c r="J99" s="197">
        <v>183.54555114236203</v>
      </c>
      <c r="K99" s="197">
        <v>145.580274728083</v>
      </c>
      <c r="L99" s="197">
        <v>94.027273183582494</v>
      </c>
      <c r="M99" s="197">
        <v>83.615929322123549</v>
      </c>
      <c r="N99" s="197">
        <v>76.586824685229161</v>
      </c>
      <c r="O99" s="197">
        <v>74.235347171810858</v>
      </c>
      <c r="P99" s="197">
        <v>58.840674583398538</v>
      </c>
      <c r="Q99" s="197">
        <v>46.396849584595245</v>
      </c>
      <c r="R99" s="197">
        <v>42.324254990108578</v>
      </c>
      <c r="S99" s="197">
        <v>37.421400445744936</v>
      </c>
      <c r="T99" s="197">
        <v>36.555410621041005</v>
      </c>
      <c r="U99" s="197">
        <v>36.551678420955156</v>
      </c>
      <c r="V99" s="197">
        <v>36.551511937411512</v>
      </c>
      <c r="W99" s="197">
        <v>36.476525687679874</v>
      </c>
      <c r="X99" s="197">
        <v>35.067853383046909</v>
      </c>
      <c r="Y99" s="197">
        <v>34.000499370529681</v>
      </c>
      <c r="Z99" s="197">
        <v>32.772242357851567</v>
      </c>
      <c r="AA99" s="197">
        <v>30.634268779774381</v>
      </c>
      <c r="AB99" s="16">
        <f>Peak!AB101</f>
        <v>0.70049857775222191</v>
      </c>
      <c r="AC99" s="16">
        <f>Peak!AC101</f>
        <v>0</v>
      </c>
      <c r="AD99" s="18">
        <f>Peak!AD101</f>
        <v>354.61101457823628</v>
      </c>
      <c r="AE99" s="18">
        <f>Peak!AE101</f>
        <v>2147.6543804486269</v>
      </c>
      <c r="AF99" s="16">
        <f>Peak!AF101</f>
        <v>1</v>
      </c>
      <c r="AG99" s="73">
        <f>Peak!AG101</f>
        <v>0</v>
      </c>
      <c r="AH99" s="16">
        <f>Peak!AH101</f>
        <v>3.4746476344337132</v>
      </c>
      <c r="AI99" s="16">
        <f>Peak!AI101</f>
        <v>3.4961254716981136</v>
      </c>
      <c r="AJ99" s="16">
        <f>Peak!AJ101</f>
        <v>0</v>
      </c>
      <c r="AK99" s="16">
        <f>Peak!AK101</f>
        <v>0</v>
      </c>
      <c r="AL99" s="4"/>
    </row>
    <row r="100" spans="1:38" x14ac:dyDescent="0.2">
      <c r="A100" s="1">
        <f t="shared" si="11"/>
        <v>39307.947000000117</v>
      </c>
      <c r="B100" s="16">
        <f t="shared" si="9"/>
        <v>3.2944807200556689</v>
      </c>
      <c r="C100" s="17">
        <f t="shared" si="6"/>
        <v>37.24326339621571</v>
      </c>
      <c r="D100" s="16">
        <f t="shared" si="10"/>
        <v>0.70166607538180892</v>
      </c>
      <c r="E100" s="16">
        <f t="shared" si="7"/>
        <v>0</v>
      </c>
      <c r="F100" s="16">
        <f t="shared" si="8"/>
        <v>0</v>
      </c>
      <c r="G100" s="19" t="str">
        <f>IF(IS!$C$2="Peak","-",SUM(C100:F100))</f>
        <v>-</v>
      </c>
      <c r="H100" s="197">
        <v>505.12370120044886</v>
      </c>
      <c r="I100" s="197">
        <v>346.1669326593136</v>
      </c>
      <c r="J100" s="197">
        <v>268.82319594740142</v>
      </c>
      <c r="K100" s="197">
        <v>196.72704383771719</v>
      </c>
      <c r="L100" s="197">
        <v>156.66937343437161</v>
      </c>
      <c r="M100" s="197">
        <v>105.04504340465812</v>
      </c>
      <c r="N100" s="197">
        <v>87.433278956460157</v>
      </c>
      <c r="O100" s="197">
        <v>82.090228383705821</v>
      </c>
      <c r="P100" s="197">
        <v>66.629964143232613</v>
      </c>
      <c r="Q100" s="197">
        <v>48.895287442938518</v>
      </c>
      <c r="R100" s="197">
        <v>42.150874572458562</v>
      </c>
      <c r="S100" s="197">
        <v>39.735137798048669</v>
      </c>
      <c r="T100" s="197">
        <v>38.439002867863181</v>
      </c>
      <c r="U100" s="197">
        <v>33.344851993997267</v>
      </c>
      <c r="V100" s="197">
        <v>32.559589409753286</v>
      </c>
      <c r="W100" s="197">
        <v>31.483813800035428</v>
      </c>
      <c r="X100" s="197">
        <v>30.613404720379513</v>
      </c>
      <c r="Y100" s="197">
        <v>29.582595223865777</v>
      </c>
      <c r="Z100" s="197">
        <v>28.822839818968042</v>
      </c>
      <c r="AA100" s="197">
        <v>26.016100840583903</v>
      </c>
      <c r="AB100" s="16">
        <f>Peak!AB102</f>
        <v>0.70166607538180892</v>
      </c>
      <c r="AC100" s="16">
        <f>Peak!AC102</f>
        <v>0</v>
      </c>
      <c r="AD100" s="18">
        <f>Peak!AD102</f>
        <v>354.61101457823628</v>
      </c>
      <c r="AE100" s="18">
        <f>Peak!AE102</f>
        <v>2147.6543804486269</v>
      </c>
      <c r="AF100" s="16">
        <f>Peak!AF102</f>
        <v>1</v>
      </c>
      <c r="AG100" s="73">
        <f>Peak!AG102</f>
        <v>0</v>
      </c>
      <c r="AH100" s="16">
        <f>Peak!AH102</f>
        <v>3.2944807200556689</v>
      </c>
      <c r="AI100" s="16">
        <f>Peak!AI102</f>
        <v>3.4961254716981136</v>
      </c>
      <c r="AJ100" s="16">
        <f>Peak!AJ102</f>
        <v>0</v>
      </c>
      <c r="AK100" s="16">
        <f>Peak!AK102</f>
        <v>0</v>
      </c>
      <c r="AL100" s="4"/>
    </row>
    <row r="101" spans="1:38" x14ac:dyDescent="0.2">
      <c r="A101" s="1">
        <f t="shared" si="11"/>
        <v>39338.364000000118</v>
      </c>
      <c r="B101" s="16">
        <f t="shared" si="9"/>
        <v>3.2834500926447685</v>
      </c>
      <c r="C101" s="17">
        <f t="shared" si="6"/>
        <v>37.118564969665876</v>
      </c>
      <c r="D101" s="16">
        <f t="shared" si="10"/>
        <v>0.70283551884077866</v>
      </c>
      <c r="E101" s="16">
        <f t="shared" si="7"/>
        <v>0</v>
      </c>
      <c r="F101" s="16">
        <f t="shared" si="8"/>
        <v>0</v>
      </c>
      <c r="G101" s="19" t="str">
        <f>IF(IS!$C$2="Peak","-",SUM(C101:F101))</f>
        <v>-</v>
      </c>
      <c r="H101" s="197">
        <v>224.49598698261912</v>
      </c>
      <c r="I101" s="197">
        <v>179.94634454880199</v>
      </c>
      <c r="J101" s="197">
        <v>157.85733542032847</v>
      </c>
      <c r="K101" s="197">
        <v>93.891090885625744</v>
      </c>
      <c r="L101" s="197">
        <v>75.621717445667571</v>
      </c>
      <c r="M101" s="197">
        <v>63.070006768269671</v>
      </c>
      <c r="N101" s="197">
        <v>56.286853203743817</v>
      </c>
      <c r="O101" s="197">
        <v>54.281221544911432</v>
      </c>
      <c r="P101" s="197">
        <v>47.997443129604854</v>
      </c>
      <c r="Q101" s="197">
        <v>43.036600361601351</v>
      </c>
      <c r="R101" s="197">
        <v>38.657572761673109</v>
      </c>
      <c r="S101" s="197">
        <v>33.684206236428835</v>
      </c>
      <c r="T101" s="197">
        <v>30.336927168756091</v>
      </c>
      <c r="U101" s="197">
        <v>29.018417544807939</v>
      </c>
      <c r="V101" s="197">
        <v>28.594726661656296</v>
      </c>
      <c r="W101" s="197">
        <v>27.904126321551093</v>
      </c>
      <c r="X101" s="197">
        <v>27.160893849369167</v>
      </c>
      <c r="Y101" s="197">
        <v>27.138938696573113</v>
      </c>
      <c r="Z101" s="197">
        <v>27.050336025166636</v>
      </c>
      <c r="AA101" s="197">
        <v>24.509730082139008</v>
      </c>
      <c r="AB101" s="16">
        <f>Peak!AB103</f>
        <v>0.70283551884077866</v>
      </c>
      <c r="AC101" s="16">
        <f>Peak!AC103</f>
        <v>0</v>
      </c>
      <c r="AD101" s="18">
        <f>Peak!AD103</f>
        <v>354.61101457823628</v>
      </c>
      <c r="AE101" s="18">
        <f>Peak!AE103</f>
        <v>2147.6543804486269</v>
      </c>
      <c r="AF101" s="16">
        <f>Peak!AF103</f>
        <v>1</v>
      </c>
      <c r="AG101" s="73">
        <f>Peak!AG103</f>
        <v>0</v>
      </c>
      <c r="AH101" s="16">
        <f>Peak!AH103</f>
        <v>3.2834500926447685</v>
      </c>
      <c r="AI101" s="16">
        <f>Peak!AI103</f>
        <v>3.4961254716981136</v>
      </c>
      <c r="AJ101" s="16">
        <f>Peak!AJ103</f>
        <v>0</v>
      </c>
      <c r="AK101" s="16">
        <f>Peak!AK103</f>
        <v>0</v>
      </c>
      <c r="AL101" s="4"/>
    </row>
    <row r="102" spans="1:38" x14ac:dyDescent="0.2">
      <c r="A102" s="1">
        <f t="shared" si="11"/>
        <v>39368.781000000119</v>
      </c>
      <c r="B102" s="16">
        <f t="shared" si="9"/>
        <v>3.6364301697935901</v>
      </c>
      <c r="C102" s="17">
        <f t="shared" si="6"/>
        <v>41.108914619260418</v>
      </c>
      <c r="D102" s="16">
        <f t="shared" si="10"/>
        <v>0.70400691137217997</v>
      </c>
      <c r="E102" s="16">
        <f t="shared" si="7"/>
        <v>0</v>
      </c>
      <c r="F102" s="16">
        <f t="shared" si="8"/>
        <v>0</v>
      </c>
      <c r="G102" s="19" t="str">
        <f>IF(IS!$C$2="Peak","-",SUM(C102:F102))</f>
        <v>-</v>
      </c>
      <c r="H102" s="197">
        <v>90.257409370229439</v>
      </c>
      <c r="I102" s="197">
        <v>79.920688171795447</v>
      </c>
      <c r="J102" s="197">
        <v>75.381281709205581</v>
      </c>
      <c r="K102" s="197">
        <v>70.948449414705649</v>
      </c>
      <c r="L102" s="197">
        <v>67.456132312928759</v>
      </c>
      <c r="M102" s="197">
        <v>63.004474838141164</v>
      </c>
      <c r="N102" s="197">
        <v>62.573614752066987</v>
      </c>
      <c r="O102" s="197">
        <v>58.952878351237416</v>
      </c>
      <c r="P102" s="197">
        <v>46.051899858754474</v>
      </c>
      <c r="Q102" s="197">
        <v>44.001325298012816</v>
      </c>
      <c r="R102" s="197">
        <v>40.975882851946857</v>
      </c>
      <c r="S102" s="197">
        <v>35.72709722072441</v>
      </c>
      <c r="T102" s="197">
        <v>33.444118356801326</v>
      </c>
      <c r="U102" s="197">
        <v>31.453666361729393</v>
      </c>
      <c r="V102" s="197">
        <v>31.300358006141401</v>
      </c>
      <c r="W102" s="197">
        <v>31.096427440656932</v>
      </c>
      <c r="X102" s="197">
        <v>30.966270860303215</v>
      </c>
      <c r="Y102" s="197">
        <v>30.792503470608011</v>
      </c>
      <c r="Z102" s="197">
        <v>29.946391661987306</v>
      </c>
      <c r="AA102" s="197">
        <v>26.208306814930094</v>
      </c>
      <c r="AB102" s="16">
        <f>Peak!AB104</f>
        <v>0.70400691137217997</v>
      </c>
      <c r="AC102" s="16">
        <f>Peak!AC104</f>
        <v>0</v>
      </c>
      <c r="AD102" s="18">
        <f>Peak!AD104</f>
        <v>354.61101457823628</v>
      </c>
      <c r="AE102" s="18">
        <f>Peak!AE104</f>
        <v>2147.6543804486269</v>
      </c>
      <c r="AF102" s="16">
        <f>Peak!AF104</f>
        <v>1</v>
      </c>
      <c r="AG102" s="73">
        <f>Peak!AG104</f>
        <v>0</v>
      </c>
      <c r="AH102" s="16">
        <f>Peak!AH104</f>
        <v>3.6364301697935901</v>
      </c>
      <c r="AI102" s="16">
        <f>Peak!AI104</f>
        <v>3.4961254716981136</v>
      </c>
      <c r="AJ102" s="16">
        <f>Peak!AJ104</f>
        <v>0</v>
      </c>
      <c r="AK102" s="16">
        <f>Peak!AK104</f>
        <v>0</v>
      </c>
      <c r="AL102" s="4"/>
    </row>
    <row r="103" spans="1:38" x14ac:dyDescent="0.2">
      <c r="A103" s="1">
        <f t="shared" si="11"/>
        <v>39399.19800000012</v>
      </c>
      <c r="B103" s="16">
        <f t="shared" si="9"/>
        <v>3.9820564953351445</v>
      </c>
      <c r="C103" s="17">
        <f t="shared" si="6"/>
        <v>45.016131984488396</v>
      </c>
      <c r="D103" s="16">
        <f t="shared" si="10"/>
        <v>0.70518025622446701</v>
      </c>
      <c r="E103" s="16">
        <f t="shared" si="7"/>
        <v>0</v>
      </c>
      <c r="F103" s="16">
        <f t="shared" si="8"/>
        <v>0</v>
      </c>
      <c r="G103" s="19" t="str">
        <f>IF(IS!$C$2="Peak","-",SUM(C103:F103))</f>
        <v>-</v>
      </c>
      <c r="H103" s="197">
        <v>87.263224619697027</v>
      </c>
      <c r="I103" s="197">
        <v>84.654840563986284</v>
      </c>
      <c r="J103" s="197">
        <v>81.3098023754129</v>
      </c>
      <c r="K103" s="197">
        <v>76.787705316277282</v>
      </c>
      <c r="L103" s="197">
        <v>73.201807948961857</v>
      </c>
      <c r="M103" s="197">
        <v>72.886999951255547</v>
      </c>
      <c r="N103" s="197">
        <v>68.007964675353179</v>
      </c>
      <c r="O103" s="197">
        <v>51.558072428958226</v>
      </c>
      <c r="P103" s="197">
        <v>47.045349330699125</v>
      </c>
      <c r="Q103" s="197">
        <v>41.281438716580716</v>
      </c>
      <c r="R103" s="197">
        <v>40.895150871643906</v>
      </c>
      <c r="S103" s="197">
        <v>38.290494069987702</v>
      </c>
      <c r="T103" s="197">
        <v>36.75227604627581</v>
      </c>
      <c r="U103" s="197">
        <v>36.100328701406504</v>
      </c>
      <c r="V103" s="197">
        <v>36.092099318770387</v>
      </c>
      <c r="W103" s="197">
        <v>36.092099318770387</v>
      </c>
      <c r="X103" s="197">
        <v>36.092099318770387</v>
      </c>
      <c r="Y103" s="197">
        <v>36.092099318770387</v>
      </c>
      <c r="Z103" s="197">
        <v>35.567911230092207</v>
      </c>
      <c r="AA103" s="197">
        <v>33.684804936325904</v>
      </c>
      <c r="AB103" s="16">
        <f>Peak!AB105</f>
        <v>0.70518025622446701</v>
      </c>
      <c r="AC103" s="16">
        <f>Peak!AC105</f>
        <v>0</v>
      </c>
      <c r="AD103" s="18">
        <f>Peak!AD105</f>
        <v>354.61101457823628</v>
      </c>
      <c r="AE103" s="18">
        <f>Peak!AE105</f>
        <v>2147.6543804486269</v>
      </c>
      <c r="AF103" s="16">
        <f>Peak!AF105</f>
        <v>1</v>
      </c>
      <c r="AG103" s="73">
        <f>Peak!AG105</f>
        <v>0</v>
      </c>
      <c r="AH103" s="16">
        <f>Peak!AH105</f>
        <v>3.9820564953351445</v>
      </c>
      <c r="AI103" s="16">
        <f>Peak!AI105</f>
        <v>3.7905360377358499</v>
      </c>
      <c r="AJ103" s="16">
        <f>Peak!AJ105</f>
        <v>0</v>
      </c>
      <c r="AK103" s="16">
        <f>Peak!AK105</f>
        <v>0</v>
      </c>
      <c r="AL103" s="4"/>
    </row>
    <row r="104" spans="1:38" x14ac:dyDescent="0.2">
      <c r="A104" s="1">
        <f t="shared" si="11"/>
        <v>39429.615000000122</v>
      </c>
      <c r="B104" s="16">
        <f t="shared" si="9"/>
        <v>4.3092984418585312</v>
      </c>
      <c r="C104" s="17">
        <f t="shared" si="6"/>
        <v>48.715518638800013</v>
      </c>
      <c r="D104" s="16">
        <f t="shared" si="10"/>
        <v>0.70635555665150784</v>
      </c>
      <c r="E104" s="16">
        <f t="shared" si="7"/>
        <v>0</v>
      </c>
      <c r="F104" s="16">
        <f t="shared" si="8"/>
        <v>0</v>
      </c>
      <c r="G104" s="19" t="str">
        <f>IF(IS!$C$2="Peak","-",SUM(C104:F104))</f>
        <v>-</v>
      </c>
      <c r="H104" s="197">
        <v>98.596931153344642</v>
      </c>
      <c r="I104" s="197">
        <v>94.546327070608385</v>
      </c>
      <c r="J104" s="197">
        <v>91.880016495710251</v>
      </c>
      <c r="K104" s="197">
        <v>87.590921918825217</v>
      </c>
      <c r="L104" s="197">
        <v>83.571852132411024</v>
      </c>
      <c r="M104" s="197">
        <v>83.197454948465264</v>
      </c>
      <c r="N104" s="197">
        <v>78.54163830454408</v>
      </c>
      <c r="O104" s="197">
        <v>60.669949280095238</v>
      </c>
      <c r="P104" s="197">
        <v>53.300910015785</v>
      </c>
      <c r="Q104" s="197">
        <v>46.865525202666319</v>
      </c>
      <c r="R104" s="197">
        <v>44.948335790763686</v>
      </c>
      <c r="S104" s="197">
        <v>40.810361049346042</v>
      </c>
      <c r="T104" s="197">
        <v>40.705998501727571</v>
      </c>
      <c r="U104" s="197">
        <v>39.931842557012949</v>
      </c>
      <c r="V104" s="197">
        <v>39.80685083472688</v>
      </c>
      <c r="W104" s="197">
        <v>39.806771533563122</v>
      </c>
      <c r="X104" s="197">
        <v>39.80669889436637</v>
      </c>
      <c r="Y104" s="197">
        <v>39.806623213213342</v>
      </c>
      <c r="Z104" s="197">
        <v>39.406480639178845</v>
      </c>
      <c r="AA104" s="197">
        <v>33.997046890038703</v>
      </c>
      <c r="AB104" s="16">
        <f>Peak!AB106</f>
        <v>0.70635555665150784</v>
      </c>
      <c r="AC104" s="16">
        <f>Peak!AC106</f>
        <v>0</v>
      </c>
      <c r="AD104" s="18">
        <f>Peak!AD106</f>
        <v>354.61101457823628</v>
      </c>
      <c r="AE104" s="18">
        <f>Peak!AE106</f>
        <v>2147.6543804486269</v>
      </c>
      <c r="AF104" s="16">
        <f>Peak!AF106</f>
        <v>1</v>
      </c>
      <c r="AG104" s="73">
        <f>Peak!AG106</f>
        <v>0</v>
      </c>
      <c r="AH104" s="16">
        <f>Peak!AH106</f>
        <v>4.3092984418585312</v>
      </c>
      <c r="AI104" s="16">
        <f>Peak!AI106</f>
        <v>3.9745426415094349</v>
      </c>
      <c r="AJ104" s="16">
        <f>Peak!AJ106</f>
        <v>0</v>
      </c>
      <c r="AK104" s="16">
        <f>Peak!AK106</f>
        <v>0</v>
      </c>
      <c r="AL104" s="4"/>
    </row>
    <row r="105" spans="1:38" x14ac:dyDescent="0.2">
      <c r="A105" s="1">
        <f t="shared" si="11"/>
        <v>39460.032000000123</v>
      </c>
      <c r="B105" s="16">
        <f t="shared" si="9"/>
        <v>3.847158216465588</v>
      </c>
      <c r="C105" s="17">
        <f t="shared" si="6"/>
        <v>43.49114138398182</v>
      </c>
      <c r="D105" s="16">
        <f t="shared" si="10"/>
        <v>0.70753281591259376</v>
      </c>
      <c r="E105" s="16">
        <f t="shared" si="7"/>
        <v>0</v>
      </c>
      <c r="F105" s="16">
        <f t="shared" si="8"/>
        <v>0</v>
      </c>
      <c r="G105" s="19" t="str">
        <f>IF(IS!$C$2="Peak","-",SUM(C105:F105))</f>
        <v>-</v>
      </c>
      <c r="H105" s="197">
        <v>146.05197341410218</v>
      </c>
      <c r="I105" s="197">
        <v>121.01996621178969</v>
      </c>
      <c r="J105" s="197">
        <v>103.84729502923467</v>
      </c>
      <c r="K105" s="197">
        <v>81.967169189809141</v>
      </c>
      <c r="L105" s="197">
        <v>76.583596564875165</v>
      </c>
      <c r="M105" s="197">
        <v>71.195510914970129</v>
      </c>
      <c r="N105" s="197">
        <v>69.248045404404451</v>
      </c>
      <c r="O105" s="197">
        <v>67.516656196680998</v>
      </c>
      <c r="P105" s="197">
        <v>55.290947422288887</v>
      </c>
      <c r="Q105" s="197">
        <v>47.732030700183195</v>
      </c>
      <c r="R105" s="197">
        <v>40.90100417683864</v>
      </c>
      <c r="S105" s="197">
        <v>39.265624215682372</v>
      </c>
      <c r="T105" s="197">
        <v>37.640435164320273</v>
      </c>
      <c r="U105" s="197">
        <v>35.66209058690265</v>
      </c>
      <c r="V105" s="197">
        <v>34.326925915712152</v>
      </c>
      <c r="W105" s="197">
        <v>34.031767221165047</v>
      </c>
      <c r="X105" s="197">
        <v>33.845866152489293</v>
      </c>
      <c r="Y105" s="197">
        <v>33.757428579141646</v>
      </c>
      <c r="Z105" s="197">
        <v>33.73955686699798</v>
      </c>
      <c r="AA105" s="197">
        <v>32.341922194117927</v>
      </c>
      <c r="AB105" s="16">
        <f>Peak!AB107</f>
        <v>0.70753281591259376</v>
      </c>
      <c r="AC105" s="16">
        <f>Peak!AC107</f>
        <v>0</v>
      </c>
      <c r="AD105" s="18">
        <f>Peak!AD107</f>
        <v>391.29851871019378</v>
      </c>
      <c r="AE105" s="18">
        <f>Peak!AE107</f>
        <v>1807.3421300276059</v>
      </c>
      <c r="AF105" s="16">
        <f>Peak!AF107</f>
        <v>1</v>
      </c>
      <c r="AG105" s="73">
        <f>Peak!AG107</f>
        <v>0</v>
      </c>
      <c r="AH105" s="16">
        <f>Peak!AH107</f>
        <v>3.847158216465588</v>
      </c>
      <c r="AI105" s="16">
        <f>Peak!AI107</f>
        <v>3.5836328118465897</v>
      </c>
      <c r="AJ105" s="16">
        <f>Peak!AJ107</f>
        <v>0</v>
      </c>
      <c r="AK105" s="16">
        <f>Peak!AK107</f>
        <v>0</v>
      </c>
      <c r="AL105" s="4"/>
    </row>
    <row r="106" spans="1:38" x14ac:dyDescent="0.2">
      <c r="A106" s="1">
        <f t="shared" si="11"/>
        <v>39490.449000000124</v>
      </c>
      <c r="B106" s="16">
        <f t="shared" si="9"/>
        <v>3.4481178695449555</v>
      </c>
      <c r="C106" s="17">
        <f t="shared" si="6"/>
        <v>38.980092144685834</v>
      </c>
      <c r="D106" s="16">
        <f t="shared" si="10"/>
        <v>0.70871203727244814</v>
      </c>
      <c r="E106" s="16">
        <f t="shared" si="7"/>
        <v>0</v>
      </c>
      <c r="F106" s="16">
        <f t="shared" si="8"/>
        <v>0</v>
      </c>
      <c r="G106" s="19" t="str">
        <f>IF(IS!$C$2="Peak","-",SUM(C106:F106))</f>
        <v>-</v>
      </c>
      <c r="H106" s="197">
        <v>109.76001464274714</v>
      </c>
      <c r="I106" s="197">
        <v>99.3607949241146</v>
      </c>
      <c r="J106" s="197">
        <v>94.817806220076747</v>
      </c>
      <c r="K106" s="197">
        <v>90.651143098150413</v>
      </c>
      <c r="L106" s="197">
        <v>85.797264125459094</v>
      </c>
      <c r="M106" s="197">
        <v>84.730909220924644</v>
      </c>
      <c r="N106" s="197">
        <v>81.56858672959055</v>
      </c>
      <c r="O106" s="197">
        <v>67.980651483205037</v>
      </c>
      <c r="P106" s="197">
        <v>56.667916383653711</v>
      </c>
      <c r="Q106" s="197">
        <v>47.523151584493142</v>
      </c>
      <c r="R106" s="197">
        <v>45.226616956866991</v>
      </c>
      <c r="S106" s="197">
        <v>40.502323768521009</v>
      </c>
      <c r="T106" s="197">
        <v>37.211593383779004</v>
      </c>
      <c r="U106" s="197">
        <v>34.60342258436566</v>
      </c>
      <c r="V106" s="197">
        <v>33.575957739077886</v>
      </c>
      <c r="W106" s="197">
        <v>32.668504977359476</v>
      </c>
      <c r="X106" s="197">
        <v>31.453345099289852</v>
      </c>
      <c r="Y106" s="197">
        <v>29.9963143988791</v>
      </c>
      <c r="Z106" s="197">
        <v>28.811676765580817</v>
      </c>
      <c r="AA106" s="197">
        <v>27.472761308313373</v>
      </c>
      <c r="AB106" s="16">
        <f>Peak!AB108</f>
        <v>0.70871203727244814</v>
      </c>
      <c r="AC106" s="16">
        <f>Peak!AC108</f>
        <v>0</v>
      </c>
      <c r="AD106" s="18">
        <f>Peak!AD108</f>
        <v>391.29851871019378</v>
      </c>
      <c r="AE106" s="18">
        <f>Peak!AE108</f>
        <v>1807.3421300276059</v>
      </c>
      <c r="AF106" s="16">
        <f>Peak!AF108</f>
        <v>1</v>
      </c>
      <c r="AG106" s="73">
        <f>Peak!AG108</f>
        <v>0</v>
      </c>
      <c r="AH106" s="16">
        <f>Peak!AH108</f>
        <v>3.4481178695449555</v>
      </c>
      <c r="AI106" s="16">
        <f>Peak!AI108</f>
        <v>3.5504510265517135</v>
      </c>
      <c r="AJ106" s="16">
        <f>Peak!AJ108</f>
        <v>0</v>
      </c>
      <c r="AK106" s="16">
        <f>Peak!AK108</f>
        <v>0</v>
      </c>
      <c r="AL106" s="4"/>
    </row>
    <row r="107" spans="1:38" x14ac:dyDescent="0.2">
      <c r="A107" s="1">
        <f t="shared" si="11"/>
        <v>39520.866000000125</v>
      </c>
      <c r="B107" s="16">
        <f t="shared" si="9"/>
        <v>3.3901376481975132</v>
      </c>
      <c r="C107" s="17">
        <f t="shared" si="6"/>
        <v>38.324640545813772</v>
      </c>
      <c r="D107" s="16">
        <f t="shared" si="10"/>
        <v>0.70989322400123556</v>
      </c>
      <c r="E107" s="16">
        <f t="shared" si="7"/>
        <v>0</v>
      </c>
      <c r="F107" s="16">
        <f t="shared" si="8"/>
        <v>0</v>
      </c>
      <c r="G107" s="19" t="str">
        <f>IF(IS!$C$2="Peak","-",SUM(C107:F107))</f>
        <v>-</v>
      </c>
      <c r="H107" s="197">
        <v>97.706798444127216</v>
      </c>
      <c r="I107" s="197">
        <v>97.253287923207296</v>
      </c>
      <c r="J107" s="197">
        <v>94.725816419445209</v>
      </c>
      <c r="K107" s="197">
        <v>82.610105924771119</v>
      </c>
      <c r="L107" s="197">
        <v>66.088510931828907</v>
      </c>
      <c r="M107" s="197">
        <v>57.236896009592805</v>
      </c>
      <c r="N107" s="197">
        <v>53.422169575200961</v>
      </c>
      <c r="O107" s="197">
        <v>47.599559893012092</v>
      </c>
      <c r="P107" s="197">
        <v>47.599559893012092</v>
      </c>
      <c r="Q107" s="197">
        <v>47.550524160036055</v>
      </c>
      <c r="R107" s="197">
        <v>47.203602961616248</v>
      </c>
      <c r="S107" s="197">
        <v>47.203602961616248</v>
      </c>
      <c r="T107" s="197">
        <v>47.203602961616248</v>
      </c>
      <c r="U107" s="197">
        <v>47.203602961616248</v>
      </c>
      <c r="V107" s="197">
        <v>43.226615342191749</v>
      </c>
      <c r="W107" s="197">
        <v>36.980078905840699</v>
      </c>
      <c r="X107" s="197">
        <v>35.655257242706746</v>
      </c>
      <c r="Y107" s="197">
        <v>33.879490817516711</v>
      </c>
      <c r="Z107" s="197">
        <v>32.369905399789261</v>
      </c>
      <c r="AA107" s="197">
        <v>29.686671707669294</v>
      </c>
      <c r="AB107" s="16">
        <f>Peak!AB109</f>
        <v>0.70989322400123556</v>
      </c>
      <c r="AC107" s="16">
        <f>Peak!AC109</f>
        <v>0</v>
      </c>
      <c r="AD107" s="18">
        <f>Peak!AD109</f>
        <v>394.5052739192019</v>
      </c>
      <c r="AE107" s="18">
        <f>Peak!AE109</f>
        <v>1822.1938424620682</v>
      </c>
      <c r="AF107" s="16">
        <f>Peak!AF109</f>
        <v>1</v>
      </c>
      <c r="AG107" s="73">
        <f>Peak!AG109</f>
        <v>0</v>
      </c>
      <c r="AH107" s="16">
        <f>Peak!AH109</f>
        <v>3.3901376481975132</v>
      </c>
      <c r="AI107" s="16">
        <f>Peak!AI109</f>
        <v>3.4177238853722103</v>
      </c>
      <c r="AJ107" s="16">
        <f>Peak!AJ109</f>
        <v>0</v>
      </c>
      <c r="AK107" s="16">
        <f>Peak!AK109</f>
        <v>0</v>
      </c>
      <c r="AL107" s="4"/>
    </row>
    <row r="108" spans="1:38" x14ac:dyDescent="0.2">
      <c r="A108" s="1">
        <f t="shared" si="11"/>
        <v>39551.283000000127</v>
      </c>
      <c r="B108" s="16">
        <f t="shared" si="9"/>
        <v>3.2230181866666499</v>
      </c>
      <c r="C108" s="17">
        <f t="shared" si="6"/>
        <v>36.43539770200605</v>
      </c>
      <c r="D108" s="16">
        <f t="shared" si="10"/>
        <v>0.71107637937457102</v>
      </c>
      <c r="E108" s="16">
        <f t="shared" si="7"/>
        <v>0</v>
      </c>
      <c r="F108" s="16">
        <f t="shared" si="8"/>
        <v>0</v>
      </c>
      <c r="G108" s="19" t="str">
        <f>IF(IS!$C$2="Peak","-",SUM(C108:F108))</f>
        <v>-</v>
      </c>
      <c r="H108" s="197">
        <v>78.810688998714383</v>
      </c>
      <c r="I108" s="197">
        <v>75.646753067232993</v>
      </c>
      <c r="J108" s="197">
        <v>72.411938158051754</v>
      </c>
      <c r="K108" s="197">
        <v>68.873504115855013</v>
      </c>
      <c r="L108" s="197">
        <v>64.519278347969788</v>
      </c>
      <c r="M108" s="197">
        <v>63.177677264498307</v>
      </c>
      <c r="N108" s="197">
        <v>62.618697396639881</v>
      </c>
      <c r="O108" s="197">
        <v>54.142599310535424</v>
      </c>
      <c r="P108" s="197">
        <v>44.224725760612692</v>
      </c>
      <c r="Q108" s="197">
        <v>38.905597370113838</v>
      </c>
      <c r="R108" s="197">
        <v>36.028094541065762</v>
      </c>
      <c r="S108" s="197">
        <v>35.20585221282537</v>
      </c>
      <c r="T108" s="197">
        <v>32.45915945487225</v>
      </c>
      <c r="U108" s="197">
        <v>31.175319251096063</v>
      </c>
      <c r="V108" s="197">
        <v>30.954883824267114</v>
      </c>
      <c r="W108" s="197">
        <v>30.255878524900734</v>
      </c>
      <c r="X108" s="197">
        <v>29.436097548764998</v>
      </c>
      <c r="Y108" s="197">
        <v>28.16395887332984</v>
      </c>
      <c r="Z108" s="197">
        <v>27.677314475846451</v>
      </c>
      <c r="AA108" s="197">
        <v>26.166205030029111</v>
      </c>
      <c r="AB108" s="16">
        <f>Peak!AB110</f>
        <v>0.71107637937457102</v>
      </c>
      <c r="AC108" s="16">
        <f>Peak!AC110</f>
        <v>0</v>
      </c>
      <c r="AD108" s="18">
        <f>Peak!AD110</f>
        <v>397.71202912821002</v>
      </c>
      <c r="AE108" s="18">
        <f>Peak!AE110</f>
        <v>1837.0455548965306</v>
      </c>
      <c r="AF108" s="16">
        <f>Peak!AF110</f>
        <v>1</v>
      </c>
      <c r="AG108" s="73">
        <f>Peak!AG110</f>
        <v>0</v>
      </c>
      <c r="AH108" s="16">
        <f>Peak!AH110</f>
        <v>3.2230181866666499</v>
      </c>
      <c r="AI108" s="16">
        <f>Peak!AI110</f>
        <v>3.284996744192707</v>
      </c>
      <c r="AJ108" s="16">
        <f>Peak!AJ110</f>
        <v>0</v>
      </c>
      <c r="AK108" s="16">
        <f>Peak!AK110</f>
        <v>0</v>
      </c>
      <c r="AL108" s="4"/>
    </row>
    <row r="109" spans="1:38" x14ac:dyDescent="0.2">
      <c r="A109" s="1">
        <f t="shared" si="11"/>
        <v>39581.700000000128</v>
      </c>
      <c r="B109" s="16">
        <f t="shared" si="9"/>
        <v>3.3935482494532452</v>
      </c>
      <c r="C109" s="17">
        <f t="shared" si="6"/>
        <v>38.363196522218011</v>
      </c>
      <c r="D109" s="16">
        <f t="shared" si="10"/>
        <v>0.71226150667352872</v>
      </c>
      <c r="E109" s="16">
        <f t="shared" si="7"/>
        <v>0</v>
      </c>
      <c r="F109" s="16">
        <f t="shared" si="8"/>
        <v>0</v>
      </c>
      <c r="G109" s="19" t="str">
        <f>IF(IS!$C$2="Peak","-",SUM(C109:F109))</f>
        <v>-</v>
      </c>
      <c r="H109" s="197">
        <v>74.018707266307302</v>
      </c>
      <c r="I109" s="197">
        <v>70.054950473701453</v>
      </c>
      <c r="J109" s="197">
        <v>65.800889698334942</v>
      </c>
      <c r="K109" s="197">
        <v>63.544829857001254</v>
      </c>
      <c r="L109" s="197">
        <v>63.099516859384337</v>
      </c>
      <c r="M109" s="197">
        <v>52.634997211910679</v>
      </c>
      <c r="N109" s="197">
        <v>44.323943081827871</v>
      </c>
      <c r="O109" s="197">
        <v>41.078834246354326</v>
      </c>
      <c r="P109" s="197">
        <v>38.504946613078133</v>
      </c>
      <c r="Q109" s="197">
        <v>36.581000615820983</v>
      </c>
      <c r="R109" s="197">
        <v>36.206857968141506</v>
      </c>
      <c r="S109" s="197">
        <v>35.901599566673461</v>
      </c>
      <c r="T109" s="197">
        <v>34.998618759281136</v>
      </c>
      <c r="U109" s="197">
        <v>33.458191131177863</v>
      </c>
      <c r="V109" s="197">
        <v>32.825999481563883</v>
      </c>
      <c r="W109" s="197">
        <v>32.017328518234237</v>
      </c>
      <c r="X109" s="197">
        <v>31.633284806231</v>
      </c>
      <c r="Y109" s="197">
        <v>31.630093703566903</v>
      </c>
      <c r="Z109" s="197">
        <v>31.394587564499727</v>
      </c>
      <c r="AA109" s="197">
        <v>30.077297809268394</v>
      </c>
      <c r="AB109" s="16">
        <f>Peak!AB111</f>
        <v>0.71226150667352872</v>
      </c>
      <c r="AC109" s="16">
        <f>Peak!AC111</f>
        <v>0</v>
      </c>
      <c r="AD109" s="18">
        <f>Peak!AD111</f>
        <v>400.91878433721814</v>
      </c>
      <c r="AE109" s="18">
        <f>Peak!AE111</f>
        <v>1851.8972673309929</v>
      </c>
      <c r="AF109" s="16">
        <f>Peak!AF111</f>
        <v>1</v>
      </c>
      <c r="AG109" s="73">
        <f>Peak!AG111</f>
        <v>0</v>
      </c>
      <c r="AH109" s="16">
        <f>Peak!AH111</f>
        <v>3.3935482494532452</v>
      </c>
      <c r="AI109" s="16">
        <f>Peak!AI111</f>
        <v>3.1522696030132034</v>
      </c>
      <c r="AJ109" s="16">
        <f>Peak!AJ111</f>
        <v>0</v>
      </c>
      <c r="AK109" s="16">
        <f>Peak!AK111</f>
        <v>0</v>
      </c>
      <c r="AL109" s="4"/>
    </row>
    <row r="110" spans="1:38" x14ac:dyDescent="0.2">
      <c r="A110" s="1">
        <f t="shared" si="11"/>
        <v>39612.117000000129</v>
      </c>
      <c r="B110" s="16">
        <f t="shared" si="9"/>
        <v>3.2332499904338454</v>
      </c>
      <c r="C110" s="17">
        <f t="shared" si="6"/>
        <v>36.551065631218762</v>
      </c>
      <c r="D110" s="16">
        <f t="shared" si="10"/>
        <v>0.71344860918465125</v>
      </c>
      <c r="E110" s="16">
        <f t="shared" si="7"/>
        <v>0</v>
      </c>
      <c r="F110" s="16">
        <f t="shared" si="8"/>
        <v>0</v>
      </c>
      <c r="G110" s="19" t="str">
        <f>IF(IS!$C$2="Peak","-",SUM(C110:F110))</f>
        <v>-</v>
      </c>
      <c r="H110" s="197">
        <v>169.77540858411768</v>
      </c>
      <c r="I110" s="197">
        <v>153.31442692069959</v>
      </c>
      <c r="J110" s="197">
        <v>140.5164705017508</v>
      </c>
      <c r="K110" s="197">
        <v>92.2439436968547</v>
      </c>
      <c r="L110" s="197">
        <v>71.249927812176125</v>
      </c>
      <c r="M110" s="197">
        <v>63.71287365901793</v>
      </c>
      <c r="N110" s="197">
        <v>57.096500210651094</v>
      </c>
      <c r="O110" s="197">
        <v>55.574411706956816</v>
      </c>
      <c r="P110" s="197">
        <v>45.758470155697978</v>
      </c>
      <c r="Q110" s="197">
        <v>40.273064961071427</v>
      </c>
      <c r="R110" s="197">
        <v>38.82560233249923</v>
      </c>
      <c r="S110" s="197">
        <v>36.687607579130812</v>
      </c>
      <c r="T110" s="197">
        <v>35.379484203254087</v>
      </c>
      <c r="U110" s="197">
        <v>32.143568154556782</v>
      </c>
      <c r="V110" s="197">
        <v>29.190302572581153</v>
      </c>
      <c r="W110" s="197">
        <v>28.561194174965877</v>
      </c>
      <c r="X110" s="197">
        <v>28.101632985886177</v>
      </c>
      <c r="Y110" s="197">
        <v>27.947870922183405</v>
      </c>
      <c r="Z110" s="197">
        <v>27.902837612095073</v>
      </c>
      <c r="AA110" s="197">
        <v>26.752778838540561</v>
      </c>
      <c r="AB110" s="16">
        <f>Peak!AB112</f>
        <v>0.71344860918465125</v>
      </c>
      <c r="AC110" s="16">
        <f>Peak!AC112</f>
        <v>0</v>
      </c>
      <c r="AD110" s="18">
        <f>Peak!AD112</f>
        <v>404.12553954622626</v>
      </c>
      <c r="AE110" s="18">
        <f>Peak!AE112</f>
        <v>1866.7489797654553</v>
      </c>
      <c r="AF110" s="16">
        <f>Peak!AF112</f>
        <v>1</v>
      </c>
      <c r="AG110" s="73">
        <f>Peak!AG112</f>
        <v>0</v>
      </c>
      <c r="AH110" s="16">
        <f>Peak!AH112</f>
        <v>3.2332499904338454</v>
      </c>
      <c r="AI110" s="16">
        <f>Peak!AI112</f>
        <v>3.1522696030132034</v>
      </c>
      <c r="AJ110" s="16">
        <f>Peak!AJ112</f>
        <v>0</v>
      </c>
      <c r="AK110" s="16">
        <f>Peak!AK112</f>
        <v>0</v>
      </c>
      <c r="AL110" s="4"/>
    </row>
    <row r="111" spans="1:38" x14ac:dyDescent="0.2">
      <c r="A111" s="1">
        <f t="shared" si="11"/>
        <v>39642.534000000131</v>
      </c>
      <c r="B111" s="16">
        <f t="shared" si="9"/>
        <v>3.2230181866666499</v>
      </c>
      <c r="C111" s="17">
        <f t="shared" si="6"/>
        <v>36.43539770200605</v>
      </c>
      <c r="D111" s="16">
        <f t="shared" si="10"/>
        <v>0.71463769019995904</v>
      </c>
      <c r="E111" s="16">
        <f t="shared" si="7"/>
        <v>0</v>
      </c>
      <c r="F111" s="16">
        <f t="shared" si="8"/>
        <v>0</v>
      </c>
      <c r="G111" s="19" t="str">
        <f>IF(IS!$C$2="Peak","-",SUM(C111:F111))</f>
        <v>-</v>
      </c>
      <c r="H111" s="197">
        <v>309.55322945116171</v>
      </c>
      <c r="I111" s="197">
        <v>247.61898457828178</v>
      </c>
      <c r="J111" s="197">
        <v>206.90855479250516</v>
      </c>
      <c r="K111" s="197">
        <v>168.19404887539517</v>
      </c>
      <c r="L111" s="197">
        <v>140.63800008828053</v>
      </c>
      <c r="M111" s="197">
        <v>102.19985870284226</v>
      </c>
      <c r="N111" s="197">
        <v>69.325462974760114</v>
      </c>
      <c r="O111" s="197">
        <v>60.262947045847412</v>
      </c>
      <c r="P111" s="197">
        <v>58.723721886369859</v>
      </c>
      <c r="Q111" s="197">
        <v>57.717360423648643</v>
      </c>
      <c r="R111" s="197">
        <v>52.072525979703009</v>
      </c>
      <c r="S111" s="197">
        <v>40.988190043560543</v>
      </c>
      <c r="T111" s="197">
        <v>38.015719405393796</v>
      </c>
      <c r="U111" s="197">
        <v>35.256358035323615</v>
      </c>
      <c r="V111" s="197">
        <v>33.853810012278856</v>
      </c>
      <c r="W111" s="197">
        <v>31.636221832894211</v>
      </c>
      <c r="X111" s="197">
        <v>30.226312444823225</v>
      </c>
      <c r="Y111" s="197">
        <v>29.336449950139734</v>
      </c>
      <c r="Z111" s="197">
        <v>28.981218125992623</v>
      </c>
      <c r="AA111" s="197">
        <v>27.846197771371155</v>
      </c>
      <c r="AB111" s="16">
        <f>Peak!AB113</f>
        <v>0.71463769019995904</v>
      </c>
      <c r="AC111" s="16">
        <f>Peak!AC113</f>
        <v>0</v>
      </c>
      <c r="AD111" s="18">
        <f>Peak!AD113</f>
        <v>407.33229475523439</v>
      </c>
      <c r="AE111" s="18">
        <f>Peak!AE113</f>
        <v>1881.6006921999176</v>
      </c>
      <c r="AF111" s="16">
        <f>Peak!AF113</f>
        <v>1</v>
      </c>
      <c r="AG111" s="73">
        <f>Peak!AG113</f>
        <v>0</v>
      </c>
      <c r="AH111" s="16">
        <f>Peak!AH113</f>
        <v>3.2230181866666499</v>
      </c>
      <c r="AI111" s="16">
        <f>Peak!AI113</f>
        <v>3.1522696030132034</v>
      </c>
      <c r="AJ111" s="16">
        <f>Peak!AJ113</f>
        <v>0</v>
      </c>
      <c r="AK111" s="16">
        <f>Peak!AK113</f>
        <v>0</v>
      </c>
      <c r="AL111" s="4"/>
    </row>
    <row r="112" spans="1:38" x14ac:dyDescent="0.2">
      <c r="A112" s="1">
        <f t="shared" si="11"/>
        <v>39672.951000000132</v>
      </c>
      <c r="B112" s="16">
        <f t="shared" si="9"/>
        <v>3.0558987251357865</v>
      </c>
      <c r="C112" s="17">
        <f t="shared" si="6"/>
        <v>34.546154858198328</v>
      </c>
      <c r="D112" s="16">
        <f t="shared" si="10"/>
        <v>0.71582875301695903</v>
      </c>
      <c r="E112" s="16">
        <f t="shared" si="7"/>
        <v>0</v>
      </c>
      <c r="F112" s="16">
        <f t="shared" si="8"/>
        <v>0</v>
      </c>
      <c r="G112" s="19" t="str">
        <f>IF(IS!$C$2="Peak","-",SUM(C112:F112))</f>
        <v>-</v>
      </c>
      <c r="H112" s="197">
        <v>540.51678233602649</v>
      </c>
      <c r="I112" s="197">
        <v>354.25759097531881</v>
      </c>
      <c r="J112" s="197">
        <v>285.63599033883548</v>
      </c>
      <c r="K112" s="197">
        <v>218.50179053710568</v>
      </c>
      <c r="L112" s="197">
        <v>171.51734153408205</v>
      </c>
      <c r="M112" s="197">
        <v>128.19089330787082</v>
      </c>
      <c r="N112" s="197">
        <v>72.249376970558131</v>
      </c>
      <c r="O112" s="197">
        <v>64.626220666830051</v>
      </c>
      <c r="P112" s="197">
        <v>54.808664687586372</v>
      </c>
      <c r="Q112" s="197">
        <v>41.053126982642844</v>
      </c>
      <c r="R112" s="197">
        <v>36.33541193392972</v>
      </c>
      <c r="S112" s="197">
        <v>33.488260310830093</v>
      </c>
      <c r="T112" s="197">
        <v>32.312966113702657</v>
      </c>
      <c r="U112" s="197">
        <v>32.260798884417369</v>
      </c>
      <c r="V112" s="197">
        <v>32.024617887417122</v>
      </c>
      <c r="W112" s="197">
        <v>31.752990429654314</v>
      </c>
      <c r="X112" s="197">
        <v>31.323257075887522</v>
      </c>
      <c r="Y112" s="197">
        <v>30.275004240600904</v>
      </c>
      <c r="Z112" s="197">
        <v>29.313933948740988</v>
      </c>
      <c r="AA112" s="197">
        <v>26.888290937400843</v>
      </c>
      <c r="AB112" s="16">
        <f>Peak!AB114</f>
        <v>0.71582875301695903</v>
      </c>
      <c r="AC112" s="16">
        <f>Peak!AC114</f>
        <v>0</v>
      </c>
      <c r="AD112" s="18">
        <f>Peak!AD114</f>
        <v>410.53904996424251</v>
      </c>
      <c r="AE112" s="18">
        <f>Peak!AE114</f>
        <v>1896.4524046343799</v>
      </c>
      <c r="AF112" s="16">
        <f>Peak!AF114</f>
        <v>1</v>
      </c>
      <c r="AG112" s="73">
        <f>Peak!AG114</f>
        <v>0</v>
      </c>
      <c r="AH112" s="16">
        <f>Peak!AH114</f>
        <v>3.0558987251357865</v>
      </c>
      <c r="AI112" s="16">
        <f>Peak!AI114</f>
        <v>3.1522696030132034</v>
      </c>
      <c r="AJ112" s="16">
        <f>Peak!AJ114</f>
        <v>0</v>
      </c>
      <c r="AK112" s="16">
        <f>Peak!AK114</f>
        <v>0</v>
      </c>
      <c r="AL112" s="4"/>
    </row>
    <row r="113" spans="1:38" x14ac:dyDescent="0.2">
      <c r="A113" s="1">
        <f t="shared" si="11"/>
        <v>39703.368000000133</v>
      </c>
      <c r="B113" s="16">
        <f t="shared" si="9"/>
        <v>3.045666921368591</v>
      </c>
      <c r="C113" s="17">
        <f t="shared" si="6"/>
        <v>34.430486928985609</v>
      </c>
      <c r="D113" s="16">
        <f t="shared" si="10"/>
        <v>0.71702180093865397</v>
      </c>
      <c r="E113" s="16">
        <f t="shared" si="7"/>
        <v>0</v>
      </c>
      <c r="F113" s="16">
        <f t="shared" si="8"/>
        <v>0</v>
      </c>
      <c r="G113" s="19" t="str">
        <f>IF(IS!$C$2="Peak","-",SUM(C113:F113))</f>
        <v>-</v>
      </c>
      <c r="H113" s="197">
        <v>179.94301121952418</v>
      </c>
      <c r="I113" s="197">
        <v>155.8646309999223</v>
      </c>
      <c r="J113" s="197">
        <v>114.66338503925158</v>
      </c>
      <c r="K113" s="197">
        <v>86.268677788859023</v>
      </c>
      <c r="L113" s="197">
        <v>68.1064350242074</v>
      </c>
      <c r="M113" s="197">
        <v>58.989533120427005</v>
      </c>
      <c r="N113" s="197">
        <v>55.242257021086907</v>
      </c>
      <c r="O113" s="197">
        <v>52.8428444436543</v>
      </c>
      <c r="P113" s="197">
        <v>50.348424320851265</v>
      </c>
      <c r="Q113" s="197">
        <v>42.159377512839647</v>
      </c>
      <c r="R113" s="197">
        <v>38.58660047080069</v>
      </c>
      <c r="S113" s="197">
        <v>35.103082288965467</v>
      </c>
      <c r="T113" s="197">
        <v>33.314655035318232</v>
      </c>
      <c r="U113" s="197">
        <v>31.680231709352846</v>
      </c>
      <c r="V113" s="197">
        <v>30.143344499516267</v>
      </c>
      <c r="W113" s="197">
        <v>29.192688133667026</v>
      </c>
      <c r="X113" s="197">
        <v>28.298139263078117</v>
      </c>
      <c r="Y113" s="197">
        <v>27.94546565124266</v>
      </c>
      <c r="Z113" s="197">
        <v>27.732304848768596</v>
      </c>
      <c r="AA113" s="197">
        <v>27.033796868379145</v>
      </c>
      <c r="AB113" s="16">
        <f>Peak!AB115</f>
        <v>0.71702180093865397</v>
      </c>
      <c r="AC113" s="16">
        <f>Peak!AC115</f>
        <v>0</v>
      </c>
      <c r="AD113" s="18">
        <f>Peak!AD115</f>
        <v>413.74580517325063</v>
      </c>
      <c r="AE113" s="18">
        <f>Peak!AE115</f>
        <v>1911.3041170688423</v>
      </c>
      <c r="AF113" s="16">
        <f>Peak!AF115</f>
        <v>1</v>
      </c>
      <c r="AG113" s="73">
        <f>Peak!AG115</f>
        <v>0</v>
      </c>
      <c r="AH113" s="16">
        <f>Peak!AH115</f>
        <v>3.045666921368591</v>
      </c>
      <c r="AI113" s="16">
        <f>Peak!AI115</f>
        <v>3.1522696030132034</v>
      </c>
      <c r="AJ113" s="16">
        <f>Peak!AJ115</f>
        <v>0</v>
      </c>
      <c r="AK113" s="16">
        <f>Peak!AK115</f>
        <v>0</v>
      </c>
      <c r="AL113" s="4"/>
    </row>
    <row r="114" spans="1:38" x14ac:dyDescent="0.2">
      <c r="A114" s="1">
        <f t="shared" si="11"/>
        <v>39733.785000000134</v>
      </c>
      <c r="B114" s="16">
        <f t="shared" si="9"/>
        <v>3.3730846419188536</v>
      </c>
      <c r="C114" s="17">
        <f t="shared" si="6"/>
        <v>38.131860663792573</v>
      </c>
      <c r="D114" s="16">
        <f t="shared" si="10"/>
        <v>0.71821683727355179</v>
      </c>
      <c r="E114" s="16">
        <f t="shared" si="7"/>
        <v>0</v>
      </c>
      <c r="F114" s="16">
        <f t="shared" si="8"/>
        <v>0</v>
      </c>
      <c r="G114" s="19" t="str">
        <f>IF(IS!$C$2="Peak","-",SUM(C114:F114))</f>
        <v>-</v>
      </c>
      <c r="H114" s="197">
        <v>78.466188781639772</v>
      </c>
      <c r="I114" s="197">
        <v>74.5411955588133</v>
      </c>
      <c r="J114" s="197">
        <v>72.477129864013563</v>
      </c>
      <c r="K114" s="197">
        <v>67.838699095918727</v>
      </c>
      <c r="L114" s="197">
        <v>66.672458999432394</v>
      </c>
      <c r="M114" s="197">
        <v>66.091862802014688</v>
      </c>
      <c r="N114" s="197">
        <v>55.452125713392149</v>
      </c>
      <c r="O114" s="197">
        <v>46.456681054081976</v>
      </c>
      <c r="P114" s="197">
        <v>41.460889614135866</v>
      </c>
      <c r="Q114" s="197">
        <v>37.891978133030612</v>
      </c>
      <c r="R114" s="197">
        <v>37.530596431015894</v>
      </c>
      <c r="S114" s="197">
        <v>35.395494380176956</v>
      </c>
      <c r="T114" s="197">
        <v>34.482469852629833</v>
      </c>
      <c r="U114" s="197">
        <v>33.452493592961055</v>
      </c>
      <c r="V114" s="197">
        <v>33.189639030658576</v>
      </c>
      <c r="W114" s="197">
        <v>33.189639030658576</v>
      </c>
      <c r="X114" s="197">
        <v>33.189639030658576</v>
      </c>
      <c r="Y114" s="197">
        <v>33.189639030658576</v>
      </c>
      <c r="Z114" s="197">
        <v>33.189639030658576</v>
      </c>
      <c r="AA114" s="197">
        <v>32.549963533823814</v>
      </c>
      <c r="AB114" s="16">
        <f>Peak!AB116</f>
        <v>0.71821683727355179</v>
      </c>
      <c r="AC114" s="16">
        <f>Peak!AC116</f>
        <v>0</v>
      </c>
      <c r="AD114" s="18">
        <f>Peak!AD116</f>
        <v>416.95256038225875</v>
      </c>
      <c r="AE114" s="18">
        <f>Peak!AE116</f>
        <v>1926.1558295033046</v>
      </c>
      <c r="AF114" s="16">
        <f>Peak!AF116</f>
        <v>1</v>
      </c>
      <c r="AG114" s="73">
        <f>Peak!AG116</f>
        <v>0</v>
      </c>
      <c r="AH114" s="16">
        <f>Peak!AH116</f>
        <v>3.3730846419188536</v>
      </c>
      <c r="AI114" s="16">
        <f>Peak!AI116</f>
        <v>3.1522696030132034</v>
      </c>
      <c r="AJ114" s="16">
        <f>Peak!AJ116</f>
        <v>0</v>
      </c>
      <c r="AK114" s="16">
        <f>Peak!AK116</f>
        <v>0</v>
      </c>
      <c r="AL114" s="4"/>
    </row>
    <row r="115" spans="1:38" x14ac:dyDescent="0.2">
      <c r="A115" s="1">
        <f t="shared" si="11"/>
        <v>39764.202000000136</v>
      </c>
      <c r="B115" s="16">
        <f t="shared" si="9"/>
        <v>3.6936811599576527</v>
      </c>
      <c r="C115" s="17">
        <f t="shared" si="6"/>
        <v>41.756122445791057</v>
      </c>
      <c r="D115" s="16">
        <f t="shared" si="10"/>
        <v>0.71941386533567442</v>
      </c>
      <c r="E115" s="16">
        <f t="shared" si="7"/>
        <v>0</v>
      </c>
      <c r="F115" s="16">
        <f t="shared" si="8"/>
        <v>0</v>
      </c>
      <c r="G115" s="19" t="str">
        <f>IF(IS!$C$2="Peak","-",SUM(C115:F115))</f>
        <v>-</v>
      </c>
      <c r="H115" s="197">
        <v>95.452520439207873</v>
      </c>
      <c r="I115" s="197">
        <v>88.505907562902593</v>
      </c>
      <c r="J115" s="197">
        <v>84.204355282374422</v>
      </c>
      <c r="K115" s="197">
        <v>79.0239314614264</v>
      </c>
      <c r="L115" s="197">
        <v>75.86517460578753</v>
      </c>
      <c r="M115" s="197">
        <v>75.4247680407112</v>
      </c>
      <c r="N115" s="197">
        <v>66.903984923682245</v>
      </c>
      <c r="O115" s="197">
        <v>52.293005355992619</v>
      </c>
      <c r="P115" s="197">
        <v>45.413413774099027</v>
      </c>
      <c r="Q115" s="197">
        <v>42.79475978975335</v>
      </c>
      <c r="R115" s="197">
        <v>41.338952567266375</v>
      </c>
      <c r="S115" s="197">
        <v>37.308227752318203</v>
      </c>
      <c r="T115" s="197">
        <v>36.656021066422625</v>
      </c>
      <c r="U115" s="197">
        <v>36.65578421384599</v>
      </c>
      <c r="V115" s="197">
        <v>36.65578421384599</v>
      </c>
      <c r="W115" s="197">
        <v>36.65578421384599</v>
      </c>
      <c r="X115" s="197">
        <v>36.402631037242656</v>
      </c>
      <c r="Y115" s="197">
        <v>34.40882363409203</v>
      </c>
      <c r="Z115" s="197">
        <v>33.546200594876716</v>
      </c>
      <c r="AA115" s="197">
        <v>31.024591379508252</v>
      </c>
      <c r="AB115" s="16">
        <f>Peak!AB117</f>
        <v>0.71941386533567442</v>
      </c>
      <c r="AC115" s="16">
        <f>Peak!AC117</f>
        <v>0</v>
      </c>
      <c r="AD115" s="18">
        <f>Peak!AD117</f>
        <v>420.15931559126687</v>
      </c>
      <c r="AE115" s="18">
        <f>Peak!AE117</f>
        <v>1941.007541937767</v>
      </c>
      <c r="AF115" s="16">
        <f>Peak!AF117</f>
        <v>1</v>
      </c>
      <c r="AG115" s="73">
        <f>Peak!AG117</f>
        <v>0</v>
      </c>
      <c r="AH115" s="16">
        <f>Peak!AH117</f>
        <v>3.6936811599576527</v>
      </c>
      <c r="AI115" s="16">
        <f>Peak!AI117</f>
        <v>3.4177238853722103</v>
      </c>
      <c r="AJ115" s="16">
        <f>Peak!AJ117</f>
        <v>0</v>
      </c>
      <c r="AK115" s="16">
        <f>Peak!AK117</f>
        <v>0</v>
      </c>
      <c r="AL115" s="4"/>
    </row>
    <row r="116" spans="1:38" x14ac:dyDescent="0.2">
      <c r="A116" s="1">
        <f t="shared" si="11"/>
        <v>39794.619000000137</v>
      </c>
      <c r="B116" s="16">
        <f t="shared" si="9"/>
        <v>3.9972246717177922</v>
      </c>
      <c r="C116" s="17">
        <f t="shared" si="6"/>
        <v>45.187604345768349</v>
      </c>
      <c r="D116" s="16">
        <f t="shared" si="10"/>
        <v>0.72061288844456728</v>
      </c>
      <c r="E116" s="16">
        <f t="shared" si="7"/>
        <v>0</v>
      </c>
      <c r="F116" s="16">
        <f t="shared" si="8"/>
        <v>0</v>
      </c>
      <c r="G116" s="19" t="str">
        <f>IF(IS!$C$2="Peak","-",SUM(C116:F116))</f>
        <v>-</v>
      </c>
      <c r="H116" s="197">
        <v>178.84032718512307</v>
      </c>
      <c r="I116" s="197">
        <v>163.98016751813367</v>
      </c>
      <c r="J116" s="197">
        <v>155.54572056315411</v>
      </c>
      <c r="K116" s="197">
        <v>115.61875753763771</v>
      </c>
      <c r="L116" s="197">
        <v>87.717351639286221</v>
      </c>
      <c r="M116" s="197">
        <v>74.475681421420717</v>
      </c>
      <c r="N116" s="197">
        <v>67.484479518860212</v>
      </c>
      <c r="O116" s="197">
        <v>63.323634891758182</v>
      </c>
      <c r="P116" s="197">
        <v>60.16789294080862</v>
      </c>
      <c r="Q116" s="197">
        <v>60.047515327679399</v>
      </c>
      <c r="R116" s="197">
        <v>58.683951718603772</v>
      </c>
      <c r="S116" s="197">
        <v>47.981399017490638</v>
      </c>
      <c r="T116" s="197">
        <v>41.590345038153529</v>
      </c>
      <c r="U116" s="197">
        <v>34.869947616064685</v>
      </c>
      <c r="V116" s="197">
        <v>34.271961787800414</v>
      </c>
      <c r="W116" s="197">
        <v>31.810664974224249</v>
      </c>
      <c r="X116" s="197">
        <v>29.95021995014212</v>
      </c>
      <c r="Y116" s="197">
        <v>29.830134931145935</v>
      </c>
      <c r="Z116" s="197">
        <v>29.617757496980794</v>
      </c>
      <c r="AA116" s="197">
        <v>27.699303446768727</v>
      </c>
      <c r="AB116" s="16">
        <f>Peak!AB118</f>
        <v>0.72061288844456728</v>
      </c>
      <c r="AC116" s="16">
        <f>Peak!AC118</f>
        <v>0</v>
      </c>
      <c r="AD116" s="18">
        <f>Peak!AD118</f>
        <v>423.366070800275</v>
      </c>
      <c r="AE116" s="18">
        <f>Peak!AE118</f>
        <v>1955.8592543722293</v>
      </c>
      <c r="AF116" s="16">
        <f>Peak!AF118</f>
        <v>1</v>
      </c>
      <c r="AG116" s="73">
        <f>Peak!AG118</f>
        <v>0</v>
      </c>
      <c r="AH116" s="16">
        <f>Peak!AH118</f>
        <v>3.9972246717177922</v>
      </c>
      <c r="AI116" s="16">
        <f>Peak!AI118</f>
        <v>3.5836328118465897</v>
      </c>
      <c r="AJ116" s="16">
        <f>Peak!AJ118</f>
        <v>0</v>
      </c>
      <c r="AK116" s="16">
        <f>Peak!AK118</f>
        <v>0</v>
      </c>
      <c r="AL116" s="4"/>
    </row>
    <row r="117" spans="1:38" x14ac:dyDescent="0.2">
      <c r="A117" s="1">
        <f t="shared" si="11"/>
        <v>39825.036000000138</v>
      </c>
      <c r="B117" s="16">
        <f t="shared" si="9"/>
        <v>3.9883095962770021</v>
      </c>
      <c r="C117" s="17">
        <f t="shared" si="6"/>
        <v>45.086821694099697</v>
      </c>
      <c r="D117" s="16">
        <f t="shared" si="10"/>
        <v>0.72181390992530825</v>
      </c>
      <c r="E117" s="16">
        <f t="shared" si="7"/>
        <v>0</v>
      </c>
      <c r="F117" s="16">
        <f t="shared" si="8"/>
        <v>0</v>
      </c>
      <c r="G117" s="19" t="str">
        <f>IF(IS!$C$2="Peak","-",SUM(C117:F117))</f>
        <v>-</v>
      </c>
      <c r="H117" s="197">
        <v>116.70897413266998</v>
      </c>
      <c r="I117" s="197">
        <v>105.59586960243038</v>
      </c>
      <c r="J117" s="197">
        <v>93.419336886432887</v>
      </c>
      <c r="K117" s="197">
        <v>86.892316862958381</v>
      </c>
      <c r="L117" s="197">
        <v>82.262763812343934</v>
      </c>
      <c r="M117" s="197">
        <v>76.721761679561794</v>
      </c>
      <c r="N117" s="197">
        <v>76.001297281516713</v>
      </c>
      <c r="O117" s="197">
        <v>70.437005280680353</v>
      </c>
      <c r="P117" s="197">
        <v>53.806516308452018</v>
      </c>
      <c r="Q117" s="197">
        <v>46.842980570692816</v>
      </c>
      <c r="R117" s="197">
        <v>43.027174814968511</v>
      </c>
      <c r="S117" s="197">
        <v>39.943765200845746</v>
      </c>
      <c r="T117" s="197">
        <v>37.457951574066513</v>
      </c>
      <c r="U117" s="197">
        <v>37.457951574066513</v>
      </c>
      <c r="V117" s="197">
        <v>37.457951574066513</v>
      </c>
      <c r="W117" s="197">
        <v>37.457951574066513</v>
      </c>
      <c r="X117" s="197">
        <v>35.803237642000433</v>
      </c>
      <c r="Y117" s="197">
        <v>33.103140508913341</v>
      </c>
      <c r="Z117" s="197">
        <v>32.294936378946787</v>
      </c>
      <c r="AA117" s="197">
        <v>29.724826639365244</v>
      </c>
      <c r="AB117" s="16">
        <f>Peak!AB119</f>
        <v>0.72181390992530825</v>
      </c>
      <c r="AC117" s="16">
        <f>Peak!AC119</f>
        <v>0</v>
      </c>
      <c r="AD117" s="18">
        <f>Peak!AD119</f>
        <v>429.77958121829101</v>
      </c>
      <c r="AE117" s="18">
        <f>Peak!AE119</f>
        <v>1985.5626792411545</v>
      </c>
      <c r="AF117" s="16">
        <f>Peak!AF119</f>
        <v>1</v>
      </c>
      <c r="AG117" s="73">
        <f>Peak!AG119</f>
        <v>0</v>
      </c>
      <c r="AH117" s="16">
        <f>Peak!AH119</f>
        <v>3.9883095962770021</v>
      </c>
      <c r="AI117" s="16">
        <f>Peak!AI119</f>
        <v>3.7142218467191683</v>
      </c>
      <c r="AJ117" s="16">
        <f>Peak!AJ119</f>
        <v>0</v>
      </c>
      <c r="AK117" s="16">
        <f>Peak!AK119</f>
        <v>0</v>
      </c>
      <c r="AL117" s="4"/>
    </row>
    <row r="118" spans="1:38" x14ac:dyDescent="0.2">
      <c r="A118" s="1">
        <f t="shared" si="11"/>
        <v>39855.45300000014</v>
      </c>
      <c r="B118" s="16">
        <f t="shared" si="9"/>
        <v>3.5746285477269937</v>
      </c>
      <c r="C118" s="17">
        <f t="shared" si="6"/>
        <v>40.410263060935087</v>
      </c>
      <c r="D118" s="16">
        <f t="shared" si="10"/>
        <v>0.72301693310851711</v>
      </c>
      <c r="E118" s="16">
        <f t="shared" si="7"/>
        <v>0</v>
      </c>
      <c r="F118" s="16">
        <f t="shared" si="8"/>
        <v>0</v>
      </c>
      <c r="G118" s="19" t="str">
        <f>IF(IS!$C$2="Peak","-",SUM(C118:F118))</f>
        <v>-</v>
      </c>
      <c r="H118" s="197">
        <v>163.03336542398441</v>
      </c>
      <c r="I118" s="197">
        <v>153.0382035541341</v>
      </c>
      <c r="J118" s="197">
        <v>119.98118214244025</v>
      </c>
      <c r="K118" s="197">
        <v>88.355663471774378</v>
      </c>
      <c r="L118" s="197">
        <v>82.405601407210128</v>
      </c>
      <c r="M118" s="197">
        <v>77.609650846775281</v>
      </c>
      <c r="N118" s="197">
        <v>73.60646610545183</v>
      </c>
      <c r="O118" s="197">
        <v>72.356400062420192</v>
      </c>
      <c r="P118" s="197">
        <v>58.585914879369071</v>
      </c>
      <c r="Q118" s="197">
        <v>48.87248793428892</v>
      </c>
      <c r="R118" s="197">
        <v>41.5824099969591</v>
      </c>
      <c r="S118" s="197">
        <v>39.382019852526838</v>
      </c>
      <c r="T118" s="197">
        <v>36.104285504304812</v>
      </c>
      <c r="U118" s="197">
        <v>36.088134093517091</v>
      </c>
      <c r="V118" s="197">
        <v>35.53262442155313</v>
      </c>
      <c r="W118" s="197">
        <v>35.356008133677172</v>
      </c>
      <c r="X118" s="197">
        <v>33.80186716462849</v>
      </c>
      <c r="Y118" s="197">
        <v>33.079476144225296</v>
      </c>
      <c r="Z118" s="197">
        <v>32.214448679619878</v>
      </c>
      <c r="AA118" s="197">
        <v>29.444039654662543</v>
      </c>
      <c r="AB118" s="16">
        <f>Peak!AB120</f>
        <v>0.72301693310851711</v>
      </c>
      <c r="AC118" s="16">
        <f>Peak!AC120</f>
        <v>0</v>
      </c>
      <c r="AD118" s="18">
        <f>Peak!AD120</f>
        <v>429.77958121829101</v>
      </c>
      <c r="AE118" s="18">
        <f>Peak!AE120</f>
        <v>1985.5626792411545</v>
      </c>
      <c r="AF118" s="16">
        <f>Peak!AF120</f>
        <v>1</v>
      </c>
      <c r="AG118" s="73">
        <f>Peak!AG120</f>
        <v>0</v>
      </c>
      <c r="AH118" s="16">
        <f>Peak!AH120</f>
        <v>3.5746285477269937</v>
      </c>
      <c r="AI118" s="16">
        <f>Peak!AI120</f>
        <v>3.6798309036939907</v>
      </c>
      <c r="AJ118" s="16">
        <f>Peak!AJ120</f>
        <v>0</v>
      </c>
      <c r="AK118" s="16">
        <f>Peak!AK120</f>
        <v>0</v>
      </c>
      <c r="AL118" s="4"/>
    </row>
    <row r="119" spans="1:38" x14ac:dyDescent="0.2">
      <c r="A119" s="1">
        <f t="shared" si="11"/>
        <v>39885.870000000141</v>
      </c>
      <c r="B119" s="16">
        <f t="shared" si="9"/>
        <v>3.5145210449462239</v>
      </c>
      <c r="C119" s="17">
        <f t="shared" si="6"/>
        <v>39.730763088594948</v>
      </c>
      <c r="D119" s="16">
        <f t="shared" si="10"/>
        <v>0.72422196133036465</v>
      </c>
      <c r="E119" s="16">
        <f t="shared" si="7"/>
        <v>0</v>
      </c>
      <c r="F119" s="16">
        <f t="shared" si="8"/>
        <v>0</v>
      </c>
      <c r="G119" s="19" t="str">
        <f>IF(IS!$C$2="Peak","-",SUM(C119:F119))</f>
        <v>-</v>
      </c>
      <c r="H119" s="197">
        <v>98.219735272979392</v>
      </c>
      <c r="I119" s="197">
        <v>87.34964122781291</v>
      </c>
      <c r="J119" s="197">
        <v>84.157309127374418</v>
      </c>
      <c r="K119" s="197">
        <v>79.354534018198805</v>
      </c>
      <c r="L119" s="197">
        <v>73.845881544574382</v>
      </c>
      <c r="M119" s="197">
        <v>72.893047492920715</v>
      </c>
      <c r="N119" s="197">
        <v>70.365515101894601</v>
      </c>
      <c r="O119" s="197">
        <v>55.721875248697756</v>
      </c>
      <c r="P119" s="197">
        <v>49.671475258451309</v>
      </c>
      <c r="Q119" s="197">
        <v>43.015784684410207</v>
      </c>
      <c r="R119" s="197">
        <v>41.20962532955771</v>
      </c>
      <c r="S119" s="197">
        <v>40.864365927835884</v>
      </c>
      <c r="T119" s="197">
        <v>38.312484224602869</v>
      </c>
      <c r="U119" s="197">
        <v>36.206133455888519</v>
      </c>
      <c r="V119" s="197">
        <v>36.161738919444602</v>
      </c>
      <c r="W119" s="197">
        <v>35.686435655813099</v>
      </c>
      <c r="X119" s="197">
        <v>35.354369464135843</v>
      </c>
      <c r="Y119" s="197">
        <v>35.321215197470856</v>
      </c>
      <c r="Z119" s="197">
        <v>35.321171779494122</v>
      </c>
      <c r="AA119" s="197">
        <v>34.869472189256371</v>
      </c>
      <c r="AB119" s="16">
        <f>Peak!AB121</f>
        <v>0.72422196133036465</v>
      </c>
      <c r="AC119" s="16">
        <f>Peak!AC121</f>
        <v>0</v>
      </c>
      <c r="AD119" s="18">
        <f>Peak!AD121</f>
        <v>429.77958121829101</v>
      </c>
      <c r="AE119" s="18">
        <f>Peak!AE121</f>
        <v>1985.5626792411545</v>
      </c>
      <c r="AF119" s="16">
        <f>Peak!AF121</f>
        <v>1</v>
      </c>
      <c r="AG119" s="73">
        <f>Peak!AG121</f>
        <v>0</v>
      </c>
      <c r="AH119" s="16">
        <f>Peak!AH121</f>
        <v>3.5145210449462239</v>
      </c>
      <c r="AI119" s="16">
        <f>Peak!AI121</f>
        <v>3.5422671315932805</v>
      </c>
      <c r="AJ119" s="16">
        <f>Peak!AJ121</f>
        <v>0</v>
      </c>
      <c r="AK119" s="16">
        <f>Peak!AK121</f>
        <v>0</v>
      </c>
      <c r="AL119" s="4"/>
    </row>
    <row r="120" spans="1:38" x14ac:dyDescent="0.2">
      <c r="A120" s="1">
        <f t="shared" si="11"/>
        <v>39916.287000000142</v>
      </c>
      <c r="B120" s="16">
        <f t="shared" si="9"/>
        <v>3.3412700075192969</v>
      </c>
      <c r="C120" s="17">
        <f t="shared" si="6"/>
        <v>37.772204344790957</v>
      </c>
      <c r="D120" s="16">
        <f t="shared" si="10"/>
        <v>0.72542899793258198</v>
      </c>
      <c r="E120" s="16">
        <f t="shared" si="7"/>
        <v>0</v>
      </c>
      <c r="F120" s="16">
        <f t="shared" si="8"/>
        <v>0</v>
      </c>
      <c r="G120" s="19" t="str">
        <f>IF(IS!$C$2="Peak","-",SUM(C120:F120))</f>
        <v>-</v>
      </c>
      <c r="H120" s="197">
        <v>79.601683098347081</v>
      </c>
      <c r="I120" s="197">
        <v>76.864302332627375</v>
      </c>
      <c r="J120" s="197">
        <v>72.993322289361274</v>
      </c>
      <c r="K120" s="197">
        <v>69.863993520475461</v>
      </c>
      <c r="L120" s="197">
        <v>69.710958805533892</v>
      </c>
      <c r="M120" s="197">
        <v>63.362111962930612</v>
      </c>
      <c r="N120" s="197">
        <v>48.46547750263359</v>
      </c>
      <c r="O120" s="197">
        <v>44.4232919344186</v>
      </c>
      <c r="P120" s="197">
        <v>40.088163194562661</v>
      </c>
      <c r="Q120" s="197">
        <v>39.550925722637935</v>
      </c>
      <c r="R120" s="197">
        <v>38.500383541731239</v>
      </c>
      <c r="S120" s="197">
        <v>36.249561302420915</v>
      </c>
      <c r="T120" s="197">
        <v>35.256060586880821</v>
      </c>
      <c r="U120" s="197">
        <v>34.795153091865657</v>
      </c>
      <c r="V120" s="197">
        <v>34.757772843707855</v>
      </c>
      <c r="W120" s="197">
        <v>34.284895032990981</v>
      </c>
      <c r="X120" s="197">
        <v>33.931989195015532</v>
      </c>
      <c r="Y120" s="197">
        <v>33.931819287734129</v>
      </c>
      <c r="Z120" s="197">
        <v>33.931764861913244</v>
      </c>
      <c r="AA120" s="197">
        <v>33.558151962231818</v>
      </c>
      <c r="AB120" s="16">
        <f>Peak!AB122</f>
        <v>0.72542899793258198</v>
      </c>
      <c r="AC120" s="16">
        <f>Peak!AC122</f>
        <v>0</v>
      </c>
      <c r="AD120" s="18">
        <f>Peak!AD122</f>
        <v>429.77958121829101</v>
      </c>
      <c r="AE120" s="18">
        <f>Peak!AE122</f>
        <v>1985.5626792411545</v>
      </c>
      <c r="AF120" s="16">
        <f>Peak!AF122</f>
        <v>1</v>
      </c>
      <c r="AG120" s="73">
        <f>Peak!AG122</f>
        <v>0</v>
      </c>
      <c r="AH120" s="16">
        <f>Peak!AH122</f>
        <v>3.3412700075192969</v>
      </c>
      <c r="AI120" s="16">
        <f>Peak!AI122</f>
        <v>3.4047033594925704</v>
      </c>
      <c r="AJ120" s="16">
        <f>Peak!AJ122</f>
        <v>0</v>
      </c>
      <c r="AK120" s="16">
        <f>Peak!AK122</f>
        <v>0</v>
      </c>
      <c r="AL120" s="4"/>
    </row>
    <row r="121" spans="1:38" x14ac:dyDescent="0.2">
      <c r="A121" s="1">
        <f t="shared" si="11"/>
        <v>39946.704000000143</v>
      </c>
      <c r="B121" s="16">
        <f t="shared" si="9"/>
        <v>3.5180567804039162</v>
      </c>
      <c r="C121" s="17">
        <f t="shared" si="6"/>
        <v>39.770733675203189</v>
      </c>
      <c r="D121" s="16">
        <f t="shared" si="10"/>
        <v>0.72663804626246964</v>
      </c>
      <c r="E121" s="16">
        <f t="shared" si="7"/>
        <v>0</v>
      </c>
      <c r="F121" s="16">
        <f t="shared" si="8"/>
        <v>0</v>
      </c>
      <c r="G121" s="19" t="str">
        <f>IF(IS!$C$2="Peak","-",SUM(C121:F121))</f>
        <v>-</v>
      </c>
      <c r="H121" s="197">
        <v>109.9655446951884</v>
      </c>
      <c r="I121" s="197">
        <v>85.043855257364527</v>
      </c>
      <c r="J121" s="197">
        <v>77.020619522490009</v>
      </c>
      <c r="K121" s="197">
        <v>71.531403120857448</v>
      </c>
      <c r="L121" s="197">
        <v>70.350873172778037</v>
      </c>
      <c r="M121" s="197">
        <v>58.670809338675745</v>
      </c>
      <c r="N121" s="197">
        <v>48.651429701004659</v>
      </c>
      <c r="O121" s="197">
        <v>44.678942817185622</v>
      </c>
      <c r="P121" s="197">
        <v>40.805333142606599</v>
      </c>
      <c r="Q121" s="197">
        <v>35.213399176863717</v>
      </c>
      <c r="R121" s="197">
        <v>34.888553465204964</v>
      </c>
      <c r="S121" s="197">
        <v>34.55156523020235</v>
      </c>
      <c r="T121" s="197">
        <v>34.058953588325025</v>
      </c>
      <c r="U121" s="197">
        <v>34.058953588325025</v>
      </c>
      <c r="V121" s="197">
        <v>34.058953588325025</v>
      </c>
      <c r="W121" s="197">
        <v>34.058873740966767</v>
      </c>
      <c r="X121" s="197">
        <v>34.058644121191278</v>
      </c>
      <c r="Y121" s="197">
        <v>33.590519802173745</v>
      </c>
      <c r="Z121" s="197">
        <v>32.130376982334951</v>
      </c>
      <c r="AA121" s="197">
        <v>29.977894944158521</v>
      </c>
      <c r="AB121" s="16">
        <f>Peak!AB123</f>
        <v>0.72663804626246964</v>
      </c>
      <c r="AC121" s="16">
        <f>Peak!AC123</f>
        <v>0</v>
      </c>
      <c r="AD121" s="18">
        <f>Peak!AD123</f>
        <v>429.77958121829101</v>
      </c>
      <c r="AE121" s="18">
        <f>Peak!AE123</f>
        <v>1985.5626792411545</v>
      </c>
      <c r="AF121" s="16">
        <f>Peak!AF123</f>
        <v>1</v>
      </c>
      <c r="AG121" s="73">
        <f>Peak!AG123</f>
        <v>0</v>
      </c>
      <c r="AH121" s="16">
        <f>Peak!AH123</f>
        <v>3.5180567804039162</v>
      </c>
      <c r="AI121" s="16">
        <f>Peak!AI123</f>
        <v>3.2671395873918607</v>
      </c>
      <c r="AJ121" s="16">
        <f>Peak!AJ123</f>
        <v>0</v>
      </c>
      <c r="AK121" s="16">
        <f>Peak!AK123</f>
        <v>0</v>
      </c>
      <c r="AL121" s="4"/>
    </row>
    <row r="122" spans="1:38" x14ac:dyDescent="0.2">
      <c r="A122" s="1">
        <f t="shared" si="11"/>
        <v>39977.121000000145</v>
      </c>
      <c r="B122" s="16">
        <f t="shared" si="9"/>
        <v>3.351877213892374</v>
      </c>
      <c r="C122" s="17">
        <f t="shared" si="6"/>
        <v>37.892116104615695</v>
      </c>
      <c r="D122" s="16">
        <f t="shared" si="10"/>
        <v>0.72784910967290717</v>
      </c>
      <c r="E122" s="16">
        <f t="shared" si="7"/>
        <v>0</v>
      </c>
      <c r="F122" s="16">
        <f t="shared" si="8"/>
        <v>0</v>
      </c>
      <c r="G122" s="19" t="str">
        <f>IF(IS!$C$2="Peak","-",SUM(C122:F122))</f>
        <v>-</v>
      </c>
      <c r="H122" s="197">
        <v>204.55552934128602</v>
      </c>
      <c r="I122" s="197">
        <v>174.68480307080935</v>
      </c>
      <c r="J122" s="197">
        <v>157.33845446359339</v>
      </c>
      <c r="K122" s="197">
        <v>127.7994732809312</v>
      </c>
      <c r="L122" s="197">
        <v>78.212615172092853</v>
      </c>
      <c r="M122" s="197">
        <v>65.021474696299933</v>
      </c>
      <c r="N122" s="197">
        <v>60.687219678749258</v>
      </c>
      <c r="O122" s="197">
        <v>52.288033035421471</v>
      </c>
      <c r="P122" s="197">
        <v>42.489583549029319</v>
      </c>
      <c r="Q122" s="197">
        <v>38.906785981198944</v>
      </c>
      <c r="R122" s="197">
        <v>35.773871629173108</v>
      </c>
      <c r="S122" s="197">
        <v>34.780095005251795</v>
      </c>
      <c r="T122" s="197">
        <v>34.59979283395905</v>
      </c>
      <c r="U122" s="197">
        <v>33.682233619685569</v>
      </c>
      <c r="V122" s="197">
        <v>32.377746374624778</v>
      </c>
      <c r="W122" s="197">
        <v>31.382761039770521</v>
      </c>
      <c r="X122" s="197">
        <v>30.797326018173742</v>
      </c>
      <c r="Y122" s="197">
        <v>30.625912669057008</v>
      </c>
      <c r="Z122" s="197">
        <v>30.128405121585335</v>
      </c>
      <c r="AA122" s="197">
        <v>29.956098317304992</v>
      </c>
      <c r="AB122" s="16">
        <f>Peak!AB124</f>
        <v>0.72784910967290717</v>
      </c>
      <c r="AC122" s="16">
        <f>Peak!AC124</f>
        <v>0</v>
      </c>
      <c r="AD122" s="18">
        <f>Peak!AD124</f>
        <v>429.77958121829101</v>
      </c>
      <c r="AE122" s="18">
        <f>Peak!AE124</f>
        <v>1985.5626792411545</v>
      </c>
      <c r="AF122" s="16">
        <f>Peak!AF124</f>
        <v>1</v>
      </c>
      <c r="AG122" s="73">
        <f>Peak!AG124</f>
        <v>0</v>
      </c>
      <c r="AH122" s="16">
        <f>Peak!AH124</f>
        <v>3.351877213892374</v>
      </c>
      <c r="AI122" s="16">
        <f>Peak!AI124</f>
        <v>3.2671395873918607</v>
      </c>
      <c r="AJ122" s="16">
        <f>Peak!AJ124</f>
        <v>0</v>
      </c>
      <c r="AK122" s="16">
        <f>Peak!AK124</f>
        <v>0</v>
      </c>
      <c r="AL122" s="4"/>
    </row>
    <row r="123" spans="1:38" x14ac:dyDescent="0.2">
      <c r="A123" s="1">
        <f t="shared" si="11"/>
        <v>40007.538000000146</v>
      </c>
      <c r="B123" s="16">
        <f t="shared" si="9"/>
        <v>3.3412700075192969</v>
      </c>
      <c r="C123" s="17">
        <f t="shared" si="6"/>
        <v>37.772204344790957</v>
      </c>
      <c r="D123" s="16">
        <f t="shared" si="10"/>
        <v>0.72906219152236207</v>
      </c>
      <c r="E123" s="16">
        <f t="shared" si="7"/>
        <v>0</v>
      </c>
      <c r="F123" s="16">
        <f t="shared" si="8"/>
        <v>0</v>
      </c>
      <c r="G123" s="19" t="str">
        <f>IF(IS!$C$2="Peak","-",SUM(C123:F123))</f>
        <v>-</v>
      </c>
      <c r="H123" s="197">
        <v>320.91882413804831</v>
      </c>
      <c r="I123" s="197">
        <v>266.07431960818349</v>
      </c>
      <c r="J123" s="197">
        <v>228.67349202340529</v>
      </c>
      <c r="K123" s="197">
        <v>189.8456761943815</v>
      </c>
      <c r="L123" s="197">
        <v>162.31228792263886</v>
      </c>
      <c r="M123" s="197">
        <v>134.20604117414456</v>
      </c>
      <c r="N123" s="197">
        <v>74.217236301205148</v>
      </c>
      <c r="O123" s="197">
        <v>64.104110591915955</v>
      </c>
      <c r="P123" s="197">
        <v>61.359504663729034</v>
      </c>
      <c r="Q123" s="197">
        <v>53.002762566127487</v>
      </c>
      <c r="R123" s="197">
        <v>40.443845936394574</v>
      </c>
      <c r="S123" s="197">
        <v>35.074291451887817</v>
      </c>
      <c r="T123" s="197">
        <v>32.4125640754553</v>
      </c>
      <c r="U123" s="197">
        <v>30.638357223924061</v>
      </c>
      <c r="V123" s="197">
        <v>30.469346742220154</v>
      </c>
      <c r="W123" s="197">
        <v>30.469136684727882</v>
      </c>
      <c r="X123" s="197">
        <v>30.469136684727882</v>
      </c>
      <c r="Y123" s="197">
        <v>30.305713950258646</v>
      </c>
      <c r="Z123" s="197">
        <v>29.087398331959697</v>
      </c>
      <c r="AA123" s="197">
        <v>26.150768867052559</v>
      </c>
      <c r="AB123" s="16">
        <f>Peak!AB125</f>
        <v>0.72906219152236207</v>
      </c>
      <c r="AC123" s="16">
        <f>Peak!AC125</f>
        <v>0</v>
      </c>
      <c r="AD123" s="18">
        <f>Peak!AD125</f>
        <v>429.77958121829101</v>
      </c>
      <c r="AE123" s="18">
        <f>Peak!AE125</f>
        <v>1985.5626792411545</v>
      </c>
      <c r="AF123" s="16">
        <f>Peak!AF125</f>
        <v>1</v>
      </c>
      <c r="AG123" s="73">
        <f>Peak!AG125</f>
        <v>0</v>
      </c>
      <c r="AH123" s="16">
        <f>Peak!AH125</f>
        <v>3.3412700075192969</v>
      </c>
      <c r="AI123" s="16">
        <f>Peak!AI125</f>
        <v>3.2671395873918607</v>
      </c>
      <c r="AJ123" s="16">
        <f>Peak!AJ125</f>
        <v>0</v>
      </c>
      <c r="AK123" s="16">
        <f>Peak!AK125</f>
        <v>0</v>
      </c>
      <c r="AL123" s="4"/>
    </row>
    <row r="124" spans="1:38" x14ac:dyDescent="0.2">
      <c r="A124" s="1">
        <f t="shared" si="11"/>
        <v>40037.955000000147</v>
      </c>
      <c r="B124" s="16">
        <f t="shared" si="9"/>
        <v>3.1680189700923709</v>
      </c>
      <c r="C124" s="17">
        <f t="shared" si="6"/>
        <v>35.813645600986995</v>
      </c>
      <c r="D124" s="16">
        <f t="shared" si="10"/>
        <v>0.73027729517489937</v>
      </c>
      <c r="E124" s="16">
        <f t="shared" si="7"/>
        <v>0</v>
      </c>
      <c r="F124" s="16">
        <f t="shared" si="8"/>
        <v>0</v>
      </c>
      <c r="G124" s="19" t="str">
        <f>IF(IS!$C$2="Peak","-",SUM(C124:F124))</f>
        <v>-</v>
      </c>
      <c r="H124" s="197">
        <v>366.55177477345711</v>
      </c>
      <c r="I124" s="197">
        <v>275.82732954256664</v>
      </c>
      <c r="J124" s="197">
        <v>230.09653549221389</v>
      </c>
      <c r="K124" s="197">
        <v>183.70758145431637</v>
      </c>
      <c r="L124" s="197">
        <v>155.08858957196722</v>
      </c>
      <c r="M124" s="197">
        <v>108.06740335137411</v>
      </c>
      <c r="N124" s="197">
        <v>81.10365874674045</v>
      </c>
      <c r="O124" s="197">
        <v>75.12529576239271</v>
      </c>
      <c r="P124" s="197">
        <v>57.523973328381672</v>
      </c>
      <c r="Q124" s="197">
        <v>43.741149734759411</v>
      </c>
      <c r="R124" s="197">
        <v>40.73380180631473</v>
      </c>
      <c r="S124" s="197">
        <v>37.936916265675642</v>
      </c>
      <c r="T124" s="197">
        <v>36.633781572768982</v>
      </c>
      <c r="U124" s="197">
        <v>36.633671236702952</v>
      </c>
      <c r="V124" s="197">
        <v>36.633567303298292</v>
      </c>
      <c r="W124" s="197">
        <v>36.633431543321656</v>
      </c>
      <c r="X124" s="197">
        <v>36.588712420033545</v>
      </c>
      <c r="Y124" s="197">
        <v>35.077914571419718</v>
      </c>
      <c r="Z124" s="197">
        <v>33.622360309193432</v>
      </c>
      <c r="AA124" s="197">
        <v>30.028373721027485</v>
      </c>
      <c r="AB124" s="16">
        <f>Peak!AB126</f>
        <v>0.73027729517489937</v>
      </c>
      <c r="AC124" s="16">
        <f>Peak!AC126</f>
        <v>0</v>
      </c>
      <c r="AD124" s="18">
        <f>Peak!AD126</f>
        <v>429.77958121829101</v>
      </c>
      <c r="AE124" s="18">
        <f>Peak!AE126</f>
        <v>1985.5626792411545</v>
      </c>
      <c r="AF124" s="16">
        <f>Peak!AF126</f>
        <v>1</v>
      </c>
      <c r="AG124" s="73">
        <f>Peak!AG126</f>
        <v>0</v>
      </c>
      <c r="AH124" s="16">
        <f>Peak!AH126</f>
        <v>3.1680189700923709</v>
      </c>
      <c r="AI124" s="16">
        <f>Peak!AI126</f>
        <v>3.2671395873918607</v>
      </c>
      <c r="AJ124" s="16">
        <f>Peak!AJ126</f>
        <v>0</v>
      </c>
      <c r="AK124" s="16">
        <f>Peak!AK126</f>
        <v>0</v>
      </c>
      <c r="AL124" s="4"/>
    </row>
    <row r="125" spans="1:38" x14ac:dyDescent="0.2">
      <c r="A125" s="1">
        <f t="shared" si="11"/>
        <v>40068.372000000149</v>
      </c>
      <c r="B125" s="16">
        <f t="shared" si="9"/>
        <v>3.1574117637192938</v>
      </c>
      <c r="C125" s="17">
        <f t="shared" si="6"/>
        <v>35.693733841162263</v>
      </c>
      <c r="D125" s="16">
        <f t="shared" si="10"/>
        <v>0.73149442400019093</v>
      </c>
      <c r="E125" s="16">
        <f t="shared" si="7"/>
        <v>0</v>
      </c>
      <c r="F125" s="16">
        <f t="shared" si="8"/>
        <v>0</v>
      </c>
      <c r="G125" s="19" t="str">
        <f>IF(IS!$C$2="Peak","-",SUM(C125:F125))</f>
        <v>-</v>
      </c>
      <c r="H125" s="197">
        <v>199.22425601418007</v>
      </c>
      <c r="I125" s="197">
        <v>175.83435350510746</v>
      </c>
      <c r="J125" s="197">
        <v>162.3024291609712</v>
      </c>
      <c r="K125" s="197">
        <v>135.70259564538887</v>
      </c>
      <c r="L125" s="197">
        <v>68.811888384116088</v>
      </c>
      <c r="M125" s="197">
        <v>61.450304925870149</v>
      </c>
      <c r="N125" s="197">
        <v>57.935194318959944</v>
      </c>
      <c r="O125" s="197">
        <v>48.854739262081402</v>
      </c>
      <c r="P125" s="197">
        <v>37.354916478388631</v>
      </c>
      <c r="Q125" s="197">
        <v>33.067347421395105</v>
      </c>
      <c r="R125" s="197">
        <v>30.089013701491517</v>
      </c>
      <c r="S125" s="197">
        <v>29.885361401224035</v>
      </c>
      <c r="T125" s="197">
        <v>29.806167444772225</v>
      </c>
      <c r="U125" s="197">
        <v>29.660077173704813</v>
      </c>
      <c r="V125" s="197">
        <v>29.660077173704813</v>
      </c>
      <c r="W125" s="197">
        <v>29.660077173704813</v>
      </c>
      <c r="X125" s="197">
        <v>29.403355268114495</v>
      </c>
      <c r="Y125" s="197">
        <v>29.055948175263861</v>
      </c>
      <c r="Z125" s="197">
        <v>28.982575925723481</v>
      </c>
      <c r="AA125" s="197">
        <v>26.691188416569315</v>
      </c>
      <c r="AB125" s="16">
        <f>Peak!AB127</f>
        <v>0.73149442400019093</v>
      </c>
      <c r="AC125" s="16">
        <f>Peak!AC127</f>
        <v>0</v>
      </c>
      <c r="AD125" s="18">
        <f>Peak!AD127</f>
        <v>429.77958121829101</v>
      </c>
      <c r="AE125" s="18">
        <f>Peak!AE127</f>
        <v>1985.5626792411545</v>
      </c>
      <c r="AF125" s="16">
        <f>Peak!AF127</f>
        <v>1</v>
      </c>
      <c r="AG125" s="73">
        <f>Peak!AG127</f>
        <v>0</v>
      </c>
      <c r="AH125" s="16">
        <f>Peak!AH127</f>
        <v>3.1574117637192938</v>
      </c>
      <c r="AI125" s="16">
        <f>Peak!AI127</f>
        <v>3.2671395873918607</v>
      </c>
      <c r="AJ125" s="16">
        <f>Peak!AJ127</f>
        <v>0</v>
      </c>
      <c r="AK125" s="16">
        <f>Peak!AK127</f>
        <v>0</v>
      </c>
      <c r="AL125" s="4"/>
    </row>
    <row r="126" spans="1:38" x14ac:dyDescent="0.2">
      <c r="A126" s="1">
        <f t="shared" si="11"/>
        <v>40098.78900000015</v>
      </c>
      <c r="B126" s="16">
        <f t="shared" si="9"/>
        <v>3.496842367657762</v>
      </c>
      <c r="C126" s="17">
        <f t="shared" si="6"/>
        <v>39.53091015555372</v>
      </c>
      <c r="D126" s="16">
        <f t="shared" si="10"/>
        <v>0.7327135813735246</v>
      </c>
      <c r="E126" s="16">
        <f t="shared" si="7"/>
        <v>0</v>
      </c>
      <c r="F126" s="16">
        <f t="shared" si="8"/>
        <v>0</v>
      </c>
      <c r="G126" s="19" t="str">
        <f>IF(IS!$C$2="Peak","-",SUM(C126:F126))</f>
        <v>-</v>
      </c>
      <c r="H126" s="197">
        <v>80.044024916583325</v>
      </c>
      <c r="I126" s="197">
        <v>79.179599816456346</v>
      </c>
      <c r="J126" s="197">
        <v>79.179599816456346</v>
      </c>
      <c r="K126" s="197">
        <v>78.487608541609035</v>
      </c>
      <c r="L126" s="197">
        <v>73.787205828113954</v>
      </c>
      <c r="M126" s="197">
        <v>56.597526596564855</v>
      </c>
      <c r="N126" s="197">
        <v>47.833448480856717</v>
      </c>
      <c r="O126" s="197">
        <v>44.562453235443385</v>
      </c>
      <c r="P126" s="197">
        <v>41.973367594956493</v>
      </c>
      <c r="Q126" s="197">
        <v>39.357160740394413</v>
      </c>
      <c r="R126" s="197">
        <v>39.357160740394413</v>
      </c>
      <c r="S126" s="197">
        <v>39.167925451596716</v>
      </c>
      <c r="T126" s="197">
        <v>39.040989238260401</v>
      </c>
      <c r="U126" s="197">
        <v>39.040989238260401</v>
      </c>
      <c r="V126" s="197">
        <v>38.943872157086787</v>
      </c>
      <c r="W126" s="197">
        <v>36.121063848197046</v>
      </c>
      <c r="X126" s="197">
        <v>34.118049008563091</v>
      </c>
      <c r="Y126" s="197">
        <v>32.679436327500646</v>
      </c>
      <c r="Z126" s="197">
        <v>31.565956147977897</v>
      </c>
      <c r="AA126" s="197">
        <v>29.687707366350757</v>
      </c>
      <c r="AB126" s="16">
        <f>Peak!AB128</f>
        <v>0.7327135813735246</v>
      </c>
      <c r="AC126" s="16">
        <f>Peak!AC128</f>
        <v>0</v>
      </c>
      <c r="AD126" s="18">
        <f>Peak!AD128</f>
        <v>429.77958121829101</v>
      </c>
      <c r="AE126" s="18">
        <f>Peak!AE128</f>
        <v>1985.5626792411545</v>
      </c>
      <c r="AF126" s="16">
        <f>Peak!AF128</f>
        <v>1</v>
      </c>
      <c r="AG126" s="73">
        <f>Peak!AG128</f>
        <v>0</v>
      </c>
      <c r="AH126" s="16">
        <f>Peak!AH128</f>
        <v>3.496842367657762</v>
      </c>
      <c r="AI126" s="16">
        <f>Peak!AI128</f>
        <v>3.2671395873918607</v>
      </c>
      <c r="AJ126" s="16">
        <f>Peak!AJ128</f>
        <v>0</v>
      </c>
      <c r="AK126" s="16">
        <f>Peak!AK128</f>
        <v>0</v>
      </c>
      <c r="AL126" s="4"/>
    </row>
    <row r="127" spans="1:38" x14ac:dyDescent="0.2">
      <c r="A127" s="1">
        <f t="shared" si="11"/>
        <v>40129.206000000151</v>
      </c>
      <c r="B127" s="16">
        <f t="shared" si="9"/>
        <v>3.8292015006808455</v>
      </c>
      <c r="C127" s="17">
        <f t="shared" si="6"/>
        <v>43.2881452967287</v>
      </c>
      <c r="D127" s="16">
        <f t="shared" si="10"/>
        <v>0.73393477067581381</v>
      </c>
      <c r="E127" s="16">
        <f t="shared" si="7"/>
        <v>0</v>
      </c>
      <c r="F127" s="16">
        <f t="shared" si="8"/>
        <v>0</v>
      </c>
      <c r="G127" s="19" t="str">
        <f>IF(IS!$C$2="Peak","-",SUM(C127:F127))</f>
        <v>-</v>
      </c>
      <c r="H127" s="197">
        <v>152.40276768370271</v>
      </c>
      <c r="I127" s="197">
        <v>141.02822575534111</v>
      </c>
      <c r="J127" s="197">
        <v>115.45103788802638</v>
      </c>
      <c r="K127" s="197">
        <v>83.11075752374046</v>
      </c>
      <c r="L127" s="197">
        <v>74.910772695576767</v>
      </c>
      <c r="M127" s="197">
        <v>71.911687240243296</v>
      </c>
      <c r="N127" s="197">
        <v>66.674520371381746</v>
      </c>
      <c r="O127" s="197">
        <v>51.187493929473661</v>
      </c>
      <c r="P127" s="197">
        <v>50.851036436655441</v>
      </c>
      <c r="Q127" s="197">
        <v>49.837556517553388</v>
      </c>
      <c r="R127" s="197">
        <v>41.561921882879027</v>
      </c>
      <c r="S127" s="197">
        <v>40.237744878569849</v>
      </c>
      <c r="T127" s="197">
        <v>35.900520007424035</v>
      </c>
      <c r="U127" s="197">
        <v>35.559732280851932</v>
      </c>
      <c r="V127" s="197">
        <v>35.405628549890878</v>
      </c>
      <c r="W127" s="197">
        <v>35.405628549890878</v>
      </c>
      <c r="X127" s="197">
        <v>35.405628549890878</v>
      </c>
      <c r="Y127" s="197">
        <v>35.051034880842671</v>
      </c>
      <c r="Z127" s="197">
        <v>33.078483015312507</v>
      </c>
      <c r="AA127" s="197">
        <v>27.682570440661411</v>
      </c>
      <c r="AB127" s="16">
        <f>Peak!AB129</f>
        <v>0.73393477067581381</v>
      </c>
      <c r="AC127" s="16">
        <f>Peak!AC129</f>
        <v>0</v>
      </c>
      <c r="AD127" s="18">
        <f>Peak!AD129</f>
        <v>429.77958121829101</v>
      </c>
      <c r="AE127" s="18">
        <f>Peak!AE129</f>
        <v>1985.5626792411545</v>
      </c>
      <c r="AF127" s="16">
        <f>Peak!AF129</f>
        <v>1</v>
      </c>
      <c r="AG127" s="73">
        <f>Peak!AG129</f>
        <v>0</v>
      </c>
      <c r="AH127" s="16">
        <f>Peak!AH129</f>
        <v>3.8292015006808455</v>
      </c>
      <c r="AI127" s="16">
        <f>Peak!AI129</f>
        <v>3.5422671315932805</v>
      </c>
      <c r="AJ127" s="16">
        <f>Peak!AJ129</f>
        <v>0</v>
      </c>
      <c r="AK127" s="16">
        <f>Peak!AK129</f>
        <v>0</v>
      </c>
      <c r="AL127" s="4"/>
    </row>
    <row r="128" spans="1:38" x14ac:dyDescent="0.2">
      <c r="A128" s="1">
        <f t="shared" si="11"/>
        <v>40159.623000000152</v>
      </c>
      <c r="B128" s="16">
        <f t="shared" si="9"/>
        <v>4.1438819564154672</v>
      </c>
      <c r="C128" s="17">
        <f t="shared" si="6"/>
        <v>46.845527504862446</v>
      </c>
      <c r="D128" s="16">
        <f t="shared" si="10"/>
        <v>0.73515799529360681</v>
      </c>
      <c r="E128" s="16">
        <f t="shared" si="7"/>
        <v>0</v>
      </c>
      <c r="F128" s="16">
        <f t="shared" si="8"/>
        <v>0</v>
      </c>
      <c r="G128" s="19" t="str">
        <f>IF(IS!$C$2="Peak","-",SUM(C128:F128))</f>
        <v>-</v>
      </c>
      <c r="H128" s="197">
        <v>150.57291016872446</v>
      </c>
      <c r="I128" s="197">
        <v>124.23013155137332</v>
      </c>
      <c r="J128" s="197">
        <v>94.518999620200177</v>
      </c>
      <c r="K128" s="197">
        <v>87.800493982593323</v>
      </c>
      <c r="L128" s="197">
        <v>83.402796377980252</v>
      </c>
      <c r="M128" s="197">
        <v>78.102731968532254</v>
      </c>
      <c r="N128" s="197">
        <v>77.557856415480487</v>
      </c>
      <c r="O128" s="197">
        <v>73.770031394250211</v>
      </c>
      <c r="P128" s="197">
        <v>57.568422787227043</v>
      </c>
      <c r="Q128" s="197">
        <v>51.454408811851444</v>
      </c>
      <c r="R128" s="197">
        <v>43.801703066117184</v>
      </c>
      <c r="S128" s="197">
        <v>43.010463526273355</v>
      </c>
      <c r="T128" s="197">
        <v>38.508740509115604</v>
      </c>
      <c r="U128" s="197">
        <v>38.433347265811996</v>
      </c>
      <c r="V128" s="197">
        <v>38.433347265811996</v>
      </c>
      <c r="W128" s="197">
        <v>38.433347265811996</v>
      </c>
      <c r="X128" s="197">
        <v>37.8472983559423</v>
      </c>
      <c r="Y128" s="197">
        <v>36.199761299538103</v>
      </c>
      <c r="Z128" s="197">
        <v>33.561223662027729</v>
      </c>
      <c r="AA128" s="197">
        <v>30.685305016021491</v>
      </c>
      <c r="AB128" s="16">
        <f>Peak!AB130</f>
        <v>0.73515799529360681</v>
      </c>
      <c r="AC128" s="16">
        <f>Peak!AC130</f>
        <v>0</v>
      </c>
      <c r="AD128" s="18">
        <f>Peak!AD130</f>
        <v>429.77958121829101</v>
      </c>
      <c r="AE128" s="18">
        <f>Peak!AE130</f>
        <v>1985.5626792411545</v>
      </c>
      <c r="AF128" s="16">
        <f>Peak!AF130</f>
        <v>1</v>
      </c>
      <c r="AG128" s="73">
        <f>Peak!AG130</f>
        <v>0</v>
      </c>
      <c r="AH128" s="16">
        <f>Peak!AH130</f>
        <v>4.1438819564154672</v>
      </c>
      <c r="AI128" s="16">
        <f>Peak!AI130</f>
        <v>3.7142218467191683</v>
      </c>
      <c r="AJ128" s="16">
        <f>Peak!AJ130</f>
        <v>0</v>
      </c>
      <c r="AK128" s="16">
        <f>Peak!AK130</f>
        <v>0</v>
      </c>
      <c r="AL128" s="4"/>
    </row>
    <row r="129" spans="1:38" x14ac:dyDescent="0.2">
      <c r="A129" s="1">
        <f t="shared" si="11"/>
        <v>40190.040000000154</v>
      </c>
      <c r="B129" s="16">
        <f t="shared" si="9"/>
        <v>4.1589984704213947</v>
      </c>
      <c r="C129" s="17">
        <f t="shared" si="6"/>
        <v>47.016415836163965</v>
      </c>
      <c r="D129" s="16">
        <f t="shared" si="10"/>
        <v>0.73638325861909615</v>
      </c>
      <c r="E129" s="16">
        <f t="shared" si="7"/>
        <v>0</v>
      </c>
      <c r="F129" s="16">
        <f t="shared" si="8"/>
        <v>0</v>
      </c>
      <c r="G129" s="19" t="str">
        <f>IF(IS!$C$2="Peak","-",SUM(C129:F129))</f>
        <v>-</v>
      </c>
      <c r="H129" s="197">
        <v>95.602555410203109</v>
      </c>
      <c r="I129" s="197">
        <v>95.602555410203109</v>
      </c>
      <c r="J129" s="197">
        <v>94.822623997170467</v>
      </c>
      <c r="K129" s="197">
        <v>89.437418265744199</v>
      </c>
      <c r="L129" s="197">
        <v>85.81036207007017</v>
      </c>
      <c r="M129" s="197">
        <v>84.957132398127087</v>
      </c>
      <c r="N129" s="197">
        <v>63.154996451716535</v>
      </c>
      <c r="O129" s="197">
        <v>54.596365992651755</v>
      </c>
      <c r="P129" s="197">
        <v>45.861199065702351</v>
      </c>
      <c r="Q129" s="197">
        <v>42.811652111274377</v>
      </c>
      <c r="R129" s="197">
        <v>41.76229063143699</v>
      </c>
      <c r="S129" s="197">
        <v>41.76229063143699</v>
      </c>
      <c r="T129" s="197">
        <v>41.49662958531097</v>
      </c>
      <c r="U129" s="197">
        <v>40.773401728632656</v>
      </c>
      <c r="V129" s="197">
        <v>40.733167054594567</v>
      </c>
      <c r="W129" s="197">
        <v>40.733167054594567</v>
      </c>
      <c r="X129" s="197">
        <v>40.733156716206388</v>
      </c>
      <c r="Y129" s="197">
        <v>40.732918902115564</v>
      </c>
      <c r="Z129" s="197">
        <v>40.666885257482576</v>
      </c>
      <c r="AA129" s="197">
        <v>32.212186980134781</v>
      </c>
      <c r="AB129" s="16">
        <f>Peak!AB131</f>
        <v>0.73638325861909615</v>
      </c>
      <c r="AC129" s="16">
        <f>Peak!AC131</f>
        <v>0</v>
      </c>
      <c r="AD129" s="18">
        <f>Peak!AD131</f>
        <v>477.98097313444265</v>
      </c>
      <c r="AE129" s="18">
        <f>Peak!AE131</f>
        <v>1889.3389342835719</v>
      </c>
      <c r="AF129" s="16">
        <f>Peak!AF131</f>
        <v>1</v>
      </c>
      <c r="AG129" s="73">
        <f>Peak!AG131</f>
        <v>0</v>
      </c>
      <c r="AH129" s="16">
        <f>Peak!AH131</f>
        <v>4.1589984704213947</v>
      </c>
      <c r="AI129" s="16">
        <f>Peak!AI131</f>
        <v>3.8664951930115166</v>
      </c>
      <c r="AJ129" s="16">
        <f>Peak!AJ131</f>
        <v>0</v>
      </c>
      <c r="AK129" s="16">
        <f>Peak!AK131</f>
        <v>0</v>
      </c>
      <c r="AL129" s="4"/>
    </row>
    <row r="130" spans="1:38" x14ac:dyDescent="0.2">
      <c r="A130" s="1">
        <f t="shared" si="11"/>
        <v>40220.457000000155</v>
      </c>
      <c r="B130" s="16">
        <f t="shared" si="9"/>
        <v>3.7276129907766222</v>
      </c>
      <c r="C130" s="17">
        <f t="shared" si="6"/>
        <v>42.139713129753346</v>
      </c>
      <c r="D130" s="16">
        <f t="shared" si="10"/>
        <v>0.73761056405012804</v>
      </c>
      <c r="E130" s="16">
        <f t="shared" si="7"/>
        <v>0</v>
      </c>
      <c r="F130" s="16">
        <f t="shared" si="8"/>
        <v>0</v>
      </c>
      <c r="G130" s="19" t="str">
        <f>IF(IS!$C$2="Peak","-",SUM(C130:F130))</f>
        <v>-</v>
      </c>
      <c r="H130" s="197">
        <v>112.15096669241625</v>
      </c>
      <c r="I130" s="197">
        <v>95.611421352834697</v>
      </c>
      <c r="J130" s="197">
        <v>92.21000373437478</v>
      </c>
      <c r="K130" s="197">
        <v>87.07953884822706</v>
      </c>
      <c r="L130" s="197">
        <v>82.5976074675294</v>
      </c>
      <c r="M130" s="197">
        <v>79.695117912865953</v>
      </c>
      <c r="N130" s="197">
        <v>77.531046726256164</v>
      </c>
      <c r="O130" s="197">
        <v>64.175675199341654</v>
      </c>
      <c r="P130" s="197">
        <v>52.901952179198908</v>
      </c>
      <c r="Q130" s="197">
        <v>44.837396220195174</v>
      </c>
      <c r="R130" s="197">
        <v>42.357334910052877</v>
      </c>
      <c r="S130" s="197">
        <v>38.301203974297032</v>
      </c>
      <c r="T130" s="197">
        <v>38.298744504829216</v>
      </c>
      <c r="U130" s="197">
        <v>38.298649372694278</v>
      </c>
      <c r="V130" s="197">
        <v>38.298527568233602</v>
      </c>
      <c r="W130" s="197">
        <v>36.06620490194927</v>
      </c>
      <c r="X130" s="197">
        <v>33.230595875063351</v>
      </c>
      <c r="Y130" s="197">
        <v>32.600880275653338</v>
      </c>
      <c r="Z130" s="197">
        <v>31.715358152675776</v>
      </c>
      <c r="AA130" s="197">
        <v>30.054506920649963</v>
      </c>
      <c r="AB130" s="16">
        <f>Peak!AB132</f>
        <v>0.73761056405012804</v>
      </c>
      <c r="AC130" s="16">
        <f>Peak!AC132</f>
        <v>0</v>
      </c>
      <c r="AD130" s="18">
        <f>Peak!AD132</f>
        <v>477.98097313444265</v>
      </c>
      <c r="AE130" s="18">
        <f>Peak!AE132</f>
        <v>1889.3389342835719</v>
      </c>
      <c r="AF130" s="16">
        <f>Peak!AF132</f>
        <v>1</v>
      </c>
      <c r="AG130" s="73">
        <f>Peak!AG132</f>
        <v>0</v>
      </c>
      <c r="AH130" s="16">
        <f>Peak!AH132</f>
        <v>3.7276129907766222</v>
      </c>
      <c r="AI130" s="16">
        <f>Peak!AI132</f>
        <v>3.8306943115947432</v>
      </c>
      <c r="AJ130" s="16">
        <f>Peak!AJ132</f>
        <v>0</v>
      </c>
      <c r="AK130" s="16">
        <f>Peak!AK132</f>
        <v>0</v>
      </c>
      <c r="AL130" s="4"/>
    </row>
    <row r="131" spans="1:38" x14ac:dyDescent="0.2">
      <c r="A131" s="1">
        <f t="shared" si="11"/>
        <v>40250.874000000156</v>
      </c>
      <c r="B131" s="16">
        <f t="shared" si="9"/>
        <v>3.6649330492897754</v>
      </c>
      <c r="C131" s="17">
        <f t="shared" si="6"/>
        <v>41.431132394633849</v>
      </c>
      <c r="D131" s="16">
        <f t="shared" si="10"/>
        <v>0.73883991499021162</v>
      </c>
      <c r="E131" s="16">
        <f t="shared" si="7"/>
        <v>0</v>
      </c>
      <c r="F131" s="16">
        <f t="shared" si="8"/>
        <v>0</v>
      </c>
      <c r="G131" s="19" t="str">
        <f>IF(IS!$C$2="Peak","-",SUM(C131:F131))</f>
        <v>-</v>
      </c>
      <c r="H131" s="197">
        <v>82.232709187311201</v>
      </c>
      <c r="I131" s="197">
        <v>79.193967554951811</v>
      </c>
      <c r="J131" s="197">
        <v>77.162058341010948</v>
      </c>
      <c r="K131" s="197">
        <v>72.165170433625491</v>
      </c>
      <c r="L131" s="197">
        <v>70.047983224002778</v>
      </c>
      <c r="M131" s="197">
        <v>69.428508554324125</v>
      </c>
      <c r="N131" s="197">
        <v>60.10976998723828</v>
      </c>
      <c r="O131" s="197">
        <v>48.689183699881951</v>
      </c>
      <c r="P131" s="197">
        <v>45.702215257722443</v>
      </c>
      <c r="Q131" s="197">
        <v>40.955221250680133</v>
      </c>
      <c r="R131" s="197">
        <v>39.692257719468145</v>
      </c>
      <c r="S131" s="197">
        <v>39.109713538355635</v>
      </c>
      <c r="T131" s="197">
        <v>37.051739410730811</v>
      </c>
      <c r="U131" s="197">
        <v>36.151153053485892</v>
      </c>
      <c r="V131" s="197">
        <v>35.138823172631739</v>
      </c>
      <c r="W131" s="197">
        <v>34.928578874163762</v>
      </c>
      <c r="X131" s="197">
        <v>34.928578874163762</v>
      </c>
      <c r="Y131" s="197">
        <v>34.928578874163762</v>
      </c>
      <c r="Z131" s="197">
        <v>34.928578874163762</v>
      </c>
      <c r="AA131" s="197">
        <v>34.297624617382951</v>
      </c>
      <c r="AB131" s="16">
        <f>Peak!AB133</f>
        <v>0.73883991499021162</v>
      </c>
      <c r="AC131" s="16">
        <f>Peak!AC133</f>
        <v>0</v>
      </c>
      <c r="AD131" s="18">
        <f>Peak!AD133</f>
        <v>477.98097313444265</v>
      </c>
      <c r="AE131" s="18">
        <f>Peak!AE133</f>
        <v>1889.3389342835719</v>
      </c>
      <c r="AF131" s="16">
        <f>Peak!AF133</f>
        <v>1</v>
      </c>
      <c r="AG131" s="73">
        <f>Peak!AG133</f>
        <v>0</v>
      </c>
      <c r="AH131" s="16">
        <f>Peak!AH133</f>
        <v>3.6649330492897754</v>
      </c>
      <c r="AI131" s="16">
        <f>Peak!AI133</f>
        <v>3.68749078592765</v>
      </c>
      <c r="AJ131" s="16">
        <f>Peak!AJ133</f>
        <v>0</v>
      </c>
      <c r="AK131" s="16">
        <f>Peak!AK133</f>
        <v>0</v>
      </c>
      <c r="AL131" s="4"/>
    </row>
    <row r="132" spans="1:38" x14ac:dyDescent="0.2">
      <c r="A132" s="1">
        <f t="shared" si="11"/>
        <v>40281.291000000158</v>
      </c>
      <c r="B132" s="16">
        <f t="shared" si="9"/>
        <v>3.4842673355923917</v>
      </c>
      <c r="C132" s="17">
        <f t="shared" si="6"/>
        <v>39.388752628701198</v>
      </c>
      <c r="D132" s="16">
        <f t="shared" si="10"/>
        <v>0.74007131484852862</v>
      </c>
      <c r="E132" s="16">
        <f t="shared" si="7"/>
        <v>0</v>
      </c>
      <c r="F132" s="16">
        <f t="shared" si="8"/>
        <v>0</v>
      </c>
      <c r="G132" s="19" t="str">
        <f>IF(IS!$C$2="Peak","-",SUM(C132:F132))</f>
        <v>-</v>
      </c>
      <c r="H132" s="197">
        <v>76.526684097384774</v>
      </c>
      <c r="I132" s="197">
        <v>74.01379581152554</v>
      </c>
      <c r="J132" s="197">
        <v>70.727309704574864</v>
      </c>
      <c r="K132" s="197">
        <v>68.623343704959808</v>
      </c>
      <c r="L132" s="197">
        <v>68.349598867398754</v>
      </c>
      <c r="M132" s="197">
        <v>52.600588937286815</v>
      </c>
      <c r="N132" s="197">
        <v>45.406473449121201</v>
      </c>
      <c r="O132" s="197">
        <v>39.369882637858545</v>
      </c>
      <c r="P132" s="197">
        <v>37.722645854764991</v>
      </c>
      <c r="Q132" s="197">
        <v>35.860887276832486</v>
      </c>
      <c r="R132" s="197">
        <v>34.856411034688691</v>
      </c>
      <c r="S132" s="197">
        <v>34.169375814090557</v>
      </c>
      <c r="T132" s="197">
        <v>34.122775954950235</v>
      </c>
      <c r="U132" s="197">
        <v>34.030286118831498</v>
      </c>
      <c r="V132" s="197">
        <v>33.69946368581104</v>
      </c>
      <c r="W132" s="197">
        <v>33.316813667904448</v>
      </c>
      <c r="X132" s="197">
        <v>33.316418209550456</v>
      </c>
      <c r="Y132" s="197">
        <v>33.316418209550456</v>
      </c>
      <c r="Z132" s="197">
        <v>33.316365358824058</v>
      </c>
      <c r="AA132" s="197">
        <v>32.412108427060737</v>
      </c>
      <c r="AB132" s="16">
        <f>Peak!AB134</f>
        <v>0.74007131484852862</v>
      </c>
      <c r="AC132" s="16">
        <f>Peak!AC134</f>
        <v>0</v>
      </c>
      <c r="AD132" s="18">
        <f>Peak!AD134</f>
        <v>477.98097313444265</v>
      </c>
      <c r="AE132" s="18">
        <f>Peak!AE134</f>
        <v>1889.3389342835719</v>
      </c>
      <c r="AF132" s="16">
        <f>Peak!AF134</f>
        <v>1</v>
      </c>
      <c r="AG132" s="73">
        <f>Peak!AG134</f>
        <v>0</v>
      </c>
      <c r="AH132" s="16">
        <f>Peak!AH134</f>
        <v>3.4842673355923917</v>
      </c>
      <c r="AI132" s="16">
        <f>Peak!AI134</f>
        <v>3.5442872602605564</v>
      </c>
      <c r="AJ132" s="16">
        <f>Peak!AJ134</f>
        <v>0</v>
      </c>
      <c r="AK132" s="16">
        <f>Peak!AK134</f>
        <v>0</v>
      </c>
      <c r="AL132" s="4"/>
    </row>
    <row r="133" spans="1:38" x14ac:dyDescent="0.2">
      <c r="A133" s="1">
        <f t="shared" si="11"/>
        <v>40311.708000000159</v>
      </c>
      <c r="B133" s="16">
        <f t="shared" si="9"/>
        <v>3.6686201046713545</v>
      </c>
      <c r="C133" s="17">
        <f t="shared" si="6"/>
        <v>41.472813614346762</v>
      </c>
      <c r="D133" s="16">
        <f t="shared" si="10"/>
        <v>0.74130476703994286</v>
      </c>
      <c r="E133" s="16">
        <f t="shared" si="7"/>
        <v>0</v>
      </c>
      <c r="F133" s="16">
        <f t="shared" si="8"/>
        <v>0</v>
      </c>
      <c r="G133" s="19" t="str">
        <f>IF(IS!$C$2="Peak","-",SUM(C133:F133))</f>
        <v>-</v>
      </c>
      <c r="H133" s="197">
        <v>124.93346361631616</v>
      </c>
      <c r="I133" s="197">
        <v>73.59242924191696</v>
      </c>
      <c r="J133" s="197">
        <v>69.007382182021587</v>
      </c>
      <c r="K133" s="197">
        <v>63.527759204352165</v>
      </c>
      <c r="L133" s="197">
        <v>61.121298018987169</v>
      </c>
      <c r="M133" s="197">
        <v>59.046725168158432</v>
      </c>
      <c r="N133" s="197">
        <v>45.483070995411701</v>
      </c>
      <c r="O133" s="197">
        <v>42.060063181532534</v>
      </c>
      <c r="P133" s="197">
        <v>38.952828875076058</v>
      </c>
      <c r="Q133" s="197">
        <v>36.926327993182198</v>
      </c>
      <c r="R133" s="197">
        <v>35.440084082930113</v>
      </c>
      <c r="S133" s="197">
        <v>34.931837530252878</v>
      </c>
      <c r="T133" s="197">
        <v>34.744588270164236</v>
      </c>
      <c r="U133" s="197">
        <v>34.310152745733262</v>
      </c>
      <c r="V133" s="197">
        <v>33.76711774979826</v>
      </c>
      <c r="W133" s="197">
        <v>32.803179235919636</v>
      </c>
      <c r="X133" s="197">
        <v>31.878176018821442</v>
      </c>
      <c r="Y133" s="197">
        <v>31.347905766764534</v>
      </c>
      <c r="Z133" s="197">
        <v>30.663095367242626</v>
      </c>
      <c r="AA133" s="197">
        <v>30.266274236120147</v>
      </c>
      <c r="AB133" s="16">
        <f>Peak!AB135</f>
        <v>0.74130476703994286</v>
      </c>
      <c r="AC133" s="16">
        <f>Peak!AC135</f>
        <v>0</v>
      </c>
      <c r="AD133" s="18">
        <f>Peak!AD135</f>
        <v>477.98097313444265</v>
      </c>
      <c r="AE133" s="18">
        <f>Peak!AE135</f>
        <v>1889.3389342835719</v>
      </c>
      <c r="AF133" s="16">
        <f>Peak!AF135</f>
        <v>1</v>
      </c>
      <c r="AG133" s="73">
        <f>Peak!AG135</f>
        <v>0</v>
      </c>
      <c r="AH133" s="16">
        <f>Peak!AH135</f>
        <v>3.6686201046713545</v>
      </c>
      <c r="AI133" s="16">
        <f>Peak!AI135</f>
        <v>3.4010837345934632</v>
      </c>
      <c r="AJ133" s="16">
        <f>Peak!AJ135</f>
        <v>0</v>
      </c>
      <c r="AK133" s="16">
        <f>Peak!AK135</f>
        <v>0</v>
      </c>
      <c r="AL133" s="4"/>
    </row>
    <row r="134" spans="1:38" x14ac:dyDescent="0.2">
      <c r="A134" s="1">
        <f t="shared" si="11"/>
        <v>40342.12500000016</v>
      </c>
      <c r="B134" s="16">
        <f t="shared" si="9"/>
        <v>3.4953285017371298</v>
      </c>
      <c r="C134" s="17">
        <f t="shared" si="6"/>
        <v>39.513796287839931</v>
      </c>
      <c r="D134" s="16">
        <f t="shared" si="10"/>
        <v>0.74254027498500941</v>
      </c>
      <c r="E134" s="16">
        <f t="shared" si="7"/>
        <v>0</v>
      </c>
      <c r="F134" s="16">
        <f t="shared" si="8"/>
        <v>0</v>
      </c>
      <c r="G134" s="19" t="str">
        <f>IF(IS!$C$2="Peak","-",SUM(C134:F134))</f>
        <v>-</v>
      </c>
      <c r="H134" s="197">
        <v>165.51462742880122</v>
      </c>
      <c r="I134" s="197">
        <v>151.36636599170225</v>
      </c>
      <c r="J134" s="197">
        <v>112.00788652844794</v>
      </c>
      <c r="K134" s="197">
        <v>93.049089762563057</v>
      </c>
      <c r="L134" s="197">
        <v>87.232620831347418</v>
      </c>
      <c r="M134" s="197">
        <v>59.351176680268807</v>
      </c>
      <c r="N134" s="197">
        <v>48.587195318317754</v>
      </c>
      <c r="O134" s="197">
        <v>43.603133626345894</v>
      </c>
      <c r="P134" s="197">
        <v>43.603133626345894</v>
      </c>
      <c r="Q134" s="197">
        <v>43.603091847177367</v>
      </c>
      <c r="R134" s="197">
        <v>43.602909925562869</v>
      </c>
      <c r="S134" s="197">
        <v>43.602741522732444</v>
      </c>
      <c r="T134" s="197">
        <v>43.60228981690635</v>
      </c>
      <c r="U134" s="197">
        <v>40.313493909676581</v>
      </c>
      <c r="V134" s="197">
        <v>36.546922088000215</v>
      </c>
      <c r="W134" s="197">
        <v>34.545463189935163</v>
      </c>
      <c r="X134" s="197">
        <v>33.285399124296546</v>
      </c>
      <c r="Y134" s="197">
        <v>32.334411401882427</v>
      </c>
      <c r="Z134" s="197">
        <v>30.974390605380712</v>
      </c>
      <c r="AA134" s="197">
        <v>28.7551484747306</v>
      </c>
      <c r="AB134" s="16">
        <f>Peak!AB136</f>
        <v>0.74254027498500941</v>
      </c>
      <c r="AC134" s="16">
        <f>Peak!AC136</f>
        <v>0</v>
      </c>
      <c r="AD134" s="18">
        <f>Peak!AD136</f>
        <v>477.98097313444265</v>
      </c>
      <c r="AE134" s="18">
        <f>Peak!AE136</f>
        <v>1889.3389342835719</v>
      </c>
      <c r="AF134" s="16">
        <f>Peak!AF136</f>
        <v>1</v>
      </c>
      <c r="AG134" s="73">
        <f>Peak!AG136</f>
        <v>0</v>
      </c>
      <c r="AH134" s="16">
        <f>Peak!AH136</f>
        <v>3.4953285017371298</v>
      </c>
      <c r="AI134" s="16">
        <f>Peak!AI136</f>
        <v>3.4010837345934632</v>
      </c>
      <c r="AJ134" s="16">
        <f>Peak!AJ136</f>
        <v>0</v>
      </c>
      <c r="AK134" s="16">
        <f>Peak!AK136</f>
        <v>0</v>
      </c>
      <c r="AL134" s="4"/>
    </row>
    <row r="135" spans="1:38" x14ac:dyDescent="0.2">
      <c r="A135" s="1">
        <f t="shared" si="11"/>
        <v>40372.542000000161</v>
      </c>
      <c r="B135" s="16">
        <f t="shared" si="9"/>
        <v>3.4842673355923917</v>
      </c>
      <c r="C135" s="17">
        <f t="shared" si="6"/>
        <v>39.388752628701198</v>
      </c>
      <c r="D135" s="16">
        <f t="shared" si="10"/>
        <v>0.74377784210998443</v>
      </c>
      <c r="E135" s="16">
        <f t="shared" si="7"/>
        <v>0</v>
      </c>
      <c r="F135" s="16">
        <f t="shared" si="8"/>
        <v>0</v>
      </c>
      <c r="G135" s="19" t="str">
        <f>IF(IS!$C$2="Peak","-",SUM(C135:F135))</f>
        <v>-</v>
      </c>
      <c r="H135" s="197">
        <v>380.07803475693788</v>
      </c>
      <c r="I135" s="197">
        <v>286.03864301716806</v>
      </c>
      <c r="J135" s="197">
        <v>251.62706395491244</v>
      </c>
      <c r="K135" s="197">
        <v>213.5962150441714</v>
      </c>
      <c r="L135" s="197">
        <v>183.48965545116766</v>
      </c>
      <c r="M135" s="197">
        <v>158.67870391435457</v>
      </c>
      <c r="N135" s="197">
        <v>85.268130630218778</v>
      </c>
      <c r="O135" s="197">
        <v>49.988564146770621</v>
      </c>
      <c r="P135" s="197">
        <v>44.785480921582476</v>
      </c>
      <c r="Q135" s="197">
        <v>42.255611755462375</v>
      </c>
      <c r="R135" s="197">
        <v>40.146396845016071</v>
      </c>
      <c r="S135" s="197">
        <v>33.18585734847769</v>
      </c>
      <c r="T135" s="197">
        <v>30.980770283146875</v>
      </c>
      <c r="U135" s="197">
        <v>29.588879848107378</v>
      </c>
      <c r="V135" s="197">
        <v>28.516660685777133</v>
      </c>
      <c r="W135" s="197">
        <v>27.643552165761403</v>
      </c>
      <c r="X135" s="197">
        <v>26.837665457522384</v>
      </c>
      <c r="Y135" s="197">
        <v>26.385051581471558</v>
      </c>
      <c r="Z135" s="197">
        <v>25.599668998445125</v>
      </c>
      <c r="AA135" s="197">
        <v>24.38370813147608</v>
      </c>
      <c r="AB135" s="16">
        <f>Peak!AB137</f>
        <v>0.74377784210998443</v>
      </c>
      <c r="AC135" s="16">
        <f>Peak!AC137</f>
        <v>0</v>
      </c>
      <c r="AD135" s="18">
        <f>Peak!AD137</f>
        <v>477.98097313444265</v>
      </c>
      <c r="AE135" s="18">
        <f>Peak!AE137</f>
        <v>1889.3389342835719</v>
      </c>
      <c r="AF135" s="16">
        <f>Peak!AF137</f>
        <v>1</v>
      </c>
      <c r="AG135" s="73">
        <f>Peak!AG137</f>
        <v>0</v>
      </c>
      <c r="AH135" s="16">
        <f>Peak!AH137</f>
        <v>3.4842673355923917</v>
      </c>
      <c r="AI135" s="16">
        <f>Peak!AI137</f>
        <v>3.4010837345934632</v>
      </c>
      <c r="AJ135" s="16">
        <f>Peak!AJ137</f>
        <v>0</v>
      </c>
      <c r="AK135" s="16">
        <f>Peak!AK137</f>
        <v>0</v>
      </c>
      <c r="AL135" s="4"/>
    </row>
    <row r="136" spans="1:38" x14ac:dyDescent="0.2">
      <c r="A136" s="1">
        <f t="shared" si="11"/>
        <v>40402.959000000163</v>
      </c>
      <c r="B136" s="16">
        <f t="shared" si="9"/>
        <v>3.3036016218950088</v>
      </c>
      <c r="C136" s="17">
        <f t="shared" si="6"/>
        <v>37.346372862768547</v>
      </c>
      <c r="D136" s="16">
        <f t="shared" si="10"/>
        <v>0.74501747184683442</v>
      </c>
      <c r="E136" s="16">
        <f t="shared" si="7"/>
        <v>0</v>
      </c>
      <c r="F136" s="16">
        <f t="shared" si="8"/>
        <v>0</v>
      </c>
      <c r="G136" s="19" t="str">
        <f>IF(IS!$C$2="Peak","-",SUM(C136:F136))</f>
        <v>-</v>
      </c>
      <c r="H136" s="197">
        <v>619.99146407794501</v>
      </c>
      <c r="I136" s="197">
        <v>364.25396988685236</v>
      </c>
      <c r="J136" s="197">
        <v>285.70345878985898</v>
      </c>
      <c r="K136" s="197">
        <v>234.9387700281321</v>
      </c>
      <c r="L136" s="197">
        <v>197.48264112947678</v>
      </c>
      <c r="M136" s="197">
        <v>166.71204218362917</v>
      </c>
      <c r="N136" s="197">
        <v>123.79955007115127</v>
      </c>
      <c r="O136" s="197">
        <v>36.282371251387126</v>
      </c>
      <c r="P136" s="197">
        <v>32.923292261722516</v>
      </c>
      <c r="Q136" s="197">
        <v>31.679430643610978</v>
      </c>
      <c r="R136" s="197">
        <v>30.738859750237214</v>
      </c>
      <c r="S136" s="197">
        <v>29.816617516530361</v>
      </c>
      <c r="T136" s="197">
        <v>29.22829881360185</v>
      </c>
      <c r="U136" s="197">
        <v>28.338554140912308</v>
      </c>
      <c r="V136" s="197">
        <v>27.720523071024441</v>
      </c>
      <c r="W136" s="197">
        <v>27.220412380657734</v>
      </c>
      <c r="X136" s="197">
        <v>26.830926037964485</v>
      </c>
      <c r="Y136" s="197">
        <v>26.526360859848442</v>
      </c>
      <c r="Z136" s="197">
        <v>26.337869441725832</v>
      </c>
      <c r="AA136" s="197">
        <v>25.660925388313405</v>
      </c>
      <c r="AB136" s="16">
        <f>Peak!AB138</f>
        <v>0.74501747184683442</v>
      </c>
      <c r="AC136" s="16">
        <f>Peak!AC138</f>
        <v>0</v>
      </c>
      <c r="AD136" s="18">
        <f>Peak!AD138</f>
        <v>477.98097313444265</v>
      </c>
      <c r="AE136" s="18">
        <f>Peak!AE138</f>
        <v>1889.3389342835719</v>
      </c>
      <c r="AF136" s="16">
        <f>Peak!AF138</f>
        <v>1</v>
      </c>
      <c r="AG136" s="73">
        <f>Peak!AG138</f>
        <v>0</v>
      </c>
      <c r="AH136" s="16">
        <f>Peak!AH138</f>
        <v>3.3036016218950088</v>
      </c>
      <c r="AI136" s="16">
        <f>Peak!AI138</f>
        <v>3.4010837345934632</v>
      </c>
      <c r="AJ136" s="16">
        <f>Peak!AJ138</f>
        <v>0</v>
      </c>
      <c r="AK136" s="16">
        <f>Peak!AK138</f>
        <v>0</v>
      </c>
      <c r="AL136" s="4"/>
    </row>
    <row r="137" spans="1:38" x14ac:dyDescent="0.2">
      <c r="A137" s="1">
        <f t="shared" si="11"/>
        <v>40433.376000000164</v>
      </c>
      <c r="B137" s="16">
        <f t="shared" si="9"/>
        <v>3.2925404557502711</v>
      </c>
      <c r="C137" s="17">
        <f t="shared" ref="C137:C200" si="12">(B137*$B$1*1000)/1000000</f>
        <v>37.221329203629814</v>
      </c>
      <c r="D137" s="16">
        <f t="shared" si="10"/>
        <v>0.74625916763324585</v>
      </c>
      <c r="E137" s="16">
        <f t="shared" ref="E137:E200" si="13">(($AJ137*$B$1*AD137*1000)/2000)/1000000</f>
        <v>0</v>
      </c>
      <c r="F137" s="16">
        <f t="shared" ref="F137:F200" si="14">AF137*(($AK137*$B$1*AE137*1000)/2000)/1000000</f>
        <v>0</v>
      </c>
      <c r="G137" s="19" t="str">
        <f>IF(IS!$C$2="Peak","-",SUM(C137:F137))</f>
        <v>-</v>
      </c>
      <c r="H137" s="197">
        <v>155.0016517428229</v>
      </c>
      <c r="I137" s="197">
        <v>129.09102681413873</v>
      </c>
      <c r="J137" s="197">
        <v>96.902673528768702</v>
      </c>
      <c r="K137" s="197">
        <v>85.65710818466755</v>
      </c>
      <c r="L137" s="197">
        <v>80.068526738367623</v>
      </c>
      <c r="M137" s="197">
        <v>78.024479353368605</v>
      </c>
      <c r="N137" s="197">
        <v>58.582239463320924</v>
      </c>
      <c r="O137" s="197">
        <v>47.353515885192202</v>
      </c>
      <c r="P137" s="197">
        <v>44.657031072418818</v>
      </c>
      <c r="Q137" s="197">
        <v>39.425327325801163</v>
      </c>
      <c r="R137" s="197">
        <v>38.801454352726466</v>
      </c>
      <c r="S137" s="197">
        <v>38.497102131757991</v>
      </c>
      <c r="T137" s="197">
        <v>37.872479483113423</v>
      </c>
      <c r="U137" s="197">
        <v>35.986879270525947</v>
      </c>
      <c r="V137" s="197">
        <v>34.718771764389594</v>
      </c>
      <c r="W137" s="197">
        <v>33.59457697164278</v>
      </c>
      <c r="X137" s="197">
        <v>32.437844970366477</v>
      </c>
      <c r="Y137" s="197">
        <v>32.047493668879781</v>
      </c>
      <c r="Z137" s="197">
        <v>30.968100824632312</v>
      </c>
      <c r="AA137" s="197">
        <v>29.024518181189102</v>
      </c>
      <c r="AB137" s="16">
        <f>Peak!AB139</f>
        <v>0.74625916763324585</v>
      </c>
      <c r="AC137" s="16">
        <f>Peak!AC139</f>
        <v>0</v>
      </c>
      <c r="AD137" s="18">
        <f>Peak!AD139</f>
        <v>477.98097313444265</v>
      </c>
      <c r="AE137" s="18">
        <f>Peak!AE139</f>
        <v>1889.3389342835719</v>
      </c>
      <c r="AF137" s="16">
        <f>Peak!AF139</f>
        <v>1</v>
      </c>
      <c r="AG137" s="73">
        <f>Peak!AG139</f>
        <v>0</v>
      </c>
      <c r="AH137" s="16">
        <f>Peak!AH139</f>
        <v>3.2925404557502711</v>
      </c>
      <c r="AI137" s="16">
        <f>Peak!AI139</f>
        <v>3.4010837345934632</v>
      </c>
      <c r="AJ137" s="16">
        <f>Peak!AJ139</f>
        <v>0</v>
      </c>
      <c r="AK137" s="16">
        <f>Peak!AK139</f>
        <v>0</v>
      </c>
      <c r="AL137" s="4"/>
    </row>
    <row r="138" spans="1:38" x14ac:dyDescent="0.2">
      <c r="A138" s="1">
        <f t="shared" si="11"/>
        <v>40463.793000000165</v>
      </c>
      <c r="B138" s="16">
        <f t="shared" ref="B138:B201" si="15">IF($B$7="Coal",AG138,IF($B$7="Gas",AH138,IF($B$7="Oil",AI138,0)))</f>
        <v>3.646497772381879</v>
      </c>
      <c r="C138" s="17">
        <f t="shared" si="12"/>
        <v>41.222726296069297</v>
      </c>
      <c r="D138" s="16">
        <f t="shared" ref="D138:D201" si="16">AB138+AC138</f>
        <v>0.74750293291263459</v>
      </c>
      <c r="E138" s="16">
        <f t="shared" si="13"/>
        <v>0</v>
      </c>
      <c r="F138" s="16">
        <f t="shared" si="14"/>
        <v>0</v>
      </c>
      <c r="G138" s="19" t="str">
        <f>IF(IS!$C$2="Peak","-",SUM(C138:F138))</f>
        <v>-</v>
      </c>
      <c r="H138" s="197">
        <v>79.823399891773917</v>
      </c>
      <c r="I138" s="197">
        <v>74.577063780254861</v>
      </c>
      <c r="J138" s="197">
        <v>73.105225677034667</v>
      </c>
      <c r="K138" s="197">
        <v>69.038586315104027</v>
      </c>
      <c r="L138" s="197">
        <v>66.204410229348127</v>
      </c>
      <c r="M138" s="197">
        <v>65.858526285010129</v>
      </c>
      <c r="N138" s="197">
        <v>62.671733782588959</v>
      </c>
      <c r="O138" s="197">
        <v>46.949645327317164</v>
      </c>
      <c r="P138" s="197">
        <v>44.005364813822837</v>
      </c>
      <c r="Q138" s="197">
        <v>40.383065442404224</v>
      </c>
      <c r="R138" s="197">
        <v>39.88111380489304</v>
      </c>
      <c r="S138" s="197">
        <v>36.133381037218889</v>
      </c>
      <c r="T138" s="197">
        <v>34.609183683282559</v>
      </c>
      <c r="U138" s="197">
        <v>33.308597994365002</v>
      </c>
      <c r="V138" s="197">
        <v>32.527174590125639</v>
      </c>
      <c r="W138" s="197">
        <v>32.480103381603726</v>
      </c>
      <c r="X138" s="197">
        <v>32.480103381603726</v>
      </c>
      <c r="Y138" s="197">
        <v>32.480103381603726</v>
      </c>
      <c r="Z138" s="197">
        <v>32.279794822547387</v>
      </c>
      <c r="AA138" s="197">
        <v>31.292083666909452</v>
      </c>
      <c r="AB138" s="16">
        <f>Peak!AB140</f>
        <v>0.74750293291263459</v>
      </c>
      <c r="AC138" s="16">
        <f>Peak!AC140</f>
        <v>0</v>
      </c>
      <c r="AD138" s="18">
        <f>Peak!AD140</f>
        <v>477.98097313444265</v>
      </c>
      <c r="AE138" s="18">
        <f>Peak!AE140</f>
        <v>1889.3389342835719</v>
      </c>
      <c r="AF138" s="16">
        <f>Peak!AF140</f>
        <v>1</v>
      </c>
      <c r="AG138" s="73">
        <f>Peak!AG140</f>
        <v>0</v>
      </c>
      <c r="AH138" s="16">
        <f>Peak!AH140</f>
        <v>3.646497772381879</v>
      </c>
      <c r="AI138" s="16">
        <f>Peak!AI140</f>
        <v>3.4010837345934632</v>
      </c>
      <c r="AJ138" s="16">
        <f>Peak!AJ140</f>
        <v>0</v>
      </c>
      <c r="AK138" s="16">
        <f>Peak!AK140</f>
        <v>0</v>
      </c>
      <c r="AL138" s="4"/>
    </row>
    <row r="139" spans="1:38" x14ac:dyDescent="0.2">
      <c r="A139" s="1">
        <f t="shared" ref="A139:A202" si="17">A138+30.417</f>
        <v>40494.210000000166</v>
      </c>
      <c r="B139" s="16">
        <f t="shared" si="15"/>
        <v>3.9930809782503287</v>
      </c>
      <c r="C139" s="17">
        <f t="shared" si="12"/>
        <v>45.14076094908296</v>
      </c>
      <c r="D139" s="16">
        <f t="shared" si="16"/>
        <v>0.74874877113415572</v>
      </c>
      <c r="E139" s="16">
        <f t="shared" si="13"/>
        <v>0</v>
      </c>
      <c r="F139" s="16">
        <f t="shared" si="14"/>
        <v>0</v>
      </c>
      <c r="G139" s="19" t="str">
        <f>IF(IS!$C$2="Peak","-",SUM(C139:F139))</f>
        <v>-</v>
      </c>
      <c r="H139" s="197">
        <v>118.54167108900542</v>
      </c>
      <c r="I139" s="197">
        <v>118.54023947829877</v>
      </c>
      <c r="J139" s="197">
        <v>117.98103945686474</v>
      </c>
      <c r="K139" s="197">
        <v>108.08391359401155</v>
      </c>
      <c r="L139" s="197">
        <v>82.095932178796332</v>
      </c>
      <c r="M139" s="197">
        <v>71.704146118378318</v>
      </c>
      <c r="N139" s="197">
        <v>65.554794388426018</v>
      </c>
      <c r="O139" s="197">
        <v>55.597166787563488</v>
      </c>
      <c r="P139" s="197">
        <v>55.118284895354812</v>
      </c>
      <c r="Q139" s="197">
        <v>55.118137611633657</v>
      </c>
      <c r="R139" s="197">
        <v>55.118029242536892</v>
      </c>
      <c r="S139" s="197">
        <v>55.118029242536892</v>
      </c>
      <c r="T139" s="197">
        <v>43.666120002878309</v>
      </c>
      <c r="U139" s="197">
        <v>35.931170804151392</v>
      </c>
      <c r="V139" s="197">
        <v>34.249037835702509</v>
      </c>
      <c r="W139" s="197">
        <v>32.747963818390012</v>
      </c>
      <c r="X139" s="197">
        <v>32.041198144467344</v>
      </c>
      <c r="Y139" s="197">
        <v>31.339425176321516</v>
      </c>
      <c r="Z139" s="197">
        <v>30.321620945690082</v>
      </c>
      <c r="AA139" s="197">
        <v>28.523682560452048</v>
      </c>
      <c r="AB139" s="16">
        <f>Peak!AB141</f>
        <v>0.74874877113415572</v>
      </c>
      <c r="AC139" s="16">
        <f>Peak!AC141</f>
        <v>0</v>
      </c>
      <c r="AD139" s="18">
        <f>Peak!AD141</f>
        <v>477.98097313444265</v>
      </c>
      <c r="AE139" s="18">
        <f>Peak!AE141</f>
        <v>1889.3389342835719</v>
      </c>
      <c r="AF139" s="16">
        <f>Peak!AF141</f>
        <v>1</v>
      </c>
      <c r="AG139" s="73">
        <f>Peak!AG141</f>
        <v>0</v>
      </c>
      <c r="AH139" s="16">
        <f>Peak!AH141</f>
        <v>3.9930809782503287</v>
      </c>
      <c r="AI139" s="16">
        <f>Peak!AI141</f>
        <v>3.68749078592765</v>
      </c>
      <c r="AJ139" s="16">
        <f>Peak!AJ141</f>
        <v>0</v>
      </c>
      <c r="AK139" s="16">
        <f>Peak!AK141</f>
        <v>0</v>
      </c>
      <c r="AL139" s="4"/>
    </row>
    <row r="140" spans="1:38" x14ac:dyDescent="0.2">
      <c r="A140" s="1">
        <f t="shared" si="17"/>
        <v>40524.627000000168</v>
      </c>
      <c r="B140" s="16">
        <f t="shared" si="15"/>
        <v>4.321228907210882</v>
      </c>
      <c r="C140" s="17">
        <f t="shared" si="12"/>
        <v>48.850389503532064</v>
      </c>
      <c r="D140" s="16">
        <f t="shared" si="16"/>
        <v>0.74999668575271272</v>
      </c>
      <c r="E140" s="16">
        <f t="shared" si="13"/>
        <v>0</v>
      </c>
      <c r="F140" s="16">
        <f t="shared" si="14"/>
        <v>0</v>
      </c>
      <c r="G140" s="19" t="str">
        <f>IF(IS!$C$2="Peak","-",SUM(C140:F140))</f>
        <v>-</v>
      </c>
      <c r="H140" s="197">
        <v>135.74849435323455</v>
      </c>
      <c r="I140" s="197">
        <v>116.12961445979636</v>
      </c>
      <c r="J140" s="197">
        <v>99.413158665431268</v>
      </c>
      <c r="K140" s="197">
        <v>92.296965160133936</v>
      </c>
      <c r="L140" s="197">
        <v>86.80724473431863</v>
      </c>
      <c r="M140" s="197">
        <v>82.788418355184035</v>
      </c>
      <c r="N140" s="197">
        <v>82.190257951723339</v>
      </c>
      <c r="O140" s="197">
        <v>75.821548594856793</v>
      </c>
      <c r="P140" s="197">
        <v>58.173409261769542</v>
      </c>
      <c r="Q140" s="197">
        <v>52.095566857217861</v>
      </c>
      <c r="R140" s="197">
        <v>46.419520991136686</v>
      </c>
      <c r="S140" s="197">
        <v>44.549342704088787</v>
      </c>
      <c r="T140" s="197">
        <v>40.295502675340018</v>
      </c>
      <c r="U140" s="197">
        <v>40.035693551102966</v>
      </c>
      <c r="V140" s="197">
        <v>39.728099783351333</v>
      </c>
      <c r="W140" s="197">
        <v>39.63166903970172</v>
      </c>
      <c r="X140" s="197">
        <v>39.631636106161125</v>
      </c>
      <c r="Y140" s="197">
        <v>39.631636106161125</v>
      </c>
      <c r="Z140" s="197">
        <v>37.94812604483576</v>
      </c>
      <c r="AA140" s="197">
        <v>33.521164613714141</v>
      </c>
      <c r="AB140" s="16">
        <f>Peak!AB142</f>
        <v>0.74999668575271272</v>
      </c>
      <c r="AC140" s="16">
        <f>Peak!AC142</f>
        <v>0</v>
      </c>
      <c r="AD140" s="18">
        <f>Peak!AD142</f>
        <v>477.98097313444265</v>
      </c>
      <c r="AE140" s="18">
        <f>Peak!AE142</f>
        <v>1889.3389342835719</v>
      </c>
      <c r="AF140" s="16">
        <f>Peak!AF142</f>
        <v>1</v>
      </c>
      <c r="AG140" s="73">
        <f>Peak!AG142</f>
        <v>0</v>
      </c>
      <c r="AH140" s="16">
        <f>Peak!AH142</f>
        <v>4.321228907210882</v>
      </c>
      <c r="AI140" s="16">
        <f>Peak!AI142</f>
        <v>3.8664951930115166</v>
      </c>
      <c r="AJ140" s="16">
        <f>Peak!AJ142</f>
        <v>0</v>
      </c>
      <c r="AK140" s="16">
        <f>Peak!AK142</f>
        <v>0</v>
      </c>
      <c r="AL140" s="4"/>
    </row>
    <row r="141" spans="1:38" x14ac:dyDescent="0.2">
      <c r="A141" s="1">
        <f t="shared" si="17"/>
        <v>40555.044000000169</v>
      </c>
      <c r="B141" s="16">
        <f t="shared" si="15"/>
        <v>4.2451246779926199</v>
      </c>
      <c r="C141" s="17">
        <f t="shared" si="12"/>
        <v>47.990050623086653</v>
      </c>
      <c r="D141" s="16">
        <f t="shared" si="16"/>
        <v>0.75124668022896723</v>
      </c>
      <c r="E141" s="16">
        <f t="shared" si="13"/>
        <v>0</v>
      </c>
      <c r="F141" s="16">
        <f t="shared" si="14"/>
        <v>0</v>
      </c>
      <c r="G141" s="19" t="str">
        <f>IF(IS!$C$2="Peak","-",SUM(C141:F141))</f>
        <v>-</v>
      </c>
      <c r="H141" s="197">
        <v>164.2371995400384</v>
      </c>
      <c r="I141" s="197">
        <v>157.93154079770085</v>
      </c>
      <c r="J141" s="197">
        <v>153.19974174968567</v>
      </c>
      <c r="K141" s="197">
        <v>124.75598776358501</v>
      </c>
      <c r="L141" s="197">
        <v>81.889860366992977</v>
      </c>
      <c r="M141" s="197">
        <v>75.956505132246562</v>
      </c>
      <c r="N141" s="197">
        <v>69.820366551246352</v>
      </c>
      <c r="O141" s="197">
        <v>69.215147673414521</v>
      </c>
      <c r="P141" s="197">
        <v>65.658576380337593</v>
      </c>
      <c r="Q141" s="197">
        <v>50.458494230946044</v>
      </c>
      <c r="R141" s="197">
        <v>44.632922657497673</v>
      </c>
      <c r="S141" s="197">
        <v>39.311077948113677</v>
      </c>
      <c r="T141" s="197">
        <v>38.120360288603059</v>
      </c>
      <c r="U141" s="197">
        <v>34.81179169917273</v>
      </c>
      <c r="V141" s="197">
        <v>34.481763459177891</v>
      </c>
      <c r="W141" s="197">
        <v>34.135650992187962</v>
      </c>
      <c r="X141" s="197">
        <v>33.932711571092696</v>
      </c>
      <c r="Y141" s="197">
        <v>33.932659906923945</v>
      </c>
      <c r="Z141" s="197">
        <v>33.932629788046498</v>
      </c>
      <c r="AA141" s="197">
        <v>32.251440716103616</v>
      </c>
      <c r="AB141" s="16">
        <f>Peak!AB143</f>
        <v>0.75124668022896723</v>
      </c>
      <c r="AC141" s="16">
        <f>Peak!AC143</f>
        <v>0</v>
      </c>
      <c r="AD141" s="18">
        <f>Peak!AD143</f>
        <v>526.53218862643894</v>
      </c>
      <c r="AE141" s="18">
        <f>Peak!AE143</f>
        <v>1943.451158513079</v>
      </c>
      <c r="AF141" s="16">
        <f>Peak!AF143</f>
        <v>1</v>
      </c>
      <c r="AG141" s="73">
        <f>Peak!AG143</f>
        <v>0</v>
      </c>
      <c r="AH141" s="16">
        <f>Peak!AH143</f>
        <v>4.2451246779926199</v>
      </c>
      <c r="AI141" s="16">
        <f>Peak!AI143</f>
        <v>3.9483837807100315</v>
      </c>
      <c r="AJ141" s="16">
        <f>Peak!AJ143</f>
        <v>0</v>
      </c>
      <c r="AK141" s="16">
        <f>Peak!AK143</f>
        <v>0</v>
      </c>
      <c r="AL141" s="4"/>
    </row>
    <row r="142" spans="1:38" x14ac:dyDescent="0.2">
      <c r="A142" s="1">
        <f t="shared" si="17"/>
        <v>40585.46100000017</v>
      </c>
      <c r="B142" s="16">
        <f t="shared" si="15"/>
        <v>3.8048058949029602</v>
      </c>
      <c r="C142" s="17">
        <f t="shared" si="12"/>
        <v>43.012359202075004</v>
      </c>
      <c r="D142" s="16">
        <f t="shared" si="16"/>
        <v>0.75249875802934885</v>
      </c>
      <c r="E142" s="16">
        <f t="shared" si="13"/>
        <v>0</v>
      </c>
      <c r="F142" s="16">
        <f t="shared" si="14"/>
        <v>0</v>
      </c>
      <c r="G142" s="19" t="str">
        <f>IF(IS!$C$2="Peak","-",SUM(C142:F142))</f>
        <v>-</v>
      </c>
      <c r="H142" s="197">
        <v>144.14655867251236</v>
      </c>
      <c r="I142" s="197">
        <v>114.52021660062201</v>
      </c>
      <c r="J142" s="197">
        <v>96.882018459658127</v>
      </c>
      <c r="K142" s="197">
        <v>90.298012670119462</v>
      </c>
      <c r="L142" s="197">
        <v>85.262875064264776</v>
      </c>
      <c r="M142" s="197">
        <v>78.926596081350482</v>
      </c>
      <c r="N142" s="197">
        <v>77.684068530985982</v>
      </c>
      <c r="O142" s="197">
        <v>68.035890241360534</v>
      </c>
      <c r="P142" s="197">
        <v>54.098774829248974</v>
      </c>
      <c r="Q142" s="197">
        <v>49.791658875063987</v>
      </c>
      <c r="R142" s="197">
        <v>44.924173461246248</v>
      </c>
      <c r="S142" s="197">
        <v>44.047410668657399</v>
      </c>
      <c r="T142" s="197">
        <v>42.525815371453632</v>
      </c>
      <c r="U142" s="197">
        <v>41.37232754377586</v>
      </c>
      <c r="V142" s="197">
        <v>40.466892700463852</v>
      </c>
      <c r="W142" s="197">
        <v>38.824852082022325</v>
      </c>
      <c r="X142" s="197">
        <v>38.611971548513857</v>
      </c>
      <c r="Y142" s="197">
        <v>38.611971548513857</v>
      </c>
      <c r="Z142" s="197">
        <v>38.611971548513857</v>
      </c>
      <c r="AA142" s="197">
        <v>38.008319327881914</v>
      </c>
      <c r="AB142" s="16">
        <f>Peak!AB144</f>
        <v>0.75249875802934885</v>
      </c>
      <c r="AC142" s="16">
        <f>Peak!AC144</f>
        <v>0</v>
      </c>
      <c r="AD142" s="18">
        <f>Peak!AD144</f>
        <v>526.53218862643894</v>
      </c>
      <c r="AE142" s="18">
        <f>Peak!AE144</f>
        <v>1943.451158513079</v>
      </c>
      <c r="AF142" s="16">
        <f>Peak!AF144</f>
        <v>1</v>
      </c>
      <c r="AG142" s="73">
        <f>Peak!AG144</f>
        <v>0</v>
      </c>
      <c r="AH142" s="16">
        <f>Peak!AH144</f>
        <v>3.8048058949029602</v>
      </c>
      <c r="AI142" s="16">
        <f>Peak!AI144</f>
        <v>3.911824671629383</v>
      </c>
      <c r="AJ142" s="16">
        <f>Peak!AJ144</f>
        <v>0</v>
      </c>
      <c r="AK142" s="16">
        <f>Peak!AK144</f>
        <v>0</v>
      </c>
      <c r="AL142" s="4"/>
    </row>
    <row r="143" spans="1:38" x14ac:dyDescent="0.2">
      <c r="A143" s="1">
        <f t="shared" si="17"/>
        <v>40615.878000000172</v>
      </c>
      <c r="B143" s="16">
        <f t="shared" si="15"/>
        <v>3.7408279520608732</v>
      </c>
      <c r="C143" s="17">
        <f t="shared" si="12"/>
        <v>42.289104893039138</v>
      </c>
      <c r="D143" s="16">
        <f t="shared" si="16"/>
        <v>0.75375292262606441</v>
      </c>
      <c r="E143" s="16">
        <f t="shared" si="13"/>
        <v>0</v>
      </c>
      <c r="F143" s="16">
        <f t="shared" si="14"/>
        <v>0</v>
      </c>
      <c r="G143" s="19" t="str">
        <f>IF(IS!$C$2="Peak","-",SUM(C143:F143))</f>
        <v>-</v>
      </c>
      <c r="H143" s="197">
        <v>135.10060666663111</v>
      </c>
      <c r="I143" s="197">
        <v>110.980835189247</v>
      </c>
      <c r="J143" s="197">
        <v>85.213278254058523</v>
      </c>
      <c r="K143" s="197">
        <v>75.92200093584492</v>
      </c>
      <c r="L143" s="197">
        <v>71.5744139272024</v>
      </c>
      <c r="M143" s="197">
        <v>67.171411308157289</v>
      </c>
      <c r="N143" s="197">
        <v>66.803655477711175</v>
      </c>
      <c r="O143" s="197">
        <v>62.758580603872566</v>
      </c>
      <c r="P143" s="197">
        <v>50.097967535726589</v>
      </c>
      <c r="Q143" s="197">
        <v>46.740548744635532</v>
      </c>
      <c r="R143" s="197">
        <v>44.406325568225853</v>
      </c>
      <c r="S143" s="197">
        <v>41.338156406276752</v>
      </c>
      <c r="T143" s="197">
        <v>39.252841604128079</v>
      </c>
      <c r="U143" s="197">
        <v>38.477692781957373</v>
      </c>
      <c r="V143" s="197">
        <v>38.010894714836795</v>
      </c>
      <c r="W143" s="197">
        <v>37.882926963303603</v>
      </c>
      <c r="X143" s="197">
        <v>37.121538581606515</v>
      </c>
      <c r="Y143" s="197">
        <v>35.934555984599953</v>
      </c>
      <c r="Z143" s="197">
        <v>34.124396210102951</v>
      </c>
      <c r="AA143" s="197">
        <v>32.999394923710845</v>
      </c>
      <c r="AB143" s="16">
        <f>Peak!AB145</f>
        <v>0.75375292262606441</v>
      </c>
      <c r="AC143" s="16">
        <f>Peak!AC145</f>
        <v>0</v>
      </c>
      <c r="AD143" s="18">
        <f>Peak!AD145</f>
        <v>526.53218862643894</v>
      </c>
      <c r="AE143" s="18">
        <f>Peak!AE145</f>
        <v>1943.451158513079</v>
      </c>
      <c r="AF143" s="16">
        <f>Peak!AF145</f>
        <v>1</v>
      </c>
      <c r="AG143" s="73">
        <f>Peak!AG145</f>
        <v>0</v>
      </c>
      <c r="AH143" s="16">
        <f>Peak!AH145</f>
        <v>3.7408279520608732</v>
      </c>
      <c r="AI143" s="16">
        <f>Peak!AI145</f>
        <v>3.7655882353067893</v>
      </c>
      <c r="AJ143" s="16">
        <f>Peak!AJ145</f>
        <v>0</v>
      </c>
      <c r="AK143" s="16">
        <f>Peak!AK145</f>
        <v>0</v>
      </c>
      <c r="AL143" s="4"/>
    </row>
    <row r="144" spans="1:38" x14ac:dyDescent="0.2">
      <c r="A144" s="1">
        <f t="shared" si="17"/>
        <v>40646.295000000173</v>
      </c>
      <c r="B144" s="16">
        <f t="shared" si="15"/>
        <v>3.5564209403395624</v>
      </c>
      <c r="C144" s="17">
        <f t="shared" si="12"/>
        <v>40.20443070817101</v>
      </c>
      <c r="D144" s="16">
        <f t="shared" si="16"/>
        <v>0.75500917749710783</v>
      </c>
      <c r="E144" s="16">
        <f t="shared" si="13"/>
        <v>0</v>
      </c>
      <c r="F144" s="16">
        <f t="shared" si="14"/>
        <v>0</v>
      </c>
      <c r="G144" s="19" t="str">
        <f>IF(IS!$C$2="Peak","-",SUM(C144:F144))</f>
        <v>-</v>
      </c>
      <c r="H144" s="197">
        <v>80.476876650215118</v>
      </c>
      <c r="I144" s="197">
        <v>77.557688106336869</v>
      </c>
      <c r="J144" s="197">
        <v>72.823797338940537</v>
      </c>
      <c r="K144" s="197">
        <v>70.329338613199326</v>
      </c>
      <c r="L144" s="197">
        <v>70.152085276467616</v>
      </c>
      <c r="M144" s="197">
        <v>61.482809684593306</v>
      </c>
      <c r="N144" s="197">
        <v>48.928006001203087</v>
      </c>
      <c r="O144" s="197">
        <v>42.612778163804364</v>
      </c>
      <c r="P144" s="197">
        <v>39.842313927039648</v>
      </c>
      <c r="Q144" s="197">
        <v>39.433612340750457</v>
      </c>
      <c r="R144" s="197">
        <v>37.531868889709457</v>
      </c>
      <c r="S144" s="197">
        <v>36.402124046560587</v>
      </c>
      <c r="T144" s="197">
        <v>35.455859365724415</v>
      </c>
      <c r="U144" s="197">
        <v>34.750155172850157</v>
      </c>
      <c r="V144" s="197">
        <v>34.317842454204325</v>
      </c>
      <c r="W144" s="197">
        <v>34.276255055216637</v>
      </c>
      <c r="X144" s="197">
        <v>34.276255055216637</v>
      </c>
      <c r="Y144" s="197">
        <v>34.276255055216637</v>
      </c>
      <c r="Z144" s="197">
        <v>34.276255055216637</v>
      </c>
      <c r="AA144" s="197">
        <v>33.849071826408235</v>
      </c>
      <c r="AB144" s="16">
        <f>Peak!AB146</f>
        <v>0.75500917749710783</v>
      </c>
      <c r="AC144" s="16">
        <f>Peak!AC146</f>
        <v>0</v>
      </c>
      <c r="AD144" s="18">
        <f>Peak!AD146</f>
        <v>526.53218862643894</v>
      </c>
      <c r="AE144" s="18">
        <f>Peak!AE146</f>
        <v>1943.451158513079</v>
      </c>
      <c r="AF144" s="16">
        <f>Peak!AF146</f>
        <v>1</v>
      </c>
      <c r="AG144" s="73">
        <f>Peak!AG146</f>
        <v>0</v>
      </c>
      <c r="AH144" s="16">
        <f>Peak!AH146</f>
        <v>3.5564209403395624</v>
      </c>
      <c r="AI144" s="16">
        <f>Peak!AI146</f>
        <v>3.6193517989841952</v>
      </c>
      <c r="AJ144" s="16">
        <f>Peak!AJ146</f>
        <v>0</v>
      </c>
      <c r="AK144" s="16">
        <f>Peak!AK146</f>
        <v>0</v>
      </c>
      <c r="AL144" s="4"/>
    </row>
    <row r="145" spans="1:38" x14ac:dyDescent="0.2">
      <c r="A145" s="1">
        <f t="shared" si="17"/>
        <v>40676.712000000174</v>
      </c>
      <c r="B145" s="16">
        <f t="shared" si="15"/>
        <v>3.7445913604633487</v>
      </c>
      <c r="C145" s="17">
        <f t="shared" si="12"/>
        <v>42.331649264158884</v>
      </c>
      <c r="D145" s="16">
        <f t="shared" si="16"/>
        <v>0.75626752612626968</v>
      </c>
      <c r="E145" s="16">
        <f t="shared" si="13"/>
        <v>0</v>
      </c>
      <c r="F145" s="16">
        <f t="shared" si="14"/>
        <v>0</v>
      </c>
      <c r="G145" s="19" t="str">
        <f>IF(IS!$C$2="Peak","-",SUM(C145:F145))</f>
        <v>-</v>
      </c>
      <c r="H145" s="197">
        <v>101.89636211594757</v>
      </c>
      <c r="I145" s="197">
        <v>79.526395444723192</v>
      </c>
      <c r="J145" s="197">
        <v>68.235862048869464</v>
      </c>
      <c r="K145" s="197">
        <v>64.850996088115977</v>
      </c>
      <c r="L145" s="197">
        <v>64.015441540186913</v>
      </c>
      <c r="M145" s="197">
        <v>60.631713504545608</v>
      </c>
      <c r="N145" s="197">
        <v>58.10004269835273</v>
      </c>
      <c r="O145" s="197">
        <v>45.403358235344633</v>
      </c>
      <c r="P145" s="197">
        <v>42.503860801297201</v>
      </c>
      <c r="Q145" s="197">
        <v>40.621087032964716</v>
      </c>
      <c r="R145" s="197">
        <v>38.254330183085486</v>
      </c>
      <c r="S145" s="197">
        <v>37.113603240666947</v>
      </c>
      <c r="T145" s="197">
        <v>36.079533555925309</v>
      </c>
      <c r="U145" s="197">
        <v>35.010215125207125</v>
      </c>
      <c r="V145" s="197">
        <v>34.217476645121266</v>
      </c>
      <c r="W145" s="197">
        <v>32.125489826401157</v>
      </c>
      <c r="X145" s="197">
        <v>30.394746599368602</v>
      </c>
      <c r="Y145" s="197">
        <v>30.088543003614401</v>
      </c>
      <c r="Z145" s="197">
        <v>29.956911132349401</v>
      </c>
      <c r="AA145" s="197">
        <v>29.941111074405338</v>
      </c>
      <c r="AB145" s="16">
        <f>Peak!AB147</f>
        <v>0.75626752612626968</v>
      </c>
      <c r="AC145" s="16">
        <f>Peak!AC147</f>
        <v>0</v>
      </c>
      <c r="AD145" s="18">
        <f>Peak!AD147</f>
        <v>526.53218862643894</v>
      </c>
      <c r="AE145" s="18">
        <f>Peak!AE147</f>
        <v>1943.451158513079</v>
      </c>
      <c r="AF145" s="16">
        <f>Peak!AF147</f>
        <v>1</v>
      </c>
      <c r="AG145" s="73">
        <f>Peak!AG147</f>
        <v>0</v>
      </c>
      <c r="AH145" s="16">
        <f>Peak!AH147</f>
        <v>3.7445913604633487</v>
      </c>
      <c r="AI145" s="16">
        <f>Peak!AI147</f>
        <v>3.4731153626616016</v>
      </c>
      <c r="AJ145" s="16">
        <f>Peak!AJ147</f>
        <v>0</v>
      </c>
      <c r="AK145" s="16">
        <f>Peak!AK147</f>
        <v>0</v>
      </c>
      <c r="AL145" s="4"/>
    </row>
    <row r="146" spans="1:38" x14ac:dyDescent="0.2">
      <c r="A146" s="1">
        <f t="shared" si="17"/>
        <v>40707.129000000175</v>
      </c>
      <c r="B146" s="16">
        <f t="shared" si="15"/>
        <v>3.5677111655469895</v>
      </c>
      <c r="C146" s="17">
        <f t="shared" si="12"/>
        <v>40.332063821530276</v>
      </c>
      <c r="D146" s="16">
        <f t="shared" si="16"/>
        <v>0.75752797200314681</v>
      </c>
      <c r="E146" s="16">
        <f t="shared" si="13"/>
        <v>0</v>
      </c>
      <c r="F146" s="16">
        <f t="shared" si="14"/>
        <v>0</v>
      </c>
      <c r="G146" s="19" t="str">
        <f>IF(IS!$C$2="Peak","-",SUM(C146:F146))</f>
        <v>-</v>
      </c>
      <c r="H146" s="197">
        <v>234.59405531764565</v>
      </c>
      <c r="I146" s="197">
        <v>207.93787188123702</v>
      </c>
      <c r="J146" s="197">
        <v>187.21581770523463</v>
      </c>
      <c r="K146" s="197">
        <v>163.56201400333723</v>
      </c>
      <c r="L146" s="197">
        <v>146.55180574253018</v>
      </c>
      <c r="M146" s="197">
        <v>81.528927733095955</v>
      </c>
      <c r="N146" s="197">
        <v>52.67597068377134</v>
      </c>
      <c r="O146" s="197">
        <v>46.978747489759755</v>
      </c>
      <c r="P146" s="197">
        <v>45.588303166584282</v>
      </c>
      <c r="Q146" s="197">
        <v>38.494006337312484</v>
      </c>
      <c r="R146" s="197">
        <v>33.415381557157787</v>
      </c>
      <c r="S146" s="197">
        <v>32.130255365246761</v>
      </c>
      <c r="T146" s="197">
        <v>31.120053424882048</v>
      </c>
      <c r="U146" s="197">
        <v>30.049401588429724</v>
      </c>
      <c r="V146" s="197">
        <v>28.767080111486411</v>
      </c>
      <c r="W146" s="197">
        <v>27.28325536959229</v>
      </c>
      <c r="X146" s="197">
        <v>26.844215424460948</v>
      </c>
      <c r="Y146" s="197">
        <v>26.454376341362</v>
      </c>
      <c r="Z146" s="197">
        <v>25.199966464237512</v>
      </c>
      <c r="AA146" s="197">
        <v>24.081192460446793</v>
      </c>
      <c r="AB146" s="16">
        <f>Peak!AB148</f>
        <v>0.75752797200314681</v>
      </c>
      <c r="AC146" s="16">
        <f>Peak!AC148</f>
        <v>0</v>
      </c>
      <c r="AD146" s="18">
        <f>Peak!AD148</f>
        <v>526.53218862643894</v>
      </c>
      <c r="AE146" s="18">
        <f>Peak!AE148</f>
        <v>1943.451158513079</v>
      </c>
      <c r="AF146" s="16">
        <f>Peak!AF148</f>
        <v>1</v>
      </c>
      <c r="AG146" s="73">
        <f>Peak!AG148</f>
        <v>0</v>
      </c>
      <c r="AH146" s="16">
        <f>Peak!AH148</f>
        <v>3.5677111655469895</v>
      </c>
      <c r="AI146" s="16">
        <f>Peak!AI148</f>
        <v>3.4731153626616016</v>
      </c>
      <c r="AJ146" s="16">
        <f>Peak!AJ148</f>
        <v>0</v>
      </c>
      <c r="AK146" s="16">
        <f>Peak!AK148</f>
        <v>0</v>
      </c>
      <c r="AL146" s="4"/>
    </row>
    <row r="147" spans="1:38" x14ac:dyDescent="0.2">
      <c r="A147" s="1">
        <f t="shared" si="17"/>
        <v>40737.546000000177</v>
      </c>
      <c r="B147" s="16">
        <f t="shared" si="15"/>
        <v>3.5564209403395624</v>
      </c>
      <c r="C147" s="17">
        <f t="shared" si="12"/>
        <v>40.20443070817101</v>
      </c>
      <c r="D147" s="16">
        <f t="shared" si="16"/>
        <v>0.75879051862315205</v>
      </c>
      <c r="E147" s="16">
        <f t="shared" si="13"/>
        <v>0</v>
      </c>
      <c r="F147" s="16">
        <f t="shared" si="14"/>
        <v>0</v>
      </c>
      <c r="G147" s="19" t="str">
        <f>IF(IS!$C$2="Peak","-",SUM(C147:F147))</f>
        <v>-</v>
      </c>
      <c r="H147" s="197">
        <v>230.27658285104758</v>
      </c>
      <c r="I147" s="197">
        <v>199.32503320900952</v>
      </c>
      <c r="J147" s="197">
        <v>178.12800297216648</v>
      </c>
      <c r="K147" s="197">
        <v>156.56442594048914</v>
      </c>
      <c r="L147" s="197">
        <v>131.55866241571033</v>
      </c>
      <c r="M147" s="197">
        <v>101.29015752785438</v>
      </c>
      <c r="N147" s="197">
        <v>94.883320611658689</v>
      </c>
      <c r="O147" s="197">
        <v>75.899390289559491</v>
      </c>
      <c r="P147" s="197">
        <v>58.123710684185276</v>
      </c>
      <c r="Q147" s="197">
        <v>51.868000612319207</v>
      </c>
      <c r="R147" s="197">
        <v>45.419988919890088</v>
      </c>
      <c r="S147" s="197">
        <v>45.243790416329588</v>
      </c>
      <c r="T147" s="197">
        <v>45.2435837418994</v>
      </c>
      <c r="U147" s="197">
        <v>44.525120456453564</v>
      </c>
      <c r="V147" s="197">
        <v>40.267016046992644</v>
      </c>
      <c r="W147" s="197">
        <v>38.070108633677364</v>
      </c>
      <c r="X147" s="197">
        <v>36.473638410222222</v>
      </c>
      <c r="Y147" s="197">
        <v>35.529340407522007</v>
      </c>
      <c r="Z147" s="197">
        <v>34.894175900572527</v>
      </c>
      <c r="AA147" s="197">
        <v>31.465020354819504</v>
      </c>
      <c r="AB147" s="16">
        <f>Peak!AB149</f>
        <v>0.75879051862315205</v>
      </c>
      <c r="AC147" s="16">
        <f>Peak!AC149</f>
        <v>0</v>
      </c>
      <c r="AD147" s="18">
        <f>Peak!AD149</f>
        <v>526.53218862643894</v>
      </c>
      <c r="AE147" s="18">
        <f>Peak!AE149</f>
        <v>1943.451158513079</v>
      </c>
      <c r="AF147" s="16">
        <f>Peak!AF149</f>
        <v>1</v>
      </c>
      <c r="AG147" s="73">
        <f>Peak!AG149</f>
        <v>0</v>
      </c>
      <c r="AH147" s="16">
        <f>Peak!AH149</f>
        <v>3.5564209403395624</v>
      </c>
      <c r="AI147" s="16">
        <f>Peak!AI149</f>
        <v>3.4731153626616016</v>
      </c>
      <c r="AJ147" s="16">
        <f>Peak!AJ149</f>
        <v>0</v>
      </c>
      <c r="AK147" s="16">
        <f>Peak!AK149</f>
        <v>0</v>
      </c>
      <c r="AL147" s="4"/>
    </row>
    <row r="148" spans="1:38" x14ac:dyDescent="0.2">
      <c r="A148" s="1">
        <f t="shared" si="17"/>
        <v>40767.963000000178</v>
      </c>
      <c r="B148" s="16">
        <f t="shared" si="15"/>
        <v>3.372013928618252</v>
      </c>
      <c r="C148" s="17">
        <f t="shared" si="12"/>
        <v>38.119756523302883</v>
      </c>
      <c r="D148" s="16">
        <f t="shared" si="16"/>
        <v>0.76005516948752405</v>
      </c>
      <c r="E148" s="16">
        <f t="shared" si="13"/>
        <v>0</v>
      </c>
      <c r="F148" s="16">
        <f t="shared" si="14"/>
        <v>0</v>
      </c>
      <c r="G148" s="19" t="str">
        <f>IF(IS!$C$2="Peak","-",SUM(C148:F148))</f>
        <v>-</v>
      </c>
      <c r="H148" s="197">
        <v>228.53908887598845</v>
      </c>
      <c r="I148" s="197">
        <v>196.06649134614173</v>
      </c>
      <c r="J148" s="197">
        <v>176.71225112673298</v>
      </c>
      <c r="K148" s="197">
        <v>156.53127822798803</v>
      </c>
      <c r="L148" s="197">
        <v>143.5610450764805</v>
      </c>
      <c r="M148" s="197">
        <v>128.05497300343123</v>
      </c>
      <c r="N148" s="197">
        <v>81.501960413169655</v>
      </c>
      <c r="O148" s="197">
        <v>66.765741107566328</v>
      </c>
      <c r="P148" s="197">
        <v>62.862866327445083</v>
      </c>
      <c r="Q148" s="197">
        <v>61.53456151181318</v>
      </c>
      <c r="R148" s="197">
        <v>61.22100189493775</v>
      </c>
      <c r="S148" s="197">
        <v>59.32205913387687</v>
      </c>
      <c r="T148" s="197">
        <v>46.751301266619848</v>
      </c>
      <c r="U148" s="197">
        <v>43.29353930370074</v>
      </c>
      <c r="V148" s="197">
        <v>41.506714009725286</v>
      </c>
      <c r="W148" s="197">
        <v>39.864390654304934</v>
      </c>
      <c r="X148" s="197">
        <v>39.028395374263063</v>
      </c>
      <c r="Y148" s="197">
        <v>36.757800312717237</v>
      </c>
      <c r="Z148" s="197">
        <v>33.830851772711895</v>
      </c>
      <c r="AA148" s="197">
        <v>31.116387845486585</v>
      </c>
      <c r="AB148" s="16">
        <f>Peak!AB150</f>
        <v>0.76005516948752405</v>
      </c>
      <c r="AC148" s="16">
        <f>Peak!AC150</f>
        <v>0</v>
      </c>
      <c r="AD148" s="18">
        <f>Peak!AD150</f>
        <v>526.53218862643894</v>
      </c>
      <c r="AE148" s="18">
        <f>Peak!AE150</f>
        <v>1943.451158513079</v>
      </c>
      <c r="AF148" s="16">
        <f>Peak!AF150</f>
        <v>1</v>
      </c>
      <c r="AG148" s="73">
        <f>Peak!AG150</f>
        <v>0</v>
      </c>
      <c r="AH148" s="16">
        <f>Peak!AH150</f>
        <v>3.372013928618252</v>
      </c>
      <c r="AI148" s="16">
        <f>Peak!AI150</f>
        <v>3.4731153626616016</v>
      </c>
      <c r="AJ148" s="16">
        <f>Peak!AJ150</f>
        <v>0</v>
      </c>
      <c r="AK148" s="16">
        <f>Peak!AK150</f>
        <v>0</v>
      </c>
      <c r="AL148" s="4"/>
    </row>
    <row r="149" spans="1:38" x14ac:dyDescent="0.2">
      <c r="A149" s="1">
        <f t="shared" si="17"/>
        <v>40798.380000000179</v>
      </c>
      <c r="B149" s="16">
        <f t="shared" si="15"/>
        <v>3.3607237034108248</v>
      </c>
      <c r="C149" s="17">
        <f t="shared" si="12"/>
        <v>37.992123409943602</v>
      </c>
      <c r="D149" s="16">
        <f t="shared" si="16"/>
        <v>0.76132192810333665</v>
      </c>
      <c r="E149" s="16">
        <f t="shared" si="13"/>
        <v>0</v>
      </c>
      <c r="F149" s="16">
        <f t="shared" si="14"/>
        <v>0</v>
      </c>
      <c r="G149" s="19" t="str">
        <f>IF(IS!$C$2="Peak","-",SUM(C149:F149))</f>
        <v>-</v>
      </c>
      <c r="H149" s="197">
        <v>153.40312088335128</v>
      </c>
      <c r="I149" s="197">
        <v>103.5362210905095</v>
      </c>
      <c r="J149" s="197">
        <v>80.808635558573627</v>
      </c>
      <c r="K149" s="197">
        <v>73.936099307268321</v>
      </c>
      <c r="L149" s="197">
        <v>68.583112043983888</v>
      </c>
      <c r="M149" s="197">
        <v>67.046242767902157</v>
      </c>
      <c r="N149" s="197">
        <v>54.844375171574079</v>
      </c>
      <c r="O149" s="197">
        <v>47.581302190240983</v>
      </c>
      <c r="P149" s="197">
        <v>44.888400432469382</v>
      </c>
      <c r="Q149" s="197">
        <v>42.315855051878216</v>
      </c>
      <c r="R149" s="197">
        <v>40.61476044694178</v>
      </c>
      <c r="S149" s="197">
        <v>39.140717780573745</v>
      </c>
      <c r="T149" s="197">
        <v>38.672670465339152</v>
      </c>
      <c r="U149" s="197">
        <v>37.366007989273115</v>
      </c>
      <c r="V149" s="197">
        <v>34.516407618380896</v>
      </c>
      <c r="W149" s="197">
        <v>33.792178782648577</v>
      </c>
      <c r="X149" s="197">
        <v>33.447465020477338</v>
      </c>
      <c r="Y149" s="197">
        <v>33.447465020477338</v>
      </c>
      <c r="Z149" s="197">
        <v>33.447465020477338</v>
      </c>
      <c r="AA149" s="197">
        <v>33.242324430087493</v>
      </c>
      <c r="AB149" s="16">
        <f>Peak!AB151</f>
        <v>0.76132192810333665</v>
      </c>
      <c r="AC149" s="16">
        <f>Peak!AC151</f>
        <v>0</v>
      </c>
      <c r="AD149" s="18">
        <f>Peak!AD151</f>
        <v>526.53218862643894</v>
      </c>
      <c r="AE149" s="18">
        <f>Peak!AE151</f>
        <v>1943.451158513079</v>
      </c>
      <c r="AF149" s="16">
        <f>Peak!AF151</f>
        <v>1</v>
      </c>
      <c r="AG149" s="73">
        <f>Peak!AG151</f>
        <v>0</v>
      </c>
      <c r="AH149" s="16">
        <f>Peak!AH151</f>
        <v>3.3607237034108248</v>
      </c>
      <c r="AI149" s="16">
        <f>Peak!AI151</f>
        <v>3.4731153626616016</v>
      </c>
      <c r="AJ149" s="16">
        <f>Peak!AJ151</f>
        <v>0</v>
      </c>
      <c r="AK149" s="16">
        <f>Peak!AK151</f>
        <v>0</v>
      </c>
      <c r="AL149" s="4"/>
    </row>
    <row r="150" spans="1:38" x14ac:dyDescent="0.2">
      <c r="A150" s="1">
        <f t="shared" si="17"/>
        <v>40828.797000000181</v>
      </c>
      <c r="B150" s="16">
        <f t="shared" si="15"/>
        <v>3.7220109100484944</v>
      </c>
      <c r="C150" s="17">
        <f t="shared" si="12"/>
        <v>42.076383037440337</v>
      </c>
      <c r="D150" s="16">
        <f t="shared" si="16"/>
        <v>0.76259079798350893</v>
      </c>
      <c r="E150" s="16">
        <f t="shared" si="13"/>
        <v>0</v>
      </c>
      <c r="F150" s="16">
        <f t="shared" si="14"/>
        <v>0</v>
      </c>
      <c r="G150" s="19" t="str">
        <f>IF(IS!$C$2="Peak","-",SUM(C150:F150))</f>
        <v>-</v>
      </c>
      <c r="H150" s="197">
        <v>80.989311061908126</v>
      </c>
      <c r="I150" s="197">
        <v>79.488146860457704</v>
      </c>
      <c r="J150" s="197">
        <v>77.572256743873794</v>
      </c>
      <c r="K150" s="197">
        <v>72.925292048971613</v>
      </c>
      <c r="L150" s="197">
        <v>70.449384126332717</v>
      </c>
      <c r="M150" s="197">
        <v>69.518771085264433</v>
      </c>
      <c r="N150" s="197">
        <v>52.55150398157808</v>
      </c>
      <c r="O150" s="197">
        <v>49.191819765339453</v>
      </c>
      <c r="P150" s="197">
        <v>44.603777219646311</v>
      </c>
      <c r="Q150" s="197">
        <v>37.829235033683567</v>
      </c>
      <c r="R150" s="197">
        <v>35.491747227024831</v>
      </c>
      <c r="S150" s="197">
        <v>35.018782541379544</v>
      </c>
      <c r="T150" s="197">
        <v>34.803447997878258</v>
      </c>
      <c r="U150" s="197">
        <v>34.581713581572721</v>
      </c>
      <c r="V150" s="197">
        <v>34.462394593547657</v>
      </c>
      <c r="W150" s="197">
        <v>34.190348024407257</v>
      </c>
      <c r="X150" s="197">
        <v>34.18805364118154</v>
      </c>
      <c r="Y150" s="197">
        <v>34.18805364118154</v>
      </c>
      <c r="Z150" s="197">
        <v>34.18805364118154</v>
      </c>
      <c r="AA150" s="197">
        <v>32.026606509992305</v>
      </c>
      <c r="AB150" s="16">
        <f>Peak!AB152</f>
        <v>0.76259079798350893</v>
      </c>
      <c r="AC150" s="16">
        <f>Peak!AC152</f>
        <v>0</v>
      </c>
      <c r="AD150" s="18">
        <f>Peak!AD152</f>
        <v>526.53218862643894</v>
      </c>
      <c r="AE150" s="18">
        <f>Peak!AE152</f>
        <v>1943.451158513079</v>
      </c>
      <c r="AF150" s="16">
        <f>Peak!AF152</f>
        <v>1</v>
      </c>
      <c r="AG150" s="73">
        <f>Peak!AG152</f>
        <v>0</v>
      </c>
      <c r="AH150" s="16">
        <f>Peak!AH152</f>
        <v>3.7220109100484944</v>
      </c>
      <c r="AI150" s="16">
        <f>Peak!AI152</f>
        <v>3.4731153626616016</v>
      </c>
      <c r="AJ150" s="16">
        <f>Peak!AJ152</f>
        <v>0</v>
      </c>
      <c r="AK150" s="16">
        <f>Peak!AK152</f>
        <v>0</v>
      </c>
      <c r="AL150" s="4"/>
    </row>
    <row r="151" spans="1:38" x14ac:dyDescent="0.2">
      <c r="A151" s="1">
        <f t="shared" si="17"/>
        <v>40859.214000000182</v>
      </c>
      <c r="B151" s="16">
        <f t="shared" si="15"/>
        <v>4.0757712998812128</v>
      </c>
      <c r="C151" s="17">
        <f t="shared" si="12"/>
        <v>46.075553922697559</v>
      </c>
      <c r="D151" s="16">
        <f t="shared" si="16"/>
        <v>0.76386178264681481</v>
      </c>
      <c r="E151" s="16">
        <f t="shared" si="13"/>
        <v>0</v>
      </c>
      <c r="F151" s="16">
        <f t="shared" si="14"/>
        <v>0</v>
      </c>
      <c r="G151" s="19" t="str">
        <f>IF(IS!$C$2="Peak","-",SUM(C151:F151))</f>
        <v>-</v>
      </c>
      <c r="H151" s="197">
        <v>154.00667831236206</v>
      </c>
      <c r="I151" s="197">
        <v>149.11245405540186</v>
      </c>
      <c r="J151" s="197">
        <v>94.564231863608398</v>
      </c>
      <c r="K151" s="197">
        <v>81.046352283992505</v>
      </c>
      <c r="L151" s="197">
        <v>68.701238971475988</v>
      </c>
      <c r="M151" s="197">
        <v>64.94249024103874</v>
      </c>
      <c r="N151" s="197">
        <v>60.649022856667635</v>
      </c>
      <c r="O151" s="197">
        <v>59.063814341616244</v>
      </c>
      <c r="P151" s="197">
        <v>57.77525812124729</v>
      </c>
      <c r="Q151" s="197">
        <v>47.413062717840809</v>
      </c>
      <c r="R151" s="197">
        <v>42.139879532875156</v>
      </c>
      <c r="S151" s="197">
        <v>41.464693390018752</v>
      </c>
      <c r="T151" s="197">
        <v>41.129353314867991</v>
      </c>
      <c r="U151" s="197">
        <v>40.019052888653803</v>
      </c>
      <c r="V151" s="197">
        <v>38.680366244117671</v>
      </c>
      <c r="W151" s="197">
        <v>37.147888118214645</v>
      </c>
      <c r="X151" s="197">
        <v>35.063783593331316</v>
      </c>
      <c r="Y151" s="197">
        <v>32.024881136817825</v>
      </c>
      <c r="Z151" s="197">
        <v>30.137562726617048</v>
      </c>
      <c r="AA151" s="197">
        <v>29.440995642570378</v>
      </c>
      <c r="AB151" s="16">
        <f>Peak!AB153</f>
        <v>0.76386178264681481</v>
      </c>
      <c r="AC151" s="16">
        <f>Peak!AC153</f>
        <v>0</v>
      </c>
      <c r="AD151" s="18">
        <f>Peak!AD153</f>
        <v>526.53218862643894</v>
      </c>
      <c r="AE151" s="18">
        <f>Peak!AE153</f>
        <v>1943.451158513079</v>
      </c>
      <c r="AF151" s="16">
        <f>Peak!AF153</f>
        <v>1</v>
      </c>
      <c r="AG151" s="73">
        <f>Peak!AG153</f>
        <v>0</v>
      </c>
      <c r="AH151" s="16">
        <f>Peak!AH153</f>
        <v>4.0757712998812128</v>
      </c>
      <c r="AI151" s="16">
        <f>Peak!AI153</f>
        <v>3.7655882353067893</v>
      </c>
      <c r="AJ151" s="16">
        <f>Peak!AJ153</f>
        <v>0</v>
      </c>
      <c r="AK151" s="16">
        <f>Peak!AK153</f>
        <v>0</v>
      </c>
      <c r="AL151" s="4"/>
    </row>
    <row r="152" spans="1:38" x14ac:dyDescent="0.2">
      <c r="A152" s="1">
        <f t="shared" si="17"/>
        <v>40889.631000000183</v>
      </c>
      <c r="B152" s="16">
        <f t="shared" si="15"/>
        <v>4.4107146477015524</v>
      </c>
      <c r="C152" s="17">
        <f t="shared" si="12"/>
        <v>49.862002952355994</v>
      </c>
      <c r="D152" s="16">
        <f t="shared" si="16"/>
        <v>0.76513488561789289</v>
      </c>
      <c r="E152" s="16">
        <f t="shared" si="13"/>
        <v>0</v>
      </c>
      <c r="F152" s="16">
        <f t="shared" si="14"/>
        <v>0</v>
      </c>
      <c r="G152" s="19" t="str">
        <f>IF(IS!$C$2="Peak","-",SUM(C152:F152))</f>
        <v>-</v>
      </c>
      <c r="H152" s="197">
        <v>100.69393339247577</v>
      </c>
      <c r="I152" s="197">
        <v>95.409868007824528</v>
      </c>
      <c r="J152" s="197">
        <v>92.265422456538985</v>
      </c>
      <c r="K152" s="197">
        <v>86.171448592757855</v>
      </c>
      <c r="L152" s="197">
        <v>84.621118789963447</v>
      </c>
      <c r="M152" s="197">
        <v>83.142099913272816</v>
      </c>
      <c r="N152" s="197">
        <v>67.282735250050592</v>
      </c>
      <c r="O152" s="197">
        <v>57.38750781694241</v>
      </c>
      <c r="P152" s="197">
        <v>48.670488815453062</v>
      </c>
      <c r="Q152" s="197">
        <v>47.46459668798051</v>
      </c>
      <c r="R152" s="197">
        <v>45.300532472887333</v>
      </c>
      <c r="S152" s="197">
        <v>41.947124432012814</v>
      </c>
      <c r="T152" s="197">
        <v>41.196983755251892</v>
      </c>
      <c r="U152" s="197">
        <v>41.050654306435852</v>
      </c>
      <c r="V152" s="197">
        <v>40.929050903642967</v>
      </c>
      <c r="W152" s="197">
        <v>40.591899809761969</v>
      </c>
      <c r="X152" s="197">
        <v>40.372912809125829</v>
      </c>
      <c r="Y152" s="197">
        <v>40.372912809125829</v>
      </c>
      <c r="Z152" s="197">
        <v>40.372912809125829</v>
      </c>
      <c r="AA152" s="197">
        <v>38.655372510866719</v>
      </c>
      <c r="AB152" s="16">
        <f>Peak!AB154</f>
        <v>0.76513488561789289</v>
      </c>
      <c r="AC152" s="16">
        <f>Peak!AC154</f>
        <v>0</v>
      </c>
      <c r="AD152" s="18">
        <f>Peak!AD154</f>
        <v>526.53218862643894</v>
      </c>
      <c r="AE152" s="18">
        <f>Peak!AE154</f>
        <v>1943.451158513079</v>
      </c>
      <c r="AF152" s="16">
        <f>Peak!AF154</f>
        <v>1</v>
      </c>
      <c r="AG152" s="73">
        <f>Peak!AG154</f>
        <v>0</v>
      </c>
      <c r="AH152" s="16">
        <f>Peak!AH154</f>
        <v>4.4107146477015524</v>
      </c>
      <c r="AI152" s="16">
        <f>Peak!AI154</f>
        <v>3.9483837807100315</v>
      </c>
      <c r="AJ152" s="16">
        <f>Peak!AJ154</f>
        <v>0</v>
      </c>
      <c r="AK152" s="16">
        <f>Peak!AK154</f>
        <v>0</v>
      </c>
      <c r="AL152" s="4"/>
    </row>
    <row r="153" spans="1:38" x14ac:dyDescent="0.2">
      <c r="A153" s="1">
        <f t="shared" si="17"/>
        <v>40920.048000000184</v>
      </c>
      <c r="B153" s="16">
        <f t="shared" si="15"/>
        <v>4.2352224987668006</v>
      </c>
      <c r="C153" s="17">
        <f t="shared" si="12"/>
        <v>47.878109015154742</v>
      </c>
      <c r="D153" s="16">
        <f t="shared" si="16"/>
        <v>0.76641011042725604</v>
      </c>
      <c r="E153" s="16">
        <f t="shared" si="13"/>
        <v>0</v>
      </c>
      <c r="F153" s="16">
        <f t="shared" si="14"/>
        <v>0</v>
      </c>
      <c r="G153" s="19" t="str">
        <f>IF(IS!$C$2="Peak","-",SUM(C153:F153))</f>
        <v>-</v>
      </c>
      <c r="H153" s="197">
        <v>101.80138962797244</v>
      </c>
      <c r="I153" s="197">
        <v>98.892738075501796</v>
      </c>
      <c r="J153" s="197">
        <v>98.879241285826708</v>
      </c>
      <c r="K153" s="197">
        <v>96.614371800105843</v>
      </c>
      <c r="L153" s="197">
        <v>82.109662942181785</v>
      </c>
      <c r="M153" s="197">
        <v>64.158115594853101</v>
      </c>
      <c r="N153" s="197">
        <v>55.068928685774246</v>
      </c>
      <c r="O153" s="197">
        <v>49.903983359294507</v>
      </c>
      <c r="P153" s="197">
        <v>47.545760635636839</v>
      </c>
      <c r="Q153" s="197">
        <v>47.545760635636839</v>
      </c>
      <c r="R153" s="197">
        <v>47.545760635636839</v>
      </c>
      <c r="S153" s="197">
        <v>47.545760635636839</v>
      </c>
      <c r="T153" s="197">
        <v>47.368120370484448</v>
      </c>
      <c r="U153" s="197">
        <v>47.143600399945477</v>
      </c>
      <c r="V153" s="197">
        <v>47.143600399945477</v>
      </c>
      <c r="W153" s="197">
        <v>47.143600399945477</v>
      </c>
      <c r="X153" s="197">
        <v>47.083803592241992</v>
      </c>
      <c r="Y153" s="197">
        <v>42.439348900627905</v>
      </c>
      <c r="Z153" s="197">
        <v>38.439950950998274</v>
      </c>
      <c r="AA153" s="197">
        <v>35.392833109331299</v>
      </c>
      <c r="AB153" s="16">
        <f>Peak!AB155</f>
        <v>0.76641011042725604</v>
      </c>
      <c r="AC153" s="16">
        <f>Peak!AC155</f>
        <v>0</v>
      </c>
      <c r="AD153" s="18">
        <f>Peak!AD155</f>
        <v>583.38187908572775</v>
      </c>
      <c r="AE153" s="18">
        <f>Peak!AE155</f>
        <v>1993.8465416709116</v>
      </c>
      <c r="AF153" s="16">
        <f>Peak!AF155</f>
        <v>1</v>
      </c>
      <c r="AG153" s="73">
        <f>Peak!AG155</f>
        <v>0</v>
      </c>
      <c r="AH153" s="16">
        <f>Peak!AH155</f>
        <v>4.2352224987668006</v>
      </c>
      <c r="AI153" s="16">
        <f>Peak!AI155</f>
        <v>3.9414998675294424</v>
      </c>
      <c r="AJ153" s="16">
        <f>Peak!AJ155</f>
        <v>0</v>
      </c>
      <c r="AK153" s="16">
        <f>Peak!AK155</f>
        <v>0</v>
      </c>
      <c r="AL153" s="4"/>
    </row>
    <row r="154" spans="1:38" x14ac:dyDescent="0.2">
      <c r="A154" s="1">
        <f t="shared" si="17"/>
        <v>40950.465000000186</v>
      </c>
      <c r="B154" s="16">
        <f t="shared" si="15"/>
        <v>3.7959308034159887</v>
      </c>
      <c r="C154" s="17">
        <f t="shared" si="12"/>
        <v>42.912028558795598</v>
      </c>
      <c r="D154" s="16">
        <f t="shared" si="16"/>
        <v>0.76768746061130155</v>
      </c>
      <c r="E154" s="16">
        <f t="shared" si="13"/>
        <v>0</v>
      </c>
      <c r="F154" s="16">
        <f t="shared" si="14"/>
        <v>0</v>
      </c>
      <c r="G154" s="19" t="str">
        <f>IF(IS!$C$2="Peak","-",SUM(C154:F154))</f>
        <v>-</v>
      </c>
      <c r="H154" s="197">
        <v>116.74726532738207</v>
      </c>
      <c r="I154" s="197">
        <v>102.54942948098486</v>
      </c>
      <c r="J154" s="197">
        <v>97.827781807842698</v>
      </c>
      <c r="K154" s="197">
        <v>91.101032161248256</v>
      </c>
      <c r="L154" s="197">
        <v>85.615726874316422</v>
      </c>
      <c r="M154" s="197">
        <v>84.948525306334744</v>
      </c>
      <c r="N154" s="197">
        <v>74.639995501293583</v>
      </c>
      <c r="O154" s="197">
        <v>57.879810484065409</v>
      </c>
      <c r="P154" s="197">
        <v>48.035070253966651</v>
      </c>
      <c r="Q154" s="197">
        <v>45.69337356780418</v>
      </c>
      <c r="R154" s="197">
        <v>41.766334932207343</v>
      </c>
      <c r="S154" s="197">
        <v>41.402223171628634</v>
      </c>
      <c r="T154" s="197">
        <v>41.204208203489188</v>
      </c>
      <c r="U154" s="197">
        <v>40.960747821406549</v>
      </c>
      <c r="V154" s="197">
        <v>40.861099538486002</v>
      </c>
      <c r="W154" s="197">
        <v>40.861031379715811</v>
      </c>
      <c r="X154" s="197">
        <v>38.748688359627543</v>
      </c>
      <c r="Y154" s="197">
        <v>35.140988079169134</v>
      </c>
      <c r="Z154" s="197">
        <v>33.430375397130838</v>
      </c>
      <c r="AA154" s="197">
        <v>31.076464030516775</v>
      </c>
      <c r="AB154" s="16">
        <f>Peak!AB156</f>
        <v>0.76768746061130155</v>
      </c>
      <c r="AC154" s="16">
        <f>Peak!AC156</f>
        <v>0</v>
      </c>
      <c r="AD154" s="18">
        <f>Peak!AD156</f>
        <v>583.38187908572775</v>
      </c>
      <c r="AE154" s="18">
        <f>Peak!AE156</f>
        <v>1993.8465416709116</v>
      </c>
      <c r="AF154" s="16">
        <f>Peak!AF156</f>
        <v>1</v>
      </c>
      <c r="AG154" s="73">
        <f>Peak!AG156</f>
        <v>0</v>
      </c>
      <c r="AH154" s="16">
        <f>Peak!AH156</f>
        <v>3.7959308034159887</v>
      </c>
      <c r="AI154" s="16">
        <f>Peak!AI156</f>
        <v>3.9050044983856513</v>
      </c>
      <c r="AJ154" s="16">
        <f>Peak!AJ156</f>
        <v>0</v>
      </c>
      <c r="AK154" s="16">
        <f>Peak!AK156</f>
        <v>0</v>
      </c>
      <c r="AL154" s="4"/>
    </row>
    <row r="155" spans="1:38" x14ac:dyDescent="0.2">
      <c r="A155" s="1">
        <f t="shared" si="17"/>
        <v>40980.882000000187</v>
      </c>
      <c r="B155" s="16">
        <f t="shared" si="15"/>
        <v>3.7321020955445037</v>
      </c>
      <c r="C155" s="17">
        <f t="shared" si="12"/>
        <v>42.19046131299983</v>
      </c>
      <c r="D155" s="16">
        <f t="shared" si="16"/>
        <v>0.76896693971232044</v>
      </c>
      <c r="E155" s="16">
        <f t="shared" si="13"/>
        <v>0</v>
      </c>
      <c r="F155" s="16">
        <f t="shared" si="14"/>
        <v>0</v>
      </c>
      <c r="G155" s="19" t="str">
        <f>IF(IS!$C$2="Peak","-",SUM(C155:F155))</f>
        <v>-</v>
      </c>
      <c r="H155" s="197">
        <v>106.08524223961545</v>
      </c>
      <c r="I155" s="197">
        <v>93.855913290547974</v>
      </c>
      <c r="J155" s="197">
        <v>89.538848825766891</v>
      </c>
      <c r="K155" s="197">
        <v>83.649045506607493</v>
      </c>
      <c r="L155" s="197">
        <v>78.462418109163778</v>
      </c>
      <c r="M155" s="197">
        <v>78.144786871768275</v>
      </c>
      <c r="N155" s="197">
        <v>67.265039771490876</v>
      </c>
      <c r="O155" s="197">
        <v>53.915614759077172</v>
      </c>
      <c r="P155" s="197">
        <v>44.474216495366093</v>
      </c>
      <c r="Q155" s="197">
        <v>44.062541496120708</v>
      </c>
      <c r="R155" s="197">
        <v>40.870214244876863</v>
      </c>
      <c r="S155" s="197">
        <v>38.5395007982005</v>
      </c>
      <c r="T155" s="197">
        <v>38.190640227854999</v>
      </c>
      <c r="U155" s="197">
        <v>37.823806687179015</v>
      </c>
      <c r="V155" s="197">
        <v>37.823806687179015</v>
      </c>
      <c r="W155" s="197">
        <v>37.823479065941108</v>
      </c>
      <c r="X155" s="197">
        <v>37.822697097807435</v>
      </c>
      <c r="Y155" s="197">
        <v>37.238169625337846</v>
      </c>
      <c r="Z155" s="197">
        <v>35.051473330062926</v>
      </c>
      <c r="AA155" s="197">
        <v>31.422966110598868</v>
      </c>
      <c r="AB155" s="16">
        <f>Peak!AB157</f>
        <v>0.76896693971232044</v>
      </c>
      <c r="AC155" s="16">
        <f>Peak!AC157</f>
        <v>0</v>
      </c>
      <c r="AD155" s="18">
        <f>Peak!AD157</f>
        <v>583.38187908572775</v>
      </c>
      <c r="AE155" s="18">
        <f>Peak!AE157</f>
        <v>1993.8465416709116</v>
      </c>
      <c r="AF155" s="16">
        <f>Peak!AF157</f>
        <v>1</v>
      </c>
      <c r="AG155" s="73">
        <f>Peak!AG157</f>
        <v>0</v>
      </c>
      <c r="AH155" s="16">
        <f>Peak!AH157</f>
        <v>3.7321020955445037</v>
      </c>
      <c r="AI155" s="16">
        <f>Peak!AI157</f>
        <v>3.7590230218104868</v>
      </c>
      <c r="AJ155" s="16">
        <f>Peak!AJ157</f>
        <v>0</v>
      </c>
      <c r="AK155" s="16">
        <f>Peak!AK157</f>
        <v>0</v>
      </c>
      <c r="AL155" s="4"/>
    </row>
    <row r="156" spans="1:38" x14ac:dyDescent="0.2">
      <c r="A156" s="1">
        <f t="shared" si="17"/>
        <v>41011.299000000188</v>
      </c>
      <c r="B156" s="16">
        <f t="shared" si="15"/>
        <v>3.5481252316796335</v>
      </c>
      <c r="C156" s="17">
        <f t="shared" si="12"/>
        <v>40.110649839823779</v>
      </c>
      <c r="D156" s="16">
        <f t="shared" si="16"/>
        <v>0.77024855127850766</v>
      </c>
      <c r="E156" s="16">
        <f t="shared" si="13"/>
        <v>0</v>
      </c>
      <c r="F156" s="16">
        <f t="shared" si="14"/>
        <v>0</v>
      </c>
      <c r="G156" s="19" t="str">
        <f>IF(IS!$C$2="Peak","-",SUM(C156:F156))</f>
        <v>-</v>
      </c>
      <c r="H156" s="197">
        <v>79.499188281107266</v>
      </c>
      <c r="I156" s="197">
        <v>77.846372079782611</v>
      </c>
      <c r="J156" s="197">
        <v>77.846372079782611</v>
      </c>
      <c r="K156" s="197">
        <v>71.499352714787292</v>
      </c>
      <c r="L156" s="197">
        <v>54.227077896561269</v>
      </c>
      <c r="M156" s="197">
        <v>50.231505844310767</v>
      </c>
      <c r="N156" s="197">
        <v>43.913690053752688</v>
      </c>
      <c r="O156" s="197">
        <v>43.587721450948486</v>
      </c>
      <c r="P156" s="197">
        <v>40.556287058541244</v>
      </c>
      <c r="Q156" s="197">
        <v>39.028680173224444</v>
      </c>
      <c r="R156" s="197">
        <v>38.373600363940525</v>
      </c>
      <c r="S156" s="197">
        <v>37.967651696111027</v>
      </c>
      <c r="T156" s="197">
        <v>37.835878567046507</v>
      </c>
      <c r="U156" s="197">
        <v>37.835878567046507</v>
      </c>
      <c r="V156" s="197">
        <v>37.54751845808488</v>
      </c>
      <c r="W156" s="197">
        <v>37.525588353804373</v>
      </c>
      <c r="X156" s="197">
        <v>37.525588353804373</v>
      </c>
      <c r="Y156" s="197">
        <v>37.525588353804373</v>
      </c>
      <c r="Z156" s="197">
        <v>37.525508874649844</v>
      </c>
      <c r="AA156" s="197">
        <v>34.638516732444501</v>
      </c>
      <c r="AB156" s="16">
        <f>Peak!AB158</f>
        <v>0.77024855127850766</v>
      </c>
      <c r="AC156" s="16">
        <f>Peak!AC158</f>
        <v>0</v>
      </c>
      <c r="AD156" s="18">
        <f>Peak!AD158</f>
        <v>583.38187908572775</v>
      </c>
      <c r="AE156" s="18">
        <f>Peak!AE158</f>
        <v>1993.8465416709116</v>
      </c>
      <c r="AF156" s="16">
        <f>Peak!AF158</f>
        <v>1</v>
      </c>
      <c r="AG156" s="73">
        <f>Peak!AG158</f>
        <v>0</v>
      </c>
      <c r="AH156" s="16">
        <f>Peak!AH158</f>
        <v>3.5481252316796335</v>
      </c>
      <c r="AI156" s="16">
        <f>Peak!AI158</f>
        <v>3.6130415452353222</v>
      </c>
      <c r="AJ156" s="16">
        <f>Peak!AJ158</f>
        <v>0</v>
      </c>
      <c r="AK156" s="16">
        <f>Peak!AK158</f>
        <v>0</v>
      </c>
      <c r="AL156" s="4"/>
    </row>
    <row r="157" spans="1:38" x14ac:dyDescent="0.2">
      <c r="A157" s="1">
        <f t="shared" si="17"/>
        <v>41041.71600000019</v>
      </c>
      <c r="B157" s="16">
        <f t="shared" si="15"/>
        <v>3.7358567254192967</v>
      </c>
      <c r="C157" s="17">
        <f t="shared" si="12"/>
        <v>42.232906445105463</v>
      </c>
      <c r="D157" s="16">
        <f t="shared" si="16"/>
        <v>0.7715322988639719</v>
      </c>
      <c r="E157" s="16">
        <f t="shared" si="13"/>
        <v>0</v>
      </c>
      <c r="F157" s="16">
        <f t="shared" si="14"/>
        <v>0</v>
      </c>
      <c r="G157" s="19" t="str">
        <f>IF(IS!$C$2="Peak","-",SUM(C157:F157))</f>
        <v>-</v>
      </c>
      <c r="H157" s="197">
        <v>155.15641540975386</v>
      </c>
      <c r="I157" s="197">
        <v>133.47859990904385</v>
      </c>
      <c r="J157" s="197">
        <v>83.364089370712364</v>
      </c>
      <c r="K157" s="197">
        <v>72.43039993990935</v>
      </c>
      <c r="L157" s="197">
        <v>68.463294593411234</v>
      </c>
      <c r="M157" s="197">
        <v>63.604487820680689</v>
      </c>
      <c r="N157" s="197">
        <v>62.247578814494872</v>
      </c>
      <c r="O157" s="197">
        <v>51.350398654423408</v>
      </c>
      <c r="P157" s="197">
        <v>43.536349881404142</v>
      </c>
      <c r="Q157" s="197">
        <v>36.8163202813247</v>
      </c>
      <c r="R157" s="197">
        <v>35.571787132394519</v>
      </c>
      <c r="S157" s="197">
        <v>34.877770894105957</v>
      </c>
      <c r="T157" s="197">
        <v>33.201570777894759</v>
      </c>
      <c r="U157" s="197">
        <v>32.130237995223034</v>
      </c>
      <c r="V157" s="197">
        <v>31.099168162975975</v>
      </c>
      <c r="W157" s="197">
        <v>30.927510894303246</v>
      </c>
      <c r="X157" s="197">
        <v>30.772766587156898</v>
      </c>
      <c r="Y157" s="197">
        <v>30.69830647161216</v>
      </c>
      <c r="Z157" s="197">
        <v>29.645588613872771</v>
      </c>
      <c r="AA157" s="197">
        <v>26.180342438013913</v>
      </c>
      <c r="AB157" s="16">
        <f>Peak!AB159</f>
        <v>0.7715322988639719</v>
      </c>
      <c r="AC157" s="16">
        <f>Peak!AC159</f>
        <v>0</v>
      </c>
      <c r="AD157" s="18">
        <f>Peak!AD159</f>
        <v>583.38187908572775</v>
      </c>
      <c r="AE157" s="18">
        <f>Peak!AE159</f>
        <v>1993.8465416709116</v>
      </c>
      <c r="AF157" s="16">
        <f>Peak!AF159</f>
        <v>1</v>
      </c>
      <c r="AG157" s="73">
        <f>Peak!AG159</f>
        <v>0</v>
      </c>
      <c r="AH157" s="16">
        <f>Peak!AH159</f>
        <v>3.7358567254192967</v>
      </c>
      <c r="AI157" s="16">
        <f>Peak!AI159</f>
        <v>3.4670600686601576</v>
      </c>
      <c r="AJ157" s="16">
        <f>Peak!AJ159</f>
        <v>0</v>
      </c>
      <c r="AK157" s="16">
        <f>Peak!AK159</f>
        <v>0</v>
      </c>
      <c r="AL157" s="4"/>
    </row>
    <row r="158" spans="1:38" x14ac:dyDescent="0.2">
      <c r="A158" s="1">
        <f t="shared" si="17"/>
        <v>41072.133000000191</v>
      </c>
      <c r="B158" s="16">
        <f t="shared" si="15"/>
        <v>3.5593891213040134</v>
      </c>
      <c r="C158" s="17">
        <f t="shared" si="12"/>
        <v>40.237985236140688</v>
      </c>
      <c r="D158" s="16">
        <f t="shared" si="16"/>
        <v>0.77281818602874519</v>
      </c>
      <c r="E158" s="16">
        <f t="shared" si="13"/>
        <v>0</v>
      </c>
      <c r="F158" s="16">
        <f t="shared" si="14"/>
        <v>0</v>
      </c>
      <c r="G158" s="19" t="str">
        <f>IF(IS!$C$2="Peak","-",SUM(C158:F158))</f>
        <v>-</v>
      </c>
      <c r="H158" s="197">
        <v>193.41396022699371</v>
      </c>
      <c r="I158" s="197">
        <v>175.45002272086407</v>
      </c>
      <c r="J158" s="197">
        <v>160.13783305695773</v>
      </c>
      <c r="K158" s="197">
        <v>134.013322525219</v>
      </c>
      <c r="L158" s="197">
        <v>89.996429713672441</v>
      </c>
      <c r="M158" s="197">
        <v>78.377258606598787</v>
      </c>
      <c r="N158" s="197">
        <v>52.780794870434114</v>
      </c>
      <c r="O158" s="197">
        <v>46.764066941035395</v>
      </c>
      <c r="P158" s="197">
        <v>41.936270770363059</v>
      </c>
      <c r="Q158" s="197">
        <v>41.308021736294535</v>
      </c>
      <c r="R158" s="197">
        <v>40.902587286563993</v>
      </c>
      <c r="S158" s="197">
        <v>40.154797172001366</v>
      </c>
      <c r="T158" s="197">
        <v>37.600475154500266</v>
      </c>
      <c r="U158" s="197">
        <v>36.06618054811743</v>
      </c>
      <c r="V158" s="197">
        <v>34.443721848577802</v>
      </c>
      <c r="W158" s="197">
        <v>33.598235725127381</v>
      </c>
      <c r="X158" s="197">
        <v>32.878663774958916</v>
      </c>
      <c r="Y158" s="197">
        <v>31.983337340474197</v>
      </c>
      <c r="Z158" s="197">
        <v>30.471569911889283</v>
      </c>
      <c r="AA158" s="197">
        <v>27.435421757011238</v>
      </c>
      <c r="AB158" s="16">
        <f>Peak!AB160</f>
        <v>0.77281818602874519</v>
      </c>
      <c r="AC158" s="16">
        <f>Peak!AC160</f>
        <v>0</v>
      </c>
      <c r="AD158" s="18">
        <f>Peak!AD160</f>
        <v>583.38187908572775</v>
      </c>
      <c r="AE158" s="18">
        <f>Peak!AE160</f>
        <v>1993.8465416709116</v>
      </c>
      <c r="AF158" s="16">
        <f>Peak!AF160</f>
        <v>1</v>
      </c>
      <c r="AG158" s="73">
        <f>Peak!AG160</f>
        <v>0</v>
      </c>
      <c r="AH158" s="16">
        <f>Peak!AH160</f>
        <v>3.5593891213040134</v>
      </c>
      <c r="AI158" s="16">
        <f>Peak!AI160</f>
        <v>3.4670600686601576</v>
      </c>
      <c r="AJ158" s="16">
        <f>Peak!AJ160</f>
        <v>0</v>
      </c>
      <c r="AK158" s="16">
        <f>Peak!AK160</f>
        <v>0</v>
      </c>
      <c r="AL158" s="4"/>
    </row>
    <row r="159" spans="1:38" x14ac:dyDescent="0.2">
      <c r="A159" s="1">
        <f t="shared" si="17"/>
        <v>41102.550000000192</v>
      </c>
      <c r="B159" s="16">
        <f t="shared" si="15"/>
        <v>3.5481252316796335</v>
      </c>
      <c r="C159" s="17">
        <f t="shared" si="12"/>
        <v>40.110649839823779</v>
      </c>
      <c r="D159" s="16">
        <f t="shared" si="16"/>
        <v>0.77410621633879317</v>
      </c>
      <c r="E159" s="16">
        <f t="shared" si="13"/>
        <v>0</v>
      </c>
      <c r="F159" s="16">
        <f t="shared" si="14"/>
        <v>0</v>
      </c>
      <c r="G159" s="19" t="str">
        <f>IF(IS!$C$2="Peak","-",SUM(C159:F159))</f>
        <v>-</v>
      </c>
      <c r="H159" s="197">
        <v>227.84862916884771</v>
      </c>
      <c r="I159" s="197">
        <v>200.27690175261336</v>
      </c>
      <c r="J159" s="197">
        <v>181.31802141756731</v>
      </c>
      <c r="K159" s="197">
        <v>160.22339857620062</v>
      </c>
      <c r="L159" s="197">
        <v>146.10840201860879</v>
      </c>
      <c r="M159" s="197">
        <v>99.780406367115887</v>
      </c>
      <c r="N159" s="197">
        <v>84.72791395108068</v>
      </c>
      <c r="O159" s="197">
        <v>80.682389194499834</v>
      </c>
      <c r="P159" s="197">
        <v>69.872720258240818</v>
      </c>
      <c r="Q159" s="197">
        <v>53.732029536383678</v>
      </c>
      <c r="R159" s="197">
        <v>45.610982419180246</v>
      </c>
      <c r="S159" s="197">
        <v>43.78033070851297</v>
      </c>
      <c r="T159" s="197">
        <v>40.555614081283736</v>
      </c>
      <c r="U159" s="197">
        <v>39.501525962796777</v>
      </c>
      <c r="V159" s="197">
        <v>39.277136673946949</v>
      </c>
      <c r="W159" s="197">
        <v>39.263103594550714</v>
      </c>
      <c r="X159" s="197">
        <v>38.958339167204549</v>
      </c>
      <c r="Y159" s="197">
        <v>38.913297276288056</v>
      </c>
      <c r="Z159" s="197">
        <v>38.634598376436251</v>
      </c>
      <c r="AA159" s="197">
        <v>34.873943583409869</v>
      </c>
      <c r="AB159" s="16">
        <f>Peak!AB161</f>
        <v>0.77410621633879317</v>
      </c>
      <c r="AC159" s="16">
        <f>Peak!AC161</f>
        <v>0</v>
      </c>
      <c r="AD159" s="18">
        <f>Peak!AD161</f>
        <v>583.38187908572775</v>
      </c>
      <c r="AE159" s="18">
        <f>Peak!AE161</f>
        <v>1993.8465416709116</v>
      </c>
      <c r="AF159" s="16">
        <f>Peak!AF161</f>
        <v>1</v>
      </c>
      <c r="AG159" s="73">
        <f>Peak!AG161</f>
        <v>0</v>
      </c>
      <c r="AH159" s="16">
        <f>Peak!AH161</f>
        <v>3.5481252316796335</v>
      </c>
      <c r="AI159" s="16">
        <f>Peak!AI161</f>
        <v>3.4670600686601576</v>
      </c>
      <c r="AJ159" s="16">
        <f>Peak!AJ161</f>
        <v>0</v>
      </c>
      <c r="AK159" s="16">
        <f>Peak!AK161</f>
        <v>0</v>
      </c>
      <c r="AL159" s="4"/>
    </row>
    <row r="160" spans="1:38" x14ac:dyDescent="0.2">
      <c r="A160" s="1">
        <f t="shared" si="17"/>
        <v>41132.967000000193</v>
      </c>
      <c r="B160" s="16">
        <f t="shared" si="15"/>
        <v>3.3641483678147637</v>
      </c>
      <c r="C160" s="17">
        <f t="shared" si="12"/>
        <v>38.030838366647735</v>
      </c>
      <c r="D160" s="16">
        <f t="shared" si="16"/>
        <v>0.77539639336602451</v>
      </c>
      <c r="E160" s="16">
        <f t="shared" si="13"/>
        <v>0</v>
      </c>
      <c r="F160" s="16">
        <f t="shared" si="14"/>
        <v>0</v>
      </c>
      <c r="G160" s="19" t="str">
        <f>IF(IS!$C$2="Peak","-",SUM(C160:F160))</f>
        <v>-</v>
      </c>
      <c r="H160" s="197">
        <v>454.14938756880395</v>
      </c>
      <c r="I160" s="197">
        <v>290.03607276374976</v>
      </c>
      <c r="J160" s="197">
        <v>242.26371480781131</v>
      </c>
      <c r="K160" s="197">
        <v>207.85361151623783</v>
      </c>
      <c r="L160" s="197">
        <v>180.5851462266821</v>
      </c>
      <c r="M160" s="197">
        <v>156.77382073319328</v>
      </c>
      <c r="N160" s="197">
        <v>104.49636490074205</v>
      </c>
      <c r="O160" s="197">
        <v>57.479641204128299</v>
      </c>
      <c r="P160" s="197">
        <v>49.125231532201255</v>
      </c>
      <c r="Q160" s="197">
        <v>45.077428574058985</v>
      </c>
      <c r="R160" s="197">
        <v>42.374763034030742</v>
      </c>
      <c r="S160" s="197">
        <v>38.904402211568815</v>
      </c>
      <c r="T160" s="197">
        <v>36.242303683143462</v>
      </c>
      <c r="U160" s="197">
        <v>34.606593865541996</v>
      </c>
      <c r="V160" s="197">
        <v>33.346134325633031</v>
      </c>
      <c r="W160" s="197">
        <v>32.482720559594043</v>
      </c>
      <c r="X160" s="197">
        <v>30.430315754955178</v>
      </c>
      <c r="Y160" s="197">
        <v>29.039001683511195</v>
      </c>
      <c r="Z160" s="197">
        <v>28.097863701336298</v>
      </c>
      <c r="AA160" s="197">
        <v>26.658583095990725</v>
      </c>
      <c r="AB160" s="16">
        <f>Peak!AB162</f>
        <v>0.77539639336602451</v>
      </c>
      <c r="AC160" s="16">
        <f>Peak!AC162</f>
        <v>0</v>
      </c>
      <c r="AD160" s="18">
        <f>Peak!AD162</f>
        <v>583.38187908572775</v>
      </c>
      <c r="AE160" s="18">
        <f>Peak!AE162</f>
        <v>1993.8465416709116</v>
      </c>
      <c r="AF160" s="16">
        <f>Peak!AF162</f>
        <v>1</v>
      </c>
      <c r="AG160" s="73">
        <f>Peak!AG162</f>
        <v>0</v>
      </c>
      <c r="AH160" s="16">
        <f>Peak!AH162</f>
        <v>3.3641483678147637</v>
      </c>
      <c r="AI160" s="16">
        <f>Peak!AI162</f>
        <v>3.4670600686601576</v>
      </c>
      <c r="AJ160" s="16">
        <f>Peak!AJ162</f>
        <v>0</v>
      </c>
      <c r="AK160" s="16">
        <f>Peak!AK162</f>
        <v>0</v>
      </c>
      <c r="AL160" s="4"/>
    </row>
    <row r="161" spans="1:38" x14ac:dyDescent="0.2">
      <c r="A161" s="1">
        <f t="shared" si="17"/>
        <v>41163.384000000195</v>
      </c>
      <c r="B161" s="16">
        <f t="shared" si="15"/>
        <v>3.3528844781903842</v>
      </c>
      <c r="C161" s="17">
        <f t="shared" si="12"/>
        <v>37.903502970330841</v>
      </c>
      <c r="D161" s="16">
        <f t="shared" si="16"/>
        <v>0.77668872068830119</v>
      </c>
      <c r="E161" s="16">
        <f t="shared" si="13"/>
        <v>0</v>
      </c>
      <c r="F161" s="16">
        <f t="shared" si="14"/>
        <v>0</v>
      </c>
      <c r="G161" s="19" t="str">
        <f>IF(IS!$C$2="Peak","-",SUM(C161:F161))</f>
        <v>-</v>
      </c>
      <c r="H161" s="197">
        <v>176.8019585806974</v>
      </c>
      <c r="I161" s="197">
        <v>159.7011453442756</v>
      </c>
      <c r="J161" s="197">
        <v>150.51259114802792</v>
      </c>
      <c r="K161" s="197">
        <v>90.947213013725744</v>
      </c>
      <c r="L161" s="197">
        <v>76.649718108444702</v>
      </c>
      <c r="M161" s="197">
        <v>73.550002279010158</v>
      </c>
      <c r="N161" s="197">
        <v>54.206323554958374</v>
      </c>
      <c r="O161" s="197">
        <v>47.745714881461666</v>
      </c>
      <c r="P161" s="197">
        <v>42.348218859640681</v>
      </c>
      <c r="Q161" s="197">
        <v>41.846944476147904</v>
      </c>
      <c r="R161" s="197">
        <v>40.344741109560928</v>
      </c>
      <c r="S161" s="197">
        <v>39.402590580135623</v>
      </c>
      <c r="T161" s="197">
        <v>37.683033767627286</v>
      </c>
      <c r="U161" s="197">
        <v>36.580858024611764</v>
      </c>
      <c r="V161" s="197">
        <v>36.421419927955455</v>
      </c>
      <c r="W161" s="197">
        <v>36.267432926496653</v>
      </c>
      <c r="X161" s="197">
        <v>36.125285667902652</v>
      </c>
      <c r="Y161" s="197">
        <v>36.125285667902652</v>
      </c>
      <c r="Z161" s="197">
        <v>36.125273990001951</v>
      </c>
      <c r="AA161" s="197">
        <v>34.554802150871957</v>
      </c>
      <c r="AB161" s="16">
        <f>Peak!AB163</f>
        <v>0.77668872068830119</v>
      </c>
      <c r="AC161" s="16">
        <f>Peak!AC163</f>
        <v>0</v>
      </c>
      <c r="AD161" s="18">
        <f>Peak!AD163</f>
        <v>583.38187908572775</v>
      </c>
      <c r="AE161" s="18">
        <f>Peak!AE163</f>
        <v>1993.8465416709116</v>
      </c>
      <c r="AF161" s="16">
        <f>Peak!AF163</f>
        <v>1</v>
      </c>
      <c r="AG161" s="73">
        <f>Peak!AG163</f>
        <v>0</v>
      </c>
      <c r="AH161" s="16">
        <f>Peak!AH163</f>
        <v>3.3528844781903842</v>
      </c>
      <c r="AI161" s="16">
        <f>Peak!AI163</f>
        <v>3.4670600686601576</v>
      </c>
      <c r="AJ161" s="16">
        <f>Peak!AJ163</f>
        <v>0</v>
      </c>
      <c r="AK161" s="16">
        <f>Peak!AK163</f>
        <v>0</v>
      </c>
      <c r="AL161" s="4"/>
    </row>
    <row r="162" spans="1:38" x14ac:dyDescent="0.2">
      <c r="A162" s="1">
        <f t="shared" si="17"/>
        <v>41193.801000000196</v>
      </c>
      <c r="B162" s="16">
        <f t="shared" si="15"/>
        <v>3.7133289461705372</v>
      </c>
      <c r="C162" s="17">
        <f t="shared" si="12"/>
        <v>41.978235652471668</v>
      </c>
      <c r="D162" s="16">
        <f t="shared" si="16"/>
        <v>0.77798320188944836</v>
      </c>
      <c r="E162" s="16">
        <f t="shared" si="13"/>
        <v>0</v>
      </c>
      <c r="F162" s="16">
        <f t="shared" si="14"/>
        <v>0</v>
      </c>
      <c r="G162" s="19" t="str">
        <f>IF(IS!$C$2="Peak","-",SUM(C162:F162))</f>
        <v>-</v>
      </c>
      <c r="H162" s="197">
        <v>113.9764424835931</v>
      </c>
      <c r="I162" s="197">
        <v>95.726348316431626</v>
      </c>
      <c r="J162" s="197">
        <v>90.032341758727085</v>
      </c>
      <c r="K162" s="197">
        <v>78.984540913025612</v>
      </c>
      <c r="L162" s="197">
        <v>69.387244219364135</v>
      </c>
      <c r="M162" s="197">
        <v>65.083929179109845</v>
      </c>
      <c r="N162" s="197">
        <v>60.304998210874793</v>
      </c>
      <c r="O162" s="197">
        <v>59.720263465376107</v>
      </c>
      <c r="P162" s="197">
        <v>49.597320012292073</v>
      </c>
      <c r="Q162" s="197">
        <v>45.397713357823399</v>
      </c>
      <c r="R162" s="197">
        <v>42.412746353039488</v>
      </c>
      <c r="S162" s="197">
        <v>37.899222099633661</v>
      </c>
      <c r="T162" s="197">
        <v>32.851892060740752</v>
      </c>
      <c r="U162" s="197">
        <v>31.486190284037967</v>
      </c>
      <c r="V162" s="197">
        <v>30.514435321612687</v>
      </c>
      <c r="W162" s="197">
        <v>30.472210713429458</v>
      </c>
      <c r="X162" s="197">
        <v>30.172685520183776</v>
      </c>
      <c r="Y162" s="197">
        <v>29.775148096785124</v>
      </c>
      <c r="Z162" s="197">
        <v>29.775148096785124</v>
      </c>
      <c r="AA162" s="197">
        <v>29.767154027057842</v>
      </c>
      <c r="AB162" s="16">
        <f>Peak!AB164</f>
        <v>0.77798320188944836</v>
      </c>
      <c r="AC162" s="16">
        <f>Peak!AC164</f>
        <v>0</v>
      </c>
      <c r="AD162" s="18">
        <f>Peak!AD164</f>
        <v>583.38187908572775</v>
      </c>
      <c r="AE162" s="18">
        <f>Peak!AE164</f>
        <v>1993.8465416709116</v>
      </c>
      <c r="AF162" s="16">
        <f>Peak!AF164</f>
        <v>1</v>
      </c>
      <c r="AG162" s="73">
        <f>Peak!AG164</f>
        <v>0</v>
      </c>
      <c r="AH162" s="16">
        <f>Peak!AH164</f>
        <v>3.7133289461705372</v>
      </c>
      <c r="AI162" s="16">
        <f>Peak!AI164</f>
        <v>3.4670600686601576</v>
      </c>
      <c r="AJ162" s="16">
        <f>Peak!AJ164</f>
        <v>0</v>
      </c>
      <c r="AK162" s="16">
        <f>Peak!AK164</f>
        <v>0</v>
      </c>
      <c r="AL162" s="4"/>
    </row>
    <row r="163" spans="1:38" x14ac:dyDescent="0.2">
      <c r="A163" s="1">
        <f t="shared" si="17"/>
        <v>41224.218000000197</v>
      </c>
      <c r="B163" s="16">
        <f t="shared" si="15"/>
        <v>4.0662641544011038</v>
      </c>
      <c r="C163" s="17">
        <f t="shared" si="12"/>
        <v>45.968078070401219</v>
      </c>
      <c r="D163" s="16">
        <f t="shared" si="16"/>
        <v>0.77927984055926414</v>
      </c>
      <c r="E163" s="16">
        <f t="shared" si="13"/>
        <v>0</v>
      </c>
      <c r="F163" s="16">
        <f t="shared" si="14"/>
        <v>0</v>
      </c>
      <c r="G163" s="19" t="str">
        <f>IF(IS!$C$2="Peak","-",SUM(C163:F163))</f>
        <v>-</v>
      </c>
      <c r="H163" s="197">
        <v>150.94312074135209</v>
      </c>
      <c r="I163" s="197">
        <v>141.87364004814847</v>
      </c>
      <c r="J163" s="197">
        <v>117.83406294120584</v>
      </c>
      <c r="K163" s="197">
        <v>86.004926470161351</v>
      </c>
      <c r="L163" s="197">
        <v>76.644330463569943</v>
      </c>
      <c r="M163" s="197">
        <v>73.049881675657758</v>
      </c>
      <c r="N163" s="197">
        <v>66.029839536720885</v>
      </c>
      <c r="O163" s="197">
        <v>51.776036292460311</v>
      </c>
      <c r="P163" s="197">
        <v>51.389700393309155</v>
      </c>
      <c r="Q163" s="197">
        <v>50.223365628530118</v>
      </c>
      <c r="R163" s="197">
        <v>41.575141531708766</v>
      </c>
      <c r="S163" s="197">
        <v>40.706317905344122</v>
      </c>
      <c r="T163" s="197">
        <v>37.089893689292509</v>
      </c>
      <c r="U163" s="197">
        <v>36.100443176539784</v>
      </c>
      <c r="V163" s="197">
        <v>35.845602208937706</v>
      </c>
      <c r="W163" s="197">
        <v>35.796159189260322</v>
      </c>
      <c r="X163" s="197">
        <v>35.796159189260322</v>
      </c>
      <c r="Y163" s="197">
        <v>35.744139678765748</v>
      </c>
      <c r="Z163" s="197">
        <v>35.222548354049643</v>
      </c>
      <c r="AA163" s="197">
        <v>34.593899620999487</v>
      </c>
      <c r="AB163" s="16">
        <f>Peak!AB165</f>
        <v>0.77927984055926414</v>
      </c>
      <c r="AC163" s="16">
        <f>Peak!AC165</f>
        <v>0</v>
      </c>
      <c r="AD163" s="18">
        <f>Peak!AD165</f>
        <v>583.38187908572775</v>
      </c>
      <c r="AE163" s="18">
        <f>Peak!AE165</f>
        <v>1993.8465416709116</v>
      </c>
      <c r="AF163" s="16">
        <f>Peak!AF165</f>
        <v>1</v>
      </c>
      <c r="AG163" s="73">
        <f>Peak!AG165</f>
        <v>0</v>
      </c>
      <c r="AH163" s="16">
        <f>Peak!AH165</f>
        <v>4.0662641544011038</v>
      </c>
      <c r="AI163" s="16">
        <f>Peak!AI165</f>
        <v>3.7590230218104868</v>
      </c>
      <c r="AJ163" s="16">
        <f>Peak!AJ165</f>
        <v>0</v>
      </c>
      <c r="AK163" s="16">
        <f>Peak!AK165</f>
        <v>0</v>
      </c>
      <c r="AL163" s="4"/>
    </row>
    <row r="164" spans="1:38" x14ac:dyDescent="0.2">
      <c r="A164" s="1">
        <f t="shared" si="17"/>
        <v>41254.635000000198</v>
      </c>
      <c r="B164" s="16">
        <f t="shared" si="15"/>
        <v>4.4004262132577043</v>
      </c>
      <c r="C164" s="17">
        <f t="shared" si="12"/>
        <v>49.745694827802623</v>
      </c>
      <c r="D164" s="16">
        <f t="shared" si="16"/>
        <v>0.78057864029352964</v>
      </c>
      <c r="E164" s="16">
        <f t="shared" si="13"/>
        <v>0</v>
      </c>
      <c r="F164" s="16">
        <f t="shared" si="14"/>
        <v>0</v>
      </c>
      <c r="G164" s="19" t="str">
        <f>IF(IS!$C$2="Peak","-",SUM(C164:F164))</f>
        <v>-</v>
      </c>
      <c r="H164" s="197">
        <v>151.55627780310641</v>
      </c>
      <c r="I164" s="197">
        <v>148.07690728240505</v>
      </c>
      <c r="J164" s="197">
        <v>102.49287749641624</v>
      </c>
      <c r="K164" s="197">
        <v>93.011128274355002</v>
      </c>
      <c r="L164" s="197">
        <v>87.067592105519381</v>
      </c>
      <c r="M164" s="197">
        <v>84.029523567702384</v>
      </c>
      <c r="N164" s="197">
        <v>82.463495726401447</v>
      </c>
      <c r="O164" s="197">
        <v>68.281487727704999</v>
      </c>
      <c r="P164" s="197">
        <v>57.14464164778186</v>
      </c>
      <c r="Q164" s="197">
        <v>47.686365273820833</v>
      </c>
      <c r="R164" s="197">
        <v>46.80022528618602</v>
      </c>
      <c r="S164" s="197">
        <v>41.645760666771153</v>
      </c>
      <c r="T164" s="197">
        <v>41.036742651639223</v>
      </c>
      <c r="U164" s="197">
        <v>41.036742651639223</v>
      </c>
      <c r="V164" s="197">
        <v>41.036742651639223</v>
      </c>
      <c r="W164" s="197">
        <v>41.036742651639223</v>
      </c>
      <c r="X164" s="197">
        <v>40.705390418143573</v>
      </c>
      <c r="Y164" s="197">
        <v>40.698734579925976</v>
      </c>
      <c r="Z164" s="197">
        <v>40.698734579925976</v>
      </c>
      <c r="AA164" s="197">
        <v>37.37936014422511</v>
      </c>
      <c r="AB164" s="16">
        <f>Peak!AB166</f>
        <v>0.78057864029352964</v>
      </c>
      <c r="AC164" s="16">
        <f>Peak!AC166</f>
        <v>0</v>
      </c>
      <c r="AD164" s="18">
        <f>Peak!AD166</f>
        <v>583.38187908572775</v>
      </c>
      <c r="AE164" s="18">
        <f>Peak!AE166</f>
        <v>1993.8465416709116</v>
      </c>
      <c r="AF164" s="16">
        <f>Peak!AF166</f>
        <v>1</v>
      </c>
      <c r="AG164" s="73">
        <f>Peak!AG166</f>
        <v>0</v>
      </c>
      <c r="AH164" s="16">
        <f>Peak!AH166</f>
        <v>4.4004262132577043</v>
      </c>
      <c r="AI164" s="16">
        <f>Peak!AI166</f>
        <v>3.9414998675294424</v>
      </c>
      <c r="AJ164" s="16">
        <f>Peak!AJ166</f>
        <v>0</v>
      </c>
      <c r="AK164" s="16">
        <f>Peak!AK166</f>
        <v>0</v>
      </c>
      <c r="AL164" s="4"/>
    </row>
    <row r="165" spans="1:38" x14ac:dyDescent="0.2">
      <c r="A165" s="1">
        <f t="shared" si="17"/>
        <v>41285.0520000002</v>
      </c>
      <c r="B165" s="16">
        <f t="shared" si="15"/>
        <v>4.4208538096916277</v>
      </c>
      <c r="C165" s="17">
        <f t="shared" si="12"/>
        <v>49.976623589931584</v>
      </c>
      <c r="D165" s="16">
        <f t="shared" si="16"/>
        <v>0.78187960469401885</v>
      </c>
      <c r="E165" s="16">
        <f t="shared" si="13"/>
        <v>0</v>
      </c>
      <c r="F165" s="16">
        <f t="shared" si="14"/>
        <v>0</v>
      </c>
      <c r="G165" s="19" t="str">
        <f>IF(IS!$C$2="Peak","-",SUM(C165:F165))</f>
        <v>-</v>
      </c>
      <c r="H165" s="197">
        <v>106.12619029558753</v>
      </c>
      <c r="I165" s="197">
        <v>102.51069987331269</v>
      </c>
      <c r="J165" s="197">
        <v>98.122766843722871</v>
      </c>
      <c r="K165" s="197">
        <v>93.81794732113832</v>
      </c>
      <c r="L165" s="197">
        <v>93.600351090235961</v>
      </c>
      <c r="M165" s="197">
        <v>87.240003831409297</v>
      </c>
      <c r="N165" s="197">
        <v>63.624450731978321</v>
      </c>
      <c r="O165" s="197">
        <v>57.03791724863104</v>
      </c>
      <c r="P165" s="197">
        <v>52.29446650583639</v>
      </c>
      <c r="Q165" s="197">
        <v>44.884107361873056</v>
      </c>
      <c r="R165" s="197">
        <v>44.884107361873056</v>
      </c>
      <c r="S165" s="197">
        <v>44.884107361873056</v>
      </c>
      <c r="T165" s="197">
        <v>44.883975991450939</v>
      </c>
      <c r="U165" s="197">
        <v>44.506032806250929</v>
      </c>
      <c r="V165" s="197">
        <v>44.504710288822203</v>
      </c>
      <c r="W165" s="197">
        <v>44.504710288822203</v>
      </c>
      <c r="X165" s="197">
        <v>44.504710288822203</v>
      </c>
      <c r="Y165" s="197">
        <v>44.504688158917631</v>
      </c>
      <c r="Z165" s="197">
        <v>44.504550516071816</v>
      </c>
      <c r="AA165" s="197">
        <v>37.573813892644687</v>
      </c>
      <c r="AB165" s="16">
        <f>Peak!AB167</f>
        <v>0.78187960469401885</v>
      </c>
      <c r="AC165" s="16">
        <f>Peak!AC167</f>
        <v>0</v>
      </c>
      <c r="AD165" s="18">
        <f>Peak!AD167</f>
        <v>654.12455073352146</v>
      </c>
      <c r="AE165" s="18">
        <f>Peak!AE167</f>
        <v>1780.92328465844</v>
      </c>
      <c r="AF165" s="16">
        <f>Peak!AF167</f>
        <v>1</v>
      </c>
      <c r="AG165" s="73">
        <f>Peak!AG167</f>
        <v>0</v>
      </c>
      <c r="AH165" s="16">
        <f>Peak!AH167</f>
        <v>4.4208538096916277</v>
      </c>
      <c r="AI165" s="16">
        <f>Peak!AI167</f>
        <v>4.1231816791224452</v>
      </c>
      <c r="AJ165" s="16">
        <f>Peak!AJ167</f>
        <v>0</v>
      </c>
      <c r="AK165" s="16">
        <f>Peak!AK167</f>
        <v>0</v>
      </c>
      <c r="AL165" s="4"/>
    </row>
    <row r="166" spans="1:38" x14ac:dyDescent="0.2">
      <c r="A166" s="1">
        <f t="shared" si="17"/>
        <v>41315.469000000201</v>
      </c>
      <c r="B166" s="16">
        <f t="shared" si="15"/>
        <v>3.9623078028353156</v>
      </c>
      <c r="C166" s="17">
        <f t="shared" si="12"/>
        <v>44.7928780579972</v>
      </c>
      <c r="D166" s="16">
        <f t="shared" si="16"/>
        <v>0.78318273736850896</v>
      </c>
      <c r="E166" s="16">
        <f t="shared" si="13"/>
        <v>0</v>
      </c>
      <c r="F166" s="16">
        <f t="shared" si="14"/>
        <v>0</v>
      </c>
      <c r="G166" s="19" t="str">
        <f>IF(IS!$C$2="Peak","-",SUM(C166:F166))</f>
        <v>-</v>
      </c>
      <c r="H166" s="197">
        <v>151.79412228291909</v>
      </c>
      <c r="I166" s="197">
        <v>133.19880500863957</v>
      </c>
      <c r="J166" s="197">
        <v>96.077602482325162</v>
      </c>
      <c r="K166" s="197">
        <v>80.664747690849907</v>
      </c>
      <c r="L166" s="197">
        <v>75.75716139465878</v>
      </c>
      <c r="M166" s="197">
        <v>70.545563342924353</v>
      </c>
      <c r="N166" s="197">
        <v>66.054733208214245</v>
      </c>
      <c r="O166" s="197">
        <v>65.723298501791106</v>
      </c>
      <c r="P166" s="197">
        <v>60.221955529800674</v>
      </c>
      <c r="Q166" s="197">
        <v>46.840869945777683</v>
      </c>
      <c r="R166" s="197">
        <v>45.156117074188117</v>
      </c>
      <c r="S166" s="197">
        <v>40.863585989495718</v>
      </c>
      <c r="T166" s="197">
        <v>38.725340015393087</v>
      </c>
      <c r="U166" s="197">
        <v>37.720555375358394</v>
      </c>
      <c r="V166" s="197">
        <v>37.457670360863801</v>
      </c>
      <c r="W166" s="197">
        <v>37.027424641575514</v>
      </c>
      <c r="X166" s="197">
        <v>36.0558100360089</v>
      </c>
      <c r="Y166" s="197">
        <v>35.219147083769741</v>
      </c>
      <c r="Z166" s="197">
        <v>33.701301137199707</v>
      </c>
      <c r="AA166" s="197">
        <v>32.672672087765861</v>
      </c>
      <c r="AB166" s="16">
        <f>Peak!AB168</f>
        <v>0.78318273736850896</v>
      </c>
      <c r="AC166" s="16">
        <f>Peak!AC168</f>
        <v>0</v>
      </c>
      <c r="AD166" s="18">
        <f>Peak!AD168</f>
        <v>654.12455073352146</v>
      </c>
      <c r="AE166" s="18">
        <f>Peak!AE168</f>
        <v>1780.92328465844</v>
      </c>
      <c r="AF166" s="16">
        <f>Peak!AF168</f>
        <v>1</v>
      </c>
      <c r="AG166" s="73">
        <f>Peak!AG168</f>
        <v>0</v>
      </c>
      <c r="AH166" s="16">
        <f>Peak!AH168</f>
        <v>3.9623078028353156</v>
      </c>
      <c r="AI166" s="16">
        <f>Peak!AI168</f>
        <v>4.0850040709824222</v>
      </c>
      <c r="AJ166" s="16">
        <f>Peak!AJ168</f>
        <v>0</v>
      </c>
      <c r="AK166" s="16">
        <f>Peak!AK168</f>
        <v>0</v>
      </c>
      <c r="AL166" s="4"/>
    </row>
    <row r="167" spans="1:38" x14ac:dyDescent="0.2">
      <c r="A167" s="1">
        <f t="shared" si="17"/>
        <v>41345.886000000202</v>
      </c>
      <c r="B167" s="16">
        <f t="shared" si="15"/>
        <v>3.8956814599587575</v>
      </c>
      <c r="C167" s="17">
        <f t="shared" si="12"/>
        <v>44.039684262758875</v>
      </c>
      <c r="D167" s="16">
        <f t="shared" si="16"/>
        <v>0.7844880419307898</v>
      </c>
      <c r="E167" s="16">
        <f t="shared" si="13"/>
        <v>0</v>
      </c>
      <c r="F167" s="16">
        <f t="shared" si="14"/>
        <v>0</v>
      </c>
      <c r="G167" s="19" t="str">
        <f>IF(IS!$C$2="Peak","-",SUM(C167:F167))</f>
        <v>-</v>
      </c>
      <c r="H167" s="197">
        <v>130.92490215329627</v>
      </c>
      <c r="I167" s="197">
        <v>87.001019970655065</v>
      </c>
      <c r="J167" s="197">
        <v>79.422978509404174</v>
      </c>
      <c r="K167" s="197">
        <v>74.163895660650496</v>
      </c>
      <c r="L167" s="197">
        <v>68.901190838586842</v>
      </c>
      <c r="M167" s="197">
        <v>68.407416647255786</v>
      </c>
      <c r="N167" s="197">
        <v>65.035602548860965</v>
      </c>
      <c r="O167" s="197">
        <v>52.668081081010861</v>
      </c>
      <c r="P167" s="197">
        <v>47.86419868144867</v>
      </c>
      <c r="Q167" s="197">
        <v>46.526266527805305</v>
      </c>
      <c r="R167" s="197">
        <v>43.466590296662119</v>
      </c>
      <c r="S167" s="197">
        <v>41.748134265386497</v>
      </c>
      <c r="T167" s="197">
        <v>40.240618087042641</v>
      </c>
      <c r="U167" s="197">
        <v>39.600190275219298</v>
      </c>
      <c r="V167" s="197">
        <v>38.982926102938997</v>
      </c>
      <c r="W167" s="197">
        <v>38.827860690597319</v>
      </c>
      <c r="X167" s="197">
        <v>38.106203689253043</v>
      </c>
      <c r="Y167" s="197">
        <v>37.05582737238695</v>
      </c>
      <c r="Z167" s="197">
        <v>36.184842411621361</v>
      </c>
      <c r="AA167" s="197">
        <v>33.824241385890879</v>
      </c>
      <c r="AB167" s="16">
        <f>Peak!AB169</f>
        <v>0.7844880419307898</v>
      </c>
      <c r="AC167" s="16">
        <f>Peak!AC169</f>
        <v>0</v>
      </c>
      <c r="AD167" s="18">
        <f>Peak!AD169</f>
        <v>654.12455073352146</v>
      </c>
      <c r="AE167" s="18">
        <f>Peak!AE169</f>
        <v>1780.92328465844</v>
      </c>
      <c r="AF167" s="16">
        <f>Peak!AF169</f>
        <v>1</v>
      </c>
      <c r="AG167" s="73">
        <f>Peak!AG169</f>
        <v>0</v>
      </c>
      <c r="AH167" s="16">
        <f>Peak!AH169</f>
        <v>3.8956814599587575</v>
      </c>
      <c r="AI167" s="16">
        <f>Peak!AI169</f>
        <v>3.9322936384223315</v>
      </c>
      <c r="AJ167" s="16">
        <f>Peak!AJ169</f>
        <v>0</v>
      </c>
      <c r="AK167" s="16">
        <f>Peak!AK169</f>
        <v>0</v>
      </c>
      <c r="AL167" s="4"/>
    </row>
    <row r="168" spans="1:38" x14ac:dyDescent="0.2">
      <c r="A168" s="1">
        <f t="shared" si="17"/>
        <v>41376.303000000204</v>
      </c>
      <c r="B168" s="16">
        <f t="shared" si="15"/>
        <v>3.7036408246086778</v>
      </c>
      <c r="C168" s="17">
        <f t="shared" si="12"/>
        <v>41.868713911777803</v>
      </c>
      <c r="D168" s="16">
        <f t="shared" si="16"/>
        <v>0.78579552200067448</v>
      </c>
      <c r="E168" s="16">
        <f t="shared" si="13"/>
        <v>0</v>
      </c>
      <c r="F168" s="16">
        <f t="shared" si="14"/>
        <v>0</v>
      </c>
      <c r="G168" s="19" t="str">
        <f>IF(IS!$C$2="Peak","-",SUM(C168:F168))</f>
        <v>-</v>
      </c>
      <c r="H168" s="197">
        <v>75.291892039941132</v>
      </c>
      <c r="I168" s="197">
        <v>70.581250141746182</v>
      </c>
      <c r="J168" s="197">
        <v>68.31126073704695</v>
      </c>
      <c r="K168" s="197">
        <v>65.225737772520759</v>
      </c>
      <c r="L168" s="197">
        <v>61.404912834763252</v>
      </c>
      <c r="M168" s="197">
        <v>58.620357969240253</v>
      </c>
      <c r="N168" s="197">
        <v>58.361511152154229</v>
      </c>
      <c r="O168" s="197">
        <v>53.672410899136089</v>
      </c>
      <c r="P168" s="197">
        <v>45.608147886351745</v>
      </c>
      <c r="Q168" s="197">
        <v>41.769217538050952</v>
      </c>
      <c r="R168" s="197">
        <v>41.115368010847888</v>
      </c>
      <c r="S168" s="197">
        <v>39.39818458834656</v>
      </c>
      <c r="T168" s="197">
        <v>38.338946631017656</v>
      </c>
      <c r="U168" s="197">
        <v>37.379865102629466</v>
      </c>
      <c r="V168" s="197">
        <v>36.371999511171218</v>
      </c>
      <c r="W168" s="197">
        <v>35.456565317216636</v>
      </c>
      <c r="X168" s="197">
        <v>34.112064138170624</v>
      </c>
      <c r="Y168" s="197">
        <v>33.50577852834283</v>
      </c>
      <c r="Z168" s="197">
        <v>32.802783894527714</v>
      </c>
      <c r="AA168" s="197">
        <v>30.719553812868668</v>
      </c>
      <c r="AB168" s="16">
        <f>Peak!AB170</f>
        <v>0.78579552200067448</v>
      </c>
      <c r="AC168" s="16">
        <f>Peak!AC170</f>
        <v>0</v>
      </c>
      <c r="AD168" s="18">
        <f>Peak!AD170</f>
        <v>654.12455073352146</v>
      </c>
      <c r="AE168" s="18">
        <f>Peak!AE170</f>
        <v>1780.92328465844</v>
      </c>
      <c r="AF168" s="16">
        <f>Peak!AF170</f>
        <v>1</v>
      </c>
      <c r="AG168" s="73">
        <f>Peak!AG170</f>
        <v>0</v>
      </c>
      <c r="AH168" s="16">
        <f>Peak!AH170</f>
        <v>3.7036408246086778</v>
      </c>
      <c r="AI168" s="16">
        <f>Peak!AI170</f>
        <v>3.7795832058622412</v>
      </c>
      <c r="AJ168" s="16">
        <f>Peak!AJ170</f>
        <v>0</v>
      </c>
      <c r="AK168" s="16">
        <f>Peak!AK170</f>
        <v>0</v>
      </c>
      <c r="AL168" s="4"/>
    </row>
    <row r="169" spans="1:38" x14ac:dyDescent="0.2">
      <c r="A169" s="1">
        <f t="shared" si="17"/>
        <v>41406.720000000205</v>
      </c>
      <c r="B169" s="16">
        <f t="shared" si="15"/>
        <v>3.899600656598555</v>
      </c>
      <c r="C169" s="17">
        <f t="shared" si="12"/>
        <v>44.083989780125826</v>
      </c>
      <c r="D169" s="16">
        <f t="shared" si="16"/>
        <v>0.78710518120400896</v>
      </c>
      <c r="E169" s="16">
        <f t="shared" si="13"/>
        <v>0</v>
      </c>
      <c r="F169" s="16">
        <f t="shared" si="14"/>
        <v>0</v>
      </c>
      <c r="G169" s="19" t="str">
        <f>IF(IS!$C$2="Peak","-",SUM(C169:F169))</f>
        <v>-</v>
      </c>
      <c r="H169" s="197">
        <v>132.28228071017253</v>
      </c>
      <c r="I169" s="197">
        <v>80.18925154711323</v>
      </c>
      <c r="J169" s="197">
        <v>66.638000116404868</v>
      </c>
      <c r="K169" s="197">
        <v>63.279614137145018</v>
      </c>
      <c r="L169" s="197">
        <v>55.732111064533548</v>
      </c>
      <c r="M169" s="197">
        <v>52.009475870491571</v>
      </c>
      <c r="N169" s="197">
        <v>49.268575495557343</v>
      </c>
      <c r="O169" s="197">
        <v>48.4844852037332</v>
      </c>
      <c r="P169" s="197">
        <v>45.571894278449413</v>
      </c>
      <c r="Q169" s="197">
        <v>43.995092651676458</v>
      </c>
      <c r="R169" s="197">
        <v>42.051786628095577</v>
      </c>
      <c r="S169" s="197">
        <v>40.851203685406084</v>
      </c>
      <c r="T169" s="197">
        <v>38.839610399867674</v>
      </c>
      <c r="U169" s="197">
        <v>36.112850101280848</v>
      </c>
      <c r="V169" s="197">
        <v>34.878241701971405</v>
      </c>
      <c r="W169" s="197">
        <v>33.387547805886221</v>
      </c>
      <c r="X169" s="197">
        <v>32.892617618123992</v>
      </c>
      <c r="Y169" s="197">
        <v>32.327800895859752</v>
      </c>
      <c r="Z169" s="197">
        <v>31.867461279521343</v>
      </c>
      <c r="AA169" s="197">
        <v>31.172742701152334</v>
      </c>
      <c r="AB169" s="16">
        <f>Peak!AB171</f>
        <v>0.78710518120400896</v>
      </c>
      <c r="AC169" s="16">
        <f>Peak!AC171</f>
        <v>0</v>
      </c>
      <c r="AD169" s="18">
        <f>Peak!AD171</f>
        <v>654.12455073352146</v>
      </c>
      <c r="AE169" s="18">
        <f>Peak!AE171</f>
        <v>1780.92328465844</v>
      </c>
      <c r="AF169" s="16">
        <f>Peak!AF171</f>
        <v>1</v>
      </c>
      <c r="AG169" s="73">
        <f>Peak!AG171</f>
        <v>0</v>
      </c>
      <c r="AH169" s="16">
        <f>Peak!AH171</f>
        <v>3.899600656598555</v>
      </c>
      <c r="AI169" s="16">
        <f>Peak!AI171</f>
        <v>3.6268727733021504</v>
      </c>
      <c r="AJ169" s="16">
        <f>Peak!AJ171</f>
        <v>0</v>
      </c>
      <c r="AK169" s="16">
        <f>Peak!AK171</f>
        <v>0</v>
      </c>
      <c r="AL169" s="4"/>
    </row>
    <row r="170" spans="1:38" x14ac:dyDescent="0.2">
      <c r="A170" s="1">
        <f t="shared" si="17"/>
        <v>41437.137000000206</v>
      </c>
      <c r="B170" s="16">
        <f t="shared" si="15"/>
        <v>3.7153984145280705</v>
      </c>
      <c r="C170" s="17">
        <f t="shared" si="12"/>
        <v>42.001630463878676</v>
      </c>
      <c r="D170" s="16">
        <f t="shared" si="16"/>
        <v>0.78841702317268236</v>
      </c>
      <c r="E170" s="16">
        <f t="shared" si="13"/>
        <v>0</v>
      </c>
      <c r="F170" s="16">
        <f t="shared" si="14"/>
        <v>0</v>
      </c>
      <c r="G170" s="19" t="str">
        <f>IF(IS!$C$2="Peak","-",SUM(C170:F170))</f>
        <v>-</v>
      </c>
      <c r="H170" s="197">
        <v>168.09606373165417</v>
      </c>
      <c r="I170" s="197">
        <v>154.25327328371779</v>
      </c>
      <c r="J170" s="197">
        <v>138.54527631722073</v>
      </c>
      <c r="K170" s="197">
        <v>102.56348084116306</v>
      </c>
      <c r="L170" s="197">
        <v>83.793337279215194</v>
      </c>
      <c r="M170" s="197">
        <v>75.589130310194093</v>
      </c>
      <c r="N170" s="197">
        <v>69.084408718717128</v>
      </c>
      <c r="O170" s="197">
        <v>55.660713317052632</v>
      </c>
      <c r="P170" s="197">
        <v>48.915293425598101</v>
      </c>
      <c r="Q170" s="197">
        <v>38.376569606544521</v>
      </c>
      <c r="R170" s="197">
        <v>36.130195808241524</v>
      </c>
      <c r="S170" s="197">
        <v>35.80654368949827</v>
      </c>
      <c r="T170" s="197">
        <v>35.806533408160618</v>
      </c>
      <c r="U170" s="197">
        <v>35.806533408160618</v>
      </c>
      <c r="V170" s="197">
        <v>35.806447837393513</v>
      </c>
      <c r="W170" s="197">
        <v>35.806124031889844</v>
      </c>
      <c r="X170" s="197">
        <v>35.806124031889844</v>
      </c>
      <c r="Y170" s="197">
        <v>35.799929648437782</v>
      </c>
      <c r="Z170" s="197">
        <v>34.661370336667538</v>
      </c>
      <c r="AA170" s="197">
        <v>30.61628090706964</v>
      </c>
      <c r="AB170" s="16">
        <f>Peak!AB172</f>
        <v>0.78841702317268236</v>
      </c>
      <c r="AC170" s="16">
        <f>Peak!AC172</f>
        <v>0</v>
      </c>
      <c r="AD170" s="18">
        <f>Peak!AD172</f>
        <v>654.12455073352146</v>
      </c>
      <c r="AE170" s="18">
        <f>Peak!AE172</f>
        <v>1780.92328465844</v>
      </c>
      <c r="AF170" s="16">
        <f>Peak!AF172</f>
        <v>1</v>
      </c>
      <c r="AG170" s="73">
        <f>Peak!AG172</f>
        <v>0</v>
      </c>
      <c r="AH170" s="16">
        <f>Peak!AH172</f>
        <v>3.7153984145280705</v>
      </c>
      <c r="AI170" s="16">
        <f>Peak!AI172</f>
        <v>3.6268727733021504</v>
      </c>
      <c r="AJ170" s="16">
        <f>Peak!AJ172</f>
        <v>0</v>
      </c>
      <c r="AK170" s="16">
        <f>Peak!AK172</f>
        <v>0</v>
      </c>
      <c r="AL170" s="4"/>
    </row>
    <row r="171" spans="1:38" x14ac:dyDescent="0.2">
      <c r="A171" s="1">
        <f t="shared" si="17"/>
        <v>41467.554000000207</v>
      </c>
      <c r="B171" s="16">
        <f t="shared" si="15"/>
        <v>3.7036408246086778</v>
      </c>
      <c r="C171" s="17">
        <f t="shared" si="12"/>
        <v>41.868713911777803</v>
      </c>
      <c r="D171" s="16">
        <f t="shared" si="16"/>
        <v>0.78973105154463685</v>
      </c>
      <c r="E171" s="16">
        <f t="shared" si="13"/>
        <v>0</v>
      </c>
      <c r="F171" s="16">
        <f t="shared" si="14"/>
        <v>0</v>
      </c>
      <c r="G171" s="19" t="str">
        <f>IF(IS!$C$2="Peak","-",SUM(C171:F171))</f>
        <v>-</v>
      </c>
      <c r="H171" s="197">
        <v>298.63661482082802</v>
      </c>
      <c r="I171" s="197">
        <v>237.3647255403433</v>
      </c>
      <c r="J171" s="197">
        <v>216.47180674722722</v>
      </c>
      <c r="K171" s="197">
        <v>192.95765691791664</v>
      </c>
      <c r="L171" s="197">
        <v>173.50174306456341</v>
      </c>
      <c r="M171" s="197">
        <v>155.96324396993808</v>
      </c>
      <c r="N171" s="197">
        <v>105.92085459967311</v>
      </c>
      <c r="O171" s="197">
        <v>59.739791665613723</v>
      </c>
      <c r="P171" s="197">
        <v>50.601360874670469</v>
      </c>
      <c r="Q171" s="197">
        <v>47.357554626350961</v>
      </c>
      <c r="R171" s="197">
        <v>43.902470740626875</v>
      </c>
      <c r="S171" s="197">
        <v>40.736164139721417</v>
      </c>
      <c r="T171" s="197">
        <v>36.7858350671236</v>
      </c>
      <c r="U171" s="197">
        <v>34.813319277347503</v>
      </c>
      <c r="V171" s="197">
        <v>34.448405095786448</v>
      </c>
      <c r="W171" s="197">
        <v>33.510514169990664</v>
      </c>
      <c r="X171" s="197">
        <v>32.069069954726736</v>
      </c>
      <c r="Y171" s="197">
        <v>30.273451704588176</v>
      </c>
      <c r="Z171" s="197">
        <v>28.537090388263181</v>
      </c>
      <c r="AA171" s="197">
        <v>26.411742303466482</v>
      </c>
      <c r="AB171" s="16">
        <f>Peak!AB173</f>
        <v>0.78973105154463685</v>
      </c>
      <c r="AC171" s="16">
        <f>Peak!AC173</f>
        <v>0</v>
      </c>
      <c r="AD171" s="18">
        <f>Peak!AD173</f>
        <v>654.12455073352146</v>
      </c>
      <c r="AE171" s="18">
        <f>Peak!AE173</f>
        <v>1780.92328465844</v>
      </c>
      <c r="AF171" s="16">
        <f>Peak!AF173</f>
        <v>1</v>
      </c>
      <c r="AG171" s="73">
        <f>Peak!AG173</f>
        <v>0</v>
      </c>
      <c r="AH171" s="16">
        <f>Peak!AH173</f>
        <v>3.7036408246086778</v>
      </c>
      <c r="AI171" s="16">
        <f>Peak!AI173</f>
        <v>3.6268727733021504</v>
      </c>
      <c r="AJ171" s="16">
        <f>Peak!AJ173</f>
        <v>0</v>
      </c>
      <c r="AK171" s="16">
        <f>Peak!AK173</f>
        <v>0</v>
      </c>
      <c r="AL171" s="4"/>
    </row>
    <row r="172" spans="1:38" x14ac:dyDescent="0.2">
      <c r="A172" s="1">
        <f t="shared" si="17"/>
        <v>41497.971000000209</v>
      </c>
      <c r="B172" s="16">
        <f t="shared" si="15"/>
        <v>3.5116001892585986</v>
      </c>
      <c r="C172" s="17">
        <f t="shared" si="12"/>
        <v>39.697743560796731</v>
      </c>
      <c r="D172" s="16">
        <f t="shared" si="16"/>
        <v>0.79104726996387797</v>
      </c>
      <c r="E172" s="16">
        <f t="shared" si="13"/>
        <v>0</v>
      </c>
      <c r="F172" s="16">
        <f t="shared" si="14"/>
        <v>0</v>
      </c>
      <c r="G172" s="19" t="str">
        <f>IF(IS!$C$2="Peak","-",SUM(C172:F172))</f>
        <v>-</v>
      </c>
      <c r="H172" s="197">
        <v>341.28113903947849</v>
      </c>
      <c r="I172" s="197">
        <v>241.3095177368422</v>
      </c>
      <c r="J172" s="197">
        <v>215.79056994617281</v>
      </c>
      <c r="K172" s="197">
        <v>187.89759172677657</v>
      </c>
      <c r="L172" s="197">
        <v>165.43996852887716</v>
      </c>
      <c r="M172" s="197">
        <v>140.65123220525521</v>
      </c>
      <c r="N172" s="197">
        <v>90.547253916649382</v>
      </c>
      <c r="O172" s="197">
        <v>74.404962587321734</v>
      </c>
      <c r="P172" s="197">
        <v>67.890385779976242</v>
      </c>
      <c r="Q172" s="197">
        <v>52.873303049155041</v>
      </c>
      <c r="R172" s="197">
        <v>45.251020360648653</v>
      </c>
      <c r="S172" s="197">
        <v>37.934796967229637</v>
      </c>
      <c r="T172" s="197">
        <v>35.762293025344732</v>
      </c>
      <c r="U172" s="197">
        <v>34.801937788912745</v>
      </c>
      <c r="V172" s="197">
        <v>34.58903599568589</v>
      </c>
      <c r="W172" s="197">
        <v>34.58903599568589</v>
      </c>
      <c r="X172" s="197">
        <v>34.58903599568589</v>
      </c>
      <c r="Y172" s="197">
        <v>34.58881150222421</v>
      </c>
      <c r="Z172" s="197">
        <v>34.588624897768895</v>
      </c>
      <c r="AA172" s="197">
        <v>31.887074446212232</v>
      </c>
      <c r="AB172" s="16">
        <f>Peak!AB174</f>
        <v>0.79104726996387797</v>
      </c>
      <c r="AC172" s="16">
        <f>Peak!AC174</f>
        <v>0</v>
      </c>
      <c r="AD172" s="18">
        <f>Peak!AD174</f>
        <v>654.12455073352146</v>
      </c>
      <c r="AE172" s="18">
        <f>Peak!AE174</f>
        <v>1780.92328465844</v>
      </c>
      <c r="AF172" s="16">
        <f>Peak!AF174</f>
        <v>1</v>
      </c>
      <c r="AG172" s="73">
        <f>Peak!AG174</f>
        <v>0</v>
      </c>
      <c r="AH172" s="16">
        <f>Peak!AH174</f>
        <v>3.5116001892585986</v>
      </c>
      <c r="AI172" s="16">
        <f>Peak!AI174</f>
        <v>3.6268727733021504</v>
      </c>
      <c r="AJ172" s="16">
        <f>Peak!AJ174</f>
        <v>0</v>
      </c>
      <c r="AK172" s="16">
        <f>Peak!AK174</f>
        <v>0</v>
      </c>
      <c r="AL172" s="4"/>
    </row>
    <row r="173" spans="1:38" x14ac:dyDescent="0.2">
      <c r="A173" s="1">
        <f t="shared" si="17"/>
        <v>41528.38800000021</v>
      </c>
      <c r="B173" s="16">
        <f t="shared" si="15"/>
        <v>3.4998425993392059</v>
      </c>
      <c r="C173" s="17">
        <f t="shared" si="12"/>
        <v>39.564827008695843</v>
      </c>
      <c r="D173" s="16">
        <f t="shared" si="16"/>
        <v>0.79236568208048452</v>
      </c>
      <c r="E173" s="16">
        <f t="shared" si="13"/>
        <v>0</v>
      </c>
      <c r="F173" s="16">
        <f t="shared" si="14"/>
        <v>0</v>
      </c>
      <c r="G173" s="19" t="str">
        <f>IF(IS!$C$2="Peak","-",SUM(C173:F173))</f>
        <v>-</v>
      </c>
      <c r="H173" s="197">
        <v>165.29192387135453</v>
      </c>
      <c r="I173" s="197">
        <v>152.62558254516222</v>
      </c>
      <c r="J173" s="197">
        <v>127.27208642200291</v>
      </c>
      <c r="K173" s="197">
        <v>92.37402080049192</v>
      </c>
      <c r="L173" s="197">
        <v>79.738950026255651</v>
      </c>
      <c r="M173" s="197">
        <v>73.896511230716229</v>
      </c>
      <c r="N173" s="197">
        <v>71.052869923052342</v>
      </c>
      <c r="O173" s="197">
        <v>51.148359208803654</v>
      </c>
      <c r="P173" s="197">
        <v>47.547184338088144</v>
      </c>
      <c r="Q173" s="197">
        <v>42.642986506523556</v>
      </c>
      <c r="R173" s="197">
        <v>37.14976886337832</v>
      </c>
      <c r="S173" s="197">
        <v>35.517309109508567</v>
      </c>
      <c r="T173" s="197">
        <v>35.456865361375577</v>
      </c>
      <c r="U173" s="197">
        <v>35.456849811220728</v>
      </c>
      <c r="V173" s="197">
        <v>35.456849811220728</v>
      </c>
      <c r="W173" s="197">
        <v>35.456849811220728</v>
      </c>
      <c r="X173" s="197">
        <v>35.456587918089824</v>
      </c>
      <c r="Y173" s="197">
        <v>35.456437849767354</v>
      </c>
      <c r="Z173" s="197">
        <v>35.456437849767354</v>
      </c>
      <c r="AA173" s="197">
        <v>33.499471519597883</v>
      </c>
      <c r="AB173" s="16">
        <f>Peak!AB175</f>
        <v>0.79236568208048452</v>
      </c>
      <c r="AC173" s="16">
        <f>Peak!AC175</f>
        <v>0</v>
      </c>
      <c r="AD173" s="18">
        <f>Peak!AD175</f>
        <v>654.12455073352146</v>
      </c>
      <c r="AE173" s="18">
        <f>Peak!AE175</f>
        <v>1780.92328465844</v>
      </c>
      <c r="AF173" s="16">
        <f>Peak!AF175</f>
        <v>1</v>
      </c>
      <c r="AG173" s="73">
        <f>Peak!AG175</f>
        <v>0</v>
      </c>
      <c r="AH173" s="16">
        <f>Peak!AH175</f>
        <v>3.4998425993392059</v>
      </c>
      <c r="AI173" s="16">
        <f>Peak!AI175</f>
        <v>3.6268727733021504</v>
      </c>
      <c r="AJ173" s="16">
        <f>Peak!AJ175</f>
        <v>0</v>
      </c>
      <c r="AK173" s="16">
        <f>Peak!AK175</f>
        <v>0</v>
      </c>
      <c r="AL173" s="4"/>
    </row>
    <row r="174" spans="1:38" x14ac:dyDescent="0.2">
      <c r="A174" s="1">
        <f t="shared" si="17"/>
        <v>41558.805000000211</v>
      </c>
      <c r="B174" s="16">
        <f t="shared" si="15"/>
        <v>3.8760854767597697</v>
      </c>
      <c r="C174" s="17">
        <f t="shared" si="12"/>
        <v>43.818156675924065</v>
      </c>
      <c r="D174" s="16">
        <f t="shared" si="16"/>
        <v>0.79368629155061865</v>
      </c>
      <c r="E174" s="16">
        <f t="shared" si="13"/>
        <v>0</v>
      </c>
      <c r="F174" s="16">
        <f t="shared" si="14"/>
        <v>0</v>
      </c>
      <c r="G174" s="19" t="str">
        <f>IF(IS!$C$2="Peak","-",SUM(C174:F174))</f>
        <v>-</v>
      </c>
      <c r="H174" s="197">
        <v>69.707755930463264</v>
      </c>
      <c r="I174" s="197">
        <v>67.379477696210571</v>
      </c>
      <c r="J174" s="197">
        <v>67.201604902022922</v>
      </c>
      <c r="K174" s="197">
        <v>67.017370820195964</v>
      </c>
      <c r="L174" s="197">
        <v>59.800665518553572</v>
      </c>
      <c r="M174" s="197">
        <v>51.156679375445066</v>
      </c>
      <c r="N174" s="197">
        <v>47.268389115259268</v>
      </c>
      <c r="O174" s="197">
        <v>46.633271929313544</v>
      </c>
      <c r="P174" s="197">
        <v>44.891850179937364</v>
      </c>
      <c r="Q174" s="197">
        <v>44.244981995692328</v>
      </c>
      <c r="R174" s="197">
        <v>43.655461967144852</v>
      </c>
      <c r="S174" s="197">
        <v>43.140512313031344</v>
      </c>
      <c r="T174" s="197">
        <v>42.38777402166869</v>
      </c>
      <c r="U174" s="197">
        <v>40.556111916073959</v>
      </c>
      <c r="V174" s="197">
        <v>38.426945019728265</v>
      </c>
      <c r="W174" s="197">
        <v>37.768700211907039</v>
      </c>
      <c r="X174" s="197">
        <v>35.470909991731773</v>
      </c>
      <c r="Y174" s="197">
        <v>35.05339076742203</v>
      </c>
      <c r="Z174" s="197">
        <v>34.345473747950088</v>
      </c>
      <c r="AA174" s="197">
        <v>33.409058290154995</v>
      </c>
      <c r="AB174" s="16">
        <f>Peak!AB176</f>
        <v>0.79368629155061865</v>
      </c>
      <c r="AC174" s="16">
        <f>Peak!AC176</f>
        <v>0</v>
      </c>
      <c r="AD174" s="18">
        <f>Peak!AD176</f>
        <v>654.12455073352146</v>
      </c>
      <c r="AE174" s="18">
        <f>Peak!AE176</f>
        <v>1780.92328465844</v>
      </c>
      <c r="AF174" s="16">
        <f>Peak!AF176</f>
        <v>1</v>
      </c>
      <c r="AG174" s="73">
        <f>Peak!AG176</f>
        <v>0</v>
      </c>
      <c r="AH174" s="16">
        <f>Peak!AH176</f>
        <v>3.8760854767597697</v>
      </c>
      <c r="AI174" s="16">
        <f>Peak!AI176</f>
        <v>3.6268727733021504</v>
      </c>
      <c r="AJ174" s="16">
        <f>Peak!AJ176</f>
        <v>0</v>
      </c>
      <c r="AK174" s="16">
        <f>Peak!AK176</f>
        <v>0</v>
      </c>
      <c r="AL174" s="4"/>
    </row>
    <row r="175" spans="1:38" x14ac:dyDescent="0.2">
      <c r="A175" s="1">
        <f t="shared" si="17"/>
        <v>41589.222000000213</v>
      </c>
      <c r="B175" s="16">
        <f t="shared" si="15"/>
        <v>4.2444899609007392</v>
      </c>
      <c r="C175" s="17">
        <f t="shared" si="12"/>
        <v>47.982875308418372</v>
      </c>
      <c r="D175" s="16">
        <f t="shared" si="16"/>
        <v>0.79500910203653641</v>
      </c>
      <c r="E175" s="16">
        <f t="shared" si="13"/>
        <v>0</v>
      </c>
      <c r="F175" s="16">
        <f t="shared" si="14"/>
        <v>0</v>
      </c>
      <c r="G175" s="19" t="str">
        <f>IF(IS!$C$2="Peak","-",SUM(C175:F175))</f>
        <v>-</v>
      </c>
      <c r="H175" s="197">
        <v>164.42422053051379</v>
      </c>
      <c r="I175" s="197">
        <v>156.80530225642536</v>
      </c>
      <c r="J175" s="197">
        <v>151.61086447207882</v>
      </c>
      <c r="K175" s="197">
        <v>119.15215539230744</v>
      </c>
      <c r="L175" s="197">
        <v>82.62861827296247</v>
      </c>
      <c r="M175" s="197">
        <v>71.559210620776767</v>
      </c>
      <c r="N175" s="197">
        <v>65.679738875689594</v>
      </c>
      <c r="O175" s="197">
        <v>60.764943268267302</v>
      </c>
      <c r="P175" s="197">
        <v>59.918662506005511</v>
      </c>
      <c r="Q175" s="197">
        <v>57.351860476603825</v>
      </c>
      <c r="R175" s="197">
        <v>45.472976570209973</v>
      </c>
      <c r="S175" s="197">
        <v>41.96038133873833</v>
      </c>
      <c r="T175" s="197">
        <v>37.381988066413626</v>
      </c>
      <c r="U175" s="197">
        <v>34.483564536988276</v>
      </c>
      <c r="V175" s="197">
        <v>34.23392387733773</v>
      </c>
      <c r="W175" s="197">
        <v>33.355438151268878</v>
      </c>
      <c r="X175" s="197">
        <v>32.309416020112664</v>
      </c>
      <c r="Y175" s="197">
        <v>31.441069779236518</v>
      </c>
      <c r="Z175" s="197">
        <v>30.77961066860659</v>
      </c>
      <c r="AA175" s="197">
        <v>30.383954935699744</v>
      </c>
      <c r="AB175" s="16">
        <f>Peak!AB177</f>
        <v>0.79500910203653641</v>
      </c>
      <c r="AC175" s="16">
        <f>Peak!AC177</f>
        <v>0</v>
      </c>
      <c r="AD175" s="18">
        <f>Peak!AD177</f>
        <v>654.12455073352146</v>
      </c>
      <c r="AE175" s="18">
        <f>Peak!AE177</f>
        <v>1780.92328465844</v>
      </c>
      <c r="AF175" s="16">
        <f>Peak!AF177</f>
        <v>1</v>
      </c>
      <c r="AG175" s="73">
        <f>Peak!AG177</f>
        <v>0</v>
      </c>
      <c r="AH175" s="16">
        <f>Peak!AH177</f>
        <v>4.2444899609007392</v>
      </c>
      <c r="AI175" s="16">
        <f>Peak!AI177</f>
        <v>3.9322936384223315</v>
      </c>
      <c r="AJ175" s="16">
        <f>Peak!AJ177</f>
        <v>0</v>
      </c>
      <c r="AK175" s="16">
        <f>Peak!AK177</f>
        <v>0</v>
      </c>
      <c r="AL175" s="4"/>
    </row>
    <row r="176" spans="1:38" x14ac:dyDescent="0.2">
      <c r="A176" s="1">
        <f t="shared" si="17"/>
        <v>41619.639000000214</v>
      </c>
      <c r="B176" s="16">
        <f t="shared" si="15"/>
        <v>4.5932984618427195</v>
      </c>
      <c r="C176" s="17">
        <f t="shared" si="12"/>
        <v>51.926066354077854</v>
      </c>
      <c r="D176" s="16">
        <f t="shared" si="16"/>
        <v>0.7963341172065973</v>
      </c>
      <c r="E176" s="16">
        <f t="shared" si="13"/>
        <v>0</v>
      </c>
      <c r="F176" s="16">
        <f t="shared" si="14"/>
        <v>0</v>
      </c>
      <c r="G176" s="19" t="str">
        <f>IF(IS!$C$2="Peak","-",SUM(C176:F176))</f>
        <v>-</v>
      </c>
      <c r="H176" s="197">
        <v>164.5969150961472</v>
      </c>
      <c r="I176" s="197">
        <v>157.440732637368</v>
      </c>
      <c r="J176" s="197">
        <v>152.39807989968685</v>
      </c>
      <c r="K176" s="197">
        <v>132.34605284718495</v>
      </c>
      <c r="L176" s="197">
        <v>92.971594203991302</v>
      </c>
      <c r="M176" s="197">
        <v>80.108800792317112</v>
      </c>
      <c r="N176" s="197">
        <v>74.478592059869044</v>
      </c>
      <c r="O176" s="197">
        <v>69.044299053463817</v>
      </c>
      <c r="P176" s="197">
        <v>67.220421680113006</v>
      </c>
      <c r="Q176" s="197">
        <v>66.541341363842875</v>
      </c>
      <c r="R176" s="197">
        <v>57.071778153213941</v>
      </c>
      <c r="S176" s="197">
        <v>46.932541836578842</v>
      </c>
      <c r="T176" s="197">
        <v>40.995905668131797</v>
      </c>
      <c r="U176" s="197">
        <v>38.184224896060272</v>
      </c>
      <c r="V176" s="197">
        <v>36.588651825876354</v>
      </c>
      <c r="W176" s="197">
        <v>34.152480555786255</v>
      </c>
      <c r="X176" s="197">
        <v>33.959912644761374</v>
      </c>
      <c r="Y176" s="197">
        <v>33.725476316269379</v>
      </c>
      <c r="Z176" s="197">
        <v>33.617276710837778</v>
      </c>
      <c r="AA176" s="197">
        <v>33.256738784879566</v>
      </c>
      <c r="AB176" s="16">
        <f>Peak!AB178</f>
        <v>0.7963341172065973</v>
      </c>
      <c r="AC176" s="16">
        <f>Peak!AC178</f>
        <v>0</v>
      </c>
      <c r="AD176" s="18">
        <f>Peak!AD178</f>
        <v>654.12455073352146</v>
      </c>
      <c r="AE176" s="18">
        <f>Peak!AE178</f>
        <v>1780.92328465844</v>
      </c>
      <c r="AF176" s="16">
        <f>Peak!AF178</f>
        <v>1</v>
      </c>
      <c r="AG176" s="73">
        <f>Peak!AG178</f>
        <v>0</v>
      </c>
      <c r="AH176" s="16">
        <f>Peak!AH178</f>
        <v>4.5932984618427195</v>
      </c>
      <c r="AI176" s="16">
        <f>Peak!AI178</f>
        <v>4.1231816791224452</v>
      </c>
      <c r="AJ176" s="16">
        <f>Peak!AJ178</f>
        <v>0</v>
      </c>
      <c r="AK176" s="16">
        <f>Peak!AK178</f>
        <v>0</v>
      </c>
      <c r="AL176" s="4"/>
    </row>
    <row r="177" spans="1:38" x14ac:dyDescent="0.2">
      <c r="A177" s="1">
        <f t="shared" si="17"/>
        <v>41650.056000000215</v>
      </c>
      <c r="B177" s="16">
        <f t="shared" si="15"/>
        <v>4.446069791556674</v>
      </c>
      <c r="C177" s="17">
        <f t="shared" si="12"/>
        <v>50.261683826792904</v>
      </c>
      <c r="D177" s="16">
        <f t="shared" si="16"/>
        <v>0.79766134073527495</v>
      </c>
      <c r="E177" s="16">
        <f t="shared" si="13"/>
        <v>0</v>
      </c>
      <c r="F177" s="16">
        <f t="shared" si="14"/>
        <v>0</v>
      </c>
      <c r="G177" s="19" t="str">
        <f>IF(IS!$C$2="Peak","-",SUM(C177:F177))</f>
        <v>-</v>
      </c>
      <c r="H177" s="197">
        <v>109.82603319045629</v>
      </c>
      <c r="I177" s="197">
        <v>104.55585066025624</v>
      </c>
      <c r="J177" s="197">
        <v>99.49484997094109</v>
      </c>
      <c r="K177" s="197">
        <v>93.043531442572487</v>
      </c>
      <c r="L177" s="197">
        <v>90.634097334046174</v>
      </c>
      <c r="M177" s="197">
        <v>88.806111929192056</v>
      </c>
      <c r="N177" s="197">
        <v>70.772696620415374</v>
      </c>
      <c r="O177" s="197">
        <v>60.172064529039503</v>
      </c>
      <c r="P177" s="197">
        <v>51.362452309756996</v>
      </c>
      <c r="Q177" s="197">
        <v>50.570927112483119</v>
      </c>
      <c r="R177" s="197">
        <v>46.125902751911049</v>
      </c>
      <c r="S177" s="197">
        <v>43.438926051239505</v>
      </c>
      <c r="T177" s="197">
        <v>43.220903713790392</v>
      </c>
      <c r="U177" s="197">
        <v>43.22090028516353</v>
      </c>
      <c r="V177" s="197">
        <v>43.22090028516353</v>
      </c>
      <c r="W177" s="197">
        <v>43.220814300246765</v>
      </c>
      <c r="X177" s="197">
        <v>43.220774638469095</v>
      </c>
      <c r="Y177" s="197">
        <v>43.220576691474839</v>
      </c>
      <c r="Z177" s="197">
        <v>43.092740469522781</v>
      </c>
      <c r="AA177" s="197">
        <v>39.884316048370962</v>
      </c>
      <c r="AB177" s="16">
        <f>Peak!AB179</f>
        <v>0.79766134073527495</v>
      </c>
      <c r="AC177" s="16">
        <f>Peak!AC179</f>
        <v>0</v>
      </c>
      <c r="AD177" s="18">
        <f>Peak!AD179</f>
        <v>728.14269915212174</v>
      </c>
      <c r="AE177" s="18">
        <f>Peak!AE179</f>
        <v>1844.5996241870525</v>
      </c>
      <c r="AF177" s="16">
        <f>Peak!AF179</f>
        <v>1</v>
      </c>
      <c r="AG177" s="73">
        <f>Peak!AG179</f>
        <v>0</v>
      </c>
      <c r="AH177" s="16">
        <f>Peak!AH179</f>
        <v>4.446069791556674</v>
      </c>
      <c r="AI177" s="16">
        <f>Peak!AI179</f>
        <v>4.1170667682255786</v>
      </c>
      <c r="AJ177" s="16">
        <f>Peak!AJ179</f>
        <v>0</v>
      </c>
      <c r="AK177" s="16">
        <f>Peak!AK179</f>
        <v>0</v>
      </c>
      <c r="AL177" s="4"/>
    </row>
    <row r="178" spans="1:38" x14ac:dyDescent="0.2">
      <c r="A178" s="1">
        <f t="shared" si="17"/>
        <v>41680.473000000216</v>
      </c>
      <c r="B178" s="16">
        <f t="shared" si="15"/>
        <v>3.9849082972196785</v>
      </c>
      <c r="C178" s="17">
        <f t="shared" si="12"/>
        <v>45.048370876673431</v>
      </c>
      <c r="D178" s="16">
        <f t="shared" si="16"/>
        <v>0.79899077630316706</v>
      </c>
      <c r="E178" s="16">
        <f t="shared" si="13"/>
        <v>0</v>
      </c>
      <c r="F178" s="16">
        <f t="shared" si="14"/>
        <v>0</v>
      </c>
      <c r="G178" s="19" t="str">
        <f>IF(IS!$C$2="Peak","-",SUM(C178:F178))</f>
        <v>-</v>
      </c>
      <c r="H178" s="197">
        <v>155.97591288110416</v>
      </c>
      <c r="I178" s="197">
        <v>150.63059767426657</v>
      </c>
      <c r="J178" s="197">
        <v>146.60912651878201</v>
      </c>
      <c r="K178" s="197">
        <v>115.78911540606396</v>
      </c>
      <c r="L178" s="197">
        <v>91.316282985969934</v>
      </c>
      <c r="M178" s="197">
        <v>83.743631408923036</v>
      </c>
      <c r="N178" s="197">
        <v>79.250971427648963</v>
      </c>
      <c r="O178" s="197">
        <v>77.489871835454224</v>
      </c>
      <c r="P178" s="197">
        <v>62.217889359486207</v>
      </c>
      <c r="Q178" s="197">
        <v>53.693400317281586</v>
      </c>
      <c r="R178" s="197">
        <v>45.866944944736034</v>
      </c>
      <c r="S178" s="197">
        <v>44.597726012365818</v>
      </c>
      <c r="T178" s="197">
        <v>42.017699872431947</v>
      </c>
      <c r="U178" s="197">
        <v>39.595811221774682</v>
      </c>
      <c r="V178" s="197">
        <v>39.025343732601563</v>
      </c>
      <c r="W178" s="197">
        <v>38.691477475644483</v>
      </c>
      <c r="X178" s="197">
        <v>38.604106601985123</v>
      </c>
      <c r="Y178" s="197">
        <v>38.317360727730978</v>
      </c>
      <c r="Z178" s="197">
        <v>38.2899914366552</v>
      </c>
      <c r="AA178" s="197">
        <v>36.819425087394443</v>
      </c>
      <c r="AB178" s="16">
        <f>Peak!AB180</f>
        <v>0.79899077630316706</v>
      </c>
      <c r="AC178" s="16">
        <f>Peak!AC180</f>
        <v>0</v>
      </c>
      <c r="AD178" s="18">
        <f>Peak!AD180</f>
        <v>728.14269915212174</v>
      </c>
      <c r="AE178" s="18">
        <f>Peak!AE180</f>
        <v>1844.5996241870525</v>
      </c>
      <c r="AF178" s="16">
        <f>Peak!AF180</f>
        <v>1</v>
      </c>
      <c r="AG178" s="73">
        <f>Peak!AG180</f>
        <v>0</v>
      </c>
      <c r="AH178" s="16">
        <f>Peak!AH180</f>
        <v>3.9849082972196785</v>
      </c>
      <c r="AI178" s="16">
        <f>Peak!AI180</f>
        <v>4.0789457796308977</v>
      </c>
      <c r="AJ178" s="16">
        <f>Peak!AJ180</f>
        <v>0</v>
      </c>
      <c r="AK178" s="16">
        <f>Peak!AK180</f>
        <v>0</v>
      </c>
      <c r="AL178" s="4"/>
    </row>
    <row r="179" spans="1:38" x14ac:dyDescent="0.2">
      <c r="A179" s="1">
        <f t="shared" si="17"/>
        <v>41710.890000000218</v>
      </c>
      <c r="B179" s="16">
        <f t="shared" si="15"/>
        <v>3.9179019262476369</v>
      </c>
      <c r="C179" s="17">
        <f t="shared" si="12"/>
        <v>44.290880960844106</v>
      </c>
      <c r="D179" s="16">
        <f t="shared" si="16"/>
        <v>0.80032242759700567</v>
      </c>
      <c r="E179" s="16">
        <f t="shared" si="13"/>
        <v>0</v>
      </c>
      <c r="F179" s="16">
        <f t="shared" si="14"/>
        <v>0</v>
      </c>
      <c r="G179" s="19" t="str">
        <f>IF(IS!$C$2="Peak","-",SUM(C179:F179))</f>
        <v>-</v>
      </c>
      <c r="H179" s="197">
        <v>100.7835717034397</v>
      </c>
      <c r="I179" s="197">
        <v>97.094478008528526</v>
      </c>
      <c r="J179" s="197">
        <v>89.832152978694111</v>
      </c>
      <c r="K179" s="197">
        <v>80.341722453617095</v>
      </c>
      <c r="L179" s="197">
        <v>76.885992287169131</v>
      </c>
      <c r="M179" s="197">
        <v>72.380059362528328</v>
      </c>
      <c r="N179" s="197">
        <v>70.66688585421565</v>
      </c>
      <c r="O179" s="197">
        <v>69.621927871848669</v>
      </c>
      <c r="P179" s="197">
        <v>53.169246310411403</v>
      </c>
      <c r="Q179" s="197">
        <v>48.562280484963694</v>
      </c>
      <c r="R179" s="197">
        <v>46.934293657209743</v>
      </c>
      <c r="S179" s="197">
        <v>44.260288718941133</v>
      </c>
      <c r="T179" s="197">
        <v>36.665910617272814</v>
      </c>
      <c r="U179" s="197">
        <v>34.681913205928495</v>
      </c>
      <c r="V179" s="197">
        <v>34.6075591352703</v>
      </c>
      <c r="W179" s="197">
        <v>34.6075591352703</v>
      </c>
      <c r="X179" s="197">
        <v>34.607361432596093</v>
      </c>
      <c r="Y179" s="197">
        <v>34.607294069303848</v>
      </c>
      <c r="Z179" s="197">
        <v>34.607174864594825</v>
      </c>
      <c r="AA179" s="197">
        <v>32.390098817633593</v>
      </c>
      <c r="AB179" s="16">
        <f>Peak!AB181</f>
        <v>0.80032242759700567</v>
      </c>
      <c r="AC179" s="16">
        <f>Peak!AC181</f>
        <v>0</v>
      </c>
      <c r="AD179" s="18">
        <f>Peak!AD181</f>
        <v>728.14269915212174</v>
      </c>
      <c r="AE179" s="18">
        <f>Peak!AE181</f>
        <v>1844.5996241870525</v>
      </c>
      <c r="AF179" s="16">
        <f>Peak!AF181</f>
        <v>1</v>
      </c>
      <c r="AG179" s="73">
        <f>Peak!AG181</f>
        <v>0</v>
      </c>
      <c r="AH179" s="16">
        <f>Peak!AH181</f>
        <v>3.9179019262476369</v>
      </c>
      <c r="AI179" s="16">
        <f>Peak!AI181</f>
        <v>3.9264618252521726</v>
      </c>
      <c r="AJ179" s="16">
        <f>Peak!AJ181</f>
        <v>0</v>
      </c>
      <c r="AK179" s="16">
        <f>Peak!AK181</f>
        <v>0</v>
      </c>
      <c r="AL179" s="4"/>
    </row>
    <row r="180" spans="1:38" x14ac:dyDescent="0.2">
      <c r="A180" s="1">
        <f t="shared" si="17"/>
        <v>41741.307000000219</v>
      </c>
      <c r="B180" s="16">
        <f t="shared" si="15"/>
        <v>3.7247659157988093</v>
      </c>
      <c r="C180" s="17">
        <f t="shared" si="12"/>
        <v>42.107527674041926</v>
      </c>
      <c r="D180" s="16">
        <f t="shared" si="16"/>
        <v>0.80165629830966734</v>
      </c>
      <c r="E180" s="16">
        <f t="shared" si="13"/>
        <v>0</v>
      </c>
      <c r="F180" s="16">
        <f t="shared" si="14"/>
        <v>0</v>
      </c>
      <c r="G180" s="19" t="str">
        <f>IF(IS!$C$2="Peak","-",SUM(C180:F180))</f>
        <v>-</v>
      </c>
      <c r="H180" s="197">
        <v>142.07362676675203</v>
      </c>
      <c r="I180" s="197">
        <v>98.360975711699552</v>
      </c>
      <c r="J180" s="197">
        <v>70.319777232616971</v>
      </c>
      <c r="K180" s="197">
        <v>65.120243952977333</v>
      </c>
      <c r="L180" s="197">
        <v>60.935432836931</v>
      </c>
      <c r="M180" s="197">
        <v>58.364003051848201</v>
      </c>
      <c r="N180" s="197">
        <v>57.806650721974549</v>
      </c>
      <c r="O180" s="197">
        <v>52.101750353612672</v>
      </c>
      <c r="P180" s="197">
        <v>46.306505491459703</v>
      </c>
      <c r="Q180" s="197">
        <v>42.429278156940057</v>
      </c>
      <c r="R180" s="197">
        <v>41.491762913935474</v>
      </c>
      <c r="S180" s="197">
        <v>40.666747207619892</v>
      </c>
      <c r="T180" s="197">
        <v>39.005825485383738</v>
      </c>
      <c r="U180" s="197">
        <v>37.112368148867489</v>
      </c>
      <c r="V180" s="197">
        <v>35.502270096843382</v>
      </c>
      <c r="W180" s="197">
        <v>34.104720456199352</v>
      </c>
      <c r="X180" s="197">
        <v>33.407551026966267</v>
      </c>
      <c r="Y180" s="197">
        <v>32.608050830092438</v>
      </c>
      <c r="Z180" s="197">
        <v>31.403925888818058</v>
      </c>
      <c r="AA180" s="197">
        <v>30.403183131075785</v>
      </c>
      <c r="AB180" s="16">
        <f>Peak!AB182</f>
        <v>0.80165629830966734</v>
      </c>
      <c r="AC180" s="16">
        <f>Peak!AC182</f>
        <v>0</v>
      </c>
      <c r="AD180" s="18">
        <f>Peak!AD182</f>
        <v>728.14269915212174</v>
      </c>
      <c r="AE180" s="18">
        <f>Peak!AE182</f>
        <v>1844.5996241870525</v>
      </c>
      <c r="AF180" s="16">
        <f>Peak!AF182</f>
        <v>1</v>
      </c>
      <c r="AG180" s="73">
        <f>Peak!AG182</f>
        <v>0</v>
      </c>
      <c r="AH180" s="16">
        <f>Peak!AH182</f>
        <v>3.7247659157988093</v>
      </c>
      <c r="AI180" s="16">
        <f>Peak!AI182</f>
        <v>3.773977870873447</v>
      </c>
      <c r="AJ180" s="16">
        <f>Peak!AJ182</f>
        <v>0</v>
      </c>
      <c r="AK180" s="16">
        <f>Peak!AK182</f>
        <v>0</v>
      </c>
      <c r="AL180" s="4"/>
    </row>
    <row r="181" spans="1:38" x14ac:dyDescent="0.2">
      <c r="A181" s="1">
        <f t="shared" si="17"/>
        <v>41771.72400000022</v>
      </c>
      <c r="B181" s="16">
        <f t="shared" si="15"/>
        <v>3.9218434774812865</v>
      </c>
      <c r="C181" s="17">
        <f t="shared" si="12"/>
        <v>44.335439191187007</v>
      </c>
      <c r="D181" s="16">
        <f t="shared" si="16"/>
        <v>0.80299239214018348</v>
      </c>
      <c r="E181" s="16">
        <f t="shared" si="13"/>
        <v>0</v>
      </c>
      <c r="F181" s="16">
        <f t="shared" si="14"/>
        <v>0</v>
      </c>
      <c r="G181" s="19" t="str">
        <f>IF(IS!$C$2="Peak","-",SUM(C181:F181))</f>
        <v>-</v>
      </c>
      <c r="H181" s="197">
        <v>116.391545867172</v>
      </c>
      <c r="I181" s="197">
        <v>88.586790578852842</v>
      </c>
      <c r="J181" s="197">
        <v>72.185090542950434</v>
      </c>
      <c r="K181" s="197">
        <v>65.911673362933627</v>
      </c>
      <c r="L181" s="197">
        <v>60.527687617362417</v>
      </c>
      <c r="M181" s="197">
        <v>59.566030937225534</v>
      </c>
      <c r="N181" s="197">
        <v>52.550818553457681</v>
      </c>
      <c r="O181" s="197">
        <v>46.518628896543298</v>
      </c>
      <c r="P181" s="197">
        <v>43.678376926315146</v>
      </c>
      <c r="Q181" s="197">
        <v>42.571403556606143</v>
      </c>
      <c r="R181" s="197">
        <v>41.96643088846092</v>
      </c>
      <c r="S181" s="197">
        <v>40.62919976256341</v>
      </c>
      <c r="T181" s="197">
        <v>38.472282050266692</v>
      </c>
      <c r="U181" s="197">
        <v>36.084595743072569</v>
      </c>
      <c r="V181" s="197">
        <v>34.677900700130586</v>
      </c>
      <c r="W181" s="197">
        <v>34.305942226550961</v>
      </c>
      <c r="X181" s="197">
        <v>34.095500406752549</v>
      </c>
      <c r="Y181" s="197">
        <v>33.581785556630081</v>
      </c>
      <c r="Z181" s="197">
        <v>33.159300431514325</v>
      </c>
      <c r="AA181" s="197">
        <v>32.339017426585848</v>
      </c>
      <c r="AB181" s="16">
        <f>Peak!AB183</f>
        <v>0.80299239214018348</v>
      </c>
      <c r="AC181" s="16">
        <f>Peak!AC183</f>
        <v>0</v>
      </c>
      <c r="AD181" s="18">
        <f>Peak!AD183</f>
        <v>728.14269915212174</v>
      </c>
      <c r="AE181" s="18">
        <f>Peak!AE183</f>
        <v>1844.5996241870525</v>
      </c>
      <c r="AF181" s="16">
        <f>Peak!AF183</f>
        <v>1</v>
      </c>
      <c r="AG181" s="73">
        <f>Peak!AG183</f>
        <v>0</v>
      </c>
      <c r="AH181" s="16">
        <f>Peak!AH183</f>
        <v>3.9218434774812865</v>
      </c>
      <c r="AI181" s="16">
        <f>Peak!AI183</f>
        <v>3.621493916494722</v>
      </c>
      <c r="AJ181" s="16">
        <f>Peak!AJ183</f>
        <v>0</v>
      </c>
      <c r="AK181" s="16">
        <f>Peak!AK183</f>
        <v>0</v>
      </c>
      <c r="AL181" s="4"/>
    </row>
    <row r="182" spans="1:38" x14ac:dyDescent="0.2">
      <c r="A182" s="1">
        <f t="shared" si="17"/>
        <v>41802.141000000222</v>
      </c>
      <c r="B182" s="16">
        <f t="shared" si="15"/>
        <v>3.7365905694997581</v>
      </c>
      <c r="C182" s="17">
        <f t="shared" si="12"/>
        <v>42.241202365070635</v>
      </c>
      <c r="D182" s="16">
        <f t="shared" si="16"/>
        <v>0.80433071279375046</v>
      </c>
      <c r="E182" s="16">
        <f t="shared" si="13"/>
        <v>0</v>
      </c>
      <c r="F182" s="16">
        <f t="shared" si="14"/>
        <v>0</v>
      </c>
      <c r="G182" s="19" t="str">
        <f>IF(IS!$C$2="Peak","-",SUM(C182:F182))</f>
        <v>-</v>
      </c>
      <c r="H182" s="197">
        <v>206.23707649838542</v>
      </c>
      <c r="I182" s="197">
        <v>188.85869398425933</v>
      </c>
      <c r="J182" s="197">
        <v>174.84067891896723</v>
      </c>
      <c r="K182" s="197">
        <v>158.31392023022937</v>
      </c>
      <c r="L182" s="197">
        <v>144.18539230917608</v>
      </c>
      <c r="M182" s="197">
        <v>77.003375088077604</v>
      </c>
      <c r="N182" s="197">
        <v>62.878192808756715</v>
      </c>
      <c r="O182" s="197">
        <v>59.130728188328121</v>
      </c>
      <c r="P182" s="197">
        <v>44.77314631049093</v>
      </c>
      <c r="Q182" s="197">
        <v>38.837745245494283</v>
      </c>
      <c r="R182" s="197">
        <v>35.336698911972483</v>
      </c>
      <c r="S182" s="197">
        <v>34.854694607791551</v>
      </c>
      <c r="T182" s="197">
        <v>33.764501059323095</v>
      </c>
      <c r="U182" s="197">
        <v>32.230903578979522</v>
      </c>
      <c r="V182" s="197">
        <v>30.876866273163035</v>
      </c>
      <c r="W182" s="197">
        <v>30.64384496909495</v>
      </c>
      <c r="X182" s="197">
        <v>30.643827954183006</v>
      </c>
      <c r="Y182" s="197">
        <v>30.643658471734796</v>
      </c>
      <c r="Z182" s="197">
        <v>30.643292591165704</v>
      </c>
      <c r="AA182" s="197">
        <v>29.934477062726177</v>
      </c>
      <c r="AB182" s="16">
        <f>Peak!AB184</f>
        <v>0.80433071279375046</v>
      </c>
      <c r="AC182" s="16">
        <f>Peak!AC184</f>
        <v>0</v>
      </c>
      <c r="AD182" s="18">
        <f>Peak!AD184</f>
        <v>728.14269915212174</v>
      </c>
      <c r="AE182" s="18">
        <f>Peak!AE184</f>
        <v>1844.5996241870525</v>
      </c>
      <c r="AF182" s="16">
        <f>Peak!AF184</f>
        <v>1</v>
      </c>
      <c r="AG182" s="73">
        <f>Peak!AG184</f>
        <v>0</v>
      </c>
      <c r="AH182" s="16">
        <f>Peak!AH184</f>
        <v>3.7365905694997581</v>
      </c>
      <c r="AI182" s="16">
        <f>Peak!AI184</f>
        <v>3.621493916494722</v>
      </c>
      <c r="AJ182" s="16">
        <f>Peak!AJ184</f>
        <v>0</v>
      </c>
      <c r="AK182" s="16">
        <f>Peak!AK184</f>
        <v>0</v>
      </c>
      <c r="AL182" s="4"/>
    </row>
    <row r="183" spans="1:38" x14ac:dyDescent="0.2">
      <c r="A183" s="1">
        <f t="shared" si="17"/>
        <v>41832.558000000223</v>
      </c>
      <c r="B183" s="16">
        <f t="shared" si="15"/>
        <v>3.7247659157988093</v>
      </c>
      <c r="C183" s="17">
        <f t="shared" si="12"/>
        <v>42.107527674041926</v>
      </c>
      <c r="D183" s="16">
        <f t="shared" si="16"/>
        <v>0.80567126398174005</v>
      </c>
      <c r="E183" s="16">
        <f t="shared" si="13"/>
        <v>0</v>
      </c>
      <c r="F183" s="16">
        <f t="shared" si="14"/>
        <v>0</v>
      </c>
      <c r="G183" s="19" t="str">
        <f>IF(IS!$C$2="Peak","-",SUM(C183:F183))</f>
        <v>-</v>
      </c>
      <c r="H183" s="197">
        <v>315.51242661623917</v>
      </c>
      <c r="I183" s="197">
        <v>235.67946877144249</v>
      </c>
      <c r="J183" s="197">
        <v>216.45438739760752</v>
      </c>
      <c r="K183" s="197">
        <v>195.04003375373162</v>
      </c>
      <c r="L183" s="197">
        <v>178.34605537547444</v>
      </c>
      <c r="M183" s="197">
        <v>161.3951677079678</v>
      </c>
      <c r="N183" s="197">
        <v>139.68141914734613</v>
      </c>
      <c r="O183" s="197">
        <v>52.648152712481235</v>
      </c>
      <c r="P183" s="197">
        <v>47.278212728380389</v>
      </c>
      <c r="Q183" s="197">
        <v>45.25248661023744</v>
      </c>
      <c r="R183" s="197">
        <v>42.54420223093377</v>
      </c>
      <c r="S183" s="197">
        <v>38.566379909972511</v>
      </c>
      <c r="T183" s="197">
        <v>35.773010827389207</v>
      </c>
      <c r="U183" s="197">
        <v>34.66203930699313</v>
      </c>
      <c r="V183" s="197">
        <v>33.562065261131934</v>
      </c>
      <c r="W183" s="197">
        <v>33.079838117527444</v>
      </c>
      <c r="X183" s="197">
        <v>32.361803539988387</v>
      </c>
      <c r="Y183" s="197">
        <v>31.833774404792109</v>
      </c>
      <c r="Z183" s="197">
        <v>30.497846655305089</v>
      </c>
      <c r="AA183" s="197">
        <v>27.821714105750882</v>
      </c>
      <c r="AB183" s="16">
        <f>Peak!AB185</f>
        <v>0.80567126398174005</v>
      </c>
      <c r="AC183" s="16">
        <f>Peak!AC185</f>
        <v>0</v>
      </c>
      <c r="AD183" s="18">
        <f>Peak!AD185</f>
        <v>728.14269915212174</v>
      </c>
      <c r="AE183" s="18">
        <f>Peak!AE185</f>
        <v>1844.5996241870525</v>
      </c>
      <c r="AF183" s="16">
        <f>Peak!AF185</f>
        <v>1</v>
      </c>
      <c r="AG183" s="73">
        <f>Peak!AG185</f>
        <v>0</v>
      </c>
      <c r="AH183" s="16">
        <f>Peak!AH185</f>
        <v>3.7247659157988093</v>
      </c>
      <c r="AI183" s="16">
        <f>Peak!AI185</f>
        <v>3.621493916494722</v>
      </c>
      <c r="AJ183" s="16">
        <f>Peak!AJ185</f>
        <v>0</v>
      </c>
      <c r="AK183" s="16">
        <f>Peak!AK185</f>
        <v>0</v>
      </c>
      <c r="AL183" s="4"/>
    </row>
    <row r="184" spans="1:38" x14ac:dyDescent="0.2">
      <c r="A184" s="1">
        <f t="shared" si="17"/>
        <v>41862.975000000224</v>
      </c>
      <c r="B184" s="16">
        <f t="shared" si="15"/>
        <v>3.5316299053499827</v>
      </c>
      <c r="C184" s="17">
        <f t="shared" si="12"/>
        <v>39.924174387239752</v>
      </c>
      <c r="D184" s="16">
        <f t="shared" si="16"/>
        <v>0.80701404942170962</v>
      </c>
      <c r="E184" s="16">
        <f t="shared" si="13"/>
        <v>0</v>
      </c>
      <c r="F184" s="16">
        <f t="shared" si="14"/>
        <v>0</v>
      </c>
      <c r="G184" s="19" t="str">
        <f>IF(IS!$C$2="Peak","-",SUM(C184:F184))</f>
        <v>-</v>
      </c>
      <c r="H184" s="197">
        <v>323.76121366185509</v>
      </c>
      <c r="I184" s="197">
        <v>230.99318060147033</v>
      </c>
      <c r="J184" s="197">
        <v>208.410855759459</v>
      </c>
      <c r="K184" s="197">
        <v>183.49002919269304</v>
      </c>
      <c r="L184" s="197">
        <v>163.19707216132599</v>
      </c>
      <c r="M184" s="197">
        <v>144.27141004904854</v>
      </c>
      <c r="N184" s="197">
        <v>103.14657448475775</v>
      </c>
      <c r="O184" s="197">
        <v>92.399356789436496</v>
      </c>
      <c r="P184" s="197">
        <v>76.761990104837309</v>
      </c>
      <c r="Q184" s="197">
        <v>60.844838826560512</v>
      </c>
      <c r="R184" s="197">
        <v>52.696028061181217</v>
      </c>
      <c r="S184" s="197">
        <v>45.459716862602008</v>
      </c>
      <c r="T184" s="197">
        <v>44.16641373474512</v>
      </c>
      <c r="U184" s="197">
        <v>41.169911833901459</v>
      </c>
      <c r="V184" s="197">
        <v>39.324026289178036</v>
      </c>
      <c r="W184" s="197">
        <v>36.891862742635269</v>
      </c>
      <c r="X184" s="197">
        <v>34.808236037764068</v>
      </c>
      <c r="Y184" s="197">
        <v>33.590155817733191</v>
      </c>
      <c r="Z184" s="197">
        <v>30.712421241896728</v>
      </c>
      <c r="AA184" s="197">
        <v>28.799231271978051</v>
      </c>
      <c r="AB184" s="16">
        <f>Peak!AB186</f>
        <v>0.80701404942170962</v>
      </c>
      <c r="AC184" s="16">
        <f>Peak!AC186</f>
        <v>0</v>
      </c>
      <c r="AD184" s="18">
        <f>Peak!AD186</f>
        <v>728.14269915212174</v>
      </c>
      <c r="AE184" s="18">
        <f>Peak!AE186</f>
        <v>1844.5996241870525</v>
      </c>
      <c r="AF184" s="16">
        <f>Peak!AF186</f>
        <v>1</v>
      </c>
      <c r="AG184" s="73">
        <f>Peak!AG186</f>
        <v>0</v>
      </c>
      <c r="AH184" s="16">
        <f>Peak!AH186</f>
        <v>3.5316299053499827</v>
      </c>
      <c r="AI184" s="16">
        <f>Peak!AI186</f>
        <v>3.621493916494722</v>
      </c>
      <c r="AJ184" s="16">
        <f>Peak!AJ186</f>
        <v>0</v>
      </c>
      <c r="AK184" s="16">
        <f>Peak!AK186</f>
        <v>0</v>
      </c>
      <c r="AL184" s="4"/>
    </row>
    <row r="185" spans="1:38" x14ac:dyDescent="0.2">
      <c r="A185" s="1">
        <f t="shared" si="17"/>
        <v>41893.392000000225</v>
      </c>
      <c r="B185" s="16">
        <f t="shared" si="15"/>
        <v>3.5198052516490339</v>
      </c>
      <c r="C185" s="17">
        <f t="shared" si="12"/>
        <v>39.790499696211057</v>
      </c>
      <c r="D185" s="16">
        <f t="shared" si="16"/>
        <v>0.80835907283741248</v>
      </c>
      <c r="E185" s="16">
        <f t="shared" si="13"/>
        <v>0</v>
      </c>
      <c r="F185" s="16">
        <f t="shared" si="14"/>
        <v>0</v>
      </c>
      <c r="G185" s="19" t="str">
        <f>IF(IS!$C$2="Peak","-",SUM(C185:F185))</f>
        <v>-</v>
      </c>
      <c r="H185" s="197">
        <v>199.59282375298287</v>
      </c>
      <c r="I185" s="197">
        <v>183.30873356705189</v>
      </c>
      <c r="J185" s="197">
        <v>170.29458219867857</v>
      </c>
      <c r="K185" s="197">
        <v>155.59726237203316</v>
      </c>
      <c r="L185" s="197">
        <v>123.12222295517969</v>
      </c>
      <c r="M185" s="197">
        <v>58.288024787661982</v>
      </c>
      <c r="N185" s="197">
        <v>51.0990133089145</v>
      </c>
      <c r="O185" s="197">
        <v>47.376652868345779</v>
      </c>
      <c r="P185" s="197">
        <v>46.329996515603938</v>
      </c>
      <c r="Q185" s="197">
        <v>42.10064764197061</v>
      </c>
      <c r="R185" s="197">
        <v>38.527135974224379</v>
      </c>
      <c r="S185" s="197">
        <v>36.300299201309166</v>
      </c>
      <c r="T185" s="197">
        <v>35.133626944028848</v>
      </c>
      <c r="U185" s="197">
        <v>34.440598363142861</v>
      </c>
      <c r="V185" s="197">
        <v>33.949663841587167</v>
      </c>
      <c r="W185" s="197">
        <v>33.54257332651072</v>
      </c>
      <c r="X185" s="197">
        <v>32.223809937946768</v>
      </c>
      <c r="Y185" s="197">
        <v>30.504174362945502</v>
      </c>
      <c r="Z185" s="197">
        <v>29.821875108395588</v>
      </c>
      <c r="AA185" s="197">
        <v>28.381901025716584</v>
      </c>
      <c r="AB185" s="16">
        <f>Peak!AB187</f>
        <v>0.80835907283741248</v>
      </c>
      <c r="AC185" s="16">
        <f>Peak!AC187</f>
        <v>0</v>
      </c>
      <c r="AD185" s="18">
        <f>Peak!AD187</f>
        <v>728.14269915212174</v>
      </c>
      <c r="AE185" s="18">
        <f>Peak!AE187</f>
        <v>1844.5996241870525</v>
      </c>
      <c r="AF185" s="16">
        <f>Peak!AF187</f>
        <v>1</v>
      </c>
      <c r="AG185" s="73">
        <f>Peak!AG187</f>
        <v>0</v>
      </c>
      <c r="AH185" s="16">
        <f>Peak!AH187</f>
        <v>3.5198052516490339</v>
      </c>
      <c r="AI185" s="16">
        <f>Peak!AI187</f>
        <v>3.621493916494722</v>
      </c>
      <c r="AJ185" s="16">
        <f>Peak!AJ187</f>
        <v>0</v>
      </c>
      <c r="AK185" s="16">
        <f>Peak!AK187</f>
        <v>0</v>
      </c>
      <c r="AL185" s="4"/>
    </row>
    <row r="186" spans="1:38" x14ac:dyDescent="0.2">
      <c r="A186" s="1">
        <f t="shared" si="17"/>
        <v>41923.809000000227</v>
      </c>
      <c r="B186" s="16">
        <f t="shared" si="15"/>
        <v>3.898194170079389</v>
      </c>
      <c r="C186" s="17">
        <f t="shared" si="12"/>
        <v>44.068089809129596</v>
      </c>
      <c r="D186" s="16">
        <f t="shared" si="16"/>
        <v>0.8097063379588082</v>
      </c>
      <c r="E186" s="16">
        <f t="shared" si="13"/>
        <v>0</v>
      </c>
      <c r="F186" s="16">
        <f t="shared" si="14"/>
        <v>0</v>
      </c>
      <c r="G186" s="19" t="str">
        <f>IF(IS!$C$2="Peak","-",SUM(C186:F186))</f>
        <v>-</v>
      </c>
      <c r="H186" s="197">
        <v>66.097959540897435</v>
      </c>
      <c r="I186" s="197">
        <v>64.501524253662026</v>
      </c>
      <c r="J186" s="197">
        <v>58.224930892862247</v>
      </c>
      <c r="K186" s="197">
        <v>52.100866737618787</v>
      </c>
      <c r="L186" s="197">
        <v>50.89369375042557</v>
      </c>
      <c r="M186" s="197">
        <v>50.297789790894129</v>
      </c>
      <c r="N186" s="197">
        <v>49.538384472079521</v>
      </c>
      <c r="O186" s="197">
        <v>49.029278986887235</v>
      </c>
      <c r="P186" s="197">
        <v>48.737829651845217</v>
      </c>
      <c r="Q186" s="197">
        <v>48.337233467308799</v>
      </c>
      <c r="R186" s="197">
        <v>47.832014745339983</v>
      </c>
      <c r="S186" s="197">
        <v>47.092275195138185</v>
      </c>
      <c r="T186" s="197">
        <v>46.38094283755246</v>
      </c>
      <c r="U186" s="197">
        <v>46.191581809250899</v>
      </c>
      <c r="V186" s="197">
        <v>45.430424678446236</v>
      </c>
      <c r="W186" s="197">
        <v>41.780645364639625</v>
      </c>
      <c r="X186" s="197">
        <v>40.090034923943492</v>
      </c>
      <c r="Y186" s="197">
        <v>38.321670068357925</v>
      </c>
      <c r="Z186" s="197">
        <v>37.599979893221835</v>
      </c>
      <c r="AA186" s="197">
        <v>35.998205883930424</v>
      </c>
      <c r="AB186" s="16">
        <f>Peak!AB188</f>
        <v>0.8097063379588082</v>
      </c>
      <c r="AC186" s="16">
        <f>Peak!AC188</f>
        <v>0</v>
      </c>
      <c r="AD186" s="18">
        <f>Peak!AD188</f>
        <v>728.14269915212174</v>
      </c>
      <c r="AE186" s="18">
        <f>Peak!AE188</f>
        <v>1844.5996241870525</v>
      </c>
      <c r="AF186" s="16">
        <f>Peak!AF188</f>
        <v>1</v>
      </c>
      <c r="AG186" s="73">
        <f>Peak!AG188</f>
        <v>0</v>
      </c>
      <c r="AH186" s="16">
        <f>Peak!AH188</f>
        <v>3.898194170079389</v>
      </c>
      <c r="AI186" s="16">
        <f>Peak!AI188</f>
        <v>3.621493916494722</v>
      </c>
      <c r="AJ186" s="16">
        <f>Peak!AJ188</f>
        <v>0</v>
      </c>
      <c r="AK186" s="16">
        <f>Peak!AK188</f>
        <v>0</v>
      </c>
      <c r="AL186" s="4"/>
    </row>
    <row r="187" spans="1:38" x14ac:dyDescent="0.2">
      <c r="A187" s="1">
        <f t="shared" si="17"/>
        <v>41954.226000000228</v>
      </c>
      <c r="B187" s="16">
        <f t="shared" si="15"/>
        <v>4.2686999860424448</v>
      </c>
      <c r="C187" s="17">
        <f t="shared" si="12"/>
        <v>48.256563461362333</v>
      </c>
      <c r="D187" s="16">
        <f t="shared" si="16"/>
        <v>0.81105584852207291</v>
      </c>
      <c r="E187" s="16">
        <f t="shared" si="13"/>
        <v>0</v>
      </c>
      <c r="F187" s="16">
        <f t="shared" si="14"/>
        <v>0</v>
      </c>
      <c r="G187" s="19" t="str">
        <f>IF(IS!$C$2="Peak","-",SUM(C187:F187))</f>
        <v>-</v>
      </c>
      <c r="H187" s="197">
        <v>148.86482618779189</v>
      </c>
      <c r="I187" s="197">
        <v>107.41031634640714</v>
      </c>
      <c r="J187" s="197">
        <v>89.037798568724114</v>
      </c>
      <c r="K187" s="197">
        <v>83.522321273113079</v>
      </c>
      <c r="L187" s="197">
        <v>77.68287176932121</v>
      </c>
      <c r="M187" s="197">
        <v>76.974124471892509</v>
      </c>
      <c r="N187" s="197">
        <v>73.802860757210254</v>
      </c>
      <c r="O187" s="197">
        <v>57.069518133530337</v>
      </c>
      <c r="P187" s="197">
        <v>51.614765140679324</v>
      </c>
      <c r="Q187" s="197">
        <v>44.44642013183558</v>
      </c>
      <c r="R187" s="197">
        <v>43.398327195523891</v>
      </c>
      <c r="S187" s="197">
        <v>42.241388729854421</v>
      </c>
      <c r="T187" s="197">
        <v>40.006880263506901</v>
      </c>
      <c r="U187" s="197">
        <v>38.433057705058829</v>
      </c>
      <c r="V187" s="197">
        <v>37.959054208100554</v>
      </c>
      <c r="W187" s="197">
        <v>37.947208320081707</v>
      </c>
      <c r="X187" s="197">
        <v>37.67793678325593</v>
      </c>
      <c r="Y187" s="197">
        <v>37.332657264638115</v>
      </c>
      <c r="Z187" s="197">
        <v>37.332657264638115</v>
      </c>
      <c r="AA187" s="197">
        <v>34.2918368354987</v>
      </c>
      <c r="AB187" s="16">
        <f>Peak!AB189</f>
        <v>0.81105584852207291</v>
      </c>
      <c r="AC187" s="16">
        <f>Peak!AC189</f>
        <v>0</v>
      </c>
      <c r="AD187" s="18">
        <f>Peak!AD189</f>
        <v>728.14269915212174</v>
      </c>
      <c r="AE187" s="18">
        <f>Peak!AE189</f>
        <v>1844.5996241870525</v>
      </c>
      <c r="AF187" s="16">
        <f>Peak!AF189</f>
        <v>1</v>
      </c>
      <c r="AG187" s="73">
        <f>Peak!AG189</f>
        <v>0</v>
      </c>
      <c r="AH187" s="16">
        <f>Peak!AH189</f>
        <v>4.2686999860424448</v>
      </c>
      <c r="AI187" s="16">
        <f>Peak!AI189</f>
        <v>3.9264618252521726</v>
      </c>
      <c r="AJ187" s="16">
        <f>Peak!AJ189</f>
        <v>0</v>
      </c>
      <c r="AK187" s="16">
        <f>Peak!AK189</f>
        <v>0</v>
      </c>
      <c r="AL187" s="4"/>
    </row>
    <row r="188" spans="1:38" x14ac:dyDescent="0.2">
      <c r="A188" s="1">
        <f t="shared" si="17"/>
        <v>41984.643000000229</v>
      </c>
      <c r="B188" s="16">
        <f t="shared" si="15"/>
        <v>4.6194980458372532</v>
      </c>
      <c r="C188" s="17">
        <f t="shared" si="12"/>
        <v>52.222245961880567</v>
      </c>
      <c r="D188" s="16">
        <f t="shared" si="16"/>
        <v>0.81240760826960978</v>
      </c>
      <c r="E188" s="16">
        <f t="shared" si="13"/>
        <v>0</v>
      </c>
      <c r="F188" s="16">
        <f t="shared" si="14"/>
        <v>0</v>
      </c>
      <c r="G188" s="19" t="str">
        <f>IF(IS!$C$2="Peak","-",SUM(C188:F188))</f>
        <v>-</v>
      </c>
      <c r="H188" s="197">
        <v>152.62290847950433</v>
      </c>
      <c r="I188" s="197">
        <v>149.21839596946182</v>
      </c>
      <c r="J188" s="197">
        <v>134.4230584151137</v>
      </c>
      <c r="K188" s="197">
        <v>101.76836705879228</v>
      </c>
      <c r="L188" s="197">
        <v>95.241261537934633</v>
      </c>
      <c r="M188" s="197">
        <v>88.262164633878996</v>
      </c>
      <c r="N188" s="197">
        <v>86.371807184600044</v>
      </c>
      <c r="O188" s="197">
        <v>79.883161172977836</v>
      </c>
      <c r="P188" s="197">
        <v>60.476465707758848</v>
      </c>
      <c r="Q188" s="197">
        <v>50.92610753477279</v>
      </c>
      <c r="R188" s="197">
        <v>47.318686837991216</v>
      </c>
      <c r="S188" s="197">
        <v>42.964530673870961</v>
      </c>
      <c r="T188" s="197">
        <v>42.964530673870961</v>
      </c>
      <c r="U188" s="197">
        <v>42.845842016519484</v>
      </c>
      <c r="V188" s="197">
        <v>42.615416512270542</v>
      </c>
      <c r="W188" s="197">
        <v>42.615416512270542</v>
      </c>
      <c r="X188" s="197">
        <v>42.615416512270542</v>
      </c>
      <c r="Y188" s="197">
        <v>42.414493944055614</v>
      </c>
      <c r="Z188" s="197">
        <v>41.79745192051216</v>
      </c>
      <c r="AA188" s="197">
        <v>41.435587346096796</v>
      </c>
      <c r="AB188" s="16">
        <f>Peak!AB190</f>
        <v>0.81240760826960978</v>
      </c>
      <c r="AC188" s="16">
        <f>Peak!AC190</f>
        <v>0</v>
      </c>
      <c r="AD188" s="18">
        <f>Peak!AD190</f>
        <v>728.14269915212174</v>
      </c>
      <c r="AE188" s="18">
        <f>Peak!AE190</f>
        <v>1844.5996241870525</v>
      </c>
      <c r="AF188" s="16">
        <f>Peak!AF190</f>
        <v>1</v>
      </c>
      <c r="AG188" s="73">
        <f>Peak!AG190</f>
        <v>0</v>
      </c>
      <c r="AH188" s="16">
        <f>Peak!AH190</f>
        <v>4.6194980458372532</v>
      </c>
      <c r="AI188" s="16">
        <f>Peak!AI190</f>
        <v>4.1170667682255786</v>
      </c>
      <c r="AJ188" s="16">
        <f>Peak!AJ190</f>
        <v>0</v>
      </c>
      <c r="AK188" s="16">
        <f>Peak!AK190</f>
        <v>0</v>
      </c>
      <c r="AL188" s="4"/>
    </row>
    <row r="189" spans="1:38" x14ac:dyDescent="0.2">
      <c r="A189" s="1">
        <f t="shared" si="17"/>
        <v>42015.060000000231</v>
      </c>
      <c r="B189" s="16">
        <f t="shared" si="15"/>
        <v>4.8568850063716944</v>
      </c>
      <c r="C189" s="17">
        <f t="shared" si="12"/>
        <v>54.905844941285693</v>
      </c>
      <c r="D189" s="16">
        <f t="shared" si="16"/>
        <v>0.81376162095005922</v>
      </c>
      <c r="E189" s="16">
        <f t="shared" si="13"/>
        <v>0</v>
      </c>
      <c r="F189" s="16">
        <f t="shared" si="14"/>
        <v>0</v>
      </c>
      <c r="G189" s="19" t="str">
        <f>IF(IS!$C$2="Peak","-",SUM(C189:F189))</f>
        <v>-</v>
      </c>
      <c r="H189" s="197">
        <v>111.93226183302843</v>
      </c>
      <c r="I189" s="197">
        <v>103.21829734814199</v>
      </c>
      <c r="J189" s="197">
        <v>98.663601362089992</v>
      </c>
      <c r="K189" s="197">
        <v>91.423123935195662</v>
      </c>
      <c r="L189" s="197">
        <v>90.91208189617403</v>
      </c>
      <c r="M189" s="197">
        <v>83.095148002341517</v>
      </c>
      <c r="N189" s="197">
        <v>66.508355853374141</v>
      </c>
      <c r="O189" s="197">
        <v>65.840444119046197</v>
      </c>
      <c r="P189" s="197">
        <v>65.083069755351659</v>
      </c>
      <c r="Q189" s="197">
        <v>64.509972245371557</v>
      </c>
      <c r="R189" s="197">
        <v>62.596046650909578</v>
      </c>
      <c r="S189" s="197">
        <v>55.697796273847729</v>
      </c>
      <c r="T189" s="197">
        <v>49.175225281913413</v>
      </c>
      <c r="U189" s="197">
        <v>44.665963579169457</v>
      </c>
      <c r="V189" s="197">
        <v>44.347683628711934</v>
      </c>
      <c r="W189" s="197">
        <v>44.052457326105078</v>
      </c>
      <c r="X189" s="197">
        <v>43.608488764645323</v>
      </c>
      <c r="Y189" s="197">
        <v>43.608469046783092</v>
      </c>
      <c r="Z189" s="197">
        <v>43.608460187087651</v>
      </c>
      <c r="AA189" s="197">
        <v>43.581335497607277</v>
      </c>
      <c r="AB189" s="16">
        <f>Peak!AB191</f>
        <v>0.81376162095005922</v>
      </c>
      <c r="AC189" s="16">
        <f>Peak!AC191</f>
        <v>0</v>
      </c>
      <c r="AD189" s="18">
        <f>Peak!AD191</f>
        <v>806.55967593313017</v>
      </c>
      <c r="AE189" s="18">
        <f>Peak!AE191</f>
        <v>1882.7189785852679</v>
      </c>
      <c r="AF189" s="16">
        <f>Peak!AF191</f>
        <v>1</v>
      </c>
      <c r="AG189" s="73">
        <f>Peak!AG191</f>
        <v>0</v>
      </c>
      <c r="AH189" s="16">
        <f>Peak!AH191</f>
        <v>4.8568850063716944</v>
      </c>
      <c r="AI189" s="16">
        <f>Peak!AI191</f>
        <v>4.5531551926412224</v>
      </c>
      <c r="AJ189" s="16">
        <f>Peak!AJ191</f>
        <v>0</v>
      </c>
      <c r="AK189" s="16">
        <f>Peak!AK191</f>
        <v>0</v>
      </c>
      <c r="AL189" s="4"/>
    </row>
    <row r="190" spans="1:38" x14ac:dyDescent="0.2">
      <c r="A190" s="1">
        <f t="shared" si="17"/>
        <v>42045.477000000232</v>
      </c>
      <c r="B190" s="16">
        <f t="shared" si="15"/>
        <v>4.3531123594342045</v>
      </c>
      <c r="C190" s="17">
        <f t="shared" si="12"/>
        <v>49.21082379046085</v>
      </c>
      <c r="D190" s="16">
        <f t="shared" si="16"/>
        <v>0.81511789031830939</v>
      </c>
      <c r="E190" s="16">
        <f t="shared" si="13"/>
        <v>0</v>
      </c>
      <c r="F190" s="16">
        <f t="shared" si="14"/>
        <v>0</v>
      </c>
      <c r="G190" s="19" t="str">
        <f>IF(IS!$C$2="Peak","-",SUM(C190:F190))</f>
        <v>-</v>
      </c>
      <c r="H190" s="197">
        <v>150.37436330333634</v>
      </c>
      <c r="I190" s="197">
        <v>145.53692115261202</v>
      </c>
      <c r="J190" s="197">
        <v>127.97560286855087</v>
      </c>
      <c r="K190" s="197">
        <v>103.83409686887225</v>
      </c>
      <c r="L190" s="197">
        <v>95.837569689838489</v>
      </c>
      <c r="M190" s="197">
        <v>89.625363919320776</v>
      </c>
      <c r="N190" s="197">
        <v>84.495793728076336</v>
      </c>
      <c r="O190" s="197">
        <v>62.951308286622599</v>
      </c>
      <c r="P190" s="197">
        <v>52.268332376339188</v>
      </c>
      <c r="Q190" s="197">
        <v>49.622013965961273</v>
      </c>
      <c r="R190" s="197">
        <v>45.058212119151854</v>
      </c>
      <c r="S190" s="197">
        <v>43.604270944545057</v>
      </c>
      <c r="T190" s="197">
        <v>43.604270944545057</v>
      </c>
      <c r="U190" s="197">
        <v>43.251413320611768</v>
      </c>
      <c r="V190" s="197">
        <v>43.113201744831386</v>
      </c>
      <c r="W190" s="197">
        <v>42.879775754796924</v>
      </c>
      <c r="X190" s="197">
        <v>42.879738822635034</v>
      </c>
      <c r="Y190" s="197">
        <v>42.879706794513268</v>
      </c>
      <c r="Z190" s="197">
        <v>42.879517281958115</v>
      </c>
      <c r="AA190" s="197">
        <v>42.857946473673607</v>
      </c>
      <c r="AB190" s="16">
        <f>Peak!AB192</f>
        <v>0.81511789031830939</v>
      </c>
      <c r="AC190" s="16">
        <f>Peak!AC192</f>
        <v>0</v>
      </c>
      <c r="AD190" s="18">
        <f>Peak!AD192</f>
        <v>806.55967593313017</v>
      </c>
      <c r="AE190" s="18">
        <f>Peak!AE192</f>
        <v>1882.7189785852679</v>
      </c>
      <c r="AF190" s="16">
        <f>Peak!AF192</f>
        <v>1</v>
      </c>
      <c r="AG190" s="73">
        <f>Peak!AG192</f>
        <v>0</v>
      </c>
      <c r="AH190" s="16">
        <f>Peak!AH192</f>
        <v>4.3531123594342045</v>
      </c>
      <c r="AI190" s="16">
        <f>Peak!AI192</f>
        <v>4.5109963482649142</v>
      </c>
      <c r="AJ190" s="16">
        <f>Peak!AJ192</f>
        <v>0</v>
      </c>
      <c r="AK190" s="16">
        <f>Peak!AK192</f>
        <v>0</v>
      </c>
      <c r="AL190" s="4"/>
    </row>
    <row r="191" spans="1:38" x14ac:dyDescent="0.2">
      <c r="A191" s="1">
        <f t="shared" si="17"/>
        <v>42075.894000000233</v>
      </c>
      <c r="B191" s="16">
        <f t="shared" si="15"/>
        <v>4.2799146244091002</v>
      </c>
      <c r="C191" s="17">
        <f t="shared" si="12"/>
        <v>48.383342084785454</v>
      </c>
      <c r="D191" s="16">
        <f t="shared" si="16"/>
        <v>0.81647642013550659</v>
      </c>
      <c r="E191" s="16">
        <f t="shared" si="13"/>
        <v>0</v>
      </c>
      <c r="F191" s="16">
        <f t="shared" si="14"/>
        <v>0</v>
      </c>
      <c r="G191" s="19" t="str">
        <f>IF(IS!$C$2="Peak","-",SUM(C191:F191))</f>
        <v>-</v>
      </c>
      <c r="H191" s="197">
        <v>100.13312426541765</v>
      </c>
      <c r="I191" s="197">
        <v>96.396474737934412</v>
      </c>
      <c r="J191" s="197">
        <v>96.231057988736922</v>
      </c>
      <c r="K191" s="197">
        <v>94.621359697733027</v>
      </c>
      <c r="L191" s="197">
        <v>82.818961603687185</v>
      </c>
      <c r="M191" s="197">
        <v>65.731077548411378</v>
      </c>
      <c r="N191" s="197">
        <v>57.149043022496905</v>
      </c>
      <c r="O191" s="197">
        <v>53.656564260659692</v>
      </c>
      <c r="P191" s="197">
        <v>53.008814765541416</v>
      </c>
      <c r="Q191" s="197">
        <v>49.217090334084354</v>
      </c>
      <c r="R191" s="197">
        <v>46.956449843711425</v>
      </c>
      <c r="S191" s="197">
        <v>46.616920404783635</v>
      </c>
      <c r="T191" s="197">
        <v>46.448431764303109</v>
      </c>
      <c r="U191" s="197">
        <v>46.448431764303109</v>
      </c>
      <c r="V191" s="197">
        <v>46.4202646873037</v>
      </c>
      <c r="W191" s="197">
        <v>45.73634919974667</v>
      </c>
      <c r="X191" s="197">
        <v>45.667408327752369</v>
      </c>
      <c r="Y191" s="197">
        <v>45.667408327752369</v>
      </c>
      <c r="Z191" s="197">
        <v>45.667408327752369</v>
      </c>
      <c r="AA191" s="197">
        <v>45.080243060620731</v>
      </c>
      <c r="AB191" s="16">
        <f>Peak!AB193</f>
        <v>0.81647642013550659</v>
      </c>
      <c r="AC191" s="16">
        <f>Peak!AC193</f>
        <v>0</v>
      </c>
      <c r="AD191" s="18">
        <f>Peak!AD193</f>
        <v>806.55967593313017</v>
      </c>
      <c r="AE191" s="18">
        <f>Peak!AE193</f>
        <v>1882.7189785852679</v>
      </c>
      <c r="AF191" s="16">
        <f>Peak!AF193</f>
        <v>1</v>
      </c>
      <c r="AG191" s="73">
        <f>Peak!AG193</f>
        <v>0</v>
      </c>
      <c r="AH191" s="16">
        <f>Peak!AH193</f>
        <v>4.2799146244091002</v>
      </c>
      <c r="AI191" s="16">
        <f>Peak!AI193</f>
        <v>4.3423609707596835</v>
      </c>
      <c r="AJ191" s="16">
        <f>Peak!AJ193</f>
        <v>0</v>
      </c>
      <c r="AK191" s="16">
        <f>Peak!AK193</f>
        <v>0</v>
      </c>
      <c r="AL191" s="4"/>
    </row>
    <row r="192" spans="1:38" x14ac:dyDescent="0.2">
      <c r="A192" s="1">
        <f t="shared" si="17"/>
        <v>42106.311000000234</v>
      </c>
      <c r="B192" s="16">
        <f t="shared" si="15"/>
        <v>4.068932917572031</v>
      </c>
      <c r="C192" s="17">
        <f t="shared" si="12"/>
        <v>45.998247756662217</v>
      </c>
      <c r="D192" s="16">
        <f t="shared" si="16"/>
        <v>0.81783721416906574</v>
      </c>
      <c r="E192" s="16">
        <f t="shared" si="13"/>
        <v>0</v>
      </c>
      <c r="F192" s="16">
        <f t="shared" si="14"/>
        <v>0</v>
      </c>
      <c r="G192" s="19" t="str">
        <f>IF(IS!$C$2="Peak","-",SUM(C192:F192))</f>
        <v>-</v>
      </c>
      <c r="H192" s="197">
        <v>77.282340511171881</v>
      </c>
      <c r="I192" s="197">
        <v>74.454734963792703</v>
      </c>
      <c r="J192" s="197">
        <v>71.670802658602469</v>
      </c>
      <c r="K192" s="197">
        <v>68.332897018206154</v>
      </c>
      <c r="L192" s="197">
        <v>63.800930277221255</v>
      </c>
      <c r="M192" s="197">
        <v>63.256572785208064</v>
      </c>
      <c r="N192" s="197">
        <v>59.370724419975396</v>
      </c>
      <c r="O192" s="197">
        <v>53.775130510404907</v>
      </c>
      <c r="P192" s="197">
        <v>50.980523256100575</v>
      </c>
      <c r="Q192" s="197">
        <v>49.446639646811541</v>
      </c>
      <c r="R192" s="197">
        <v>48.110836664732062</v>
      </c>
      <c r="S192" s="197">
        <v>46.325308707262636</v>
      </c>
      <c r="T192" s="197">
        <v>44.769121856718712</v>
      </c>
      <c r="U192" s="197">
        <v>42.483061077832282</v>
      </c>
      <c r="V192" s="197">
        <v>38.544709759154145</v>
      </c>
      <c r="W192" s="197">
        <v>37.259995791033553</v>
      </c>
      <c r="X192" s="197">
        <v>36.331070075161378</v>
      </c>
      <c r="Y192" s="197">
        <v>36.09286206234647</v>
      </c>
      <c r="Z192" s="197">
        <v>35.805724894405706</v>
      </c>
      <c r="AA192" s="197">
        <v>34.606480964200884</v>
      </c>
      <c r="AB192" s="16">
        <f>Peak!AB194</f>
        <v>0.81783721416906574</v>
      </c>
      <c r="AC192" s="16">
        <f>Peak!AC194</f>
        <v>0</v>
      </c>
      <c r="AD192" s="18">
        <f>Peak!AD194</f>
        <v>806.55967593313017</v>
      </c>
      <c r="AE192" s="18">
        <f>Peak!AE194</f>
        <v>1882.7189785852679</v>
      </c>
      <c r="AF192" s="16">
        <f>Peak!AF194</f>
        <v>1</v>
      </c>
      <c r="AG192" s="73">
        <f>Peak!AG194</f>
        <v>0</v>
      </c>
      <c r="AH192" s="16">
        <f>Peak!AH194</f>
        <v>4.068932917572031</v>
      </c>
      <c r="AI192" s="16">
        <f>Peak!AI194</f>
        <v>4.1737255932544537</v>
      </c>
      <c r="AJ192" s="16">
        <f>Peak!AJ194</f>
        <v>0</v>
      </c>
      <c r="AK192" s="16">
        <f>Peak!AK194</f>
        <v>0</v>
      </c>
      <c r="AL192" s="4"/>
    </row>
    <row r="193" spans="1:38" x14ac:dyDescent="0.2">
      <c r="A193" s="1">
        <f t="shared" si="17"/>
        <v>42136.728000000236</v>
      </c>
      <c r="B193" s="16">
        <f t="shared" si="15"/>
        <v>4.2842203735282238</v>
      </c>
      <c r="C193" s="17">
        <f t="shared" si="12"/>
        <v>48.432017479236947</v>
      </c>
      <c r="D193" s="16">
        <f t="shared" si="16"/>
        <v>0.81920027619268088</v>
      </c>
      <c r="E193" s="16">
        <f t="shared" si="13"/>
        <v>0</v>
      </c>
      <c r="F193" s="16">
        <f t="shared" si="14"/>
        <v>0</v>
      </c>
      <c r="G193" s="19" t="str">
        <f>IF(IS!$C$2="Peak","-",SUM(C193:F193))</f>
        <v>-</v>
      </c>
      <c r="H193" s="197">
        <v>166.16560831435271</v>
      </c>
      <c r="I193" s="197">
        <v>155.69376146428641</v>
      </c>
      <c r="J193" s="197">
        <v>149.55282637732628</v>
      </c>
      <c r="K193" s="197">
        <v>83.440217866533388</v>
      </c>
      <c r="L193" s="197">
        <v>68.663128732701949</v>
      </c>
      <c r="M193" s="197">
        <v>63.125265075641401</v>
      </c>
      <c r="N193" s="197">
        <v>62.145951210491617</v>
      </c>
      <c r="O193" s="197">
        <v>53.685672038528359</v>
      </c>
      <c r="P193" s="197">
        <v>44.985686473001081</v>
      </c>
      <c r="Q193" s="197">
        <v>44.031290076043263</v>
      </c>
      <c r="R193" s="197">
        <v>42.719384049103063</v>
      </c>
      <c r="S193" s="197">
        <v>41.537799661707417</v>
      </c>
      <c r="T193" s="197">
        <v>39.860414206811328</v>
      </c>
      <c r="U193" s="197">
        <v>37.669390218182166</v>
      </c>
      <c r="V193" s="197">
        <v>36.217853549707364</v>
      </c>
      <c r="W193" s="197">
        <v>35.61959600776764</v>
      </c>
      <c r="X193" s="197">
        <v>34.770195993720407</v>
      </c>
      <c r="Y193" s="197">
        <v>32.339520577679529</v>
      </c>
      <c r="Z193" s="197">
        <v>31.597715794391796</v>
      </c>
      <c r="AA193" s="197">
        <v>31.231141583091883</v>
      </c>
      <c r="AB193" s="16">
        <f>Peak!AB195</f>
        <v>0.81920027619268088</v>
      </c>
      <c r="AC193" s="16">
        <f>Peak!AC195</f>
        <v>0</v>
      </c>
      <c r="AD193" s="18">
        <f>Peak!AD195</f>
        <v>806.55967593313017</v>
      </c>
      <c r="AE193" s="18">
        <f>Peak!AE195</f>
        <v>1882.7189785852679</v>
      </c>
      <c r="AF193" s="16">
        <f>Peak!AF195</f>
        <v>1</v>
      </c>
      <c r="AG193" s="73">
        <f>Peak!AG195</f>
        <v>0</v>
      </c>
      <c r="AH193" s="16">
        <f>Peak!AH195</f>
        <v>4.2842203735282238</v>
      </c>
      <c r="AI193" s="16">
        <f>Peak!AI195</f>
        <v>4.005090215749223</v>
      </c>
      <c r="AJ193" s="16">
        <f>Peak!AJ195</f>
        <v>0</v>
      </c>
      <c r="AK193" s="16">
        <f>Peak!AK195</f>
        <v>0</v>
      </c>
      <c r="AL193" s="4"/>
    </row>
    <row r="194" spans="1:38" x14ac:dyDescent="0.2">
      <c r="A194" s="1">
        <f t="shared" si="17"/>
        <v>42167.145000000237</v>
      </c>
      <c r="B194" s="16">
        <f t="shared" si="15"/>
        <v>4.0818501649294028</v>
      </c>
      <c r="C194" s="17">
        <f t="shared" si="12"/>
        <v>46.144273940016696</v>
      </c>
      <c r="D194" s="16">
        <f t="shared" si="16"/>
        <v>0.82056560998633543</v>
      </c>
      <c r="E194" s="16">
        <f t="shared" si="13"/>
        <v>0</v>
      </c>
      <c r="F194" s="16">
        <f t="shared" si="14"/>
        <v>0</v>
      </c>
      <c r="G194" s="19" t="str">
        <f>IF(IS!$C$2="Peak","-",SUM(C194:F194))</f>
        <v>-</v>
      </c>
      <c r="H194" s="197">
        <v>193.03010379065501</v>
      </c>
      <c r="I194" s="197">
        <v>178.07227204157724</v>
      </c>
      <c r="J194" s="197">
        <v>165.43524610344434</v>
      </c>
      <c r="K194" s="197">
        <v>152.27326166666947</v>
      </c>
      <c r="L194" s="197">
        <v>122.32468874581056</v>
      </c>
      <c r="M194" s="197">
        <v>89.07991890029399</v>
      </c>
      <c r="N194" s="197">
        <v>68.451134976030048</v>
      </c>
      <c r="O194" s="197">
        <v>61.753004704110687</v>
      </c>
      <c r="P194" s="197">
        <v>59.894296205883151</v>
      </c>
      <c r="Q194" s="197">
        <v>51.822113400085108</v>
      </c>
      <c r="R194" s="197">
        <v>47.185244841887382</v>
      </c>
      <c r="S194" s="197">
        <v>41.979098347552402</v>
      </c>
      <c r="T194" s="197">
        <v>38.260560456471488</v>
      </c>
      <c r="U194" s="197">
        <v>36.538105232519897</v>
      </c>
      <c r="V194" s="197">
        <v>35.233740324737241</v>
      </c>
      <c r="W194" s="197">
        <v>33.9466905810513</v>
      </c>
      <c r="X194" s="197">
        <v>32.172879112619071</v>
      </c>
      <c r="Y194" s="197">
        <v>30.679252676788138</v>
      </c>
      <c r="Z194" s="197">
        <v>30.535058037067991</v>
      </c>
      <c r="AA194" s="197">
        <v>28.099223244744675</v>
      </c>
      <c r="AB194" s="16">
        <f>Peak!AB196</f>
        <v>0.82056560998633543</v>
      </c>
      <c r="AC194" s="16">
        <f>Peak!AC196</f>
        <v>0</v>
      </c>
      <c r="AD194" s="18">
        <f>Peak!AD196</f>
        <v>806.55967593313017</v>
      </c>
      <c r="AE194" s="18">
        <f>Peak!AE196</f>
        <v>1882.7189785852679</v>
      </c>
      <c r="AF194" s="16">
        <f>Peak!AF196</f>
        <v>1</v>
      </c>
      <c r="AG194" s="73">
        <f>Peak!AG196</f>
        <v>0</v>
      </c>
      <c r="AH194" s="16">
        <f>Peak!AH196</f>
        <v>4.0818501649294028</v>
      </c>
      <c r="AI194" s="16">
        <f>Peak!AI196</f>
        <v>4.005090215749223</v>
      </c>
      <c r="AJ194" s="16">
        <f>Peak!AJ196</f>
        <v>0</v>
      </c>
      <c r="AK194" s="16">
        <f>Peak!AK196</f>
        <v>0</v>
      </c>
      <c r="AL194" s="4"/>
    </row>
    <row r="195" spans="1:38" x14ac:dyDescent="0.2">
      <c r="A195" s="1">
        <f t="shared" si="17"/>
        <v>42197.562000000238</v>
      </c>
      <c r="B195" s="16">
        <f t="shared" si="15"/>
        <v>4.068932917572031</v>
      </c>
      <c r="C195" s="17">
        <f t="shared" si="12"/>
        <v>45.998247756662217</v>
      </c>
      <c r="D195" s="16">
        <f t="shared" si="16"/>
        <v>0.82193321933631269</v>
      </c>
      <c r="E195" s="16">
        <f t="shared" si="13"/>
        <v>0</v>
      </c>
      <c r="F195" s="16">
        <f t="shared" si="14"/>
        <v>0</v>
      </c>
      <c r="G195" s="19" t="str">
        <f>IF(IS!$C$2="Peak","-",SUM(C195:F195))</f>
        <v>-</v>
      </c>
      <c r="H195" s="197">
        <v>323.6976984259407</v>
      </c>
      <c r="I195" s="197">
        <v>237.36640972119503</v>
      </c>
      <c r="J195" s="197">
        <v>214.71537026531846</v>
      </c>
      <c r="K195" s="197">
        <v>195.01716422155536</v>
      </c>
      <c r="L195" s="197">
        <v>178.44034076288179</v>
      </c>
      <c r="M195" s="197">
        <v>161.91302356766391</v>
      </c>
      <c r="N195" s="197">
        <v>148.31225670055807</v>
      </c>
      <c r="O195" s="197">
        <v>76.185430812381952</v>
      </c>
      <c r="P195" s="197">
        <v>59.379773134017661</v>
      </c>
      <c r="Q195" s="197">
        <v>53.53335417493399</v>
      </c>
      <c r="R195" s="197">
        <v>49.2476547817257</v>
      </c>
      <c r="S195" s="197">
        <v>39.446744359708738</v>
      </c>
      <c r="T195" s="197">
        <v>38.398099830965549</v>
      </c>
      <c r="U195" s="197">
        <v>37.1386735758526</v>
      </c>
      <c r="V195" s="197">
        <v>35.83671533148754</v>
      </c>
      <c r="W195" s="197">
        <v>34.231179858786831</v>
      </c>
      <c r="X195" s="197">
        <v>32.260967616558446</v>
      </c>
      <c r="Y195" s="197">
        <v>30.956288166343295</v>
      </c>
      <c r="Z195" s="197">
        <v>28.620290117514035</v>
      </c>
      <c r="AA195" s="197">
        <v>27.11760291078766</v>
      </c>
      <c r="AB195" s="16">
        <f>Peak!AB197</f>
        <v>0.82193321933631269</v>
      </c>
      <c r="AC195" s="16">
        <f>Peak!AC197</f>
        <v>0</v>
      </c>
      <c r="AD195" s="18">
        <f>Peak!AD197</f>
        <v>806.55967593313017</v>
      </c>
      <c r="AE195" s="18">
        <f>Peak!AE197</f>
        <v>1882.7189785852679</v>
      </c>
      <c r="AF195" s="16">
        <f>Peak!AF197</f>
        <v>1</v>
      </c>
      <c r="AG195" s="73">
        <f>Peak!AG197</f>
        <v>0</v>
      </c>
      <c r="AH195" s="16">
        <f>Peak!AH197</f>
        <v>4.068932917572031</v>
      </c>
      <c r="AI195" s="16">
        <f>Peak!AI197</f>
        <v>4.005090215749223</v>
      </c>
      <c r="AJ195" s="16">
        <f>Peak!AJ197</f>
        <v>0</v>
      </c>
      <c r="AK195" s="16">
        <f>Peak!AK197</f>
        <v>0</v>
      </c>
      <c r="AL195" s="4"/>
    </row>
    <row r="196" spans="1:38" x14ac:dyDescent="0.2">
      <c r="A196" s="1">
        <f t="shared" si="17"/>
        <v>42227.979000000239</v>
      </c>
      <c r="B196" s="16">
        <f t="shared" si="15"/>
        <v>3.8579512107349632</v>
      </c>
      <c r="C196" s="17">
        <f t="shared" si="12"/>
        <v>43.613153428538993</v>
      </c>
      <c r="D196" s="16">
        <f t="shared" si="16"/>
        <v>0.82330310803520657</v>
      </c>
      <c r="E196" s="16">
        <f t="shared" si="13"/>
        <v>0</v>
      </c>
      <c r="F196" s="16">
        <f t="shared" si="14"/>
        <v>0</v>
      </c>
      <c r="G196" s="19" t="str">
        <f>IF(IS!$C$2="Peak","-",SUM(C196:F196))</f>
        <v>-</v>
      </c>
      <c r="H196" s="197">
        <v>329.42661047463639</v>
      </c>
      <c r="I196" s="197">
        <v>232.76734441193207</v>
      </c>
      <c r="J196" s="197">
        <v>210.0541900213193</v>
      </c>
      <c r="K196" s="197">
        <v>187.54203086288743</v>
      </c>
      <c r="L196" s="197">
        <v>169.23864604761667</v>
      </c>
      <c r="M196" s="197">
        <v>152.74266210307169</v>
      </c>
      <c r="N196" s="197">
        <v>100.29037812738979</v>
      </c>
      <c r="O196" s="197">
        <v>84.41564436222545</v>
      </c>
      <c r="P196" s="197">
        <v>57.773962297264916</v>
      </c>
      <c r="Q196" s="197">
        <v>49.317396925991019</v>
      </c>
      <c r="R196" s="197">
        <v>46.560379872813193</v>
      </c>
      <c r="S196" s="197">
        <v>43.713250152026923</v>
      </c>
      <c r="T196" s="197">
        <v>43.116857274179871</v>
      </c>
      <c r="U196" s="197">
        <v>42.844803271758451</v>
      </c>
      <c r="V196" s="197">
        <v>42.844803271758451</v>
      </c>
      <c r="W196" s="197">
        <v>42.844803271758451</v>
      </c>
      <c r="X196" s="197">
        <v>42.389851077235065</v>
      </c>
      <c r="Y196" s="197">
        <v>42.134941224464242</v>
      </c>
      <c r="Z196" s="197">
        <v>42.134882069788617</v>
      </c>
      <c r="AA196" s="197">
        <v>40.836320434434889</v>
      </c>
      <c r="AB196" s="16">
        <f>Peak!AB198</f>
        <v>0.82330310803520657</v>
      </c>
      <c r="AC196" s="16">
        <f>Peak!AC198</f>
        <v>0</v>
      </c>
      <c r="AD196" s="18">
        <f>Peak!AD198</f>
        <v>806.55967593313017</v>
      </c>
      <c r="AE196" s="18">
        <f>Peak!AE198</f>
        <v>1882.7189785852679</v>
      </c>
      <c r="AF196" s="16">
        <f>Peak!AF198</f>
        <v>1</v>
      </c>
      <c r="AG196" s="73">
        <f>Peak!AG198</f>
        <v>0</v>
      </c>
      <c r="AH196" s="16">
        <f>Peak!AH198</f>
        <v>3.8579512107349632</v>
      </c>
      <c r="AI196" s="16">
        <f>Peak!AI198</f>
        <v>4.005090215749223</v>
      </c>
      <c r="AJ196" s="16">
        <f>Peak!AJ198</f>
        <v>0</v>
      </c>
      <c r="AK196" s="16">
        <f>Peak!AK198</f>
        <v>0</v>
      </c>
      <c r="AL196" s="4"/>
    </row>
    <row r="197" spans="1:38" x14ac:dyDescent="0.2">
      <c r="A197" s="1">
        <f t="shared" si="17"/>
        <v>42258.396000000241</v>
      </c>
      <c r="B197" s="16">
        <f t="shared" si="15"/>
        <v>3.8450339633775918</v>
      </c>
      <c r="C197" s="17">
        <f t="shared" si="12"/>
        <v>43.467127245184514</v>
      </c>
      <c r="D197" s="16">
        <f t="shared" si="16"/>
        <v>0.8246752798819319</v>
      </c>
      <c r="E197" s="16">
        <f t="shared" si="13"/>
        <v>0</v>
      </c>
      <c r="F197" s="16">
        <f t="shared" si="14"/>
        <v>0</v>
      </c>
      <c r="G197" s="19" t="str">
        <f>IF(IS!$C$2="Peak","-",SUM(C197:F197))</f>
        <v>-</v>
      </c>
      <c r="H197" s="197">
        <v>152.87369570685161</v>
      </c>
      <c r="I197" s="197">
        <v>134.41131845920481</v>
      </c>
      <c r="J197" s="197">
        <v>103.51536629488585</v>
      </c>
      <c r="K197" s="197">
        <v>94.266992859290781</v>
      </c>
      <c r="L197" s="197">
        <v>82.978360950099841</v>
      </c>
      <c r="M197" s="197">
        <v>59.266426657879059</v>
      </c>
      <c r="N197" s="197">
        <v>52.104018716577805</v>
      </c>
      <c r="O197" s="197">
        <v>48.349487966188903</v>
      </c>
      <c r="P197" s="197">
        <v>46.147662764151278</v>
      </c>
      <c r="Q197" s="197">
        <v>45.796901492895415</v>
      </c>
      <c r="R197" s="197">
        <v>45.437859777275882</v>
      </c>
      <c r="S197" s="197">
        <v>45.437859777275882</v>
      </c>
      <c r="T197" s="197">
        <v>45.437859777275882</v>
      </c>
      <c r="U197" s="197">
        <v>45.399730037553134</v>
      </c>
      <c r="V197" s="197">
        <v>44.84182053649333</v>
      </c>
      <c r="W197" s="197">
        <v>44.67721668215485</v>
      </c>
      <c r="X197" s="197">
        <v>44.677211234074484</v>
      </c>
      <c r="Y197" s="197">
        <v>44.677072815745646</v>
      </c>
      <c r="Z197" s="197">
        <v>44.67706572896698</v>
      </c>
      <c r="AA197" s="197">
        <v>43.676048255595639</v>
      </c>
      <c r="AB197" s="16">
        <f>Peak!AB199</f>
        <v>0.8246752798819319</v>
      </c>
      <c r="AC197" s="16">
        <f>Peak!AC199</f>
        <v>0</v>
      </c>
      <c r="AD197" s="18">
        <f>Peak!AD199</f>
        <v>806.55967593313017</v>
      </c>
      <c r="AE197" s="18">
        <f>Peak!AE199</f>
        <v>1882.7189785852679</v>
      </c>
      <c r="AF197" s="16">
        <f>Peak!AF199</f>
        <v>1</v>
      </c>
      <c r="AG197" s="73">
        <f>Peak!AG199</f>
        <v>0</v>
      </c>
      <c r="AH197" s="16">
        <f>Peak!AH199</f>
        <v>3.8450339633775918</v>
      </c>
      <c r="AI197" s="16">
        <f>Peak!AI199</f>
        <v>4.005090215749223</v>
      </c>
      <c r="AJ197" s="16">
        <f>Peak!AJ199</f>
        <v>0</v>
      </c>
      <c r="AK197" s="16">
        <f>Peak!AK199</f>
        <v>0</v>
      </c>
      <c r="AL197" s="4"/>
    </row>
    <row r="198" spans="1:38" x14ac:dyDescent="0.2">
      <c r="A198" s="1">
        <f t="shared" si="17"/>
        <v>42288.813000000242</v>
      </c>
      <c r="B198" s="16">
        <f t="shared" si="15"/>
        <v>4.2583858788134803</v>
      </c>
      <c r="C198" s="17">
        <f t="shared" si="12"/>
        <v>48.139965112527975</v>
      </c>
      <c r="D198" s="16">
        <f t="shared" si="16"/>
        <v>0.82604973868173515</v>
      </c>
      <c r="E198" s="16">
        <f t="shared" si="13"/>
        <v>0</v>
      </c>
      <c r="F198" s="16">
        <f t="shared" si="14"/>
        <v>0</v>
      </c>
      <c r="G198" s="19" t="str">
        <f>IF(IS!$C$2="Peak","-",SUM(C198:F198))</f>
        <v>-</v>
      </c>
      <c r="H198" s="197">
        <v>149.27952951040905</v>
      </c>
      <c r="I198" s="197">
        <v>143.29374751230054</v>
      </c>
      <c r="J198" s="197">
        <v>105.95878367961009</v>
      </c>
      <c r="K198" s="197">
        <v>89.639348682929622</v>
      </c>
      <c r="L198" s="197">
        <v>82.561158906594429</v>
      </c>
      <c r="M198" s="197">
        <v>81.969222727745702</v>
      </c>
      <c r="N198" s="197">
        <v>69.913721166388001</v>
      </c>
      <c r="O198" s="197">
        <v>56.063895203936205</v>
      </c>
      <c r="P198" s="197">
        <v>46.578108668961796</v>
      </c>
      <c r="Q198" s="197">
        <v>46.032325906078093</v>
      </c>
      <c r="R198" s="197">
        <v>41.210914657702673</v>
      </c>
      <c r="S198" s="197">
        <v>39.639832010491816</v>
      </c>
      <c r="T198" s="197">
        <v>39.639832010491816</v>
      </c>
      <c r="U198" s="197">
        <v>39.639658351668267</v>
      </c>
      <c r="V198" s="197">
        <v>39.6390965972613</v>
      </c>
      <c r="W198" s="197">
        <v>39.6390965972613</v>
      </c>
      <c r="X198" s="197">
        <v>39.6390965972613</v>
      </c>
      <c r="Y198" s="197">
        <v>39.6390965972613</v>
      </c>
      <c r="Z198" s="197">
        <v>38.233324578063176</v>
      </c>
      <c r="AA198" s="197">
        <v>33.808184962603249</v>
      </c>
      <c r="AB198" s="16">
        <f>Peak!AB200</f>
        <v>0.82604973868173515</v>
      </c>
      <c r="AC198" s="16">
        <f>Peak!AC200</f>
        <v>0</v>
      </c>
      <c r="AD198" s="18">
        <f>Peak!AD200</f>
        <v>806.55967593313017</v>
      </c>
      <c r="AE198" s="18">
        <f>Peak!AE200</f>
        <v>1882.7189785852679</v>
      </c>
      <c r="AF198" s="16">
        <f>Peak!AF200</f>
        <v>1</v>
      </c>
      <c r="AG198" s="73">
        <f>Peak!AG200</f>
        <v>0</v>
      </c>
      <c r="AH198" s="16">
        <f>Peak!AH200</f>
        <v>4.2583858788134803</v>
      </c>
      <c r="AI198" s="16">
        <f>Peak!AI200</f>
        <v>4.005090215749223</v>
      </c>
      <c r="AJ198" s="16">
        <f>Peak!AJ200</f>
        <v>0</v>
      </c>
      <c r="AK198" s="16">
        <f>Peak!AK200</f>
        <v>0</v>
      </c>
      <c r="AL198" s="4"/>
    </row>
    <row r="199" spans="1:38" x14ac:dyDescent="0.2">
      <c r="A199" s="1">
        <f t="shared" si="17"/>
        <v>42319.230000000243</v>
      </c>
      <c r="B199" s="16">
        <f t="shared" si="15"/>
        <v>4.6631262960111215</v>
      </c>
      <c r="C199" s="17">
        <f t="shared" si="12"/>
        <v>52.715452190968449</v>
      </c>
      <c r="D199" s="16">
        <f t="shared" si="16"/>
        <v>0.82742648824620468</v>
      </c>
      <c r="E199" s="16">
        <f t="shared" si="13"/>
        <v>0</v>
      </c>
      <c r="F199" s="16">
        <f t="shared" si="14"/>
        <v>0</v>
      </c>
      <c r="G199" s="19" t="str">
        <f>IF(IS!$C$2="Peak","-",SUM(C199:F199))</f>
        <v>-</v>
      </c>
      <c r="H199" s="197">
        <v>105.97240129332765</v>
      </c>
      <c r="I199" s="197">
        <v>101.36841584941581</v>
      </c>
      <c r="J199" s="197">
        <v>97.956555900083828</v>
      </c>
      <c r="K199" s="197">
        <v>92.677255139738719</v>
      </c>
      <c r="L199" s="197">
        <v>91.780293614065343</v>
      </c>
      <c r="M199" s="197">
        <v>89.414986671302671</v>
      </c>
      <c r="N199" s="197">
        <v>68.600338491839977</v>
      </c>
      <c r="O199" s="197">
        <v>61.741221777219607</v>
      </c>
      <c r="P199" s="197">
        <v>56.794869678319024</v>
      </c>
      <c r="Q199" s="197">
        <v>56.273511698761595</v>
      </c>
      <c r="R199" s="197">
        <v>51.581081049814244</v>
      </c>
      <c r="S199" s="197">
        <v>48.834461454869938</v>
      </c>
      <c r="T199" s="197">
        <v>47.298624555477595</v>
      </c>
      <c r="U199" s="197">
        <v>45.283488357582392</v>
      </c>
      <c r="V199" s="197">
        <v>44.617693334078261</v>
      </c>
      <c r="W199" s="197">
        <v>44.617693334078261</v>
      </c>
      <c r="X199" s="197">
        <v>44.617693334078261</v>
      </c>
      <c r="Y199" s="197">
        <v>44.617693334078261</v>
      </c>
      <c r="Z199" s="197">
        <v>44.617693334078261</v>
      </c>
      <c r="AA199" s="197">
        <v>44.172136887998576</v>
      </c>
      <c r="AB199" s="16">
        <f>Peak!AB201</f>
        <v>0.82742648824620468</v>
      </c>
      <c r="AC199" s="16">
        <f>Peak!AC201</f>
        <v>0</v>
      </c>
      <c r="AD199" s="18">
        <f>Peak!AD201</f>
        <v>806.55967593313017</v>
      </c>
      <c r="AE199" s="18">
        <f>Peak!AE201</f>
        <v>1882.7189785852679</v>
      </c>
      <c r="AF199" s="16">
        <f>Peak!AF201</f>
        <v>1</v>
      </c>
      <c r="AG199" s="73">
        <f>Peak!AG201</f>
        <v>0</v>
      </c>
      <c r="AH199" s="16">
        <f>Peak!AH201</f>
        <v>4.6631262960111215</v>
      </c>
      <c r="AI199" s="16">
        <f>Peak!AI201</f>
        <v>4.3423609707596835</v>
      </c>
      <c r="AJ199" s="16">
        <f>Peak!AJ201</f>
        <v>0</v>
      </c>
      <c r="AK199" s="16">
        <f>Peak!AK201</f>
        <v>0</v>
      </c>
      <c r="AL199" s="4"/>
    </row>
    <row r="200" spans="1:38" x14ac:dyDescent="0.2">
      <c r="A200" s="1">
        <f t="shared" si="17"/>
        <v>42349.647000000245</v>
      </c>
      <c r="B200" s="16">
        <f t="shared" si="15"/>
        <v>5.0463379676131437</v>
      </c>
      <c r="C200" s="17">
        <f t="shared" si="12"/>
        <v>57.047562297151451</v>
      </c>
      <c r="D200" s="16">
        <f t="shared" si="16"/>
        <v>0.8288055323932817</v>
      </c>
      <c r="E200" s="16">
        <f t="shared" si="13"/>
        <v>0</v>
      </c>
      <c r="F200" s="16">
        <f t="shared" si="14"/>
        <v>0</v>
      </c>
      <c r="G200" s="19" t="str">
        <f>IF(IS!$C$2="Peak","-",SUM(C200:F200))</f>
        <v>-</v>
      </c>
      <c r="H200" s="197">
        <v>112.52244706353581</v>
      </c>
      <c r="I200" s="197">
        <v>105.84176122143603</v>
      </c>
      <c r="J200" s="197">
        <v>103.7438520677875</v>
      </c>
      <c r="K200" s="197">
        <v>97.673076524202799</v>
      </c>
      <c r="L200" s="197">
        <v>95.688659952352751</v>
      </c>
      <c r="M200" s="197">
        <v>95.061582515874278</v>
      </c>
      <c r="N200" s="197">
        <v>78.938638668910201</v>
      </c>
      <c r="O200" s="197">
        <v>65.29155915206006</v>
      </c>
      <c r="P200" s="197">
        <v>61.396313875134965</v>
      </c>
      <c r="Q200" s="197">
        <v>60.493981141644738</v>
      </c>
      <c r="R200" s="197">
        <v>56.325858430516313</v>
      </c>
      <c r="S200" s="197">
        <v>51.517172197587229</v>
      </c>
      <c r="T200" s="197">
        <v>49.650039648766864</v>
      </c>
      <c r="U200" s="197">
        <v>47.711657704620144</v>
      </c>
      <c r="V200" s="197">
        <v>46.341513755244307</v>
      </c>
      <c r="W200" s="197">
        <v>46.339391784963659</v>
      </c>
      <c r="X200" s="197">
        <v>46.339391784963659</v>
      </c>
      <c r="Y200" s="197">
        <v>46.339391784963659</v>
      </c>
      <c r="Z200" s="197">
        <v>46.339391784963659</v>
      </c>
      <c r="AA200" s="197">
        <v>46.034217144582982</v>
      </c>
      <c r="AB200" s="16">
        <f>Peak!AB202</f>
        <v>0.8288055323932817</v>
      </c>
      <c r="AC200" s="16">
        <f>Peak!AC202</f>
        <v>0</v>
      </c>
      <c r="AD200" s="18">
        <f>Peak!AD202</f>
        <v>806.55967593313017</v>
      </c>
      <c r="AE200" s="18">
        <f>Peak!AE202</f>
        <v>1882.7189785852679</v>
      </c>
      <c r="AF200" s="16">
        <f>Peak!AF202</f>
        <v>1</v>
      </c>
      <c r="AG200" s="73">
        <f>Peak!AG202</f>
        <v>0</v>
      </c>
      <c r="AH200" s="16">
        <f>Peak!AH202</f>
        <v>5.0463379676131437</v>
      </c>
      <c r="AI200" s="16">
        <f>Peak!AI202</f>
        <v>4.5531551926412224</v>
      </c>
      <c r="AJ200" s="16">
        <f>Peak!AJ202</f>
        <v>0</v>
      </c>
      <c r="AK200" s="16">
        <f>Peak!AK202</f>
        <v>0</v>
      </c>
      <c r="AL200" s="4"/>
    </row>
    <row r="201" spans="1:38" x14ac:dyDescent="0.2">
      <c r="A201" s="1">
        <f t="shared" si="17"/>
        <v>42380.064000000246</v>
      </c>
      <c r="B201" s="16">
        <f t="shared" si="15"/>
        <v>5.0755463401030143</v>
      </c>
      <c r="C201" s="17">
        <f t="shared" ref="C201:C248" si="18">(B201*$B$1*1000)/1000000</f>
        <v>57.377755490692628</v>
      </c>
      <c r="D201" s="16">
        <f t="shared" si="16"/>
        <v>0.8301868749472705</v>
      </c>
      <c r="E201" s="16">
        <f t="shared" ref="E201:E248" si="19">(($AJ201*$B$1*AD201*1000)/2000)/1000000</f>
        <v>0</v>
      </c>
      <c r="F201" s="16">
        <f t="shared" ref="F201:F248" si="20">AF201*(($AK201*$B$1*AE201*1000)/2000)/1000000</f>
        <v>0</v>
      </c>
      <c r="G201" s="19" t="str">
        <f>IF(IS!$C$2="Peak","-",SUM(C201:F201))</f>
        <v>-</v>
      </c>
      <c r="H201" s="197">
        <v>113.70047050481307</v>
      </c>
      <c r="I201" s="197">
        <v>105.39802270195474</v>
      </c>
      <c r="J201" s="197">
        <v>98.710555397649188</v>
      </c>
      <c r="K201" s="197">
        <v>93.35890612354423</v>
      </c>
      <c r="L201" s="197">
        <v>89.023441644186931</v>
      </c>
      <c r="M201" s="197">
        <v>87.792218173406198</v>
      </c>
      <c r="N201" s="197">
        <v>72.767973991290091</v>
      </c>
      <c r="O201" s="197">
        <v>60.970968470645701</v>
      </c>
      <c r="P201" s="197">
        <v>57.76307902430284</v>
      </c>
      <c r="Q201" s="197">
        <v>54.583881624827477</v>
      </c>
      <c r="R201" s="197">
        <v>54.221387718349391</v>
      </c>
      <c r="S201" s="197">
        <v>53.026313912040322</v>
      </c>
      <c r="T201" s="197">
        <v>51.060722597472093</v>
      </c>
      <c r="U201" s="197">
        <v>48.686497378298824</v>
      </c>
      <c r="V201" s="197">
        <v>45.092517094221968</v>
      </c>
      <c r="W201" s="197">
        <v>43.347648603815387</v>
      </c>
      <c r="X201" s="197">
        <v>43.347648603815387</v>
      </c>
      <c r="Y201" s="197">
        <v>43.347648603815387</v>
      </c>
      <c r="Z201" s="197">
        <v>43.347648603815387</v>
      </c>
      <c r="AA201" s="197">
        <v>42.279134505508416</v>
      </c>
      <c r="AB201" s="16">
        <f>Peak!AB203</f>
        <v>0.8301868749472705</v>
      </c>
      <c r="AC201" s="16">
        <f>Peak!AC203</f>
        <v>0</v>
      </c>
      <c r="AD201" s="18">
        <f>Peak!AD203</f>
        <v>885.60153229928596</v>
      </c>
      <c r="AE201" s="18">
        <f>Peak!AE203</f>
        <v>1999.3152787201918</v>
      </c>
      <c r="AF201" s="16">
        <f>Peak!AF203</f>
        <v>1</v>
      </c>
      <c r="AG201" s="73">
        <f>Peak!AG203</f>
        <v>0</v>
      </c>
      <c r="AH201" s="16">
        <f>Peak!AH203</f>
        <v>5.0755463401030143</v>
      </c>
      <c r="AI201" s="16">
        <f>Peak!AI203</f>
        <v>4.7353537478480909</v>
      </c>
      <c r="AJ201" s="16">
        <f>Peak!AJ203</f>
        <v>0</v>
      </c>
      <c r="AK201" s="16">
        <f>Peak!AK203</f>
        <v>0</v>
      </c>
      <c r="AL201" s="4"/>
    </row>
    <row r="202" spans="1:38" x14ac:dyDescent="0.2">
      <c r="A202" s="1">
        <f t="shared" si="17"/>
        <v>42410.481000000247</v>
      </c>
      <c r="B202" s="16">
        <f t="shared" ref="B202:B248" si="21">IF($B$7="Coal",AG202,IF($B$7="Gas",AH202,IF($B$7="Oil",AI202,0)))</f>
        <v>4.5490933952519033</v>
      </c>
      <c r="C202" s="17">
        <f t="shared" si="18"/>
        <v>51.426339362668656</v>
      </c>
      <c r="D202" s="16">
        <f t="shared" ref="D202:D248" si="22">AB202+AC202</f>
        <v>0.83157051973884932</v>
      </c>
      <c r="E202" s="16">
        <f t="shared" si="19"/>
        <v>0</v>
      </c>
      <c r="F202" s="16">
        <f t="shared" si="20"/>
        <v>0</v>
      </c>
      <c r="G202" s="19" t="str">
        <f>IF(IS!$C$2="Peak","-",SUM(C202:F202))</f>
        <v>-</v>
      </c>
      <c r="H202" s="197">
        <v>152.28454613479084</v>
      </c>
      <c r="I202" s="197">
        <v>147.99903550397974</v>
      </c>
      <c r="J202" s="197">
        <v>132.87633401601724</v>
      </c>
      <c r="K202" s="197">
        <v>105.20846299350377</v>
      </c>
      <c r="L202" s="197">
        <v>96.740177105018091</v>
      </c>
      <c r="M202" s="197">
        <v>89.500017447019545</v>
      </c>
      <c r="N202" s="197">
        <v>86.391956568653626</v>
      </c>
      <c r="O202" s="197">
        <v>82.972134581646174</v>
      </c>
      <c r="P202" s="197">
        <v>64.682912219099634</v>
      </c>
      <c r="Q202" s="197">
        <v>55.854235234662916</v>
      </c>
      <c r="R202" s="197">
        <v>48.409043503281929</v>
      </c>
      <c r="S202" s="197">
        <v>47.236566246562759</v>
      </c>
      <c r="T202" s="197">
        <v>43.0809250270135</v>
      </c>
      <c r="U202" s="197">
        <v>41.730593247665468</v>
      </c>
      <c r="V202" s="197">
        <v>41.53268768223829</v>
      </c>
      <c r="W202" s="197">
        <v>41.532684700111254</v>
      </c>
      <c r="X202" s="197">
        <v>41.532563783917404</v>
      </c>
      <c r="Y202" s="197">
        <v>41.532489671423669</v>
      </c>
      <c r="Z202" s="197">
        <v>41.433763298251989</v>
      </c>
      <c r="AA202" s="197">
        <v>38.742550572429558</v>
      </c>
      <c r="AB202" s="16">
        <f>Peak!AB204</f>
        <v>0.83157051973884932</v>
      </c>
      <c r="AC202" s="16">
        <f>Peak!AC204</f>
        <v>0</v>
      </c>
      <c r="AD202" s="18">
        <f>Peak!AD204</f>
        <v>885.60153229928596</v>
      </c>
      <c r="AE202" s="18">
        <f>Peak!AE204</f>
        <v>1999.3152787201918</v>
      </c>
      <c r="AF202" s="16">
        <f>Peak!AF204</f>
        <v>1</v>
      </c>
      <c r="AG202" s="73">
        <f>Peak!AG204</f>
        <v>0</v>
      </c>
      <c r="AH202" s="16">
        <f>Peak!AH204</f>
        <v>4.5490933952519033</v>
      </c>
      <c r="AI202" s="16">
        <f>Peak!AI204</f>
        <v>4.6915078798124608</v>
      </c>
      <c r="AJ202" s="16">
        <f>Peak!AJ204</f>
        <v>0</v>
      </c>
      <c r="AK202" s="16">
        <f>Peak!AK204</f>
        <v>0</v>
      </c>
      <c r="AL202" s="4"/>
    </row>
    <row r="203" spans="1:38" x14ac:dyDescent="0.2">
      <c r="A203" s="1">
        <f t="shared" ref="A203:A248" si="23">A202+30.417</f>
        <v>42440.898000000248</v>
      </c>
      <c r="B203" s="16">
        <f t="shared" si="21"/>
        <v>4.4726002323248197</v>
      </c>
      <c r="C203" s="17">
        <f t="shared" si="18"/>
        <v>50.56160368594724</v>
      </c>
      <c r="D203" s="16">
        <f t="shared" si="22"/>
        <v>0.83295647060508082</v>
      </c>
      <c r="E203" s="16">
        <f t="shared" si="19"/>
        <v>0</v>
      </c>
      <c r="F203" s="16">
        <f t="shared" si="20"/>
        <v>0</v>
      </c>
      <c r="G203" s="19" t="str">
        <f>IF(IS!$C$2="Peak","-",SUM(C203:F203))</f>
        <v>-</v>
      </c>
      <c r="H203" s="197">
        <v>94.44802124734916</v>
      </c>
      <c r="I203" s="197">
        <v>92.353844461455907</v>
      </c>
      <c r="J203" s="197">
        <v>88.049382591425797</v>
      </c>
      <c r="K203" s="197">
        <v>83.944331450780197</v>
      </c>
      <c r="L203" s="197">
        <v>83.444602745642698</v>
      </c>
      <c r="M203" s="197">
        <v>80.637140777172931</v>
      </c>
      <c r="N203" s="197">
        <v>67.474253173596793</v>
      </c>
      <c r="O203" s="197">
        <v>57.661153763531424</v>
      </c>
      <c r="P203" s="197">
        <v>56.001186214683869</v>
      </c>
      <c r="Q203" s="197">
        <v>52.77296013351117</v>
      </c>
      <c r="R203" s="197">
        <v>50.432960180243882</v>
      </c>
      <c r="S203" s="197">
        <v>48.607412740651114</v>
      </c>
      <c r="T203" s="197">
        <v>47.636779283283076</v>
      </c>
      <c r="U203" s="197">
        <v>47.445923013266452</v>
      </c>
      <c r="V203" s="197">
        <v>47.152651585905694</v>
      </c>
      <c r="W203" s="197">
        <v>45.668156051601422</v>
      </c>
      <c r="X203" s="197">
        <v>44.026720783147752</v>
      </c>
      <c r="Y203" s="197">
        <v>42.797004283430468</v>
      </c>
      <c r="Z203" s="197">
        <v>40.998628569330414</v>
      </c>
      <c r="AA203" s="197">
        <v>40.882363241619387</v>
      </c>
      <c r="AB203" s="16">
        <f>Peak!AB205</f>
        <v>0.83295647060508082</v>
      </c>
      <c r="AC203" s="16">
        <f>Peak!AC205</f>
        <v>0</v>
      </c>
      <c r="AD203" s="18">
        <f>Peak!AD205</f>
        <v>885.60153229928596</v>
      </c>
      <c r="AE203" s="18">
        <f>Peak!AE205</f>
        <v>1999.3152787201918</v>
      </c>
      <c r="AF203" s="16">
        <f>Peak!AF205</f>
        <v>1</v>
      </c>
      <c r="AG203" s="73">
        <f>Peak!AG205</f>
        <v>0</v>
      </c>
      <c r="AH203" s="16">
        <f>Peak!AH205</f>
        <v>4.4726002323248197</v>
      </c>
      <c r="AI203" s="16">
        <f>Peak!AI205</f>
        <v>4.5161244076699383</v>
      </c>
      <c r="AJ203" s="16">
        <f>Peak!AJ205</f>
        <v>0</v>
      </c>
      <c r="AK203" s="16">
        <f>Peak!AK205</f>
        <v>0</v>
      </c>
      <c r="AL203" s="4"/>
    </row>
    <row r="204" spans="1:38" x14ac:dyDescent="0.2">
      <c r="A204" s="1">
        <f t="shared" si="23"/>
        <v>42471.31500000025</v>
      </c>
      <c r="B204" s="16">
        <f t="shared" si="21"/>
        <v>4.2521199391820463</v>
      </c>
      <c r="C204" s="17">
        <f t="shared" si="18"/>
        <v>48.069130264808983</v>
      </c>
      <c r="D204" s="16">
        <f t="shared" si="22"/>
        <v>0.83434473138942267</v>
      </c>
      <c r="E204" s="16">
        <f t="shared" si="19"/>
        <v>0</v>
      </c>
      <c r="F204" s="16">
        <f t="shared" si="20"/>
        <v>0</v>
      </c>
      <c r="G204" s="19" t="str">
        <f>IF(IS!$C$2="Peak","-",SUM(C204:F204))</f>
        <v>-</v>
      </c>
      <c r="H204" s="197">
        <v>123.44273432907684</v>
      </c>
      <c r="I204" s="197">
        <v>96.03420075860619</v>
      </c>
      <c r="J204" s="197">
        <v>89.391527026767704</v>
      </c>
      <c r="K204" s="197">
        <v>84.711135646892444</v>
      </c>
      <c r="L204" s="197">
        <v>84.41391471740323</v>
      </c>
      <c r="M204" s="197">
        <v>66.890024932942879</v>
      </c>
      <c r="N204" s="197">
        <v>53.583213353511539</v>
      </c>
      <c r="O204" s="197">
        <v>47.433039498465369</v>
      </c>
      <c r="P204" s="197">
        <v>45.740872927851719</v>
      </c>
      <c r="Q204" s="197">
        <v>40.934061221092506</v>
      </c>
      <c r="R204" s="197">
        <v>40.746312912266035</v>
      </c>
      <c r="S204" s="197">
        <v>40.746312912266035</v>
      </c>
      <c r="T204" s="197">
        <v>40.746294178599022</v>
      </c>
      <c r="U204" s="197">
        <v>40.745632701431425</v>
      </c>
      <c r="V204" s="197">
        <v>40.745568254168468</v>
      </c>
      <c r="W204" s="197">
        <v>40.745568254168468</v>
      </c>
      <c r="X204" s="197">
        <v>40.745568254168468</v>
      </c>
      <c r="Y204" s="197">
        <v>40.278733675441977</v>
      </c>
      <c r="Z204" s="197">
        <v>38.379382438319517</v>
      </c>
      <c r="AA204" s="197">
        <v>36.104342652063011</v>
      </c>
      <c r="AB204" s="16">
        <f>Peak!AB206</f>
        <v>0.83434473138942267</v>
      </c>
      <c r="AC204" s="16">
        <f>Peak!AC206</f>
        <v>0</v>
      </c>
      <c r="AD204" s="18">
        <f>Peak!AD206</f>
        <v>885.60153229928596</v>
      </c>
      <c r="AE204" s="18">
        <f>Peak!AE206</f>
        <v>1999.3152787201918</v>
      </c>
      <c r="AF204" s="16">
        <f>Peak!AF206</f>
        <v>1</v>
      </c>
      <c r="AG204" s="73">
        <f>Peak!AG206</f>
        <v>0</v>
      </c>
      <c r="AH204" s="16">
        <f>Peak!AH206</f>
        <v>4.2521199391820463</v>
      </c>
      <c r="AI204" s="16">
        <f>Peak!AI206</f>
        <v>4.3407409355274167</v>
      </c>
      <c r="AJ204" s="16">
        <f>Peak!AJ206</f>
        <v>0</v>
      </c>
      <c r="AK204" s="16">
        <f>Peak!AK206</f>
        <v>0</v>
      </c>
      <c r="AL204" s="4"/>
    </row>
    <row r="205" spans="1:38" x14ac:dyDescent="0.2">
      <c r="A205" s="1">
        <f t="shared" si="23"/>
        <v>42501.732000000251</v>
      </c>
      <c r="B205" s="16">
        <f t="shared" si="21"/>
        <v>4.4770998301440601</v>
      </c>
      <c r="C205" s="17">
        <f t="shared" si="18"/>
        <v>50.612470490460261</v>
      </c>
      <c r="D205" s="16">
        <f t="shared" si="22"/>
        <v>0.83573530594173839</v>
      </c>
      <c r="E205" s="16">
        <f t="shared" si="19"/>
        <v>0</v>
      </c>
      <c r="F205" s="16">
        <f t="shared" si="20"/>
        <v>0</v>
      </c>
      <c r="G205" s="19" t="str">
        <f>IF(IS!$C$2="Peak","-",SUM(C205:F205))</f>
        <v>-</v>
      </c>
      <c r="H205" s="197">
        <v>84.467094938003484</v>
      </c>
      <c r="I205" s="197">
        <v>67.64437311357915</v>
      </c>
      <c r="J205" s="197">
        <v>61.509477530528258</v>
      </c>
      <c r="K205" s="197">
        <v>59.069595519817497</v>
      </c>
      <c r="L205" s="197">
        <v>57.368812229621867</v>
      </c>
      <c r="M205" s="197">
        <v>57.060892032964411</v>
      </c>
      <c r="N205" s="197">
        <v>55.569428792421448</v>
      </c>
      <c r="O205" s="197">
        <v>53.631566502423809</v>
      </c>
      <c r="P205" s="197">
        <v>52.320861274459496</v>
      </c>
      <c r="Q205" s="197">
        <v>51.928020428016659</v>
      </c>
      <c r="R205" s="197">
        <v>50.59117755508705</v>
      </c>
      <c r="S205" s="197">
        <v>48.570593993420331</v>
      </c>
      <c r="T205" s="197">
        <v>44.732396942612873</v>
      </c>
      <c r="U205" s="197">
        <v>41.952939514945385</v>
      </c>
      <c r="V205" s="197">
        <v>41.116290286231347</v>
      </c>
      <c r="W205" s="197">
        <v>38.398184683607255</v>
      </c>
      <c r="X205" s="197">
        <v>37.36101871278585</v>
      </c>
      <c r="Y205" s="197">
        <v>36.84837611472674</v>
      </c>
      <c r="Z205" s="197">
        <v>36.091258426722007</v>
      </c>
      <c r="AA205" s="197">
        <v>35.095027930219068</v>
      </c>
      <c r="AB205" s="16">
        <f>Peak!AB207</f>
        <v>0.83573530594173839</v>
      </c>
      <c r="AC205" s="16">
        <f>Peak!AC207</f>
        <v>0</v>
      </c>
      <c r="AD205" s="18">
        <f>Peak!AD207</f>
        <v>885.60153229928596</v>
      </c>
      <c r="AE205" s="18">
        <f>Peak!AE207</f>
        <v>1999.3152787201918</v>
      </c>
      <c r="AF205" s="16">
        <f>Peak!AF207</f>
        <v>1</v>
      </c>
      <c r="AG205" s="73">
        <f>Peak!AG207</f>
        <v>0</v>
      </c>
      <c r="AH205" s="16">
        <f>Peak!AH207</f>
        <v>4.4770998301440601</v>
      </c>
      <c r="AI205" s="16">
        <f>Peak!AI207</f>
        <v>4.1653574633848942</v>
      </c>
      <c r="AJ205" s="16">
        <f>Peak!AJ207</f>
        <v>0</v>
      </c>
      <c r="AK205" s="16">
        <f>Peak!AK207</f>
        <v>0</v>
      </c>
      <c r="AL205" s="4"/>
    </row>
    <row r="206" spans="1:38" x14ac:dyDescent="0.2">
      <c r="A206" s="1">
        <f t="shared" si="23"/>
        <v>42532.149000000252</v>
      </c>
      <c r="B206" s="16">
        <f t="shared" si="21"/>
        <v>4.2656187326397674</v>
      </c>
      <c r="C206" s="17">
        <f t="shared" si="18"/>
        <v>48.221730678348067</v>
      </c>
      <c r="D206" s="16">
        <f t="shared" si="22"/>
        <v>0.83712819811830796</v>
      </c>
      <c r="E206" s="16">
        <f t="shared" si="19"/>
        <v>0</v>
      </c>
      <c r="F206" s="16">
        <f t="shared" si="20"/>
        <v>0</v>
      </c>
      <c r="G206" s="19" t="str">
        <f>IF(IS!$C$2="Peak","-",SUM(C206:F206))</f>
        <v>-</v>
      </c>
      <c r="H206" s="197">
        <v>193.3874371834182</v>
      </c>
      <c r="I206" s="197">
        <v>179.98139439160084</v>
      </c>
      <c r="J206" s="197">
        <v>168.45653011533076</v>
      </c>
      <c r="K206" s="197">
        <v>155.28112888546079</v>
      </c>
      <c r="L206" s="197">
        <v>146.7828247506873</v>
      </c>
      <c r="M206" s="197">
        <v>84.764339473702634</v>
      </c>
      <c r="N206" s="197">
        <v>75.678646876914144</v>
      </c>
      <c r="O206" s="197">
        <v>55.584233009887676</v>
      </c>
      <c r="P206" s="197">
        <v>45.216871881507942</v>
      </c>
      <c r="Q206" s="197">
        <v>42.298825534210614</v>
      </c>
      <c r="R206" s="197">
        <v>38.663149410710759</v>
      </c>
      <c r="S206" s="197">
        <v>37.137158145592601</v>
      </c>
      <c r="T206" s="197">
        <v>37.009594336396248</v>
      </c>
      <c r="U206" s="197">
        <v>37.009575652626069</v>
      </c>
      <c r="V206" s="197">
        <v>37.008864401844349</v>
      </c>
      <c r="W206" s="197">
        <v>37.00884655876677</v>
      </c>
      <c r="X206" s="197">
        <v>37.00884655876677</v>
      </c>
      <c r="Y206" s="197">
        <v>36.966435273418107</v>
      </c>
      <c r="Z206" s="197">
        <v>36.521779955664059</v>
      </c>
      <c r="AA206" s="197">
        <v>33.000921403300659</v>
      </c>
      <c r="AB206" s="16">
        <f>Peak!AB208</f>
        <v>0.83712819811830796</v>
      </c>
      <c r="AC206" s="16">
        <f>Peak!AC208</f>
        <v>0</v>
      </c>
      <c r="AD206" s="18">
        <f>Peak!AD208</f>
        <v>885.60153229928596</v>
      </c>
      <c r="AE206" s="18">
        <f>Peak!AE208</f>
        <v>1999.3152787201918</v>
      </c>
      <c r="AF206" s="16">
        <f>Peak!AF208</f>
        <v>1</v>
      </c>
      <c r="AG206" s="73">
        <f>Peak!AG208</f>
        <v>0</v>
      </c>
      <c r="AH206" s="16">
        <f>Peak!AH208</f>
        <v>4.2656187326397674</v>
      </c>
      <c r="AI206" s="16">
        <f>Peak!AI208</f>
        <v>4.1653574633848942</v>
      </c>
      <c r="AJ206" s="16">
        <f>Peak!AJ208</f>
        <v>0</v>
      </c>
      <c r="AK206" s="16">
        <f>Peak!AK208</f>
        <v>0</v>
      </c>
      <c r="AL206" s="4"/>
    </row>
    <row r="207" spans="1:38" x14ac:dyDescent="0.2">
      <c r="A207" s="1">
        <f t="shared" si="23"/>
        <v>42562.566000000254</v>
      </c>
      <c r="B207" s="16">
        <f t="shared" si="21"/>
        <v>4.2521199391820463</v>
      </c>
      <c r="C207" s="17">
        <f t="shared" si="18"/>
        <v>48.069130264808983</v>
      </c>
      <c r="D207" s="16">
        <f t="shared" si="22"/>
        <v>0.83852341178183853</v>
      </c>
      <c r="E207" s="16">
        <f t="shared" si="19"/>
        <v>0</v>
      </c>
      <c r="F207" s="16">
        <f t="shared" si="20"/>
        <v>0</v>
      </c>
      <c r="G207" s="19" t="str">
        <f>IF(IS!$C$2="Peak","-",SUM(C207:F207))</f>
        <v>-</v>
      </c>
      <c r="H207" s="197">
        <v>202.90387912423154</v>
      </c>
      <c r="I207" s="197">
        <v>185.9026303095236</v>
      </c>
      <c r="J207" s="197">
        <v>173.4731472272579</v>
      </c>
      <c r="K207" s="197">
        <v>158.78780434260236</v>
      </c>
      <c r="L207" s="197">
        <v>149.27202004922205</v>
      </c>
      <c r="M207" s="197">
        <v>107.17567601626351</v>
      </c>
      <c r="N207" s="197">
        <v>80.065201526539511</v>
      </c>
      <c r="O207" s="197">
        <v>76.38851890787771</v>
      </c>
      <c r="P207" s="197">
        <v>61.373795207843088</v>
      </c>
      <c r="Q207" s="197">
        <v>57.662877713580109</v>
      </c>
      <c r="R207" s="197">
        <v>56.136502930412995</v>
      </c>
      <c r="S207" s="197">
        <v>55.66246003386793</v>
      </c>
      <c r="T207" s="197">
        <v>54.888702262151085</v>
      </c>
      <c r="U207" s="197">
        <v>54.298460722294635</v>
      </c>
      <c r="V207" s="197">
        <v>53.786024192391785</v>
      </c>
      <c r="W207" s="197">
        <v>51.449719217971236</v>
      </c>
      <c r="X207" s="197">
        <v>46.889188602804936</v>
      </c>
      <c r="Y207" s="197">
        <v>43.88093022503336</v>
      </c>
      <c r="Z207" s="197">
        <v>41.73397562411553</v>
      </c>
      <c r="AA207" s="197">
        <v>38.237024630181878</v>
      </c>
      <c r="AB207" s="16">
        <f>Peak!AB209</f>
        <v>0.83852341178183853</v>
      </c>
      <c r="AC207" s="16">
        <f>Peak!AC209</f>
        <v>0</v>
      </c>
      <c r="AD207" s="18">
        <f>Peak!AD209</f>
        <v>885.60153229928596</v>
      </c>
      <c r="AE207" s="18">
        <f>Peak!AE209</f>
        <v>1999.3152787201918</v>
      </c>
      <c r="AF207" s="16">
        <f>Peak!AF209</f>
        <v>1</v>
      </c>
      <c r="AG207" s="73">
        <f>Peak!AG209</f>
        <v>0</v>
      </c>
      <c r="AH207" s="16">
        <f>Peak!AH209</f>
        <v>4.2521199391820463</v>
      </c>
      <c r="AI207" s="16">
        <f>Peak!AI209</f>
        <v>4.1653574633848942</v>
      </c>
      <c r="AJ207" s="16">
        <f>Peak!AJ209</f>
        <v>0</v>
      </c>
      <c r="AK207" s="16">
        <f>Peak!AK209</f>
        <v>0</v>
      </c>
      <c r="AL207" s="4"/>
    </row>
    <row r="208" spans="1:38" x14ac:dyDescent="0.2">
      <c r="A208" s="1">
        <f t="shared" si="23"/>
        <v>42592.983000000255</v>
      </c>
      <c r="B208" s="16">
        <f t="shared" si="21"/>
        <v>4.0316396460392738</v>
      </c>
      <c r="C208" s="17">
        <f t="shared" si="18"/>
        <v>45.576656843670747</v>
      </c>
      <c r="D208" s="16">
        <f t="shared" si="22"/>
        <v>0.839920950801475</v>
      </c>
      <c r="E208" s="16">
        <f t="shared" si="19"/>
        <v>0</v>
      </c>
      <c r="F208" s="16">
        <f t="shared" si="20"/>
        <v>0</v>
      </c>
      <c r="G208" s="19" t="str">
        <f>IF(IS!$C$2="Peak","-",SUM(C208:F208))</f>
        <v>-</v>
      </c>
      <c r="H208" s="197">
        <v>284.65740683805501</v>
      </c>
      <c r="I208" s="197">
        <v>214.06775853797294</v>
      </c>
      <c r="J208" s="197">
        <v>196.55168836945757</v>
      </c>
      <c r="K208" s="197">
        <v>177.22503286472829</v>
      </c>
      <c r="L208" s="197">
        <v>161.78142948217436</v>
      </c>
      <c r="M208" s="197">
        <v>147.78284842281295</v>
      </c>
      <c r="N208" s="197">
        <v>106.03941597526499</v>
      </c>
      <c r="O208" s="197">
        <v>89.621825917146978</v>
      </c>
      <c r="P208" s="197">
        <v>74.77332315740891</v>
      </c>
      <c r="Q208" s="197">
        <v>52.858398648004126</v>
      </c>
      <c r="R208" s="197">
        <v>44.097886670443785</v>
      </c>
      <c r="S208" s="197">
        <v>42.761098913264199</v>
      </c>
      <c r="T208" s="197">
        <v>42.761051179555395</v>
      </c>
      <c r="U208" s="197">
        <v>42.761031984846731</v>
      </c>
      <c r="V208" s="197">
        <v>42.760839841932068</v>
      </c>
      <c r="W208" s="197">
        <v>42.76074251545262</v>
      </c>
      <c r="X208" s="197">
        <v>42.506239279150208</v>
      </c>
      <c r="Y208" s="197">
        <v>38.88934832358553</v>
      </c>
      <c r="Z208" s="197">
        <v>36.856552065140093</v>
      </c>
      <c r="AA208" s="197">
        <v>30.950707130364695</v>
      </c>
      <c r="AB208" s="16">
        <f>Peak!AB210</f>
        <v>0.839920950801475</v>
      </c>
      <c r="AC208" s="16">
        <f>Peak!AC210</f>
        <v>0</v>
      </c>
      <c r="AD208" s="18">
        <f>Peak!AD210</f>
        <v>885.60153229928596</v>
      </c>
      <c r="AE208" s="18">
        <f>Peak!AE210</f>
        <v>1999.3152787201918</v>
      </c>
      <c r="AF208" s="16">
        <f>Peak!AF210</f>
        <v>1</v>
      </c>
      <c r="AG208" s="73">
        <f>Peak!AG210</f>
        <v>0</v>
      </c>
      <c r="AH208" s="16">
        <f>Peak!AH210</f>
        <v>4.0316396460392738</v>
      </c>
      <c r="AI208" s="16">
        <f>Peak!AI210</f>
        <v>4.1653574633848942</v>
      </c>
      <c r="AJ208" s="16">
        <f>Peak!AJ210</f>
        <v>0</v>
      </c>
      <c r="AK208" s="16">
        <f>Peak!AK210</f>
        <v>0</v>
      </c>
      <c r="AL208" s="4"/>
    </row>
    <row r="209" spans="1:38" x14ac:dyDescent="0.2">
      <c r="A209" s="1">
        <f t="shared" si="23"/>
        <v>42623.400000000256</v>
      </c>
      <c r="B209" s="16">
        <f t="shared" si="21"/>
        <v>4.0181408525815527</v>
      </c>
      <c r="C209" s="17">
        <f t="shared" si="18"/>
        <v>45.424056430131657</v>
      </c>
      <c r="D209" s="16">
        <f t="shared" si="22"/>
        <v>0.84132081905281086</v>
      </c>
      <c r="E209" s="16">
        <f t="shared" si="19"/>
        <v>0</v>
      </c>
      <c r="F209" s="16">
        <f t="shared" si="20"/>
        <v>0</v>
      </c>
      <c r="G209" s="19" t="str">
        <f>IF(IS!$C$2="Peak","-",SUM(C209:F209))</f>
        <v>-</v>
      </c>
      <c r="H209" s="197">
        <v>177.14419420706861</v>
      </c>
      <c r="I209" s="197">
        <v>165.02974701208271</v>
      </c>
      <c r="J209" s="197">
        <v>155.57787401245974</v>
      </c>
      <c r="K209" s="197">
        <v>147.34889888989949</v>
      </c>
      <c r="L209" s="197">
        <v>106.05099428469259</v>
      </c>
      <c r="M209" s="197">
        <v>70.33227042379076</v>
      </c>
      <c r="N209" s="197">
        <v>62.058979135768695</v>
      </c>
      <c r="O209" s="197">
        <v>60.422995023075586</v>
      </c>
      <c r="P209" s="197">
        <v>51.520577322739506</v>
      </c>
      <c r="Q209" s="197">
        <v>45.283234897351882</v>
      </c>
      <c r="R209" s="197">
        <v>43.443843808952607</v>
      </c>
      <c r="S209" s="197">
        <v>42.2580336422266</v>
      </c>
      <c r="T209" s="197">
        <v>39.959679207244626</v>
      </c>
      <c r="U209" s="197">
        <v>37.878889445876077</v>
      </c>
      <c r="V209" s="197">
        <v>35.172461383167288</v>
      </c>
      <c r="W209" s="197">
        <v>33.554483265456788</v>
      </c>
      <c r="X209" s="197">
        <v>31.883138827797779</v>
      </c>
      <c r="Y209" s="197">
        <v>31.307175970279935</v>
      </c>
      <c r="Z209" s="197">
        <v>30.664691455479755</v>
      </c>
      <c r="AA209" s="197">
        <v>30.468923252001385</v>
      </c>
      <c r="AB209" s="16">
        <f>Peak!AB211</f>
        <v>0.84132081905281086</v>
      </c>
      <c r="AC209" s="16">
        <f>Peak!AC211</f>
        <v>0</v>
      </c>
      <c r="AD209" s="18">
        <f>Peak!AD211</f>
        <v>885.60153229928596</v>
      </c>
      <c r="AE209" s="18">
        <f>Peak!AE211</f>
        <v>1999.3152787201918</v>
      </c>
      <c r="AF209" s="16">
        <f>Peak!AF211</f>
        <v>1</v>
      </c>
      <c r="AG209" s="73">
        <f>Peak!AG211</f>
        <v>0</v>
      </c>
      <c r="AH209" s="16">
        <f>Peak!AH211</f>
        <v>4.0181408525815527</v>
      </c>
      <c r="AI209" s="16">
        <f>Peak!AI211</f>
        <v>4.1653574633848942</v>
      </c>
      <c r="AJ209" s="16">
        <f>Peak!AJ211</f>
        <v>0</v>
      </c>
      <c r="AK209" s="16">
        <f>Peak!AK211</f>
        <v>0</v>
      </c>
      <c r="AL209" s="4"/>
    </row>
    <row r="210" spans="1:38" x14ac:dyDescent="0.2">
      <c r="A210" s="1">
        <f t="shared" si="23"/>
        <v>42653.817000000257</v>
      </c>
      <c r="B210" s="16">
        <f t="shared" si="21"/>
        <v>4.4501022432286179</v>
      </c>
      <c r="C210" s="17">
        <f t="shared" si="18"/>
        <v>50.307269663382108</v>
      </c>
      <c r="D210" s="16">
        <f t="shared" si="22"/>
        <v>0.84272302041789893</v>
      </c>
      <c r="E210" s="16">
        <f t="shared" si="19"/>
        <v>0</v>
      </c>
      <c r="F210" s="16">
        <f t="shared" si="20"/>
        <v>0</v>
      </c>
      <c r="G210" s="19" t="str">
        <f>IF(IS!$C$2="Peak","-",SUM(C210:F210))</f>
        <v>-</v>
      </c>
      <c r="H210" s="197">
        <v>90.092792266445599</v>
      </c>
      <c r="I210" s="197">
        <v>84.754453706076987</v>
      </c>
      <c r="J210" s="197">
        <v>82.022860740087324</v>
      </c>
      <c r="K210" s="197">
        <v>76.853914996445297</v>
      </c>
      <c r="L210" s="197">
        <v>74.489457410685006</v>
      </c>
      <c r="M210" s="197">
        <v>74.06689906203016</v>
      </c>
      <c r="N210" s="197">
        <v>64.911728566047444</v>
      </c>
      <c r="O210" s="197">
        <v>52.586002389529078</v>
      </c>
      <c r="P210" s="197">
        <v>50.987781038934379</v>
      </c>
      <c r="Q210" s="197">
        <v>46.403075512006339</v>
      </c>
      <c r="R210" s="197">
        <v>45.17332313548431</v>
      </c>
      <c r="S210" s="197">
        <v>44.047918164275998</v>
      </c>
      <c r="T210" s="197">
        <v>42.827968477798052</v>
      </c>
      <c r="U210" s="197">
        <v>42.061043952365338</v>
      </c>
      <c r="V210" s="197">
        <v>41.546881045990702</v>
      </c>
      <c r="W210" s="197">
        <v>39.554824943584535</v>
      </c>
      <c r="X210" s="197">
        <v>37.439453940563908</v>
      </c>
      <c r="Y210" s="197">
        <v>36.908840901310256</v>
      </c>
      <c r="Z210" s="197">
        <v>36.859159897036683</v>
      </c>
      <c r="AA210" s="197">
        <v>36.109642206274522</v>
      </c>
      <c r="AB210" s="16">
        <f>Peak!AB212</f>
        <v>0.84272302041789893</v>
      </c>
      <c r="AC210" s="16">
        <f>Peak!AC212</f>
        <v>0</v>
      </c>
      <c r="AD210" s="18">
        <f>Peak!AD212</f>
        <v>885.60153229928596</v>
      </c>
      <c r="AE210" s="18">
        <f>Peak!AE212</f>
        <v>1999.3152787201918</v>
      </c>
      <c r="AF210" s="16">
        <f>Peak!AF212</f>
        <v>1</v>
      </c>
      <c r="AG210" s="73">
        <f>Peak!AG212</f>
        <v>0</v>
      </c>
      <c r="AH210" s="16">
        <f>Peak!AH212</f>
        <v>4.4501022432286179</v>
      </c>
      <c r="AI210" s="16">
        <f>Peak!AI212</f>
        <v>4.1653574633848942</v>
      </c>
      <c r="AJ210" s="16">
        <f>Peak!AJ212</f>
        <v>0</v>
      </c>
      <c r="AK210" s="16">
        <f>Peak!AK212</f>
        <v>0</v>
      </c>
      <c r="AL210" s="4"/>
    </row>
    <row r="211" spans="1:38" x14ac:dyDescent="0.2">
      <c r="A211" s="1">
        <f t="shared" si="23"/>
        <v>42684.234000000259</v>
      </c>
      <c r="B211" s="16">
        <f t="shared" si="21"/>
        <v>4.8730644382372024</v>
      </c>
      <c r="C211" s="17">
        <f t="shared" si="18"/>
        <v>55.088749287606483</v>
      </c>
      <c r="D211" s="16">
        <f t="shared" si="22"/>
        <v>0.84412755878526213</v>
      </c>
      <c r="E211" s="16">
        <f t="shared" si="19"/>
        <v>0</v>
      </c>
      <c r="F211" s="16">
        <f t="shared" si="20"/>
        <v>0</v>
      </c>
      <c r="G211" s="19" t="str">
        <f>IF(IS!$C$2="Peak","-",SUM(C211:F211))</f>
        <v>-</v>
      </c>
      <c r="H211" s="197">
        <v>154.08395727901848</v>
      </c>
      <c r="I211" s="197">
        <v>150.28955743883816</v>
      </c>
      <c r="J211" s="197">
        <v>145.11927631452286</v>
      </c>
      <c r="K211" s="197">
        <v>100.44735109318991</v>
      </c>
      <c r="L211" s="197">
        <v>90.7158749985322</v>
      </c>
      <c r="M211" s="197">
        <v>88.827923713628905</v>
      </c>
      <c r="N211" s="197">
        <v>76.856791458551683</v>
      </c>
      <c r="O211" s="197">
        <v>59.937946768740645</v>
      </c>
      <c r="P211" s="197">
        <v>49.762070392021073</v>
      </c>
      <c r="Q211" s="197">
        <v>48.868718214022962</v>
      </c>
      <c r="R211" s="197">
        <v>42.935252560628015</v>
      </c>
      <c r="S211" s="197">
        <v>42.645925400386197</v>
      </c>
      <c r="T211" s="197">
        <v>42.645925400386197</v>
      </c>
      <c r="U211" s="197">
        <v>42.645878313152402</v>
      </c>
      <c r="V211" s="197">
        <v>42.645169766632904</v>
      </c>
      <c r="W211" s="197">
        <v>42.645169766632904</v>
      </c>
      <c r="X211" s="197">
        <v>42.645169766632904</v>
      </c>
      <c r="Y211" s="197">
        <v>42.645169766632904</v>
      </c>
      <c r="Z211" s="197">
        <v>39.641064148749294</v>
      </c>
      <c r="AA211" s="197">
        <v>35.610161650957068</v>
      </c>
      <c r="AB211" s="16">
        <f>Peak!AB213</f>
        <v>0.84412755878526213</v>
      </c>
      <c r="AC211" s="16">
        <f>Peak!AC213</f>
        <v>0</v>
      </c>
      <c r="AD211" s="18">
        <f>Peak!AD213</f>
        <v>885.60153229928596</v>
      </c>
      <c r="AE211" s="18">
        <f>Peak!AE213</f>
        <v>1999.3152787201918</v>
      </c>
      <c r="AF211" s="16">
        <f>Peak!AF213</f>
        <v>1</v>
      </c>
      <c r="AG211" s="73">
        <f>Peak!AG213</f>
        <v>0</v>
      </c>
      <c r="AH211" s="16">
        <f>Peak!AH213</f>
        <v>4.8730644382372024</v>
      </c>
      <c r="AI211" s="16">
        <f>Peak!AI213</f>
        <v>4.5161244076699383</v>
      </c>
      <c r="AJ211" s="16">
        <f>Peak!AJ213</f>
        <v>0</v>
      </c>
      <c r="AK211" s="16">
        <f>Peak!AK213</f>
        <v>0</v>
      </c>
      <c r="AL211" s="4"/>
    </row>
    <row r="212" spans="1:38" x14ac:dyDescent="0.2">
      <c r="A212" s="1">
        <f t="shared" si="23"/>
        <v>42714.65100000026</v>
      </c>
      <c r="B212" s="16">
        <f t="shared" si="21"/>
        <v>5.2735286441495859</v>
      </c>
      <c r="C212" s="17">
        <f t="shared" si="18"/>
        <v>59.615894889265753</v>
      </c>
      <c r="D212" s="16">
        <f t="shared" si="22"/>
        <v>0.84553443804990425</v>
      </c>
      <c r="E212" s="16">
        <f t="shared" si="19"/>
        <v>0</v>
      </c>
      <c r="F212" s="16">
        <f t="shared" si="20"/>
        <v>0</v>
      </c>
      <c r="G212" s="19" t="str">
        <f>IF(IS!$C$2="Peak","-",SUM(C212:F212))</f>
        <v>-</v>
      </c>
      <c r="H212" s="197">
        <v>123.91791628360446</v>
      </c>
      <c r="I212" s="197">
        <v>119.48810100937283</v>
      </c>
      <c r="J212" s="197">
        <v>112.32089165398376</v>
      </c>
      <c r="K212" s="197">
        <v>110.805351646527</v>
      </c>
      <c r="L212" s="197">
        <v>109.34038570838879</v>
      </c>
      <c r="M212" s="197">
        <v>93.191074417714077</v>
      </c>
      <c r="N212" s="197">
        <v>73.4935904049063</v>
      </c>
      <c r="O212" s="197">
        <v>61.477581052389326</v>
      </c>
      <c r="P212" s="197">
        <v>60.49308318011127</v>
      </c>
      <c r="Q212" s="197">
        <v>53.311293841879667</v>
      </c>
      <c r="R212" s="197">
        <v>52.149828903672379</v>
      </c>
      <c r="S212" s="197">
        <v>52.149828903672379</v>
      </c>
      <c r="T212" s="197">
        <v>52.149828903672379</v>
      </c>
      <c r="U212" s="197">
        <v>52.149828903672379</v>
      </c>
      <c r="V212" s="197">
        <v>52.149828903672379</v>
      </c>
      <c r="W212" s="197">
        <v>52.149780680674354</v>
      </c>
      <c r="X212" s="197">
        <v>52.149223663447074</v>
      </c>
      <c r="Y212" s="197">
        <v>52.148459707063616</v>
      </c>
      <c r="Z212" s="197">
        <v>52.148459707063616</v>
      </c>
      <c r="AA212" s="197">
        <v>47.304983566361777</v>
      </c>
      <c r="AB212" s="16">
        <f>Peak!AB214</f>
        <v>0.84553443804990425</v>
      </c>
      <c r="AC212" s="16">
        <f>Peak!AC214</f>
        <v>0</v>
      </c>
      <c r="AD212" s="18">
        <f>Peak!AD214</f>
        <v>885.60153229928596</v>
      </c>
      <c r="AE212" s="18">
        <f>Peak!AE214</f>
        <v>1999.3152787201918</v>
      </c>
      <c r="AF212" s="16">
        <f>Peak!AF214</f>
        <v>1</v>
      </c>
      <c r="AG212" s="73">
        <f>Peak!AG214</f>
        <v>0</v>
      </c>
      <c r="AH212" s="16">
        <f>Peak!AH214</f>
        <v>5.2735286441495859</v>
      </c>
      <c r="AI212" s="16">
        <f>Peak!AI214</f>
        <v>4.7353537478480909</v>
      </c>
      <c r="AJ212" s="16">
        <f>Peak!AJ214</f>
        <v>0</v>
      </c>
      <c r="AK212" s="16">
        <f>Peak!AK214</f>
        <v>0</v>
      </c>
      <c r="AL212" s="4"/>
    </row>
    <row r="213" spans="1:38" x14ac:dyDescent="0.2">
      <c r="A213" s="1">
        <f t="shared" si="23"/>
        <v>42745.068000000261</v>
      </c>
      <c r="B213" s="16">
        <f t="shared" si="21"/>
        <v>5.2427545426260203</v>
      </c>
      <c r="C213" s="17">
        <f t="shared" si="18"/>
        <v>59.268001528759257</v>
      </c>
      <c r="D213" s="16">
        <f t="shared" si="22"/>
        <v>0.84694366211332084</v>
      </c>
      <c r="E213" s="16">
        <f t="shared" si="19"/>
        <v>0</v>
      </c>
      <c r="F213" s="16">
        <f t="shared" si="20"/>
        <v>0</v>
      </c>
      <c r="G213" s="19" t="str">
        <f>IF(IS!$C$2="Peak","-",SUM(C213:F213))</f>
        <v>-</v>
      </c>
      <c r="H213" s="197">
        <v>122.40409161104397</v>
      </c>
      <c r="I213" s="197">
        <v>115.92685277401458</v>
      </c>
      <c r="J213" s="197">
        <v>111.68854002796596</v>
      </c>
      <c r="K213" s="197">
        <v>104.40821548528888</v>
      </c>
      <c r="L213" s="197">
        <v>103.89649194148869</v>
      </c>
      <c r="M213" s="197">
        <v>95.994488245823234</v>
      </c>
      <c r="N213" s="197">
        <v>71.002632388235227</v>
      </c>
      <c r="O213" s="197">
        <v>58.468764117268073</v>
      </c>
      <c r="P213" s="197">
        <v>55.83853634011556</v>
      </c>
      <c r="Q213" s="197">
        <v>49.904919722192879</v>
      </c>
      <c r="R213" s="197">
        <v>49.904919722192879</v>
      </c>
      <c r="S213" s="197">
        <v>49.904919722192879</v>
      </c>
      <c r="T213" s="197">
        <v>49.772056585918506</v>
      </c>
      <c r="U213" s="197">
        <v>49.105480623066995</v>
      </c>
      <c r="V213" s="197">
        <v>49.057675550260043</v>
      </c>
      <c r="W213" s="197">
        <v>49.057675550260043</v>
      </c>
      <c r="X213" s="197">
        <v>49.057407616315814</v>
      </c>
      <c r="Y213" s="197">
        <v>49.05727450121524</v>
      </c>
      <c r="Z213" s="197">
        <v>48.96525684742339</v>
      </c>
      <c r="AA213" s="197">
        <v>40.058696300019903</v>
      </c>
      <c r="AB213" s="16">
        <f>Peak!AB215</f>
        <v>0.84694366211332084</v>
      </c>
      <c r="AC213" s="16">
        <f>Peak!AC215</f>
        <v>0</v>
      </c>
      <c r="AD213" s="18">
        <f>Peak!AD215</f>
        <v>870.0603303281033</v>
      </c>
      <c r="AE213" s="18">
        <f>Peak!AE215</f>
        <v>1879.5637242099006</v>
      </c>
      <c r="AF213" s="16">
        <f>Peak!AF215</f>
        <v>1</v>
      </c>
      <c r="AG213" s="73">
        <f>Peak!AG215</f>
        <v>0</v>
      </c>
      <c r="AH213" s="16">
        <f>Peak!AH215</f>
        <v>5.2427545426260203</v>
      </c>
      <c r="AI213" s="16">
        <f>Peak!AI215</f>
        <v>4.8829106839621765</v>
      </c>
      <c r="AJ213" s="16">
        <f>Peak!AJ215</f>
        <v>0</v>
      </c>
      <c r="AK213" s="16">
        <f>Peak!AK215</f>
        <v>0</v>
      </c>
      <c r="AL213" s="4"/>
    </row>
    <row r="214" spans="1:38" x14ac:dyDescent="0.2">
      <c r="A214" s="1">
        <f t="shared" si="23"/>
        <v>42775.485000000263</v>
      </c>
      <c r="B214" s="16">
        <f t="shared" si="21"/>
        <v>4.6989581937898111</v>
      </c>
      <c r="C214" s="17">
        <f t="shared" si="18"/>
        <v>53.120522646786881</v>
      </c>
      <c r="D214" s="16">
        <f t="shared" si="22"/>
        <v>0.84835523488350972</v>
      </c>
      <c r="E214" s="16">
        <f t="shared" si="19"/>
        <v>0</v>
      </c>
      <c r="F214" s="16">
        <f t="shared" si="20"/>
        <v>0</v>
      </c>
      <c r="G214" s="19" t="str">
        <f>IF(IS!$C$2="Peak","-",SUM(C214:F214))</f>
        <v>-</v>
      </c>
      <c r="H214" s="197">
        <v>146.84494019442008</v>
      </c>
      <c r="I214" s="197">
        <v>137.11560418693233</v>
      </c>
      <c r="J214" s="197">
        <v>119.92042322785156</v>
      </c>
      <c r="K214" s="197">
        <v>107.58711849285291</v>
      </c>
      <c r="L214" s="197">
        <v>100.39561704195141</v>
      </c>
      <c r="M214" s="197">
        <v>99.442256695480097</v>
      </c>
      <c r="N214" s="197">
        <v>85.498573232630889</v>
      </c>
      <c r="O214" s="197">
        <v>77.782578739588899</v>
      </c>
      <c r="P214" s="197">
        <v>66.704721998454289</v>
      </c>
      <c r="Q214" s="197">
        <v>50.831284192794975</v>
      </c>
      <c r="R214" s="197">
        <v>47.299935998982946</v>
      </c>
      <c r="S214" s="197">
        <v>47.291275842623797</v>
      </c>
      <c r="T214" s="197">
        <v>47.291275124289463</v>
      </c>
      <c r="U214" s="197">
        <v>47.291270363438336</v>
      </c>
      <c r="V214" s="197">
        <v>47.291261581020848</v>
      </c>
      <c r="W214" s="197">
        <v>47.291260780782068</v>
      </c>
      <c r="X214" s="197">
        <v>47.291248036541347</v>
      </c>
      <c r="Y214" s="197">
        <v>47.291248036541347</v>
      </c>
      <c r="Z214" s="197">
        <v>45.412558850865153</v>
      </c>
      <c r="AA214" s="197">
        <v>41.612991514335235</v>
      </c>
      <c r="AB214" s="16">
        <f>Peak!AB216</f>
        <v>0.84835523488350972</v>
      </c>
      <c r="AC214" s="16">
        <f>Peak!AC216</f>
        <v>0</v>
      </c>
      <c r="AD214" s="18">
        <f>Peak!AD216</f>
        <v>870.0603303281033</v>
      </c>
      <c r="AE214" s="18">
        <f>Peak!AE216</f>
        <v>1879.5637242099006</v>
      </c>
      <c r="AF214" s="16">
        <f>Peak!AF216</f>
        <v>1</v>
      </c>
      <c r="AG214" s="73">
        <f>Peak!AG216</f>
        <v>0</v>
      </c>
      <c r="AH214" s="16">
        <f>Peak!AH216</f>
        <v>4.6989581937898111</v>
      </c>
      <c r="AI214" s="16">
        <f>Peak!AI216</f>
        <v>4.8376985479995636</v>
      </c>
      <c r="AJ214" s="16">
        <f>Peak!AJ216</f>
        <v>0</v>
      </c>
      <c r="AK214" s="16">
        <f>Peak!AK216</f>
        <v>0</v>
      </c>
      <c r="AL214" s="4"/>
    </row>
    <row r="215" spans="1:38" x14ac:dyDescent="0.2">
      <c r="A215" s="1">
        <f t="shared" si="23"/>
        <v>42805.902000000264</v>
      </c>
      <c r="B215" s="16">
        <f t="shared" si="21"/>
        <v>4.6199450490871143</v>
      </c>
      <c r="C215" s="17">
        <f t="shared" si="18"/>
        <v>52.227299219491755</v>
      </c>
      <c r="D215" s="16">
        <f t="shared" si="22"/>
        <v>0.84976916027498228</v>
      </c>
      <c r="E215" s="16">
        <f t="shared" si="19"/>
        <v>0</v>
      </c>
      <c r="F215" s="16">
        <f t="shared" si="20"/>
        <v>0</v>
      </c>
      <c r="G215" s="19" t="str">
        <f>IF(IS!$C$2="Peak","-",SUM(C215:F215))</f>
        <v>-</v>
      </c>
      <c r="H215" s="197">
        <v>106.54765768351039</v>
      </c>
      <c r="I215" s="197">
        <v>98.902465115547983</v>
      </c>
      <c r="J215" s="197">
        <v>94.50663087833324</v>
      </c>
      <c r="K215" s="197">
        <v>88.72485977696941</v>
      </c>
      <c r="L215" s="197">
        <v>88.360121581082467</v>
      </c>
      <c r="M215" s="197">
        <v>81.374679432161642</v>
      </c>
      <c r="N215" s="197">
        <v>61.986865912623216</v>
      </c>
      <c r="O215" s="197">
        <v>57.355037032676549</v>
      </c>
      <c r="P215" s="197">
        <v>50.628071478304705</v>
      </c>
      <c r="Q215" s="197">
        <v>49.523403309093311</v>
      </c>
      <c r="R215" s="197">
        <v>48.688301745874156</v>
      </c>
      <c r="S215" s="197">
        <v>47.052279237427598</v>
      </c>
      <c r="T215" s="197">
        <v>45.369751476594715</v>
      </c>
      <c r="U215" s="197">
        <v>43.727879301771353</v>
      </c>
      <c r="V215" s="197">
        <v>42.67973958511449</v>
      </c>
      <c r="W215" s="197">
        <v>42.444275175162204</v>
      </c>
      <c r="X215" s="197">
        <v>42.44422435235623</v>
      </c>
      <c r="Y215" s="197">
        <v>42.444139830265861</v>
      </c>
      <c r="Z215" s="197">
        <v>42.444005010398158</v>
      </c>
      <c r="AA215" s="197">
        <v>42.116612531981495</v>
      </c>
      <c r="AB215" s="16">
        <f>Peak!AB217</f>
        <v>0.84976916027498228</v>
      </c>
      <c r="AC215" s="16">
        <f>Peak!AC217</f>
        <v>0</v>
      </c>
      <c r="AD215" s="18">
        <f>Peak!AD217</f>
        <v>870.0603303281033</v>
      </c>
      <c r="AE215" s="18">
        <f>Peak!AE217</f>
        <v>1879.5637242099006</v>
      </c>
      <c r="AF215" s="16">
        <f>Peak!AF217</f>
        <v>1</v>
      </c>
      <c r="AG215" s="73">
        <f>Peak!AG217</f>
        <v>0</v>
      </c>
      <c r="AH215" s="16">
        <f>Peak!AH217</f>
        <v>4.6199450490871143</v>
      </c>
      <c r="AI215" s="16">
        <f>Peak!AI217</f>
        <v>4.6568500041491125</v>
      </c>
      <c r="AJ215" s="16">
        <f>Peak!AJ217</f>
        <v>0</v>
      </c>
      <c r="AK215" s="16">
        <f>Peak!AK217</f>
        <v>0</v>
      </c>
      <c r="AL215" s="4"/>
    </row>
    <row r="216" spans="1:38" x14ac:dyDescent="0.2">
      <c r="A216" s="1">
        <f t="shared" si="23"/>
        <v>42836.319000000265</v>
      </c>
      <c r="B216" s="16">
        <f t="shared" si="21"/>
        <v>4.3922012790616929</v>
      </c>
      <c r="C216" s="17">
        <f t="shared" si="18"/>
        <v>49.652714046699913</v>
      </c>
      <c r="D216" s="16">
        <f t="shared" si="22"/>
        <v>0.8511854422087739</v>
      </c>
      <c r="E216" s="16">
        <f t="shared" si="19"/>
        <v>0</v>
      </c>
      <c r="F216" s="16">
        <f t="shared" si="20"/>
        <v>0</v>
      </c>
      <c r="G216" s="19" t="str">
        <f>IF(IS!$C$2="Peak","-",SUM(C216:F216))</f>
        <v>-</v>
      </c>
      <c r="H216" s="197">
        <v>106.83512527222308</v>
      </c>
      <c r="I216" s="197">
        <v>93.06570106218949</v>
      </c>
      <c r="J216" s="197">
        <v>86.935972670100242</v>
      </c>
      <c r="K216" s="197">
        <v>84.332997704193531</v>
      </c>
      <c r="L216" s="197">
        <v>83.740267794722882</v>
      </c>
      <c r="M216" s="197">
        <v>62.424727507939679</v>
      </c>
      <c r="N216" s="197">
        <v>50.56232893513458</v>
      </c>
      <c r="O216" s="197">
        <v>47.310932108903216</v>
      </c>
      <c r="P216" s="197">
        <v>43.249868772901223</v>
      </c>
      <c r="Q216" s="197">
        <v>40.742446100753966</v>
      </c>
      <c r="R216" s="197">
        <v>40.742446100753966</v>
      </c>
      <c r="S216" s="197">
        <v>40.742446100753966</v>
      </c>
      <c r="T216" s="197">
        <v>40.742260591689273</v>
      </c>
      <c r="U216" s="197">
        <v>40.741682602817427</v>
      </c>
      <c r="V216" s="197">
        <v>40.741682602817427</v>
      </c>
      <c r="W216" s="197">
        <v>40.741682602817427</v>
      </c>
      <c r="X216" s="197">
        <v>40.741682602817427</v>
      </c>
      <c r="Y216" s="197">
        <v>39.669440739872748</v>
      </c>
      <c r="Z216" s="197">
        <v>37.221854930481449</v>
      </c>
      <c r="AA216" s="197">
        <v>33.488757736133095</v>
      </c>
      <c r="AB216" s="16">
        <f>Peak!AB218</f>
        <v>0.8511854422087739</v>
      </c>
      <c r="AC216" s="16">
        <f>Peak!AC218</f>
        <v>0</v>
      </c>
      <c r="AD216" s="18">
        <f>Peak!AD218</f>
        <v>870.0603303281033</v>
      </c>
      <c r="AE216" s="18">
        <f>Peak!AE218</f>
        <v>1879.5637242099006</v>
      </c>
      <c r="AF216" s="16">
        <f>Peak!AF218</f>
        <v>1</v>
      </c>
      <c r="AG216" s="73">
        <f>Peak!AG218</f>
        <v>0</v>
      </c>
      <c r="AH216" s="16">
        <f>Peak!AH218</f>
        <v>4.3922012790616929</v>
      </c>
      <c r="AI216" s="16">
        <f>Peak!AI218</f>
        <v>4.4760014602986615</v>
      </c>
      <c r="AJ216" s="16">
        <f>Peak!AJ218</f>
        <v>0</v>
      </c>
      <c r="AK216" s="16">
        <f>Peak!AK218</f>
        <v>0</v>
      </c>
      <c r="AL216" s="4"/>
    </row>
    <row r="217" spans="1:38" x14ac:dyDescent="0.2">
      <c r="A217" s="1">
        <f t="shared" si="23"/>
        <v>42866.736000000266</v>
      </c>
      <c r="B217" s="16">
        <f t="shared" si="21"/>
        <v>4.6245928811284491</v>
      </c>
      <c r="C217" s="17">
        <f t="shared" si="18"/>
        <v>52.279841774038523</v>
      </c>
      <c r="D217" s="16">
        <f t="shared" si="22"/>
        <v>0.85260408461245518</v>
      </c>
      <c r="E217" s="16">
        <f t="shared" si="19"/>
        <v>0</v>
      </c>
      <c r="F217" s="16">
        <f t="shared" si="20"/>
        <v>0</v>
      </c>
      <c r="G217" s="19" t="str">
        <f>IF(IS!$C$2="Peak","-",SUM(C217:F217))</f>
        <v>-</v>
      </c>
      <c r="H217" s="197">
        <v>143.61212491007498</v>
      </c>
      <c r="I217" s="197">
        <v>112.11515177041331</v>
      </c>
      <c r="J217" s="197">
        <v>94.133299321609471</v>
      </c>
      <c r="K217" s="197">
        <v>83.480119004208632</v>
      </c>
      <c r="L217" s="197">
        <v>75.982190825246917</v>
      </c>
      <c r="M217" s="197">
        <v>73.474137218015287</v>
      </c>
      <c r="N217" s="197">
        <v>56.581894735994183</v>
      </c>
      <c r="O217" s="197">
        <v>48.25408727734434</v>
      </c>
      <c r="P217" s="197">
        <v>42.550164945295101</v>
      </c>
      <c r="Q217" s="197">
        <v>41.604506955558449</v>
      </c>
      <c r="R217" s="197">
        <v>41.071065442119639</v>
      </c>
      <c r="S217" s="197">
        <v>39.490600082270412</v>
      </c>
      <c r="T217" s="197">
        <v>38.471859772856206</v>
      </c>
      <c r="U217" s="197">
        <v>36.628836586009918</v>
      </c>
      <c r="V217" s="197">
        <v>36.252146557026983</v>
      </c>
      <c r="W217" s="197">
        <v>35.982025942566011</v>
      </c>
      <c r="X217" s="197">
        <v>35.981712983095036</v>
      </c>
      <c r="Y217" s="197">
        <v>35.981687786574724</v>
      </c>
      <c r="Z217" s="197">
        <v>35.981687786574732</v>
      </c>
      <c r="AA217" s="197">
        <v>35.202382417315526</v>
      </c>
      <c r="AB217" s="16">
        <f>Peak!AB219</f>
        <v>0.85260408461245518</v>
      </c>
      <c r="AC217" s="16">
        <f>Peak!AC219</f>
        <v>0</v>
      </c>
      <c r="AD217" s="18">
        <f>Peak!AD219</f>
        <v>870.0603303281033</v>
      </c>
      <c r="AE217" s="18">
        <f>Peak!AE219</f>
        <v>1879.5637242099006</v>
      </c>
      <c r="AF217" s="16">
        <f>Peak!AF219</f>
        <v>1</v>
      </c>
      <c r="AG217" s="73">
        <f>Peak!AG219</f>
        <v>0</v>
      </c>
      <c r="AH217" s="16">
        <f>Peak!AH219</f>
        <v>4.6245928811284491</v>
      </c>
      <c r="AI217" s="16">
        <f>Peak!AI219</f>
        <v>4.2951529164482105</v>
      </c>
      <c r="AJ217" s="16">
        <f>Peak!AJ219</f>
        <v>0</v>
      </c>
      <c r="AK217" s="16">
        <f>Peak!AK219</f>
        <v>0</v>
      </c>
      <c r="AL217" s="4"/>
    </row>
    <row r="218" spans="1:38" x14ac:dyDescent="0.2">
      <c r="A218" s="1">
        <f t="shared" si="23"/>
        <v>42897.153000000268</v>
      </c>
      <c r="B218" s="16">
        <f t="shared" si="21"/>
        <v>4.4061447751856981</v>
      </c>
      <c r="C218" s="17">
        <f t="shared" si="18"/>
        <v>49.810341710340225</v>
      </c>
      <c r="D218" s="16">
        <f t="shared" si="22"/>
        <v>0.8540250914201426</v>
      </c>
      <c r="E218" s="16">
        <f t="shared" si="19"/>
        <v>0</v>
      </c>
      <c r="F218" s="16">
        <f t="shared" si="20"/>
        <v>0</v>
      </c>
      <c r="G218" s="19" t="str">
        <f>IF(IS!$C$2="Peak","-",SUM(C218:F218))</f>
        <v>-</v>
      </c>
      <c r="H218" s="197">
        <v>154.23637346489789</v>
      </c>
      <c r="I218" s="197">
        <v>148.51302241087308</v>
      </c>
      <c r="J218" s="197">
        <v>101.46909808161431</v>
      </c>
      <c r="K218" s="197">
        <v>80.075012295327397</v>
      </c>
      <c r="L218" s="197">
        <v>77.581098681797954</v>
      </c>
      <c r="M218" s="197">
        <v>72.698838987937577</v>
      </c>
      <c r="N218" s="197">
        <v>70.12371630130113</v>
      </c>
      <c r="O218" s="197">
        <v>64.61159505180477</v>
      </c>
      <c r="P218" s="197">
        <v>59.063536060621189</v>
      </c>
      <c r="Q218" s="197">
        <v>55.308458031195983</v>
      </c>
      <c r="R218" s="197">
        <v>51.091402892334337</v>
      </c>
      <c r="S218" s="197">
        <v>46.284963325944076</v>
      </c>
      <c r="T218" s="197">
        <v>40.993410907864799</v>
      </c>
      <c r="U218" s="197">
        <v>39.917272762118564</v>
      </c>
      <c r="V218" s="197">
        <v>39.332181600860117</v>
      </c>
      <c r="W218" s="197">
        <v>38.921832642542213</v>
      </c>
      <c r="X218" s="197">
        <v>38.644697601530432</v>
      </c>
      <c r="Y218" s="197">
        <v>38.147314073980773</v>
      </c>
      <c r="Z218" s="197">
        <v>37.490900259089898</v>
      </c>
      <c r="AA218" s="197">
        <v>36.255922022251411</v>
      </c>
      <c r="AB218" s="16">
        <f>Peak!AB220</f>
        <v>0.8540250914201426</v>
      </c>
      <c r="AC218" s="16">
        <f>Peak!AC220</f>
        <v>0</v>
      </c>
      <c r="AD218" s="18">
        <f>Peak!AD220</f>
        <v>870.0603303281033</v>
      </c>
      <c r="AE218" s="18">
        <f>Peak!AE220</f>
        <v>1879.5637242099006</v>
      </c>
      <c r="AF218" s="16">
        <f>Peak!AF220</f>
        <v>1</v>
      </c>
      <c r="AG218" s="73">
        <f>Peak!AG220</f>
        <v>0</v>
      </c>
      <c r="AH218" s="16">
        <f>Peak!AH220</f>
        <v>4.4061447751856981</v>
      </c>
      <c r="AI218" s="16">
        <f>Peak!AI220</f>
        <v>4.2951529164482105</v>
      </c>
      <c r="AJ218" s="16">
        <f>Peak!AJ220</f>
        <v>0</v>
      </c>
      <c r="AK218" s="16">
        <f>Peak!AK220</f>
        <v>0</v>
      </c>
      <c r="AL218" s="4"/>
    </row>
    <row r="219" spans="1:38" x14ac:dyDescent="0.2">
      <c r="A219" s="1">
        <f t="shared" si="23"/>
        <v>42927.570000000269</v>
      </c>
      <c r="B219" s="16">
        <f t="shared" si="21"/>
        <v>4.3922012790616929</v>
      </c>
      <c r="C219" s="17">
        <f t="shared" si="18"/>
        <v>49.652714046699913</v>
      </c>
      <c r="D219" s="16">
        <f t="shared" si="22"/>
        <v>0.8554484665725095</v>
      </c>
      <c r="E219" s="16">
        <f t="shared" si="19"/>
        <v>0</v>
      </c>
      <c r="F219" s="16">
        <f t="shared" si="20"/>
        <v>0</v>
      </c>
      <c r="G219" s="19" t="str">
        <f>IF(IS!$C$2="Peak","-",SUM(C219:F219))</f>
        <v>-</v>
      </c>
      <c r="H219" s="197">
        <v>303.20553745222827</v>
      </c>
      <c r="I219" s="197">
        <v>228.1508617983709</v>
      </c>
      <c r="J219" s="197">
        <v>205.27969233316432</v>
      </c>
      <c r="K219" s="197">
        <v>188.87218876912021</v>
      </c>
      <c r="L219" s="197">
        <v>174.85330163370594</v>
      </c>
      <c r="M219" s="197">
        <v>161.00730628427058</v>
      </c>
      <c r="N219" s="197">
        <v>149.51627426233802</v>
      </c>
      <c r="O219" s="197">
        <v>76.118642471708</v>
      </c>
      <c r="P219" s="197">
        <v>49.374430914916331</v>
      </c>
      <c r="Q219" s="197">
        <v>46.038776818473487</v>
      </c>
      <c r="R219" s="197">
        <v>43.153986425800227</v>
      </c>
      <c r="S219" s="197">
        <v>41.815576958819925</v>
      </c>
      <c r="T219" s="197">
        <v>40.860359378936309</v>
      </c>
      <c r="U219" s="197">
        <v>40.438105822345051</v>
      </c>
      <c r="V219" s="197">
        <v>39.227204146215897</v>
      </c>
      <c r="W219" s="197">
        <v>37.536743175701808</v>
      </c>
      <c r="X219" s="197">
        <v>35.897401983009118</v>
      </c>
      <c r="Y219" s="197">
        <v>34.96437699284607</v>
      </c>
      <c r="Z219" s="197">
        <v>32.718542422465376</v>
      </c>
      <c r="AA219" s="197">
        <v>30.510381026595578</v>
      </c>
      <c r="AB219" s="16">
        <f>Peak!AB221</f>
        <v>0.8554484665725095</v>
      </c>
      <c r="AC219" s="16">
        <f>Peak!AC221</f>
        <v>0</v>
      </c>
      <c r="AD219" s="18">
        <f>Peak!AD221</f>
        <v>870.0603303281033</v>
      </c>
      <c r="AE219" s="18">
        <f>Peak!AE221</f>
        <v>1879.5637242099006</v>
      </c>
      <c r="AF219" s="16">
        <f>Peak!AF221</f>
        <v>1</v>
      </c>
      <c r="AG219" s="73">
        <f>Peak!AG221</f>
        <v>0</v>
      </c>
      <c r="AH219" s="16">
        <f>Peak!AH221</f>
        <v>4.3922012790616929</v>
      </c>
      <c r="AI219" s="16">
        <f>Peak!AI221</f>
        <v>4.2951529164482105</v>
      </c>
      <c r="AJ219" s="16">
        <f>Peak!AJ221</f>
        <v>0</v>
      </c>
      <c r="AK219" s="16">
        <f>Peak!AK221</f>
        <v>0</v>
      </c>
      <c r="AL219" s="4"/>
    </row>
    <row r="220" spans="1:38" x14ac:dyDescent="0.2">
      <c r="A220" s="1">
        <f t="shared" si="23"/>
        <v>42957.98700000027</v>
      </c>
      <c r="B220" s="16">
        <f t="shared" si="21"/>
        <v>4.1644575090362723</v>
      </c>
      <c r="C220" s="17">
        <f t="shared" si="18"/>
        <v>47.078128873908071</v>
      </c>
      <c r="D220" s="16">
        <f t="shared" si="22"/>
        <v>0.85687421401679709</v>
      </c>
      <c r="E220" s="16">
        <f t="shared" si="19"/>
        <v>0</v>
      </c>
      <c r="F220" s="16">
        <f t="shared" si="20"/>
        <v>0</v>
      </c>
      <c r="G220" s="19" t="str">
        <f>IF(IS!$C$2="Peak","-",SUM(C220:F220))</f>
        <v>-</v>
      </c>
      <c r="H220" s="197">
        <v>375.18709453406075</v>
      </c>
      <c r="I220" s="197">
        <v>266.26899374787848</v>
      </c>
      <c r="J220" s="197">
        <v>212.62789341828534</v>
      </c>
      <c r="K220" s="197">
        <v>192.28570573345041</v>
      </c>
      <c r="L220" s="197">
        <v>175.49093347658882</v>
      </c>
      <c r="M220" s="197">
        <v>158.64022118584529</v>
      </c>
      <c r="N220" s="197">
        <v>128.49289627969875</v>
      </c>
      <c r="O220" s="197">
        <v>78.263453268919136</v>
      </c>
      <c r="P220" s="197">
        <v>72.592900321517362</v>
      </c>
      <c r="Q220" s="197">
        <v>54.464858771194862</v>
      </c>
      <c r="R220" s="197">
        <v>43.977896885726622</v>
      </c>
      <c r="S220" s="197">
        <v>41.734880155201026</v>
      </c>
      <c r="T220" s="197">
        <v>40.644447518612381</v>
      </c>
      <c r="U220" s="197">
        <v>38.018927964753992</v>
      </c>
      <c r="V220" s="197">
        <v>36.642395465071793</v>
      </c>
      <c r="W220" s="197">
        <v>36.57617240111378</v>
      </c>
      <c r="X220" s="197">
        <v>36.44138435785343</v>
      </c>
      <c r="Y220" s="197">
        <v>35.990758535055292</v>
      </c>
      <c r="Z220" s="197">
        <v>35.990758535055292</v>
      </c>
      <c r="AA220" s="197">
        <v>32.500159018463521</v>
      </c>
      <c r="AB220" s="16">
        <f>Peak!AB222</f>
        <v>0.85687421401679709</v>
      </c>
      <c r="AC220" s="16">
        <f>Peak!AC222</f>
        <v>0</v>
      </c>
      <c r="AD220" s="18">
        <f>Peak!AD222</f>
        <v>870.0603303281033</v>
      </c>
      <c r="AE220" s="18">
        <f>Peak!AE222</f>
        <v>1879.5637242099006</v>
      </c>
      <c r="AF220" s="16">
        <f>Peak!AF222</f>
        <v>1</v>
      </c>
      <c r="AG220" s="73">
        <f>Peak!AG222</f>
        <v>0</v>
      </c>
      <c r="AH220" s="16">
        <f>Peak!AH222</f>
        <v>4.1644575090362723</v>
      </c>
      <c r="AI220" s="16">
        <f>Peak!AI222</f>
        <v>4.2951529164482105</v>
      </c>
      <c r="AJ220" s="16">
        <f>Peak!AJ222</f>
        <v>0</v>
      </c>
      <c r="AK220" s="16">
        <f>Peak!AK222</f>
        <v>0</v>
      </c>
      <c r="AL220" s="4"/>
    </row>
    <row r="221" spans="1:38" x14ac:dyDescent="0.2">
      <c r="A221" s="1">
        <f t="shared" si="23"/>
        <v>42988.404000000271</v>
      </c>
      <c r="B221" s="16">
        <f t="shared" si="21"/>
        <v>4.1505140129122662</v>
      </c>
      <c r="C221" s="17">
        <f t="shared" si="18"/>
        <v>46.920501210267744</v>
      </c>
      <c r="D221" s="16">
        <f t="shared" si="22"/>
        <v>0.85830233770682507</v>
      </c>
      <c r="E221" s="16">
        <f t="shared" si="19"/>
        <v>0</v>
      </c>
      <c r="F221" s="16">
        <f t="shared" si="20"/>
        <v>0</v>
      </c>
      <c r="G221" s="19" t="str">
        <f>IF(IS!$C$2="Peak","-",SUM(C221:F221))</f>
        <v>-</v>
      </c>
      <c r="H221" s="197">
        <v>181.42181192692868</v>
      </c>
      <c r="I221" s="197">
        <v>170.42621905238803</v>
      </c>
      <c r="J221" s="197">
        <v>160.69532674081137</v>
      </c>
      <c r="K221" s="197">
        <v>150.65683723499851</v>
      </c>
      <c r="L221" s="197">
        <v>112.9276336392481</v>
      </c>
      <c r="M221" s="197">
        <v>81.32196192746099</v>
      </c>
      <c r="N221" s="197">
        <v>76.285548390879427</v>
      </c>
      <c r="O221" s="197">
        <v>54.570667059886667</v>
      </c>
      <c r="P221" s="197">
        <v>44.772365696622437</v>
      </c>
      <c r="Q221" s="197">
        <v>42.72474907839964</v>
      </c>
      <c r="R221" s="197">
        <v>38.57342587099955</v>
      </c>
      <c r="S221" s="197">
        <v>38.155862354031889</v>
      </c>
      <c r="T221" s="197">
        <v>38.155862354031889</v>
      </c>
      <c r="U221" s="197">
        <v>38.155617205302228</v>
      </c>
      <c r="V221" s="197">
        <v>38.155090960230204</v>
      </c>
      <c r="W221" s="197">
        <v>38.155090960230204</v>
      </c>
      <c r="X221" s="197">
        <v>38.155090960230204</v>
      </c>
      <c r="Y221" s="197">
        <v>38.022787000646389</v>
      </c>
      <c r="Z221" s="197">
        <v>35.685652527276844</v>
      </c>
      <c r="AA221" s="197">
        <v>31.77616190198674</v>
      </c>
      <c r="AB221" s="16">
        <f>Peak!AB223</f>
        <v>0.85830233770682507</v>
      </c>
      <c r="AC221" s="16">
        <f>Peak!AC223</f>
        <v>0</v>
      </c>
      <c r="AD221" s="18">
        <f>Peak!AD223</f>
        <v>870.0603303281033</v>
      </c>
      <c r="AE221" s="18">
        <f>Peak!AE223</f>
        <v>1879.5637242099006</v>
      </c>
      <c r="AF221" s="16">
        <f>Peak!AF223</f>
        <v>1</v>
      </c>
      <c r="AG221" s="73">
        <f>Peak!AG223</f>
        <v>0</v>
      </c>
      <c r="AH221" s="16">
        <f>Peak!AH223</f>
        <v>4.1505140129122662</v>
      </c>
      <c r="AI221" s="16">
        <f>Peak!AI223</f>
        <v>4.2951529164482105</v>
      </c>
      <c r="AJ221" s="16">
        <f>Peak!AJ223</f>
        <v>0</v>
      </c>
      <c r="AK221" s="16">
        <f>Peak!AK223</f>
        <v>0</v>
      </c>
      <c r="AL221" s="4"/>
    </row>
    <row r="222" spans="1:38" x14ac:dyDescent="0.2">
      <c r="A222" s="1">
        <f t="shared" si="23"/>
        <v>43018.821000000273</v>
      </c>
      <c r="B222" s="16">
        <f t="shared" si="21"/>
        <v>4.5967058888804386</v>
      </c>
      <c r="C222" s="17">
        <f t="shared" si="18"/>
        <v>51.964586446757899</v>
      </c>
      <c r="D222" s="16">
        <f t="shared" si="22"/>
        <v>0.85973284160300312</v>
      </c>
      <c r="E222" s="16">
        <f t="shared" si="19"/>
        <v>0</v>
      </c>
      <c r="F222" s="16">
        <f t="shared" si="20"/>
        <v>0</v>
      </c>
      <c r="G222" s="19" t="str">
        <f>IF(IS!$C$2="Peak","-",SUM(C222:F222))</f>
        <v>-</v>
      </c>
      <c r="H222" s="197">
        <v>108.45012809152263</v>
      </c>
      <c r="I222" s="197">
        <v>86.631152751516865</v>
      </c>
      <c r="J222" s="197">
        <v>80.661777414273814</v>
      </c>
      <c r="K222" s="197">
        <v>75.437072388041287</v>
      </c>
      <c r="L222" s="197">
        <v>70.941278374996443</v>
      </c>
      <c r="M222" s="197">
        <v>67.467352146939518</v>
      </c>
      <c r="N222" s="197">
        <v>66.996452808747307</v>
      </c>
      <c r="O222" s="197">
        <v>61.37303575220907</v>
      </c>
      <c r="P222" s="197">
        <v>54.415576956513704</v>
      </c>
      <c r="Q222" s="197">
        <v>50.77373816109602</v>
      </c>
      <c r="R222" s="197">
        <v>49.018132608026683</v>
      </c>
      <c r="S222" s="197">
        <v>47.782967530887454</v>
      </c>
      <c r="T222" s="197">
        <v>47.377223195107455</v>
      </c>
      <c r="U222" s="197">
        <v>46.349289479213091</v>
      </c>
      <c r="V222" s="197">
        <v>43.523422745106437</v>
      </c>
      <c r="W222" s="197">
        <v>38.695214514524586</v>
      </c>
      <c r="X222" s="197">
        <v>37.199581328396974</v>
      </c>
      <c r="Y222" s="197">
        <v>34.463018368431293</v>
      </c>
      <c r="Z222" s="197">
        <v>33.228812300963028</v>
      </c>
      <c r="AA222" s="197">
        <v>33.14090686575166</v>
      </c>
      <c r="AB222" s="16">
        <f>Peak!AB224</f>
        <v>0.85973284160300312</v>
      </c>
      <c r="AC222" s="16">
        <f>Peak!AC224</f>
        <v>0</v>
      </c>
      <c r="AD222" s="18">
        <f>Peak!AD224</f>
        <v>870.0603303281033</v>
      </c>
      <c r="AE222" s="18">
        <f>Peak!AE224</f>
        <v>1879.5637242099006</v>
      </c>
      <c r="AF222" s="16">
        <f>Peak!AF224</f>
        <v>1</v>
      </c>
      <c r="AG222" s="73">
        <f>Peak!AG224</f>
        <v>0</v>
      </c>
      <c r="AH222" s="16">
        <f>Peak!AH224</f>
        <v>4.5967058888804386</v>
      </c>
      <c r="AI222" s="16">
        <f>Peak!AI224</f>
        <v>4.2951529164482105</v>
      </c>
      <c r="AJ222" s="16">
        <f>Peak!AJ224</f>
        <v>0</v>
      </c>
      <c r="AK222" s="16">
        <f>Peak!AK224</f>
        <v>0</v>
      </c>
      <c r="AL222" s="4"/>
    </row>
    <row r="223" spans="1:38" x14ac:dyDescent="0.2">
      <c r="A223" s="1">
        <f t="shared" si="23"/>
        <v>43049.238000000274</v>
      </c>
      <c r="B223" s="16">
        <f t="shared" si="21"/>
        <v>5.0336021007659397</v>
      </c>
      <c r="C223" s="17">
        <f t="shared" si="18"/>
        <v>56.903586574154488</v>
      </c>
      <c r="D223" s="16">
        <f t="shared" si="22"/>
        <v>0.86116572967234151</v>
      </c>
      <c r="E223" s="16">
        <f t="shared" si="19"/>
        <v>0</v>
      </c>
      <c r="F223" s="16">
        <f t="shared" si="20"/>
        <v>0</v>
      </c>
      <c r="G223" s="19" t="str">
        <f>IF(IS!$C$2="Peak","-",SUM(C223:F223))</f>
        <v>-</v>
      </c>
      <c r="H223" s="197">
        <v>153.08412541559318</v>
      </c>
      <c r="I223" s="197">
        <v>149.68598177030674</v>
      </c>
      <c r="J223" s="197">
        <v>141.10301337423564</v>
      </c>
      <c r="K223" s="197">
        <v>95.288870347275477</v>
      </c>
      <c r="L223" s="197">
        <v>86.678284823176824</v>
      </c>
      <c r="M223" s="197">
        <v>82.797094058183973</v>
      </c>
      <c r="N223" s="197">
        <v>78.336811764041755</v>
      </c>
      <c r="O223" s="197">
        <v>60.136150895001705</v>
      </c>
      <c r="P223" s="197">
        <v>55.902950064329623</v>
      </c>
      <c r="Q223" s="197">
        <v>49.237494496554859</v>
      </c>
      <c r="R223" s="197">
        <v>46.58298495547777</v>
      </c>
      <c r="S223" s="197">
        <v>46.202671821169538</v>
      </c>
      <c r="T223" s="197">
        <v>44.659791386540959</v>
      </c>
      <c r="U223" s="197">
        <v>43.46287086066436</v>
      </c>
      <c r="V223" s="197">
        <v>42.33085220042198</v>
      </c>
      <c r="W223" s="197">
        <v>41.215456851100335</v>
      </c>
      <c r="X223" s="197">
        <v>40.134473787114658</v>
      </c>
      <c r="Y223" s="197">
        <v>39.989228465102698</v>
      </c>
      <c r="Z223" s="197">
        <v>39.989147801098873</v>
      </c>
      <c r="AA223" s="197">
        <v>39.97964834772381</v>
      </c>
      <c r="AB223" s="16">
        <f>Peak!AB225</f>
        <v>0.86116572967234151</v>
      </c>
      <c r="AC223" s="16">
        <f>Peak!AC225</f>
        <v>0</v>
      </c>
      <c r="AD223" s="18">
        <f>Peak!AD225</f>
        <v>870.0603303281033</v>
      </c>
      <c r="AE223" s="18">
        <f>Peak!AE225</f>
        <v>1879.5637242099006</v>
      </c>
      <c r="AF223" s="16">
        <f>Peak!AF225</f>
        <v>1</v>
      </c>
      <c r="AG223" s="73">
        <f>Peak!AG225</f>
        <v>0</v>
      </c>
      <c r="AH223" s="16">
        <f>Peak!AH225</f>
        <v>5.0336021007659397</v>
      </c>
      <c r="AI223" s="16">
        <f>Peak!AI225</f>
        <v>4.6568500041491125</v>
      </c>
      <c r="AJ223" s="16">
        <f>Peak!AJ225</f>
        <v>0</v>
      </c>
      <c r="AK223" s="16">
        <f>Peak!AK225</f>
        <v>0</v>
      </c>
      <c r="AL223" s="4"/>
    </row>
    <row r="224" spans="1:38" x14ac:dyDescent="0.2">
      <c r="A224" s="1">
        <f t="shared" si="23"/>
        <v>43079.655000000275</v>
      </c>
      <c r="B224" s="16">
        <f t="shared" si="21"/>
        <v>5.447259152444766</v>
      </c>
      <c r="C224" s="17">
        <f t="shared" si="18"/>
        <v>61.579873928817236</v>
      </c>
      <c r="D224" s="16">
        <f t="shared" si="22"/>
        <v>0.86260100588846211</v>
      </c>
      <c r="E224" s="16">
        <f t="shared" si="19"/>
        <v>0</v>
      </c>
      <c r="F224" s="16">
        <f t="shared" si="20"/>
        <v>0</v>
      </c>
      <c r="G224" s="19" t="str">
        <f>IF(IS!$C$2="Peak","-",SUM(C224:F224))</f>
        <v>-</v>
      </c>
      <c r="H224" s="197">
        <v>103.00940111835831</v>
      </c>
      <c r="I224" s="197">
        <v>102.82162016511715</v>
      </c>
      <c r="J224" s="197">
        <v>92.788730921699013</v>
      </c>
      <c r="K224" s="197">
        <v>79.888556999072804</v>
      </c>
      <c r="L224" s="197">
        <v>77.568431029238425</v>
      </c>
      <c r="M224" s="197">
        <v>75.543936443386016</v>
      </c>
      <c r="N224" s="197">
        <v>74.370359724652346</v>
      </c>
      <c r="O224" s="197">
        <v>73.593989963812476</v>
      </c>
      <c r="P224" s="197">
        <v>73.214790002275734</v>
      </c>
      <c r="Q224" s="197">
        <v>72.469952596933211</v>
      </c>
      <c r="R224" s="197">
        <v>70.775734757599579</v>
      </c>
      <c r="S224" s="197">
        <v>70.521868063935699</v>
      </c>
      <c r="T224" s="197">
        <v>70.064721980497623</v>
      </c>
      <c r="U224" s="197">
        <v>63.762943913794402</v>
      </c>
      <c r="V224" s="197">
        <v>58.193340641400233</v>
      </c>
      <c r="W224" s="197">
        <v>55.595183175992752</v>
      </c>
      <c r="X224" s="197">
        <v>51.573278155202281</v>
      </c>
      <c r="Y224" s="197">
        <v>48.645373007414499</v>
      </c>
      <c r="Z224" s="197">
        <v>48.64534268971375</v>
      </c>
      <c r="AA224" s="197">
        <v>48.643960202848433</v>
      </c>
      <c r="AB224" s="16">
        <f>Peak!AB226</f>
        <v>0.86260100588846211</v>
      </c>
      <c r="AC224" s="16">
        <f>Peak!AC226</f>
        <v>0</v>
      </c>
      <c r="AD224" s="18">
        <f>Peak!AD226</f>
        <v>870.0603303281033</v>
      </c>
      <c r="AE224" s="18">
        <f>Peak!AE226</f>
        <v>1879.5637242099006</v>
      </c>
      <c r="AF224" s="16">
        <f>Peak!AF226</f>
        <v>1</v>
      </c>
      <c r="AG224" s="73">
        <f>Peak!AG226</f>
        <v>0</v>
      </c>
      <c r="AH224" s="16">
        <f>Peak!AH226</f>
        <v>5.447259152444766</v>
      </c>
      <c r="AI224" s="16">
        <f>Peak!AI226</f>
        <v>4.8829106839621765</v>
      </c>
      <c r="AJ224" s="16">
        <f>Peak!AJ226</f>
        <v>0</v>
      </c>
      <c r="AK224" s="16">
        <f>Peak!AK226</f>
        <v>0</v>
      </c>
      <c r="AL224" s="4"/>
    </row>
    <row r="225" spans="1:38" x14ac:dyDescent="0.2">
      <c r="A225" s="1">
        <f t="shared" si="23"/>
        <v>43110.072000000277</v>
      </c>
      <c r="B225" s="16">
        <f t="shared" si="21"/>
        <v>5.5373744438241399</v>
      </c>
      <c r="C225" s="17">
        <f t="shared" si="18"/>
        <v>62.598604289701555</v>
      </c>
      <c r="D225" s="16">
        <f t="shared" si="22"/>
        <v>0.86403867423160963</v>
      </c>
      <c r="E225" s="16">
        <f t="shared" si="19"/>
        <v>0</v>
      </c>
      <c r="F225" s="16">
        <f t="shared" si="20"/>
        <v>0</v>
      </c>
      <c r="G225" s="19" t="str">
        <f>IF(IS!$C$2="Peak","-",SUM(C225:F225))</f>
        <v>-</v>
      </c>
      <c r="H225" s="197">
        <v>130.35656114131973</v>
      </c>
      <c r="I225" s="197">
        <v>121.5530334095738</v>
      </c>
      <c r="J225" s="197">
        <v>116.66528564389148</v>
      </c>
      <c r="K225" s="197">
        <v>109.03251171718107</v>
      </c>
      <c r="L225" s="197">
        <v>108.10743917823686</v>
      </c>
      <c r="M225" s="197">
        <v>100.21137662075088</v>
      </c>
      <c r="N225" s="197">
        <v>73.995369374017628</v>
      </c>
      <c r="O225" s="197">
        <v>61.900050827962239</v>
      </c>
      <c r="P225" s="197">
        <v>59.842441155095358</v>
      </c>
      <c r="Q225" s="197">
        <v>53.693719146082671</v>
      </c>
      <c r="R225" s="197">
        <v>51.984473133182043</v>
      </c>
      <c r="S225" s="197">
        <v>51.515736874612131</v>
      </c>
      <c r="T225" s="197">
        <v>51.369267643509438</v>
      </c>
      <c r="U225" s="197">
        <v>50.942775419508926</v>
      </c>
      <c r="V225" s="197">
        <v>50.92879987982765</v>
      </c>
      <c r="W225" s="197">
        <v>50.92879987982765</v>
      </c>
      <c r="X225" s="197">
        <v>50.92879987982765</v>
      </c>
      <c r="Y225" s="197">
        <v>50.92879987982765</v>
      </c>
      <c r="Z225" s="197">
        <v>50.928543088512114</v>
      </c>
      <c r="AA225" s="197">
        <v>49.233168121070776</v>
      </c>
      <c r="AB225" s="16">
        <f>Peak!AB227</f>
        <v>0.86403867423160963</v>
      </c>
      <c r="AC225" s="16">
        <f>Peak!AC227</f>
        <v>0</v>
      </c>
      <c r="AD225" s="18">
        <f>Peak!AD227</f>
        <v>744.38367199801439</v>
      </c>
      <c r="AE225" s="18">
        <f>Peak!AE227</f>
        <v>2070.1083333808137</v>
      </c>
      <c r="AF225" s="16">
        <f>Peak!AF227</f>
        <v>1</v>
      </c>
      <c r="AG225" s="73">
        <f>Peak!AG227</f>
        <v>0</v>
      </c>
      <c r="AH225" s="16">
        <f>Peak!AH227</f>
        <v>5.5373744438241399</v>
      </c>
      <c r="AI225" s="16">
        <f>Peak!AI227</f>
        <v>5.1779571431111169</v>
      </c>
      <c r="AJ225" s="16">
        <f>Peak!AJ227</f>
        <v>0</v>
      </c>
      <c r="AK225" s="16">
        <f>Peak!AK227</f>
        <v>0</v>
      </c>
      <c r="AL225" s="4"/>
    </row>
    <row r="226" spans="1:38" x14ac:dyDescent="0.2">
      <c r="A226" s="1">
        <f t="shared" si="23"/>
        <v>43140.489000000278</v>
      </c>
      <c r="B226" s="16">
        <f t="shared" si="21"/>
        <v>4.963019115874296</v>
      </c>
      <c r="C226" s="17">
        <f t="shared" si="18"/>
        <v>56.105663951142098</v>
      </c>
      <c r="D226" s="16">
        <f t="shared" si="22"/>
        <v>0.86547873868866232</v>
      </c>
      <c r="E226" s="16">
        <f t="shared" si="19"/>
        <v>0</v>
      </c>
      <c r="F226" s="16">
        <f t="shared" si="20"/>
        <v>0</v>
      </c>
      <c r="G226" s="19" t="str">
        <f>IF(IS!$C$2="Peak","-",SUM(C226:F226))</f>
        <v>-</v>
      </c>
      <c r="H226" s="197">
        <v>144.50432345261297</v>
      </c>
      <c r="I226" s="197">
        <v>125.59741738669693</v>
      </c>
      <c r="J226" s="197">
        <v>120.74234753308158</v>
      </c>
      <c r="K226" s="197">
        <v>113.08175712643848</v>
      </c>
      <c r="L226" s="197">
        <v>111.92764613250827</v>
      </c>
      <c r="M226" s="197">
        <v>90.177866618439296</v>
      </c>
      <c r="N226" s="197">
        <v>79.040248706073655</v>
      </c>
      <c r="O226" s="197">
        <v>72.600116339637594</v>
      </c>
      <c r="P226" s="197">
        <v>63.304648068282731</v>
      </c>
      <c r="Q226" s="197">
        <v>59.065346478922208</v>
      </c>
      <c r="R226" s="197">
        <v>56.570497908014964</v>
      </c>
      <c r="S226" s="197">
        <v>54.553383536597515</v>
      </c>
      <c r="T226" s="197">
        <v>53.594412445186968</v>
      </c>
      <c r="U226" s="197">
        <v>52.98615567227953</v>
      </c>
      <c r="V226" s="197">
        <v>52.98615567227953</v>
      </c>
      <c r="W226" s="197">
        <v>52.98615567227953</v>
      </c>
      <c r="X226" s="197">
        <v>52.98615567227953</v>
      </c>
      <c r="Y226" s="197">
        <v>52.98615567227953</v>
      </c>
      <c r="Z226" s="197">
        <v>52.906842163594575</v>
      </c>
      <c r="AA226" s="197">
        <v>52.501397953054074</v>
      </c>
      <c r="AB226" s="16">
        <f>Peak!AB228</f>
        <v>0.86547873868866232</v>
      </c>
      <c r="AC226" s="16">
        <f>Peak!AC228</f>
        <v>0</v>
      </c>
      <c r="AD226" s="18">
        <f>Peak!AD228</f>
        <v>744.38367199801439</v>
      </c>
      <c r="AE226" s="18">
        <f>Peak!AE228</f>
        <v>2070.1083333808137</v>
      </c>
      <c r="AF226" s="16">
        <f>Peak!AF228</f>
        <v>1</v>
      </c>
      <c r="AG226" s="73">
        <f>Peak!AG228</f>
        <v>0</v>
      </c>
      <c r="AH226" s="16">
        <f>Peak!AH228</f>
        <v>4.963019115874296</v>
      </c>
      <c r="AI226" s="16">
        <f>Peak!AI228</f>
        <v>5.1300130954897174</v>
      </c>
      <c r="AJ226" s="16">
        <f>Peak!AJ228</f>
        <v>0</v>
      </c>
      <c r="AK226" s="16">
        <f>Peak!AK228</f>
        <v>0</v>
      </c>
      <c r="AL226" s="4"/>
    </row>
    <row r="227" spans="1:38" x14ac:dyDescent="0.2">
      <c r="A227" s="1">
        <f t="shared" si="23"/>
        <v>43170.906000000279</v>
      </c>
      <c r="B227" s="16">
        <f t="shared" si="21"/>
        <v>4.8795657776251735</v>
      </c>
      <c r="C227" s="17">
        <f t="shared" si="18"/>
        <v>55.162245269471057</v>
      </c>
      <c r="D227" s="16">
        <f t="shared" si="22"/>
        <v>0.86692120325314348</v>
      </c>
      <c r="E227" s="16">
        <f t="shared" si="19"/>
        <v>0</v>
      </c>
      <c r="F227" s="16">
        <f t="shared" si="20"/>
        <v>0</v>
      </c>
      <c r="G227" s="19" t="str">
        <f>IF(IS!$C$2="Peak","-",SUM(C227:F227))</f>
        <v>-</v>
      </c>
      <c r="H227" s="197">
        <v>128.60171094760108</v>
      </c>
      <c r="I227" s="197">
        <v>97.628269069113841</v>
      </c>
      <c r="J227" s="197">
        <v>93.023777674966283</v>
      </c>
      <c r="K227" s="197">
        <v>87.275619703019728</v>
      </c>
      <c r="L227" s="197">
        <v>81.74660030528743</v>
      </c>
      <c r="M227" s="197">
        <v>81.129085739380827</v>
      </c>
      <c r="N227" s="197">
        <v>73.774999730889334</v>
      </c>
      <c r="O227" s="197">
        <v>60.554466892047387</v>
      </c>
      <c r="P227" s="197">
        <v>56.495420795432395</v>
      </c>
      <c r="Q227" s="197">
        <v>55.09987672355664</v>
      </c>
      <c r="R227" s="197">
        <v>51.662405018479895</v>
      </c>
      <c r="S227" s="197">
        <v>49.91754320613763</v>
      </c>
      <c r="T227" s="197">
        <v>48.77082232276608</v>
      </c>
      <c r="U227" s="197">
        <v>47.641003965067412</v>
      </c>
      <c r="V227" s="197">
        <v>45.902878051504686</v>
      </c>
      <c r="W227" s="197">
        <v>45.460009359827765</v>
      </c>
      <c r="X227" s="197">
        <v>44.027111739349849</v>
      </c>
      <c r="Y227" s="197">
        <v>42.676719392487932</v>
      </c>
      <c r="Z227" s="197">
        <v>40.257283972439929</v>
      </c>
      <c r="AA227" s="197">
        <v>39.426995057586439</v>
      </c>
      <c r="AB227" s="16">
        <f>Peak!AB229</f>
        <v>0.86692120325314348</v>
      </c>
      <c r="AC227" s="16">
        <f>Peak!AC229</f>
        <v>0</v>
      </c>
      <c r="AD227" s="18">
        <f>Peak!AD229</f>
        <v>744.38367199801439</v>
      </c>
      <c r="AE227" s="18">
        <f>Peak!AE229</f>
        <v>2070.1083333808137</v>
      </c>
      <c r="AF227" s="16">
        <f>Peak!AF229</f>
        <v>1</v>
      </c>
      <c r="AG227" s="73">
        <f>Peak!AG229</f>
        <v>0</v>
      </c>
      <c r="AH227" s="16">
        <f>Peak!AH229</f>
        <v>4.8795657776251735</v>
      </c>
      <c r="AI227" s="16">
        <f>Peak!AI229</f>
        <v>4.9382369050041204</v>
      </c>
      <c r="AJ227" s="16">
        <f>Peak!AJ229</f>
        <v>0</v>
      </c>
      <c r="AK227" s="16">
        <f>Peak!AK229</f>
        <v>0</v>
      </c>
      <c r="AL227" s="4"/>
    </row>
    <row r="228" spans="1:38" x14ac:dyDescent="0.2">
      <c r="A228" s="1">
        <f t="shared" si="23"/>
        <v>43201.32300000028</v>
      </c>
      <c r="B228" s="16">
        <f t="shared" si="21"/>
        <v>4.6390238026718196</v>
      </c>
      <c r="C228" s="17">
        <f t="shared" si="18"/>
        <v>52.442979657595721</v>
      </c>
      <c r="D228" s="16">
        <f t="shared" si="22"/>
        <v>0.86836607192523207</v>
      </c>
      <c r="E228" s="16">
        <f t="shared" si="19"/>
        <v>0</v>
      </c>
      <c r="F228" s="16">
        <f t="shared" si="20"/>
        <v>0</v>
      </c>
      <c r="G228" s="19" t="str">
        <f>IF(IS!$C$2="Peak","-",SUM(C228:F228))</f>
        <v>-</v>
      </c>
      <c r="H228" s="197">
        <v>97.960233746275236</v>
      </c>
      <c r="I228" s="197">
        <v>90.54709123813015</v>
      </c>
      <c r="J228" s="197">
        <v>85.615596326749852</v>
      </c>
      <c r="K228" s="197">
        <v>80.599721304619138</v>
      </c>
      <c r="L228" s="197">
        <v>75.326331313684975</v>
      </c>
      <c r="M228" s="197">
        <v>74.836439065917787</v>
      </c>
      <c r="N228" s="197">
        <v>66.937295472114769</v>
      </c>
      <c r="O228" s="197">
        <v>52.386871426625618</v>
      </c>
      <c r="P228" s="197">
        <v>48.082348560916429</v>
      </c>
      <c r="Q228" s="197">
        <v>42.866281578156659</v>
      </c>
      <c r="R228" s="197">
        <v>42.325759852220649</v>
      </c>
      <c r="S228" s="197">
        <v>41.288406426513532</v>
      </c>
      <c r="T228" s="197">
        <v>39.793103378439184</v>
      </c>
      <c r="U228" s="197">
        <v>38.397904891873743</v>
      </c>
      <c r="V228" s="197">
        <v>37.159338582638206</v>
      </c>
      <c r="W228" s="197">
        <v>36.665409608793375</v>
      </c>
      <c r="X228" s="197">
        <v>36.665394172349281</v>
      </c>
      <c r="Y228" s="197">
        <v>36.665394172349281</v>
      </c>
      <c r="Z228" s="197">
        <v>36.665394172349281</v>
      </c>
      <c r="AA228" s="197">
        <v>36.362149778937479</v>
      </c>
      <c r="AB228" s="16">
        <f>Peak!AB230</f>
        <v>0.86836607192523207</v>
      </c>
      <c r="AC228" s="16">
        <f>Peak!AC230</f>
        <v>0</v>
      </c>
      <c r="AD228" s="18">
        <f>Peak!AD230</f>
        <v>744.38367199801439</v>
      </c>
      <c r="AE228" s="18">
        <f>Peak!AE230</f>
        <v>2070.1083333808137</v>
      </c>
      <c r="AF228" s="16">
        <f>Peak!AF230</f>
        <v>1</v>
      </c>
      <c r="AG228" s="73">
        <f>Peak!AG230</f>
        <v>0</v>
      </c>
      <c r="AH228" s="16">
        <f>Peak!AH230</f>
        <v>4.6390238026718196</v>
      </c>
      <c r="AI228" s="16">
        <f>Peak!AI230</f>
        <v>4.7464607145185234</v>
      </c>
      <c r="AJ228" s="16">
        <f>Peak!AJ230</f>
        <v>0</v>
      </c>
      <c r="AK228" s="16">
        <f>Peak!AK230</f>
        <v>0</v>
      </c>
      <c r="AL228" s="4"/>
    </row>
    <row r="229" spans="1:38" x14ac:dyDescent="0.2">
      <c r="A229" s="1">
        <f t="shared" si="23"/>
        <v>43231.740000000282</v>
      </c>
      <c r="B229" s="16">
        <f t="shared" si="21"/>
        <v>4.8844747975221807</v>
      </c>
      <c r="C229" s="17">
        <f t="shared" si="18"/>
        <v>55.217740486039943</v>
      </c>
      <c r="D229" s="16">
        <f t="shared" si="22"/>
        <v>0.86981334871177418</v>
      </c>
      <c r="E229" s="16">
        <f t="shared" si="19"/>
        <v>0</v>
      </c>
      <c r="F229" s="16">
        <f t="shared" si="20"/>
        <v>0</v>
      </c>
      <c r="G229" s="19" t="str">
        <f>IF(IS!$C$2="Peak","-",SUM(C229:F229))</f>
        <v>-</v>
      </c>
      <c r="H229" s="197">
        <v>154.56093433585573</v>
      </c>
      <c r="I229" s="197">
        <v>149.18759056089729</v>
      </c>
      <c r="J229" s="197">
        <v>106.03582558519319</v>
      </c>
      <c r="K229" s="197">
        <v>74.69590358251186</v>
      </c>
      <c r="L229" s="197">
        <v>69.183640193392023</v>
      </c>
      <c r="M229" s="197">
        <v>66.252638801749683</v>
      </c>
      <c r="N229" s="197">
        <v>52.735050764470301</v>
      </c>
      <c r="O229" s="197">
        <v>48.636679102029305</v>
      </c>
      <c r="P229" s="197">
        <v>46.668364415867309</v>
      </c>
      <c r="Q229" s="197">
        <v>45.103517656885515</v>
      </c>
      <c r="R229" s="197">
        <v>43.585097226980992</v>
      </c>
      <c r="S229" s="197">
        <v>42.44351474728137</v>
      </c>
      <c r="T229" s="197">
        <v>40.635173192298986</v>
      </c>
      <c r="U229" s="197">
        <v>39.248369931466357</v>
      </c>
      <c r="V229" s="197">
        <v>38.43080553220021</v>
      </c>
      <c r="W229" s="197">
        <v>34.393882871442628</v>
      </c>
      <c r="X229" s="197">
        <v>34.021417253986648</v>
      </c>
      <c r="Y229" s="197">
        <v>34.021382128488057</v>
      </c>
      <c r="Z229" s="197">
        <v>34.021332849830586</v>
      </c>
      <c r="AA229" s="197">
        <v>34.007861441706062</v>
      </c>
      <c r="AB229" s="16">
        <f>Peak!AB231</f>
        <v>0.86981334871177418</v>
      </c>
      <c r="AC229" s="16">
        <f>Peak!AC231</f>
        <v>0</v>
      </c>
      <c r="AD229" s="18">
        <f>Peak!AD231</f>
        <v>744.38367199801439</v>
      </c>
      <c r="AE229" s="18">
        <f>Peak!AE231</f>
        <v>2070.1083333808137</v>
      </c>
      <c r="AF229" s="16">
        <f>Peak!AF231</f>
        <v>1</v>
      </c>
      <c r="AG229" s="73">
        <f>Peak!AG231</f>
        <v>0</v>
      </c>
      <c r="AH229" s="16">
        <f>Peak!AH231</f>
        <v>4.8844747975221807</v>
      </c>
      <c r="AI229" s="16">
        <f>Peak!AI231</f>
        <v>4.5546845240329263</v>
      </c>
      <c r="AJ229" s="16">
        <f>Peak!AJ231</f>
        <v>0</v>
      </c>
      <c r="AK229" s="16">
        <f>Peak!AK231</f>
        <v>0</v>
      </c>
      <c r="AL229" s="4"/>
    </row>
    <row r="230" spans="1:38" x14ac:dyDescent="0.2">
      <c r="A230" s="1">
        <f t="shared" si="23"/>
        <v>43262.157000000283</v>
      </c>
      <c r="B230" s="16">
        <f t="shared" si="21"/>
        <v>4.6537508623628412</v>
      </c>
      <c r="C230" s="17">
        <f t="shared" si="18"/>
        <v>52.609465307302379</v>
      </c>
      <c r="D230" s="16">
        <f t="shared" si="22"/>
        <v>0.87126303762629387</v>
      </c>
      <c r="E230" s="16">
        <f t="shared" si="19"/>
        <v>0</v>
      </c>
      <c r="F230" s="16">
        <f t="shared" si="20"/>
        <v>0</v>
      </c>
      <c r="G230" s="19" t="str">
        <f>IF(IS!$C$2="Peak","-",SUM(C230:F230))</f>
        <v>-</v>
      </c>
      <c r="H230" s="197">
        <v>190.46198003428688</v>
      </c>
      <c r="I230" s="197">
        <v>177.83699198381677</v>
      </c>
      <c r="J230" s="197">
        <v>167.24340409845644</v>
      </c>
      <c r="K230" s="197">
        <v>154.70297433033258</v>
      </c>
      <c r="L230" s="197">
        <v>141.37115098973882</v>
      </c>
      <c r="M230" s="197">
        <v>85.496495612273904</v>
      </c>
      <c r="N230" s="197">
        <v>72.538374986835137</v>
      </c>
      <c r="O230" s="197">
        <v>68.782232775994132</v>
      </c>
      <c r="P230" s="197">
        <v>58.094403671225407</v>
      </c>
      <c r="Q230" s="197">
        <v>47.493830379356083</v>
      </c>
      <c r="R230" s="197">
        <v>42.100642599643351</v>
      </c>
      <c r="S230" s="197">
        <v>39.739012337480943</v>
      </c>
      <c r="T230" s="197">
        <v>39.027195051274013</v>
      </c>
      <c r="U230" s="197">
        <v>38.181501214035094</v>
      </c>
      <c r="V230" s="197">
        <v>36.736913936445887</v>
      </c>
      <c r="W230" s="197">
        <v>35.023584865069246</v>
      </c>
      <c r="X230" s="197">
        <v>34.022726554882873</v>
      </c>
      <c r="Y230" s="197">
        <v>34.022715741854825</v>
      </c>
      <c r="Z230" s="197">
        <v>34.022715741854825</v>
      </c>
      <c r="AA230" s="197">
        <v>32.760380817471372</v>
      </c>
      <c r="AB230" s="16">
        <f>Peak!AB232</f>
        <v>0.87126303762629387</v>
      </c>
      <c r="AC230" s="16">
        <f>Peak!AC232</f>
        <v>0</v>
      </c>
      <c r="AD230" s="18">
        <f>Peak!AD232</f>
        <v>744.38367199801439</v>
      </c>
      <c r="AE230" s="18">
        <f>Peak!AE232</f>
        <v>2070.1083333808137</v>
      </c>
      <c r="AF230" s="16">
        <f>Peak!AF232</f>
        <v>1</v>
      </c>
      <c r="AG230" s="73">
        <f>Peak!AG232</f>
        <v>0</v>
      </c>
      <c r="AH230" s="16">
        <f>Peak!AH232</f>
        <v>4.6537508623628412</v>
      </c>
      <c r="AI230" s="16">
        <f>Peak!AI232</f>
        <v>4.5546845240329263</v>
      </c>
      <c r="AJ230" s="16">
        <f>Peak!AJ232</f>
        <v>0</v>
      </c>
      <c r="AK230" s="16">
        <f>Peak!AK232</f>
        <v>0</v>
      </c>
      <c r="AL230" s="4"/>
    </row>
    <row r="231" spans="1:38" x14ac:dyDescent="0.2">
      <c r="A231" s="1">
        <f t="shared" si="23"/>
        <v>43292.574000000284</v>
      </c>
      <c r="B231" s="16">
        <f t="shared" si="21"/>
        <v>4.6390238026718196</v>
      </c>
      <c r="C231" s="17">
        <f t="shared" si="18"/>
        <v>52.442979657595721</v>
      </c>
      <c r="D231" s="16">
        <f t="shared" si="22"/>
        <v>0.87271514268900441</v>
      </c>
      <c r="E231" s="16">
        <f t="shared" si="19"/>
        <v>0</v>
      </c>
      <c r="F231" s="16">
        <f t="shared" si="20"/>
        <v>0</v>
      </c>
      <c r="G231" s="19" t="str">
        <f>IF(IS!$C$2="Peak","-",SUM(C231:F231))</f>
        <v>-</v>
      </c>
      <c r="H231" s="197">
        <v>251.26508011419332</v>
      </c>
      <c r="I231" s="197">
        <v>209.30475650784865</v>
      </c>
      <c r="J231" s="197">
        <v>196.3422979121525</v>
      </c>
      <c r="K231" s="197">
        <v>180.6848766668582</v>
      </c>
      <c r="L231" s="197">
        <v>167.63420880393898</v>
      </c>
      <c r="M231" s="197">
        <v>154.82789138519922</v>
      </c>
      <c r="N231" s="197">
        <v>129.19188048558595</v>
      </c>
      <c r="O231" s="197">
        <v>85.64993706708141</v>
      </c>
      <c r="P231" s="197">
        <v>81.346949238966573</v>
      </c>
      <c r="Q231" s="197">
        <v>58.452824199238179</v>
      </c>
      <c r="R231" s="197">
        <v>46.714263027828665</v>
      </c>
      <c r="S231" s="197">
        <v>43.326003847645673</v>
      </c>
      <c r="T231" s="197">
        <v>39.785248786288413</v>
      </c>
      <c r="U231" s="197">
        <v>39.748755215903593</v>
      </c>
      <c r="V231" s="197">
        <v>39.748588480575407</v>
      </c>
      <c r="W231" s="197">
        <v>39.74796774614682</v>
      </c>
      <c r="X231" s="197">
        <v>39.74796774614682</v>
      </c>
      <c r="Y231" s="197">
        <v>39.74796774614682</v>
      </c>
      <c r="Z231" s="197">
        <v>38.180135730350131</v>
      </c>
      <c r="AA231" s="197">
        <v>32.703231041532987</v>
      </c>
      <c r="AB231" s="16">
        <f>Peak!AB233</f>
        <v>0.87271514268900441</v>
      </c>
      <c r="AC231" s="16">
        <f>Peak!AC233</f>
        <v>0</v>
      </c>
      <c r="AD231" s="18">
        <f>Peak!AD233</f>
        <v>744.38367199801439</v>
      </c>
      <c r="AE231" s="18">
        <f>Peak!AE233</f>
        <v>2070.1083333808137</v>
      </c>
      <c r="AF231" s="16">
        <f>Peak!AF233</f>
        <v>1</v>
      </c>
      <c r="AG231" s="73">
        <f>Peak!AG233</f>
        <v>0</v>
      </c>
      <c r="AH231" s="16">
        <f>Peak!AH233</f>
        <v>4.6390238026718196</v>
      </c>
      <c r="AI231" s="16">
        <f>Peak!AI233</f>
        <v>4.5546845240329263</v>
      </c>
      <c r="AJ231" s="16">
        <f>Peak!AJ233</f>
        <v>0</v>
      </c>
      <c r="AK231" s="16">
        <f>Peak!AK233</f>
        <v>0</v>
      </c>
      <c r="AL231" s="4"/>
    </row>
    <row r="232" spans="1:38" x14ac:dyDescent="0.2">
      <c r="A232" s="1">
        <f t="shared" si="23"/>
        <v>43322.991000000286</v>
      </c>
      <c r="B232" s="16">
        <f t="shared" si="21"/>
        <v>4.3984818277184665</v>
      </c>
      <c r="C232" s="17">
        <f t="shared" si="18"/>
        <v>49.723714045720392</v>
      </c>
      <c r="D232" s="16">
        <f t="shared" si="22"/>
        <v>0.87416966792681949</v>
      </c>
      <c r="E232" s="16">
        <f t="shared" si="19"/>
        <v>0</v>
      </c>
      <c r="F232" s="16">
        <f t="shared" si="20"/>
        <v>0</v>
      </c>
      <c r="G232" s="19" t="str">
        <f>IF(IS!$C$2="Peak","-",SUM(C232:F232))</f>
        <v>-</v>
      </c>
      <c r="H232" s="197">
        <v>547.35455166888539</v>
      </c>
      <c r="I232" s="197">
        <v>381.97770419914502</v>
      </c>
      <c r="J232" s="197">
        <v>289.47110844986298</v>
      </c>
      <c r="K232" s="197">
        <v>216.15376409313103</v>
      </c>
      <c r="L232" s="197">
        <v>193.57001334159119</v>
      </c>
      <c r="M232" s="197">
        <v>175.16247052196644</v>
      </c>
      <c r="N232" s="197">
        <v>157.15753261665199</v>
      </c>
      <c r="O232" s="197">
        <v>123.07482372412896</v>
      </c>
      <c r="P232" s="197">
        <v>44.236942097775241</v>
      </c>
      <c r="Q232" s="197">
        <v>54.464858771194862</v>
      </c>
      <c r="R232" s="197">
        <v>43.977896885726622</v>
      </c>
      <c r="S232" s="197">
        <v>41.734880155201026</v>
      </c>
      <c r="T232" s="197">
        <v>40.644447518612381</v>
      </c>
      <c r="U232" s="197">
        <v>38.018927964753992</v>
      </c>
      <c r="V232" s="197">
        <v>36.642395465071793</v>
      </c>
      <c r="W232" s="197">
        <v>36.57617240111378</v>
      </c>
      <c r="X232" s="197">
        <v>36.44138435785343</v>
      </c>
      <c r="Y232" s="197">
        <v>35.990758535055292</v>
      </c>
      <c r="Z232" s="197">
        <v>35.990758535055292</v>
      </c>
      <c r="AA232" s="197">
        <v>32.500159018463521</v>
      </c>
      <c r="AB232" s="16">
        <f>Peak!AB234</f>
        <v>0.87416966792681949</v>
      </c>
      <c r="AC232" s="16">
        <f>Peak!AC234</f>
        <v>0</v>
      </c>
      <c r="AD232" s="18">
        <f>Peak!AD234</f>
        <v>744.38367199801439</v>
      </c>
      <c r="AE232" s="18">
        <f>Peak!AE234</f>
        <v>2070.1083333808137</v>
      </c>
      <c r="AF232" s="16">
        <f>Peak!AF234</f>
        <v>1</v>
      </c>
      <c r="AG232" s="73">
        <f>Peak!AG234</f>
        <v>0</v>
      </c>
      <c r="AH232" s="16">
        <f>Peak!AH234</f>
        <v>4.3984818277184665</v>
      </c>
      <c r="AI232" s="16">
        <f>Peak!AI234</f>
        <v>4.5546845240329263</v>
      </c>
      <c r="AJ232" s="16">
        <f>Peak!AJ234</f>
        <v>0</v>
      </c>
      <c r="AK232" s="16">
        <f>Peak!AK234</f>
        <v>0</v>
      </c>
      <c r="AL232" s="4"/>
    </row>
    <row r="233" spans="1:38" x14ac:dyDescent="0.2">
      <c r="A233" s="1">
        <f t="shared" si="23"/>
        <v>43353.408000000287</v>
      </c>
      <c r="B233" s="16">
        <f t="shared" si="21"/>
        <v>4.3837547680274449</v>
      </c>
      <c r="C233" s="17">
        <f t="shared" si="18"/>
        <v>49.557228396013741</v>
      </c>
      <c r="D233" s="16">
        <f t="shared" si="22"/>
        <v>0.87562661737336422</v>
      </c>
      <c r="E233" s="16">
        <f t="shared" si="19"/>
        <v>0</v>
      </c>
      <c r="F233" s="16">
        <f t="shared" si="20"/>
        <v>0</v>
      </c>
      <c r="G233" s="19" t="str">
        <f>IF(IS!$C$2="Peak","-",SUM(C233:F233))</f>
        <v>-</v>
      </c>
      <c r="H233" s="197">
        <v>153.44154943465892</v>
      </c>
      <c r="I233" s="197">
        <v>144.3905465998433</v>
      </c>
      <c r="J233" s="197">
        <v>114.16558908449875</v>
      </c>
      <c r="K233" s="197">
        <v>103.02093811740077</v>
      </c>
      <c r="L233" s="197">
        <v>89.113499450232368</v>
      </c>
      <c r="M233" s="197">
        <v>63.119894899924326</v>
      </c>
      <c r="N233" s="197">
        <v>53.743510316799572</v>
      </c>
      <c r="O233" s="197">
        <v>49.883395373602418</v>
      </c>
      <c r="P233" s="197">
        <v>48.861147620190643</v>
      </c>
      <c r="Q233" s="197">
        <v>48.773340888398508</v>
      </c>
      <c r="R233" s="197">
        <v>48.773340888398508</v>
      </c>
      <c r="S233" s="197">
        <v>48.773192467472803</v>
      </c>
      <c r="T233" s="197">
        <v>48.77295676295455</v>
      </c>
      <c r="U233" s="197">
        <v>48.77286563137703</v>
      </c>
      <c r="V233" s="197">
        <v>48.77269395877569</v>
      </c>
      <c r="W233" s="197">
        <v>48.772605149956874</v>
      </c>
      <c r="X233" s="197">
        <v>48.115962479463334</v>
      </c>
      <c r="Y233" s="197">
        <v>45.336979592267639</v>
      </c>
      <c r="Z233" s="197">
        <v>42.28479159142163</v>
      </c>
      <c r="AA233" s="197">
        <v>35.599574802588208</v>
      </c>
      <c r="AB233" s="16">
        <f>Peak!AB235</f>
        <v>0.87562661737336422</v>
      </c>
      <c r="AC233" s="16">
        <f>Peak!AC235</f>
        <v>0</v>
      </c>
      <c r="AD233" s="18">
        <f>Peak!AD235</f>
        <v>744.38367199801439</v>
      </c>
      <c r="AE233" s="18">
        <f>Peak!AE235</f>
        <v>2070.1083333808137</v>
      </c>
      <c r="AF233" s="16">
        <f>Peak!AF235</f>
        <v>1</v>
      </c>
      <c r="AG233" s="73">
        <f>Peak!AG235</f>
        <v>0</v>
      </c>
      <c r="AH233" s="16">
        <f>Peak!AH235</f>
        <v>4.3837547680274449</v>
      </c>
      <c r="AI233" s="16">
        <f>Peak!AI235</f>
        <v>4.5546845240329263</v>
      </c>
      <c r="AJ233" s="16">
        <f>Peak!AJ235</f>
        <v>0</v>
      </c>
      <c r="AK233" s="16">
        <f>Peak!AK235</f>
        <v>0</v>
      </c>
      <c r="AL233" s="4"/>
    </row>
    <row r="234" spans="1:38" x14ac:dyDescent="0.2">
      <c r="A234" s="1">
        <f t="shared" si="23"/>
        <v>43383.825000000288</v>
      </c>
      <c r="B234" s="16">
        <f t="shared" si="21"/>
        <v>4.8550206781401375</v>
      </c>
      <c r="C234" s="17">
        <f t="shared" si="18"/>
        <v>54.884769186626642</v>
      </c>
      <c r="D234" s="16">
        <f t="shared" si="22"/>
        <v>0.87708599506898655</v>
      </c>
      <c r="E234" s="16">
        <f t="shared" si="19"/>
        <v>0</v>
      </c>
      <c r="F234" s="16">
        <f t="shared" si="20"/>
        <v>0</v>
      </c>
      <c r="G234" s="19" t="str">
        <f>IF(IS!$C$2="Peak","-",SUM(C234:F234))</f>
        <v>-</v>
      </c>
      <c r="H234" s="197">
        <v>95.496885599087932</v>
      </c>
      <c r="I234" s="197">
        <v>92.529313925096233</v>
      </c>
      <c r="J234" s="197">
        <v>88.688158207560761</v>
      </c>
      <c r="K234" s="197">
        <v>83.177712668994175</v>
      </c>
      <c r="L234" s="197">
        <v>79.281761933101507</v>
      </c>
      <c r="M234" s="197">
        <v>78.695910123974599</v>
      </c>
      <c r="N234" s="197">
        <v>67.571734712735775</v>
      </c>
      <c r="O234" s="197">
        <v>55.413179826784429</v>
      </c>
      <c r="P234" s="197">
        <v>53.427749066973753</v>
      </c>
      <c r="Q234" s="197">
        <v>49.224554927868581</v>
      </c>
      <c r="R234" s="197">
        <v>46.489333474023326</v>
      </c>
      <c r="S234" s="197">
        <v>45.246922922934104</v>
      </c>
      <c r="T234" s="197">
        <v>44.617389702107133</v>
      </c>
      <c r="U234" s="197">
        <v>43.964421968303739</v>
      </c>
      <c r="V234" s="197">
        <v>41.967099018420683</v>
      </c>
      <c r="W234" s="197">
        <v>39.844855112648801</v>
      </c>
      <c r="X234" s="197">
        <v>38.628831710601901</v>
      </c>
      <c r="Y234" s="197">
        <v>38.540975894365232</v>
      </c>
      <c r="Z234" s="197">
        <v>38.540975894365232</v>
      </c>
      <c r="AA234" s="197">
        <v>38.531199810056826</v>
      </c>
      <c r="AB234" s="16">
        <f>Peak!AB236</f>
        <v>0.87708599506898655</v>
      </c>
      <c r="AC234" s="16">
        <f>Peak!AC236</f>
        <v>0</v>
      </c>
      <c r="AD234" s="18">
        <f>Peak!AD236</f>
        <v>744.38367199801439</v>
      </c>
      <c r="AE234" s="18">
        <f>Peak!AE236</f>
        <v>2070.1083333808137</v>
      </c>
      <c r="AF234" s="16">
        <f>Peak!AF236</f>
        <v>1</v>
      </c>
      <c r="AG234" s="73">
        <f>Peak!AG236</f>
        <v>0</v>
      </c>
      <c r="AH234" s="16">
        <f>Peak!AH236</f>
        <v>4.8550206781401375</v>
      </c>
      <c r="AI234" s="16">
        <f>Peak!AI236</f>
        <v>4.5546845240329263</v>
      </c>
      <c r="AJ234" s="16">
        <f>Peak!AJ236</f>
        <v>0</v>
      </c>
      <c r="AK234" s="16">
        <f>Peak!AK236</f>
        <v>0</v>
      </c>
      <c r="AL234" s="4"/>
    </row>
    <row r="235" spans="1:38" x14ac:dyDescent="0.2">
      <c r="A235" s="1">
        <f t="shared" si="23"/>
        <v>43414.242000000289</v>
      </c>
      <c r="B235" s="16">
        <f t="shared" si="21"/>
        <v>5.3164685484588157</v>
      </c>
      <c r="C235" s="17">
        <f t="shared" si="18"/>
        <v>60.10131954410177</v>
      </c>
      <c r="D235" s="16">
        <f t="shared" si="22"/>
        <v>0.87854780506076824</v>
      </c>
      <c r="E235" s="16">
        <f t="shared" si="19"/>
        <v>0</v>
      </c>
      <c r="F235" s="16">
        <f t="shared" si="20"/>
        <v>0</v>
      </c>
      <c r="G235" s="19" t="str">
        <f>IF(IS!$C$2="Peak","-",SUM(C235:F235))</f>
        <v>-</v>
      </c>
      <c r="H235" s="197">
        <v>166.23681335783019</v>
      </c>
      <c r="I235" s="197">
        <v>160.55945288990023</v>
      </c>
      <c r="J235" s="197">
        <v>154.48151256924922</v>
      </c>
      <c r="K235" s="197">
        <v>149.40157264949744</v>
      </c>
      <c r="L235" s="197">
        <v>120.89130668629343</v>
      </c>
      <c r="M235" s="197">
        <v>83.544438884465961</v>
      </c>
      <c r="N235" s="197">
        <v>77.888916902585407</v>
      </c>
      <c r="O235" s="197">
        <v>70.535529547722177</v>
      </c>
      <c r="P235" s="197">
        <v>65.689290021591901</v>
      </c>
      <c r="Q235" s="197">
        <v>64.033439952728827</v>
      </c>
      <c r="R235" s="197">
        <v>62.428851612203708</v>
      </c>
      <c r="S235" s="197">
        <v>53.474914834361172</v>
      </c>
      <c r="T235" s="197">
        <v>49.757070990605669</v>
      </c>
      <c r="U235" s="197">
        <v>47.536163375601447</v>
      </c>
      <c r="V235" s="197">
        <v>45.609768589057595</v>
      </c>
      <c r="W235" s="197">
        <v>45.023786217793081</v>
      </c>
      <c r="X235" s="197">
        <v>42.159621814912825</v>
      </c>
      <c r="Y235" s="197">
        <v>36.99435646400709</v>
      </c>
      <c r="Z235" s="197">
        <v>31.81281346866076</v>
      </c>
      <c r="AA235" s="197">
        <v>31.807323143124815</v>
      </c>
      <c r="AB235" s="16">
        <f>Peak!AB237</f>
        <v>0.87854780506076824</v>
      </c>
      <c r="AC235" s="16">
        <f>Peak!AC237</f>
        <v>0</v>
      </c>
      <c r="AD235" s="18">
        <f>Peak!AD237</f>
        <v>744.38367199801439</v>
      </c>
      <c r="AE235" s="18">
        <f>Peak!AE237</f>
        <v>2070.1083333808137</v>
      </c>
      <c r="AF235" s="16">
        <f>Peak!AF237</f>
        <v>1</v>
      </c>
      <c r="AG235" s="73">
        <f>Peak!AG237</f>
        <v>0</v>
      </c>
      <c r="AH235" s="16">
        <f>Peak!AH237</f>
        <v>5.3164685484588157</v>
      </c>
      <c r="AI235" s="16">
        <f>Peak!AI237</f>
        <v>4.9382369050041204</v>
      </c>
      <c r="AJ235" s="16">
        <f>Peak!AJ237</f>
        <v>0</v>
      </c>
      <c r="AK235" s="16">
        <f>Peak!AK237</f>
        <v>0</v>
      </c>
      <c r="AL235" s="4"/>
    </row>
    <row r="236" spans="1:38" x14ac:dyDescent="0.2">
      <c r="A236" s="1">
        <f t="shared" si="23"/>
        <v>43444.659000000291</v>
      </c>
      <c r="B236" s="16">
        <f t="shared" si="21"/>
        <v>5.7533713192924578</v>
      </c>
      <c r="C236" s="17">
        <f t="shared" si="18"/>
        <v>65.040393818732483</v>
      </c>
      <c r="D236" s="16">
        <f t="shared" si="22"/>
        <v>0.88001205140253624</v>
      </c>
      <c r="E236" s="16">
        <f t="shared" si="19"/>
        <v>0</v>
      </c>
      <c r="F236" s="16">
        <f t="shared" si="20"/>
        <v>0</v>
      </c>
      <c r="G236" s="19" t="str">
        <f>IF(IS!$C$2="Peak","-",SUM(C236:F236))</f>
        <v>-</v>
      </c>
      <c r="H236" s="197">
        <v>151.04369132112106</v>
      </c>
      <c r="I236" s="197">
        <v>148.5812975547116</v>
      </c>
      <c r="J236" s="197">
        <v>144.27390571682957</v>
      </c>
      <c r="K236" s="197">
        <v>120.91213586290553</v>
      </c>
      <c r="L236" s="197">
        <v>111.12941825695933</v>
      </c>
      <c r="M236" s="197">
        <v>102.28291601237146</v>
      </c>
      <c r="N236" s="197">
        <v>100.5060107060596</v>
      </c>
      <c r="O236" s="197">
        <v>92.35387902350196</v>
      </c>
      <c r="P236" s="197">
        <v>69.675134247295034</v>
      </c>
      <c r="Q236" s="197">
        <v>59.260474325009</v>
      </c>
      <c r="R236" s="197">
        <v>55.758368039816766</v>
      </c>
      <c r="S236" s="197">
        <v>48.219645209232084</v>
      </c>
      <c r="T236" s="197">
        <v>47.860773652621994</v>
      </c>
      <c r="U236" s="197">
        <v>47.860747803638574</v>
      </c>
      <c r="V236" s="197">
        <v>47.860716942902229</v>
      </c>
      <c r="W236" s="197">
        <v>47.860716942902229</v>
      </c>
      <c r="X236" s="197">
        <v>47.860672942377832</v>
      </c>
      <c r="Y236" s="197">
        <v>47.860646027209526</v>
      </c>
      <c r="Z236" s="197">
        <v>47.860622649443847</v>
      </c>
      <c r="AA236" s="197">
        <v>46.637786154712472</v>
      </c>
      <c r="AB236" s="16">
        <f>Peak!AB238</f>
        <v>0.88001205140253624</v>
      </c>
      <c r="AC236" s="16">
        <f>Peak!AC238</f>
        <v>0</v>
      </c>
      <c r="AD236" s="18">
        <f>Peak!AD238</f>
        <v>744.38367199801439</v>
      </c>
      <c r="AE236" s="18">
        <f>Peak!AE238</f>
        <v>2070.1083333808137</v>
      </c>
      <c r="AF236" s="16">
        <f>Peak!AF238</f>
        <v>1</v>
      </c>
      <c r="AG236" s="73">
        <f>Peak!AG238</f>
        <v>0</v>
      </c>
      <c r="AH236" s="16">
        <f>Peak!AH238</f>
        <v>5.7533713192924578</v>
      </c>
      <c r="AI236" s="16">
        <f>Peak!AI238</f>
        <v>5.1779571431111169</v>
      </c>
      <c r="AJ236" s="16">
        <f>Peak!AJ238</f>
        <v>0</v>
      </c>
      <c r="AK236" s="16">
        <f>Peak!AK238</f>
        <v>0</v>
      </c>
      <c r="AL236" s="4"/>
    </row>
    <row r="237" spans="1:38" x14ac:dyDescent="0.2">
      <c r="A237" s="1">
        <f t="shared" si="23"/>
        <v>43475.076000000292</v>
      </c>
      <c r="B237" s="16">
        <f t="shared" si="21"/>
        <v>5.587976144885058</v>
      </c>
      <c r="C237" s="17">
        <f t="shared" si="18"/>
        <v>63.170643600611989</v>
      </c>
      <c r="D237" s="16">
        <f t="shared" si="22"/>
        <v>0.88147873815487388</v>
      </c>
      <c r="E237" s="16">
        <f t="shared" si="19"/>
        <v>0</v>
      </c>
      <c r="F237" s="16">
        <f t="shared" si="20"/>
        <v>0</v>
      </c>
      <c r="G237" s="19" t="str">
        <f>IF(IS!$C$2="Peak","-",SUM(C237:F237))</f>
        <v>-</v>
      </c>
      <c r="H237" s="197">
        <v>137.48007501945068</v>
      </c>
      <c r="I237" s="197">
        <v>130.65223220901746</v>
      </c>
      <c r="J237" s="197">
        <v>124.51407791382694</v>
      </c>
      <c r="K237" s="197">
        <v>116.14200761440092</v>
      </c>
      <c r="L237" s="197">
        <v>114.9234947725854</v>
      </c>
      <c r="M237" s="197">
        <v>105.03443554248383</v>
      </c>
      <c r="N237" s="197">
        <v>76.523757736492996</v>
      </c>
      <c r="O237" s="197">
        <v>63.625863878712209</v>
      </c>
      <c r="P237" s="197">
        <v>57.685027782976796</v>
      </c>
      <c r="Q237" s="197">
        <v>54.210654473474726</v>
      </c>
      <c r="R237" s="197">
        <v>54.210654473474726</v>
      </c>
      <c r="S237" s="197">
        <v>54.210654473474726</v>
      </c>
      <c r="T237" s="197">
        <v>54.210654473474726</v>
      </c>
      <c r="U237" s="197">
        <v>54.210654473474726</v>
      </c>
      <c r="V237" s="197">
        <v>54.210654473474726</v>
      </c>
      <c r="W237" s="197">
        <v>54.210633084894596</v>
      </c>
      <c r="X237" s="197">
        <v>54.210599340452724</v>
      </c>
      <c r="Y237" s="197">
        <v>54.210412904687082</v>
      </c>
      <c r="Z237" s="197">
        <v>54.209980291793656</v>
      </c>
      <c r="AA237" s="197">
        <v>49.774685118622486</v>
      </c>
      <c r="AB237" s="16">
        <f>Peak!AB239</f>
        <v>0.88147873815487388</v>
      </c>
      <c r="AC237" s="16">
        <f>Peak!AC239</f>
        <v>0</v>
      </c>
      <c r="AD237" s="18">
        <f>Peak!AD239</f>
        <v>771.78853165204816</v>
      </c>
      <c r="AE237" s="18">
        <f>Peak!AE239</f>
        <v>1127.0716297512272</v>
      </c>
      <c r="AF237" s="16">
        <f>Peak!AF239</f>
        <v>1</v>
      </c>
      <c r="AG237" s="73">
        <f>Peak!AG239</f>
        <v>0</v>
      </c>
      <c r="AH237" s="16">
        <f>Peak!AH239</f>
        <v>5.587976144885058</v>
      </c>
      <c r="AI237" s="16">
        <f>Peak!AI239</f>
        <v>5.2508532996416486</v>
      </c>
      <c r="AJ237" s="16">
        <f>Peak!AJ239</f>
        <v>0</v>
      </c>
      <c r="AK237" s="16">
        <f>Peak!AK239</f>
        <v>0</v>
      </c>
      <c r="AL237" s="4"/>
    </row>
    <row r="238" spans="1:38" x14ac:dyDescent="0.2">
      <c r="A238" s="1">
        <f t="shared" si="23"/>
        <v>43505.493000000293</v>
      </c>
      <c r="B238" s="16">
        <f t="shared" si="21"/>
        <v>5.0083722362400653</v>
      </c>
      <c r="C238" s="17">
        <f t="shared" si="18"/>
        <v>56.618369397357021</v>
      </c>
      <c r="D238" s="16">
        <f t="shared" si="22"/>
        <v>0.88294786938513203</v>
      </c>
      <c r="E238" s="16">
        <f t="shared" si="19"/>
        <v>0</v>
      </c>
      <c r="F238" s="16">
        <f t="shared" si="20"/>
        <v>0</v>
      </c>
      <c r="G238" s="19" t="str">
        <f>IF(IS!$C$2="Peak","-",SUM(C238:F238))</f>
        <v>-</v>
      </c>
      <c r="H238" s="197">
        <v>156.12832920678761</v>
      </c>
      <c r="I238" s="197">
        <v>150.95206229097647</v>
      </c>
      <c r="J238" s="197">
        <v>147.53833205828712</v>
      </c>
      <c r="K238" s="197">
        <v>122.40270524195691</v>
      </c>
      <c r="L238" s="197">
        <v>112.19288682794236</v>
      </c>
      <c r="M238" s="197">
        <v>105.4579153826638</v>
      </c>
      <c r="N238" s="197">
        <v>101.58376702167581</v>
      </c>
      <c r="O238" s="197">
        <v>78.430458132173243</v>
      </c>
      <c r="P238" s="197">
        <v>65.445326513214724</v>
      </c>
      <c r="Q238" s="197">
        <v>58.531521959164721</v>
      </c>
      <c r="R238" s="197">
        <v>55.85766013302559</v>
      </c>
      <c r="S238" s="197">
        <v>50.529702706200887</v>
      </c>
      <c r="T238" s="197">
        <v>50.052066491333612</v>
      </c>
      <c r="U238" s="197">
        <v>50.052066491333612</v>
      </c>
      <c r="V238" s="197">
        <v>50.052066491333612</v>
      </c>
      <c r="W238" s="197">
        <v>50.052066491333612</v>
      </c>
      <c r="X238" s="197">
        <v>50.051990813240117</v>
      </c>
      <c r="Y238" s="197">
        <v>50.050990043506154</v>
      </c>
      <c r="Z238" s="197">
        <v>50.050621858952475</v>
      </c>
      <c r="AA238" s="197">
        <v>48.62597920878698</v>
      </c>
      <c r="AB238" s="16">
        <f>Peak!AB240</f>
        <v>0.88294786938513203</v>
      </c>
      <c r="AC238" s="16">
        <f>Peak!AC240</f>
        <v>0</v>
      </c>
      <c r="AD238" s="18">
        <f>Peak!AD240</f>
        <v>771.78853165204816</v>
      </c>
      <c r="AE238" s="18">
        <f>Peak!AE240</f>
        <v>1127.0716297512272</v>
      </c>
      <c r="AF238" s="16">
        <f>Peak!AF240</f>
        <v>1</v>
      </c>
      <c r="AG238" s="73">
        <f>Peak!AG240</f>
        <v>0</v>
      </c>
      <c r="AH238" s="16">
        <f>Peak!AH240</f>
        <v>5.0083722362400653</v>
      </c>
      <c r="AI238" s="16">
        <f>Peak!AI240</f>
        <v>5.2022342876079302</v>
      </c>
      <c r="AJ238" s="16">
        <f>Peak!AJ240</f>
        <v>0</v>
      </c>
      <c r="AK238" s="16">
        <f>Peak!AK240</f>
        <v>0</v>
      </c>
      <c r="AL238" s="4"/>
    </row>
    <row r="239" spans="1:38" x14ac:dyDescent="0.2">
      <c r="A239" s="1">
        <f t="shared" si="23"/>
        <v>43535.910000000295</v>
      </c>
      <c r="B239" s="16">
        <f t="shared" si="21"/>
        <v>4.9241562837019046</v>
      </c>
      <c r="C239" s="17">
        <f t="shared" si="18"/>
        <v>55.666329555858439</v>
      </c>
      <c r="D239" s="16">
        <f t="shared" si="22"/>
        <v>0.88441944916744064</v>
      </c>
      <c r="E239" s="16">
        <f t="shared" si="19"/>
        <v>0</v>
      </c>
      <c r="F239" s="16">
        <f t="shared" si="20"/>
        <v>0</v>
      </c>
      <c r="G239" s="19" t="str">
        <f>IF(IS!$C$2="Peak","-",SUM(C239:F239))</f>
        <v>-</v>
      </c>
      <c r="H239" s="197">
        <v>96.005147487974583</v>
      </c>
      <c r="I239" s="197">
        <v>92.965213391514382</v>
      </c>
      <c r="J239" s="197">
        <v>92.913888305059686</v>
      </c>
      <c r="K239" s="197">
        <v>92.376859891509952</v>
      </c>
      <c r="L239" s="197">
        <v>92.155424950353932</v>
      </c>
      <c r="M239" s="197">
        <v>83.272522074718935</v>
      </c>
      <c r="N239" s="197">
        <v>74.087319680632049</v>
      </c>
      <c r="O239" s="197">
        <v>69.801459024033392</v>
      </c>
      <c r="P239" s="197">
        <v>66.192570303711506</v>
      </c>
      <c r="Q239" s="197">
        <v>63.791828506592744</v>
      </c>
      <c r="R239" s="197">
        <v>60.759614986982356</v>
      </c>
      <c r="S239" s="197">
        <v>52.01111739733836</v>
      </c>
      <c r="T239" s="197">
        <v>47.174444262956165</v>
      </c>
      <c r="U239" s="197">
        <v>44.534463871293823</v>
      </c>
      <c r="V239" s="197">
        <v>43.969068915549734</v>
      </c>
      <c r="W239" s="197">
        <v>43.969068915549734</v>
      </c>
      <c r="X239" s="197">
        <v>43.969068915549734</v>
      </c>
      <c r="Y239" s="197">
        <v>43.96903147650923</v>
      </c>
      <c r="Z239" s="197">
        <v>43.969026136759005</v>
      </c>
      <c r="AA239" s="197">
        <v>43.967873584197932</v>
      </c>
      <c r="AB239" s="16">
        <f>Peak!AB241</f>
        <v>0.88441944916744064</v>
      </c>
      <c r="AC239" s="16">
        <f>Peak!AC241</f>
        <v>0</v>
      </c>
      <c r="AD239" s="18">
        <f>Peak!AD241</f>
        <v>771.78853165204816</v>
      </c>
      <c r="AE239" s="18">
        <f>Peak!AE241</f>
        <v>1127.0716297512272</v>
      </c>
      <c r="AF239" s="16">
        <f>Peak!AF241</f>
        <v>1</v>
      </c>
      <c r="AG239" s="73">
        <f>Peak!AG241</f>
        <v>0</v>
      </c>
      <c r="AH239" s="16">
        <f>Peak!AH241</f>
        <v>4.9241562837019046</v>
      </c>
      <c r="AI239" s="16">
        <f>Peak!AI241</f>
        <v>5.0077582394730538</v>
      </c>
      <c r="AJ239" s="16">
        <f>Peak!AJ241</f>
        <v>0</v>
      </c>
      <c r="AK239" s="16">
        <f>Peak!AK241</f>
        <v>0</v>
      </c>
      <c r="AL239" s="4"/>
    </row>
    <row r="240" spans="1:38" x14ac:dyDescent="0.2">
      <c r="A240" s="1">
        <f t="shared" si="23"/>
        <v>43566.327000000296</v>
      </c>
      <c r="B240" s="16">
        <f t="shared" si="21"/>
        <v>4.6814161852095566</v>
      </c>
      <c r="C240" s="17">
        <f t="shared" si="18"/>
        <v>52.922214718597807</v>
      </c>
      <c r="D240" s="16">
        <f t="shared" si="22"/>
        <v>0.88589348158271974</v>
      </c>
      <c r="E240" s="16">
        <f t="shared" si="19"/>
        <v>0</v>
      </c>
      <c r="F240" s="16">
        <f t="shared" si="20"/>
        <v>0</v>
      </c>
      <c r="G240" s="19" t="str">
        <f>IF(IS!$C$2="Peak","-",SUM(C240:F240))</f>
        <v>-</v>
      </c>
      <c r="H240" s="197">
        <v>152.65151441529184</v>
      </c>
      <c r="I240" s="197">
        <v>149.33531242019586</v>
      </c>
      <c r="J240" s="197">
        <v>133.1300796544013</v>
      </c>
      <c r="K240" s="197">
        <v>109.80369603495345</v>
      </c>
      <c r="L240" s="197">
        <v>88.509517580272231</v>
      </c>
      <c r="M240" s="197">
        <v>67.093983242367088</v>
      </c>
      <c r="N240" s="197">
        <v>62.292566491595345</v>
      </c>
      <c r="O240" s="197">
        <v>59.57805284686269</v>
      </c>
      <c r="P240" s="197">
        <v>59.312766174952209</v>
      </c>
      <c r="Q240" s="197">
        <v>54.052132081022918</v>
      </c>
      <c r="R240" s="197">
        <v>49.417010625461437</v>
      </c>
      <c r="S240" s="197">
        <v>46.745304940842921</v>
      </c>
      <c r="T240" s="197">
        <v>44.875432217551186</v>
      </c>
      <c r="U240" s="197">
        <v>42.887952034704306</v>
      </c>
      <c r="V240" s="197">
        <v>42.27907123702569</v>
      </c>
      <c r="W240" s="197">
        <v>40.284743805692237</v>
      </c>
      <c r="X240" s="197">
        <v>35.166417761755419</v>
      </c>
      <c r="Y240" s="197">
        <v>30.434435664484294</v>
      </c>
      <c r="Z240" s="197">
        <v>30.0351802498495</v>
      </c>
      <c r="AA240" s="197">
        <v>30.029437349840965</v>
      </c>
      <c r="AB240" s="16">
        <f>Peak!AB242</f>
        <v>0.88589348158271974</v>
      </c>
      <c r="AC240" s="16">
        <f>Peak!AC242</f>
        <v>0</v>
      </c>
      <c r="AD240" s="18">
        <f>Peak!AD242</f>
        <v>771.78853165204816</v>
      </c>
      <c r="AE240" s="18">
        <f>Peak!AE242</f>
        <v>1127.0716297512272</v>
      </c>
      <c r="AF240" s="16">
        <f>Peak!AF242</f>
        <v>1</v>
      </c>
      <c r="AG240" s="73">
        <f>Peak!AG242</f>
        <v>0</v>
      </c>
      <c r="AH240" s="16">
        <f>Peak!AH242</f>
        <v>4.6814161852095566</v>
      </c>
      <c r="AI240" s="16">
        <f>Peak!AI242</f>
        <v>4.8132821913381774</v>
      </c>
      <c r="AJ240" s="16">
        <f>Peak!AJ242</f>
        <v>0</v>
      </c>
      <c r="AK240" s="16">
        <f>Peak!AK242</f>
        <v>0</v>
      </c>
      <c r="AL240" s="4"/>
    </row>
    <row r="241" spans="1:38" x14ac:dyDescent="0.2">
      <c r="A241" s="1">
        <f t="shared" si="23"/>
        <v>43596.744000000297</v>
      </c>
      <c r="B241" s="16">
        <f t="shared" si="21"/>
        <v>4.9291101632629726</v>
      </c>
      <c r="C241" s="17">
        <f t="shared" si="18"/>
        <v>55.722331899476004</v>
      </c>
      <c r="D241" s="16">
        <f t="shared" si="22"/>
        <v>0.88736997071869095</v>
      </c>
      <c r="E241" s="16">
        <f t="shared" si="19"/>
        <v>0</v>
      </c>
      <c r="F241" s="16">
        <f t="shared" si="20"/>
        <v>0</v>
      </c>
      <c r="G241" s="19" t="str">
        <f>IF(IS!$C$2="Peak","-",SUM(C241:F241))</f>
        <v>-</v>
      </c>
      <c r="H241" s="197">
        <v>89.722873273484112</v>
      </c>
      <c r="I241" s="197">
        <v>83.453561867762602</v>
      </c>
      <c r="J241" s="197">
        <v>82.699011082607583</v>
      </c>
      <c r="K241" s="197">
        <v>78.093990767871134</v>
      </c>
      <c r="L241" s="197">
        <v>67.038374575983681</v>
      </c>
      <c r="M241" s="197">
        <v>59.777231699215086</v>
      </c>
      <c r="N241" s="197">
        <v>57.224085889836843</v>
      </c>
      <c r="O241" s="197">
        <v>55.807645881681594</v>
      </c>
      <c r="P241" s="197">
        <v>54.14660420714479</v>
      </c>
      <c r="Q241" s="197">
        <v>52.201597844644134</v>
      </c>
      <c r="R241" s="197">
        <v>49.986535224176365</v>
      </c>
      <c r="S241" s="197">
        <v>46.80773740881628</v>
      </c>
      <c r="T241" s="197">
        <v>46.451939456707393</v>
      </c>
      <c r="U241" s="197">
        <v>44.343300393932637</v>
      </c>
      <c r="V241" s="197">
        <v>41.516630714157458</v>
      </c>
      <c r="W241" s="197">
        <v>40.57070794854527</v>
      </c>
      <c r="X241" s="197">
        <v>40.29987449409127</v>
      </c>
      <c r="Y241" s="197">
        <v>40.171790880366892</v>
      </c>
      <c r="Z241" s="197">
        <v>40.171790880366892</v>
      </c>
      <c r="AA241" s="197">
        <v>40.16375245225889</v>
      </c>
      <c r="AB241" s="16">
        <f>Peak!AB243</f>
        <v>0.88736997071869095</v>
      </c>
      <c r="AC241" s="16">
        <f>Peak!AC243</f>
        <v>0</v>
      </c>
      <c r="AD241" s="18">
        <f>Peak!AD243</f>
        <v>771.78853165204816</v>
      </c>
      <c r="AE241" s="18">
        <f>Peak!AE243</f>
        <v>1127.0716297512272</v>
      </c>
      <c r="AF241" s="16">
        <f>Peak!AF243</f>
        <v>1</v>
      </c>
      <c r="AG241" s="73">
        <f>Peak!AG243</f>
        <v>0</v>
      </c>
      <c r="AH241" s="16">
        <f>Peak!AH243</f>
        <v>4.9291101632629726</v>
      </c>
      <c r="AI241" s="16">
        <f>Peak!AI243</f>
        <v>4.6188061432033019</v>
      </c>
      <c r="AJ241" s="16">
        <f>Peak!AJ243</f>
        <v>0</v>
      </c>
      <c r="AK241" s="16">
        <f>Peak!AK243</f>
        <v>0</v>
      </c>
      <c r="AL241" s="4"/>
    </row>
    <row r="242" spans="1:38" x14ac:dyDescent="0.2">
      <c r="A242" s="1">
        <f t="shared" si="23"/>
        <v>43627.161000000298</v>
      </c>
      <c r="B242" s="16">
        <f t="shared" si="21"/>
        <v>4.6962778238927614</v>
      </c>
      <c r="C242" s="17">
        <f t="shared" si="18"/>
        <v>53.090221749450507</v>
      </c>
      <c r="D242" s="16">
        <f t="shared" si="22"/>
        <v>0.88884892066988885</v>
      </c>
      <c r="E242" s="16">
        <f t="shared" si="19"/>
        <v>0</v>
      </c>
      <c r="F242" s="16">
        <f t="shared" si="20"/>
        <v>0</v>
      </c>
      <c r="G242" s="19" t="str">
        <f>IF(IS!$C$2="Peak","-",SUM(C242:F242))</f>
        <v>-</v>
      </c>
      <c r="H242" s="197">
        <v>177.42149864509923</v>
      </c>
      <c r="I242" s="197">
        <v>165.94495242045633</v>
      </c>
      <c r="J242" s="197">
        <v>156.1955955047442</v>
      </c>
      <c r="K242" s="197">
        <v>141.61392138128627</v>
      </c>
      <c r="L242" s="197">
        <v>89.243634437871947</v>
      </c>
      <c r="M242" s="197">
        <v>84.151932916179987</v>
      </c>
      <c r="N242" s="197">
        <v>77.266142445846</v>
      </c>
      <c r="O242" s="197">
        <v>73.345045263803144</v>
      </c>
      <c r="P242" s="197">
        <v>67.417380584849013</v>
      </c>
      <c r="Q242" s="197">
        <v>60.026125212760959</v>
      </c>
      <c r="R242" s="197">
        <v>53.154236218168442</v>
      </c>
      <c r="S242" s="197">
        <v>46.145140144797821</v>
      </c>
      <c r="T242" s="197">
        <v>42.928271786537472</v>
      </c>
      <c r="U242" s="197">
        <v>41.781555615435991</v>
      </c>
      <c r="V242" s="197">
        <v>41.160460215243326</v>
      </c>
      <c r="W242" s="197">
        <v>40.612865513796564</v>
      </c>
      <c r="X242" s="197">
        <v>40.276236519560356</v>
      </c>
      <c r="Y242" s="197">
        <v>39.84848235820867</v>
      </c>
      <c r="Z242" s="197">
        <v>39.492529962457027</v>
      </c>
      <c r="AA242" s="197">
        <v>38.440511016249289</v>
      </c>
      <c r="AB242" s="16">
        <f>Peak!AB244</f>
        <v>0.88884892066988885</v>
      </c>
      <c r="AC242" s="16">
        <f>Peak!AC244</f>
        <v>0</v>
      </c>
      <c r="AD242" s="18">
        <f>Peak!AD244</f>
        <v>771.78853165204816</v>
      </c>
      <c r="AE242" s="18">
        <f>Peak!AE244</f>
        <v>1127.0716297512272</v>
      </c>
      <c r="AF242" s="16">
        <f>Peak!AF244</f>
        <v>1</v>
      </c>
      <c r="AG242" s="73">
        <f>Peak!AG244</f>
        <v>0</v>
      </c>
      <c r="AH242" s="16">
        <f>Peak!AH244</f>
        <v>4.6962778238927614</v>
      </c>
      <c r="AI242" s="16">
        <f>Peak!AI244</f>
        <v>4.6188061432033019</v>
      </c>
      <c r="AJ242" s="16">
        <f>Peak!AJ244</f>
        <v>0</v>
      </c>
      <c r="AK242" s="16">
        <f>Peak!AK244</f>
        <v>0</v>
      </c>
      <c r="AL242" s="4"/>
    </row>
    <row r="243" spans="1:38" x14ac:dyDescent="0.2">
      <c r="A243" s="1">
        <f t="shared" si="23"/>
        <v>43657.5780000003</v>
      </c>
      <c r="B243" s="16">
        <f t="shared" si="21"/>
        <v>4.6814161852095566</v>
      </c>
      <c r="C243" s="17">
        <f t="shared" si="18"/>
        <v>52.922214718597807</v>
      </c>
      <c r="D243" s="16">
        <f t="shared" si="22"/>
        <v>0.89033033553767205</v>
      </c>
      <c r="E243" s="16">
        <f t="shared" si="19"/>
        <v>0</v>
      </c>
      <c r="F243" s="16">
        <f t="shared" si="20"/>
        <v>0</v>
      </c>
      <c r="G243" s="19" t="str">
        <f>IF(IS!$C$2="Peak","-",SUM(C243:F243))</f>
        <v>-</v>
      </c>
      <c r="H243" s="197">
        <v>291.20815794885021</v>
      </c>
      <c r="I243" s="197">
        <v>219.11837943984582</v>
      </c>
      <c r="J243" s="197">
        <v>202.55112622194957</v>
      </c>
      <c r="K243" s="197">
        <v>186.45655927112952</v>
      </c>
      <c r="L243" s="197">
        <v>172.73045948922046</v>
      </c>
      <c r="M243" s="197">
        <v>158.94780560374622</v>
      </c>
      <c r="N243" s="197">
        <v>146.94670180902426</v>
      </c>
      <c r="O243" s="197">
        <v>95.09740127266663</v>
      </c>
      <c r="P243" s="197">
        <v>81.082160637327007</v>
      </c>
      <c r="Q243" s="197">
        <v>73.184356333703505</v>
      </c>
      <c r="R243" s="197">
        <v>64.540800816084158</v>
      </c>
      <c r="S243" s="197">
        <v>48.9959220763091</v>
      </c>
      <c r="T243" s="197">
        <v>41.986302793920238</v>
      </c>
      <c r="U243" s="197">
        <v>41.018016198778241</v>
      </c>
      <c r="V243" s="197">
        <v>39.739763527119365</v>
      </c>
      <c r="W243" s="197">
        <v>37.92162234517577</v>
      </c>
      <c r="X243" s="197">
        <v>36.584895408344259</v>
      </c>
      <c r="Y243" s="197">
        <v>36.061607850512829</v>
      </c>
      <c r="Z243" s="197">
        <v>35.923370535701331</v>
      </c>
      <c r="AA243" s="197">
        <v>35.665653833632646</v>
      </c>
      <c r="AB243" s="16">
        <f>Peak!AB245</f>
        <v>0.89033033553767205</v>
      </c>
      <c r="AC243" s="16">
        <f>Peak!AC245</f>
        <v>0</v>
      </c>
      <c r="AD243" s="18">
        <f>Peak!AD245</f>
        <v>771.78853165204816</v>
      </c>
      <c r="AE243" s="18">
        <f>Peak!AE245</f>
        <v>1127.0716297512272</v>
      </c>
      <c r="AF243" s="16">
        <f>Peak!AF245</f>
        <v>1</v>
      </c>
      <c r="AG243" s="73">
        <f>Peak!AG245</f>
        <v>0</v>
      </c>
      <c r="AH243" s="16">
        <f>Peak!AH245</f>
        <v>4.6814161852095566</v>
      </c>
      <c r="AI243" s="16">
        <f>Peak!AI245</f>
        <v>4.6188061432033019</v>
      </c>
      <c r="AJ243" s="16">
        <f>Peak!AJ245</f>
        <v>0</v>
      </c>
      <c r="AK243" s="16">
        <f>Peak!AK245</f>
        <v>0</v>
      </c>
      <c r="AL243" s="4"/>
    </row>
    <row r="244" spans="1:38" x14ac:dyDescent="0.2">
      <c r="A244" s="1">
        <f t="shared" si="23"/>
        <v>43687.995000000301</v>
      </c>
      <c r="B244" s="16">
        <f t="shared" si="21"/>
        <v>4.4386760867172095</v>
      </c>
      <c r="C244" s="17">
        <f t="shared" si="18"/>
        <v>50.178099881337182</v>
      </c>
      <c r="D244" s="16">
        <f t="shared" si="22"/>
        <v>0.89181421943023487</v>
      </c>
      <c r="E244" s="16">
        <f t="shared" si="19"/>
        <v>0</v>
      </c>
      <c r="F244" s="16">
        <f t="shared" si="20"/>
        <v>0</v>
      </c>
      <c r="G244" s="19" t="str">
        <f>IF(IS!$C$2="Peak","-",SUM(C244:F244))</f>
        <v>-</v>
      </c>
      <c r="H244" s="197">
        <v>290.54329184832949</v>
      </c>
      <c r="I244" s="197">
        <v>211.70225101992577</v>
      </c>
      <c r="J244" s="197">
        <v>195.40835581143116</v>
      </c>
      <c r="K244" s="197">
        <v>176.94090533883349</v>
      </c>
      <c r="L244" s="197">
        <v>162.38243440232893</v>
      </c>
      <c r="M244" s="197">
        <v>149.75522206175418</v>
      </c>
      <c r="N244" s="197">
        <v>116.22598476522433</v>
      </c>
      <c r="O244" s="197">
        <v>100.41785928853767</v>
      </c>
      <c r="P244" s="197">
        <v>89.356263133984442</v>
      </c>
      <c r="Q244" s="197">
        <v>64.571914377159388</v>
      </c>
      <c r="R244" s="197">
        <v>55.162264325413176</v>
      </c>
      <c r="S244" s="197">
        <v>51.208871968441215</v>
      </c>
      <c r="T244" s="197">
        <v>48.708806774000138</v>
      </c>
      <c r="U244" s="197">
        <v>48.367449167776918</v>
      </c>
      <c r="V244" s="197">
        <v>48.367449167776918</v>
      </c>
      <c r="W244" s="197">
        <v>47.520324230988862</v>
      </c>
      <c r="X244" s="197">
        <v>47.157382531424858</v>
      </c>
      <c r="Y244" s="197">
        <v>47.157302175642016</v>
      </c>
      <c r="Z244" s="197">
        <v>47.157282962078334</v>
      </c>
      <c r="AA244" s="197">
        <v>38.711454953507911</v>
      </c>
      <c r="AB244" s="16">
        <f>Peak!AB246</f>
        <v>0.89181421943023487</v>
      </c>
      <c r="AC244" s="16">
        <f>Peak!AC246</f>
        <v>0</v>
      </c>
      <c r="AD244" s="18">
        <f>Peak!AD246</f>
        <v>771.78853165204816</v>
      </c>
      <c r="AE244" s="18">
        <f>Peak!AE246</f>
        <v>1127.0716297512272</v>
      </c>
      <c r="AF244" s="16">
        <f>Peak!AF246</f>
        <v>1</v>
      </c>
      <c r="AG244" s="73">
        <f>Peak!AG246</f>
        <v>0</v>
      </c>
      <c r="AH244" s="16">
        <f>Peak!AH246</f>
        <v>4.4386760867172095</v>
      </c>
      <c r="AI244" s="16">
        <f>Peak!AI246</f>
        <v>4.6188061432033019</v>
      </c>
      <c r="AJ244" s="16">
        <f>Peak!AJ246</f>
        <v>0</v>
      </c>
      <c r="AK244" s="16">
        <f>Peak!AK246</f>
        <v>0</v>
      </c>
      <c r="AL244" s="4"/>
    </row>
    <row r="245" spans="1:38" x14ac:dyDescent="0.2">
      <c r="A245" s="1">
        <f t="shared" si="23"/>
        <v>43718.412000000302</v>
      </c>
      <c r="B245" s="16">
        <f t="shared" si="21"/>
        <v>4.4238144480340047</v>
      </c>
      <c r="C245" s="17">
        <f t="shared" si="18"/>
        <v>50.010092850484497</v>
      </c>
      <c r="D245" s="16">
        <f t="shared" si="22"/>
        <v>0.89330057646261862</v>
      </c>
      <c r="E245" s="16">
        <f t="shared" si="19"/>
        <v>0</v>
      </c>
      <c r="F245" s="16">
        <f t="shared" si="20"/>
        <v>0</v>
      </c>
      <c r="G245" s="19" t="str">
        <f>IF(IS!$C$2="Peak","-",SUM(C245:F245))</f>
        <v>-</v>
      </c>
      <c r="H245" s="197">
        <v>165.1543008163159</v>
      </c>
      <c r="I245" s="197">
        <v>154.49925736954691</v>
      </c>
      <c r="J245" s="197">
        <v>148.63714327578472</v>
      </c>
      <c r="K245" s="197">
        <v>115.80203521973215</v>
      </c>
      <c r="L245" s="197">
        <v>95.511635432012412</v>
      </c>
      <c r="M245" s="197">
        <v>88.113104405066409</v>
      </c>
      <c r="N245" s="197">
        <v>75.348463473319981</v>
      </c>
      <c r="O245" s="197">
        <v>58.06334983048847</v>
      </c>
      <c r="P245" s="197">
        <v>53.628522074507501</v>
      </c>
      <c r="Q245" s="197">
        <v>49.156357369937226</v>
      </c>
      <c r="R245" s="197">
        <v>44.801889106886954</v>
      </c>
      <c r="S245" s="197">
        <v>43.495009673221141</v>
      </c>
      <c r="T245" s="197">
        <v>42.742895098736106</v>
      </c>
      <c r="U245" s="197">
        <v>42.408359309111503</v>
      </c>
      <c r="V245" s="197">
        <v>42.335614935221145</v>
      </c>
      <c r="W245" s="197">
        <v>42.335606339853847</v>
      </c>
      <c r="X245" s="197">
        <v>42.335606339853847</v>
      </c>
      <c r="Y245" s="197">
        <v>42.335309125754712</v>
      </c>
      <c r="Z245" s="197">
        <v>42.335244936486333</v>
      </c>
      <c r="AA245" s="197">
        <v>40.163551675968165</v>
      </c>
      <c r="AB245" s="16">
        <f>Peak!AB247</f>
        <v>0.89330057646261862</v>
      </c>
      <c r="AC245" s="16">
        <f>Peak!AC247</f>
        <v>0</v>
      </c>
      <c r="AD245" s="18">
        <f>Peak!AD247</f>
        <v>771.78853165204816</v>
      </c>
      <c r="AE245" s="18">
        <f>Peak!AE247</f>
        <v>1127.0716297512272</v>
      </c>
      <c r="AF245" s="16">
        <f>Peak!AF247</f>
        <v>1</v>
      </c>
      <c r="AG245" s="73">
        <f>Peak!AG247</f>
        <v>0</v>
      </c>
      <c r="AH245" s="16">
        <f>Peak!AH247</f>
        <v>4.4238144480340047</v>
      </c>
      <c r="AI245" s="16">
        <f>Peak!AI247</f>
        <v>4.6188061432033019</v>
      </c>
      <c r="AJ245" s="16">
        <f>Peak!AJ247</f>
        <v>0</v>
      </c>
      <c r="AK245" s="16">
        <f>Peak!AK247</f>
        <v>0</v>
      </c>
      <c r="AL245" s="4"/>
    </row>
    <row r="246" spans="1:38" x14ac:dyDescent="0.2">
      <c r="A246" s="1">
        <f t="shared" si="23"/>
        <v>43748.829000000303</v>
      </c>
      <c r="B246" s="16">
        <f t="shared" si="21"/>
        <v>4.899386885896563</v>
      </c>
      <c r="C246" s="17">
        <f t="shared" si="18"/>
        <v>55.386317837770626</v>
      </c>
      <c r="D246" s="16">
        <f t="shared" si="22"/>
        <v>0.89478941075672302</v>
      </c>
      <c r="E246" s="16">
        <f t="shared" si="19"/>
        <v>0</v>
      </c>
      <c r="F246" s="16">
        <f t="shared" si="20"/>
        <v>0</v>
      </c>
      <c r="G246" s="19" t="str">
        <f>IF(IS!$C$2="Peak","-",SUM(C246:F246))</f>
        <v>-</v>
      </c>
      <c r="H246" s="197">
        <v>129.0285531767841</v>
      </c>
      <c r="I246" s="197">
        <v>106.28808225961535</v>
      </c>
      <c r="J246" s="197">
        <v>100.31453045313569</v>
      </c>
      <c r="K246" s="197">
        <v>93.34793520849874</v>
      </c>
      <c r="L246" s="197">
        <v>89.631933326847715</v>
      </c>
      <c r="M246" s="197">
        <v>89.334118702428327</v>
      </c>
      <c r="N246" s="197">
        <v>70.835629073069043</v>
      </c>
      <c r="O246" s="197">
        <v>60.73081858497229</v>
      </c>
      <c r="P246" s="197">
        <v>50.798566753100275</v>
      </c>
      <c r="Q246" s="197">
        <v>50.137031107652113</v>
      </c>
      <c r="R246" s="197">
        <v>47.983376013797837</v>
      </c>
      <c r="S246" s="197">
        <v>44.349616509217974</v>
      </c>
      <c r="T246" s="197">
        <v>44.349518929684322</v>
      </c>
      <c r="U246" s="197">
        <v>44.349518929684322</v>
      </c>
      <c r="V246" s="197">
        <v>44.349518929684322</v>
      </c>
      <c r="W246" s="197">
        <v>44.349518929684322</v>
      </c>
      <c r="X246" s="197">
        <v>42.500022870280034</v>
      </c>
      <c r="Y246" s="197">
        <v>40.380173057319283</v>
      </c>
      <c r="Z246" s="197">
        <v>38.86843045053898</v>
      </c>
      <c r="AA246" s="197">
        <v>34.17423087644103</v>
      </c>
      <c r="AB246" s="16">
        <f>Peak!AB248</f>
        <v>0.89478941075672302</v>
      </c>
      <c r="AC246" s="16">
        <f>Peak!AC248</f>
        <v>0</v>
      </c>
      <c r="AD246" s="18">
        <f>Peak!AD248</f>
        <v>771.78853165204816</v>
      </c>
      <c r="AE246" s="18">
        <f>Peak!AE248</f>
        <v>1127.0716297512272</v>
      </c>
      <c r="AF246" s="16">
        <f>Peak!AF248</f>
        <v>1</v>
      </c>
      <c r="AG246" s="73">
        <f>Peak!AG248</f>
        <v>0</v>
      </c>
      <c r="AH246" s="16">
        <f>Peak!AH248</f>
        <v>4.899386885896563</v>
      </c>
      <c r="AI246" s="16">
        <f>Peak!AI248</f>
        <v>4.6188061432033019</v>
      </c>
      <c r="AJ246" s="16">
        <f>Peak!AJ248</f>
        <v>0</v>
      </c>
      <c r="AK246" s="16">
        <f>Peak!AK248</f>
        <v>0</v>
      </c>
      <c r="AL246" s="4"/>
    </row>
    <row r="247" spans="1:38" x14ac:dyDescent="0.2">
      <c r="A247" s="1">
        <f t="shared" si="23"/>
        <v>43779.246000000305</v>
      </c>
      <c r="B247" s="16">
        <f t="shared" si="21"/>
        <v>5.3650515646369836</v>
      </c>
      <c r="C247" s="17">
        <f t="shared" si="18"/>
        <v>60.650538137821613</v>
      </c>
      <c r="D247" s="16">
        <f t="shared" si="22"/>
        <v>0.89628072644131762</v>
      </c>
      <c r="E247" s="16">
        <f t="shared" si="19"/>
        <v>0</v>
      </c>
      <c r="F247" s="16">
        <f t="shared" si="20"/>
        <v>0</v>
      </c>
      <c r="G247" s="19" t="str">
        <f>IF(IS!$C$2="Peak","-",SUM(C247:F247))</f>
        <v>-</v>
      </c>
      <c r="H247" s="197">
        <v>122.97138042716911</v>
      </c>
      <c r="I247" s="197">
        <v>108.2254063033826</v>
      </c>
      <c r="J247" s="197">
        <v>104.41867889940234</v>
      </c>
      <c r="K247" s="197">
        <v>97.786459048206297</v>
      </c>
      <c r="L247" s="197">
        <v>97.134568734071649</v>
      </c>
      <c r="M247" s="197">
        <v>86.733857627457084</v>
      </c>
      <c r="N247" s="197">
        <v>71.272252074300255</v>
      </c>
      <c r="O247" s="197">
        <v>67.202703218923901</v>
      </c>
      <c r="P247" s="197">
        <v>60.822195630833917</v>
      </c>
      <c r="Q247" s="197">
        <v>50.492920469078406</v>
      </c>
      <c r="R247" s="197">
        <v>47.259942705656883</v>
      </c>
      <c r="S247" s="197">
        <v>46.80341979697441</v>
      </c>
      <c r="T247" s="197">
        <v>46.42032181968024</v>
      </c>
      <c r="U247" s="197">
        <v>46.416780709259228</v>
      </c>
      <c r="V247" s="197">
        <v>46.416773383165285</v>
      </c>
      <c r="W247" s="197">
        <v>46.416773383165285</v>
      </c>
      <c r="X247" s="197">
        <v>46.416499931437663</v>
      </c>
      <c r="Y247" s="197">
        <v>46.416410489400839</v>
      </c>
      <c r="Z247" s="197">
        <v>46.416410489400839</v>
      </c>
      <c r="AA247" s="197">
        <v>44.340616272354879</v>
      </c>
      <c r="AB247" s="16">
        <f>Peak!AB249</f>
        <v>0.89628072644131762</v>
      </c>
      <c r="AC247" s="16">
        <f>Peak!AC249</f>
        <v>0</v>
      </c>
      <c r="AD247" s="18">
        <f>Peak!AD249</f>
        <v>771.78853165204816</v>
      </c>
      <c r="AE247" s="18">
        <f>Peak!AE249</f>
        <v>1127.0716297512272</v>
      </c>
      <c r="AF247" s="16">
        <f>Peak!AF249</f>
        <v>1</v>
      </c>
      <c r="AG247" s="73">
        <f>Peak!AG249</f>
        <v>0</v>
      </c>
      <c r="AH247" s="16">
        <f>Peak!AH249</f>
        <v>5.3650515646369836</v>
      </c>
      <c r="AI247" s="16">
        <f>Peak!AI249</f>
        <v>5.0077582394730538</v>
      </c>
      <c r="AJ247" s="16">
        <f>Peak!AJ249</f>
        <v>0</v>
      </c>
      <c r="AK247" s="16">
        <f>Peak!AK249</f>
        <v>0</v>
      </c>
      <c r="AL247" s="4"/>
    </row>
    <row r="248" spans="1:38" x14ac:dyDescent="0.2">
      <c r="A248" s="1">
        <f t="shared" si="23"/>
        <v>43809.663000000306</v>
      </c>
      <c r="B248" s="16">
        <f t="shared" si="21"/>
        <v>5.8059468455720635</v>
      </c>
      <c r="C248" s="17">
        <f t="shared" si="18"/>
        <v>65.634746719784786</v>
      </c>
      <c r="D248" s="16">
        <f t="shared" si="22"/>
        <v>0.89777452765205323</v>
      </c>
      <c r="E248" s="16">
        <f t="shared" si="19"/>
        <v>0</v>
      </c>
      <c r="F248" s="16">
        <f t="shared" si="20"/>
        <v>0</v>
      </c>
      <c r="G248" s="19" t="str">
        <f>IF(IS!$C$2="Peak","-",SUM(C248:F248))</f>
        <v>-</v>
      </c>
      <c r="H248" s="197">
        <v>138.83704668642693</v>
      </c>
      <c r="I248" s="197">
        <v>124.76332264847295</v>
      </c>
      <c r="J248" s="197">
        <v>121.11902735291233</v>
      </c>
      <c r="K248" s="197">
        <v>112.99283766398025</v>
      </c>
      <c r="L248" s="197">
        <v>111.98641992437314</v>
      </c>
      <c r="M248" s="197">
        <v>105.23187550746306</v>
      </c>
      <c r="N248" s="197">
        <v>75.84299420046186</v>
      </c>
      <c r="O248" s="197">
        <v>70.053927444621664</v>
      </c>
      <c r="P248" s="197">
        <v>68.054370224126544</v>
      </c>
      <c r="Q248" s="197">
        <v>54.253223215833216</v>
      </c>
      <c r="R248" s="197">
        <v>53.29239564850694</v>
      </c>
      <c r="S248" s="197">
        <v>52.856396033679879</v>
      </c>
      <c r="T248" s="197">
        <v>52.856392717201359</v>
      </c>
      <c r="U248" s="197">
        <v>52.856381504944785</v>
      </c>
      <c r="V248" s="197">
        <v>52.856381504944785</v>
      </c>
      <c r="W248" s="197">
        <v>52.856345776586537</v>
      </c>
      <c r="X248" s="197">
        <v>52.856017863678595</v>
      </c>
      <c r="Y248" s="197">
        <v>52.856017863678595</v>
      </c>
      <c r="Z248" s="197">
        <v>52.856017863678595</v>
      </c>
      <c r="AA248" s="197">
        <v>48.631135961362496</v>
      </c>
      <c r="AB248" s="16">
        <f>Peak!AB250</f>
        <v>0.89777452765205323</v>
      </c>
      <c r="AC248" s="16">
        <f>Peak!AC250</f>
        <v>0</v>
      </c>
      <c r="AD248" s="18">
        <f>Peak!AD250</f>
        <v>771.78853165204816</v>
      </c>
      <c r="AE248" s="18">
        <f>Peak!AE250</f>
        <v>1127.0716297512272</v>
      </c>
      <c r="AF248" s="16">
        <f>Peak!AF250</f>
        <v>1</v>
      </c>
      <c r="AG248" s="73">
        <f>Peak!AG250</f>
        <v>0</v>
      </c>
      <c r="AH248" s="16">
        <f>Peak!AH250</f>
        <v>5.8059468455720635</v>
      </c>
      <c r="AI248" s="16">
        <f>Peak!AI250</f>
        <v>5.2508532996416486</v>
      </c>
      <c r="AJ248" s="16">
        <f>Peak!AJ250</f>
        <v>0</v>
      </c>
      <c r="AK248" s="16">
        <f>Peak!AK250</f>
        <v>0</v>
      </c>
      <c r="AL248" s="4"/>
    </row>
  </sheetData>
  <mergeCells count="2">
    <mergeCell ref="AL6:AP6"/>
    <mergeCell ref="AL12:AP12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P250"/>
  <sheetViews>
    <sheetView topLeftCell="X1" workbookViewId="0">
      <selection activeCell="AM17" sqref="AM17"/>
    </sheetView>
  </sheetViews>
  <sheetFormatPr defaultRowHeight="12.75" x14ac:dyDescent="0.2"/>
  <cols>
    <col min="1" max="1" width="8.28515625" bestFit="1" customWidth="1"/>
    <col min="2" max="2" width="11.42578125" customWidth="1"/>
    <col min="7" max="7" width="9.140625" style="4"/>
    <col min="22" max="27" width="8.5703125" bestFit="1" customWidth="1"/>
    <col min="28" max="29" width="4.7109375" bestFit="1" customWidth="1"/>
    <col min="30" max="30" width="5" bestFit="1" customWidth="1"/>
    <col min="31" max="31" width="5.7109375" bestFit="1" customWidth="1"/>
    <col min="32" max="32" width="8.85546875" bestFit="1" customWidth="1"/>
    <col min="33" max="35" width="5" bestFit="1" customWidth="1"/>
    <col min="36" max="37" width="4.42578125" bestFit="1" customWidth="1"/>
    <col min="38" max="38" width="8" bestFit="1" customWidth="1"/>
    <col min="39" max="41" width="6.85546875" bestFit="1" customWidth="1"/>
    <col min="42" max="42" width="7.5703125" bestFit="1" customWidth="1"/>
  </cols>
  <sheetData>
    <row r="1" spans="1:42" x14ac:dyDescent="0.2">
      <c r="A1" s="13" t="s">
        <v>160</v>
      </c>
      <c r="B1" s="8">
        <f>VLOOKUP($C$1,UnitData,9)</f>
        <v>11304.744680851063</v>
      </c>
      <c r="C1" s="5">
        <f>IS!B1</f>
        <v>33</v>
      </c>
    </row>
    <row r="2" spans="1:42" x14ac:dyDescent="0.2">
      <c r="A2" s="13"/>
      <c r="B2" s="8"/>
      <c r="C2" s="5"/>
    </row>
    <row r="3" spans="1:42" x14ac:dyDescent="0.2">
      <c r="A3" s="13"/>
      <c r="B3" s="8"/>
      <c r="C3" s="5"/>
    </row>
    <row r="4" spans="1:42" x14ac:dyDescent="0.2">
      <c r="A4" s="13"/>
      <c r="B4" s="8"/>
      <c r="C4" s="5"/>
    </row>
    <row r="5" spans="1:42" x14ac:dyDescent="0.2">
      <c r="A5" s="13"/>
      <c r="B5" s="8"/>
      <c r="C5" s="5"/>
    </row>
    <row r="6" spans="1:42" x14ac:dyDescent="0.2">
      <c r="A6" s="13"/>
      <c r="B6" s="8"/>
      <c r="C6" s="5"/>
    </row>
    <row r="7" spans="1:42" ht="13.5" thickBot="1" x14ac:dyDescent="0.25">
      <c r="A7" s="13"/>
      <c r="B7" s="8"/>
      <c r="C7" s="5"/>
    </row>
    <row r="8" spans="1:42" ht="13.5" thickBot="1" x14ac:dyDescent="0.25">
      <c r="C8" s="3"/>
      <c r="D8" s="3"/>
      <c r="G8" s="3" t="s">
        <v>24</v>
      </c>
      <c r="H8" s="87" t="s">
        <v>139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9"/>
      <c r="AB8" s="32" t="s">
        <v>158</v>
      </c>
      <c r="AC8" s="32" t="s">
        <v>159</v>
      </c>
      <c r="AD8" s="3" t="s">
        <v>22</v>
      </c>
      <c r="AE8" s="3" t="s">
        <v>23</v>
      </c>
      <c r="AF8" s="3" t="s">
        <v>23</v>
      </c>
      <c r="AG8" s="3" t="s">
        <v>101</v>
      </c>
      <c r="AH8" s="3" t="s">
        <v>103</v>
      </c>
      <c r="AI8" s="3" t="s">
        <v>102</v>
      </c>
      <c r="AJ8" s="3" t="s">
        <v>22</v>
      </c>
      <c r="AK8" s="3" t="s">
        <v>23</v>
      </c>
      <c r="AL8" s="481" t="s">
        <v>143</v>
      </c>
      <c r="AM8" s="481"/>
      <c r="AN8" s="481"/>
      <c r="AO8" s="481"/>
      <c r="AP8" s="481"/>
    </row>
    <row r="9" spans="1:42" ht="13.5" thickBot="1" x14ac:dyDescent="0.25">
      <c r="B9" s="201" t="str">
        <f>VLOOKUP($C$1,UnitData,13)</f>
        <v>Gas</v>
      </c>
      <c r="C9" s="3" t="s">
        <v>20</v>
      </c>
      <c r="D9" s="3" t="s">
        <v>21</v>
      </c>
      <c r="E9" s="3" t="s">
        <v>22</v>
      </c>
      <c r="F9" s="3" t="s">
        <v>23</v>
      </c>
      <c r="G9" s="3" t="s">
        <v>25</v>
      </c>
      <c r="H9" s="90" t="s">
        <v>0</v>
      </c>
      <c r="I9" s="90" t="s">
        <v>1</v>
      </c>
      <c r="J9" s="90" t="s">
        <v>2</v>
      </c>
      <c r="K9" s="90" t="s">
        <v>3</v>
      </c>
      <c r="L9" s="90" t="s">
        <v>4</v>
      </c>
      <c r="M9" s="90" t="s">
        <v>5</v>
      </c>
      <c r="N9" s="90" t="s">
        <v>6</v>
      </c>
      <c r="O9" s="90" t="s">
        <v>7</v>
      </c>
      <c r="P9" s="90" t="s">
        <v>8</v>
      </c>
      <c r="Q9" s="90" t="s">
        <v>9</v>
      </c>
      <c r="R9" s="90" t="s">
        <v>10</v>
      </c>
      <c r="S9" s="90" t="s">
        <v>11</v>
      </c>
      <c r="T9" s="90" t="s">
        <v>12</v>
      </c>
      <c r="U9" s="90" t="s">
        <v>13</v>
      </c>
      <c r="V9" s="90" t="s">
        <v>14</v>
      </c>
      <c r="W9" s="90" t="s">
        <v>15</v>
      </c>
      <c r="X9" s="90" t="s">
        <v>16</v>
      </c>
      <c r="Y9" s="90" t="s">
        <v>17</v>
      </c>
      <c r="Z9" s="90" t="s">
        <v>18</v>
      </c>
      <c r="AA9" s="90" t="s">
        <v>19</v>
      </c>
      <c r="AB9" s="32" t="s">
        <v>21</v>
      </c>
      <c r="AC9" s="32" t="s">
        <v>21</v>
      </c>
      <c r="AD9" s="3" t="s">
        <v>47</v>
      </c>
      <c r="AE9" s="3" t="s">
        <v>47</v>
      </c>
      <c r="AF9" s="3" t="s">
        <v>111</v>
      </c>
      <c r="AG9" s="3" t="s">
        <v>47</v>
      </c>
      <c r="AH9" s="3" t="s">
        <v>47</v>
      </c>
      <c r="AI9" s="3" t="s">
        <v>47</v>
      </c>
      <c r="AJ9" s="3" t="s">
        <v>44</v>
      </c>
      <c r="AK9" s="3" t="s">
        <v>44</v>
      </c>
      <c r="AL9" s="35" t="s">
        <v>140</v>
      </c>
      <c r="AM9" s="35" t="s">
        <v>141</v>
      </c>
      <c r="AN9" s="35" t="s">
        <v>188</v>
      </c>
      <c r="AO9" s="35" t="s">
        <v>189</v>
      </c>
      <c r="AP9" s="35" t="s">
        <v>216</v>
      </c>
    </row>
    <row r="10" spans="1:42" x14ac:dyDescent="0.2">
      <c r="H10" s="167">
        <v>5</v>
      </c>
      <c r="I10" s="168">
        <v>5</v>
      </c>
      <c r="J10" s="168">
        <v>10</v>
      </c>
      <c r="K10" s="168">
        <v>20</v>
      </c>
      <c r="L10" s="168">
        <v>20</v>
      </c>
      <c r="M10" s="168">
        <v>40</v>
      </c>
      <c r="N10" s="168">
        <v>40</v>
      </c>
      <c r="O10" s="168">
        <v>40</v>
      </c>
      <c r="P10" s="168">
        <v>40</v>
      </c>
      <c r="Q10" s="168">
        <v>40</v>
      </c>
      <c r="R10" s="168">
        <v>40</v>
      </c>
      <c r="S10" s="168">
        <v>40</v>
      </c>
      <c r="T10" s="168">
        <v>40</v>
      </c>
      <c r="U10" s="168">
        <v>40</v>
      </c>
      <c r="V10" s="168">
        <v>40</v>
      </c>
      <c r="W10" s="168">
        <v>40</v>
      </c>
      <c r="X10" s="168">
        <v>40</v>
      </c>
      <c r="Y10" s="168">
        <v>40</v>
      </c>
      <c r="Z10" s="168">
        <v>40</v>
      </c>
      <c r="AA10" s="168">
        <v>110</v>
      </c>
    </row>
    <row r="11" spans="1:42" x14ac:dyDescent="0.2">
      <c r="A11" s="1">
        <v>36540</v>
      </c>
      <c r="B11" s="16">
        <f>IF($B$9="Coal",AG11,IF($B$9="Gas",AH11,IF($B$9="Oil",AI11,0)))</f>
        <v>3.25338889786042</v>
      </c>
      <c r="C11" s="17">
        <f t="shared" ref="C11:C74" si="0">(B11*$B$1*1000)/1000000</f>
        <v>36.778730837827482</v>
      </c>
      <c r="D11" s="16">
        <f>AB11+AC11</f>
        <v>0.60300000000000009</v>
      </c>
      <c r="E11" s="16">
        <f t="shared" ref="E11:E74" si="1">(($AJ11*$B$1*AD11*1000)/2000)/1000000</f>
        <v>0</v>
      </c>
      <c r="F11" s="16">
        <f t="shared" ref="F11:F74" si="2">AF11*(($AK11*$B$1*AE11*1000)/2000)/1000000</f>
        <v>0</v>
      </c>
      <c r="G11" s="19">
        <f>IF('Peak Revenue'!$A$1="BL","-",SUM(C11:F11))</f>
        <v>37.381730837827483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  <c r="S11" s="236">
        <v>0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0</v>
      </c>
      <c r="AB11" s="16">
        <f>VLOOKUP($C$1,UnitData,7)</f>
        <v>0.60300000000000009</v>
      </c>
      <c r="AC11" s="16">
        <f>VLOOKUP($C$1,EnvVOM,3)</f>
        <v>0</v>
      </c>
      <c r="AD11" s="18">
        <f>Assumptions!B12</f>
        <v>181.15599510176347</v>
      </c>
      <c r="AE11" s="18">
        <f>Assumptions!C12</f>
        <v>0</v>
      </c>
      <c r="AF11" s="5">
        <v>0</v>
      </c>
      <c r="AG11" s="73">
        <f>VLOOKUP($C$1,Coal,3)</f>
        <v>0</v>
      </c>
      <c r="AH11" s="16">
        <f>Assumptions!$E$12*Assumptions!H12</f>
        <v>3.25338889786042</v>
      </c>
      <c r="AI11" s="16">
        <f>Assumptions!$F$12*Assumptions!I12</f>
        <v>3.3724832787685379</v>
      </c>
      <c r="AJ11" s="16">
        <f>VLOOKUP($C$1,SO2Rate,3)</f>
        <v>0</v>
      </c>
      <c r="AK11" s="16">
        <f>VLOOKUP($C$1,NOxRate,3)</f>
        <v>0</v>
      </c>
      <c r="AL11" s="79">
        <f>VLOOKUP($C$1,UnitData,10)</f>
        <v>0.96612135909558572</v>
      </c>
      <c r="AM11" s="79">
        <f>VLOOKUP($C$1,UnitData,11)</f>
        <v>0.92427661878611755</v>
      </c>
      <c r="AN11" s="79">
        <f>VLOOKUP($C$1,UnitData,12)</f>
        <v>0.95</v>
      </c>
      <c r="AO11" s="79">
        <f>AN11</f>
        <v>0.95</v>
      </c>
      <c r="AP11" s="79">
        <f>AVERAGE(AL11:AO11)</f>
        <v>0.9475994944704258</v>
      </c>
    </row>
    <row r="12" spans="1:42" x14ac:dyDescent="0.2">
      <c r="A12" s="1">
        <f>A11+30.417</f>
        <v>36570.417000000001</v>
      </c>
      <c r="B12" s="16">
        <f t="shared" ref="B12:B75" si="3">IF($B$9="Coal",AG12,IF($B$9="Gas",AH12,IF($B$9="Oil",AI12,0)))</f>
        <v>2.9159363260078761</v>
      </c>
      <c r="C12" s="17">
        <f t="shared" si="0"/>
        <v>32.963915671137926</v>
      </c>
      <c r="D12" s="16">
        <f t="shared" ref="D12:D75" si="4">AB12+AC12</f>
        <v>0.60400500000000013</v>
      </c>
      <c r="E12" s="16">
        <f t="shared" si="1"/>
        <v>0</v>
      </c>
      <c r="F12" s="16">
        <f t="shared" si="2"/>
        <v>0</v>
      </c>
      <c r="G12" s="19">
        <f>IF('Peak Revenue'!$A$1="BL","-",SUM(C12:F12))</f>
        <v>33.567920671137927</v>
      </c>
      <c r="H12" s="236">
        <v>0</v>
      </c>
      <c r="I12" s="236">
        <v>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0</v>
      </c>
      <c r="Q12" s="236">
        <v>0</v>
      </c>
      <c r="R12" s="236">
        <v>0</v>
      </c>
      <c r="S12" s="236">
        <v>0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0</v>
      </c>
      <c r="AB12" s="16">
        <f>AB11*(1+Assumptions!$L$13/12)</f>
        <v>0.60400500000000013</v>
      </c>
      <c r="AC12" s="16">
        <f>AC11</f>
        <v>0</v>
      </c>
      <c r="AD12" s="18">
        <f>AD11</f>
        <v>181.15599510176347</v>
      </c>
      <c r="AE12" s="18">
        <f>AE11</f>
        <v>0</v>
      </c>
      <c r="AF12" s="5">
        <v>0</v>
      </c>
      <c r="AG12" s="73">
        <f>AG11</f>
        <v>0</v>
      </c>
      <c r="AH12" s="16">
        <f>Assumptions!$E$12*Assumptions!H13</f>
        <v>2.9159363260078761</v>
      </c>
      <c r="AI12" s="16">
        <f>Assumptions!$F$12*Assumptions!I13</f>
        <v>3.3412565817429032</v>
      </c>
      <c r="AJ12" s="16">
        <f>AJ11</f>
        <v>0</v>
      </c>
      <c r="AK12" s="16">
        <f>AK11</f>
        <v>0</v>
      </c>
    </row>
    <row r="13" spans="1:42" x14ac:dyDescent="0.2">
      <c r="A13" s="1">
        <f t="shared" ref="A13:A76" si="5">A12+30.417</f>
        <v>36600.834000000003</v>
      </c>
      <c r="B13" s="16">
        <f t="shared" si="3"/>
        <v>2.8669047557387035</v>
      </c>
      <c r="C13" s="17">
        <f t="shared" si="0"/>
        <v>32.409626287943723</v>
      </c>
      <c r="D13" s="16">
        <f t="shared" si="4"/>
        <v>0.60501167500000019</v>
      </c>
      <c r="E13" s="16">
        <f t="shared" si="1"/>
        <v>0</v>
      </c>
      <c r="F13" s="16">
        <f t="shared" si="2"/>
        <v>0</v>
      </c>
      <c r="G13" s="19">
        <f>IF('Peak Revenue'!$A$1="BL","-",SUM(C13:F13))</f>
        <v>33.014637962943723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6">
        <v>0</v>
      </c>
      <c r="S13" s="236">
        <v>0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0</v>
      </c>
      <c r="AB13" s="16">
        <f>AB12*(1+Assumptions!$L$13/12)</f>
        <v>0.60501167500000019</v>
      </c>
      <c r="AC13" s="16">
        <f t="shared" ref="AC13:AC22" si="6">AC12</f>
        <v>0</v>
      </c>
      <c r="AD13" s="18">
        <f t="shared" ref="AD13:AG22" si="7">AD12</f>
        <v>181.15599510176347</v>
      </c>
      <c r="AE13" s="18">
        <f t="shared" si="7"/>
        <v>0</v>
      </c>
      <c r="AF13" s="5">
        <v>0</v>
      </c>
      <c r="AG13" s="73">
        <f t="shared" si="7"/>
        <v>0</v>
      </c>
      <c r="AH13" s="16">
        <f>Assumptions!$E$12*Assumptions!H14</f>
        <v>2.8669047557387035</v>
      </c>
      <c r="AI13" s="16">
        <f>Assumptions!$F$12*Assumptions!I14</f>
        <v>3.2163497936403647</v>
      </c>
      <c r="AJ13" s="16">
        <f t="shared" ref="AJ13:AK22" si="8">AJ12</f>
        <v>0</v>
      </c>
      <c r="AK13" s="16">
        <f t="shared" si="8"/>
        <v>0</v>
      </c>
    </row>
    <row r="14" spans="1:42" x14ac:dyDescent="0.2">
      <c r="A14" s="1">
        <f t="shared" si="5"/>
        <v>36631.251000000004</v>
      </c>
      <c r="B14" s="16">
        <f t="shared" si="3"/>
        <v>2.7255784649628518</v>
      </c>
      <c r="C14" s="17">
        <f t="shared" si="0"/>
        <v>30.811968654031006</v>
      </c>
      <c r="D14" s="16">
        <f t="shared" si="4"/>
        <v>0.60602002779166686</v>
      </c>
      <c r="E14" s="16">
        <f t="shared" si="1"/>
        <v>0</v>
      </c>
      <c r="F14" s="16">
        <f t="shared" si="2"/>
        <v>0</v>
      </c>
      <c r="G14" s="19">
        <f>IF('Peak Revenue'!$A$1="BL","-",SUM(C14:F14))</f>
        <v>31.417988681822674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6">
        <v>0</v>
      </c>
      <c r="S14" s="236">
        <v>0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0</v>
      </c>
      <c r="AB14" s="16">
        <f>AB13*(1+Assumptions!$L$13/12)</f>
        <v>0.60602002779166686</v>
      </c>
      <c r="AC14" s="16">
        <f t="shared" si="6"/>
        <v>0</v>
      </c>
      <c r="AD14" s="18">
        <f t="shared" si="7"/>
        <v>181.15599510176347</v>
      </c>
      <c r="AE14" s="18">
        <f t="shared" si="7"/>
        <v>0</v>
      </c>
      <c r="AF14" s="5">
        <v>0</v>
      </c>
      <c r="AG14" s="73">
        <f t="shared" si="7"/>
        <v>0</v>
      </c>
      <c r="AH14" s="16">
        <f>Assumptions!$E$12*Assumptions!H15</f>
        <v>2.7255784649628518</v>
      </c>
      <c r="AI14" s="16">
        <f>Assumptions!$F$12*Assumptions!I15</f>
        <v>3.0914430055378261</v>
      </c>
      <c r="AJ14" s="16">
        <f t="shared" si="8"/>
        <v>0</v>
      </c>
      <c r="AK14" s="16">
        <f t="shared" si="8"/>
        <v>0</v>
      </c>
      <c r="AL14" s="481" t="s">
        <v>26</v>
      </c>
      <c r="AM14" s="481"/>
      <c r="AN14" s="481"/>
      <c r="AO14" s="481"/>
      <c r="AP14" s="481"/>
    </row>
    <row r="15" spans="1:42" ht="13.5" thickBot="1" x14ac:dyDescent="0.25">
      <c r="A15" s="1">
        <f t="shared" si="5"/>
        <v>36661.668000000005</v>
      </c>
      <c r="B15" s="16">
        <f t="shared" si="3"/>
        <v>2.8697889657545375</v>
      </c>
      <c r="C15" s="17">
        <f t="shared" si="0"/>
        <v>32.442231545778682</v>
      </c>
      <c r="D15" s="16">
        <f t="shared" si="4"/>
        <v>0.60703006117131963</v>
      </c>
      <c r="E15" s="16">
        <f t="shared" si="1"/>
        <v>0</v>
      </c>
      <c r="F15" s="16">
        <f t="shared" si="2"/>
        <v>0</v>
      </c>
      <c r="G15" s="19">
        <f>IF('Peak Revenue'!$A$1="BL","-",SUM(C15:F15))</f>
        <v>33.049261606950004</v>
      </c>
      <c r="H15" s="236">
        <v>0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6">
        <v>0</v>
      </c>
      <c r="S15" s="236">
        <v>0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0</v>
      </c>
      <c r="AB15" s="16">
        <f>AB14*(1+Assumptions!$L$13/12)</f>
        <v>0.60703006117131963</v>
      </c>
      <c r="AC15" s="16">
        <f t="shared" si="6"/>
        <v>0</v>
      </c>
      <c r="AD15" s="18">
        <f t="shared" si="7"/>
        <v>181.15599510176347</v>
      </c>
      <c r="AE15" s="18">
        <f t="shared" si="7"/>
        <v>0</v>
      </c>
      <c r="AF15" s="5">
        <v>0</v>
      </c>
      <c r="AG15" s="73">
        <f t="shared" si="7"/>
        <v>0</v>
      </c>
      <c r="AH15" s="16">
        <f>Assumptions!$E$12*Assumptions!H16</f>
        <v>2.8697889657545375</v>
      </c>
      <c r="AI15" s="16">
        <f>Assumptions!$F$12*Assumptions!I16</f>
        <v>2.9665362174352876</v>
      </c>
      <c r="AJ15" s="16">
        <f t="shared" si="8"/>
        <v>0</v>
      </c>
      <c r="AK15" s="16">
        <f t="shared" si="8"/>
        <v>0</v>
      </c>
      <c r="AL15" s="35" t="s">
        <v>140</v>
      </c>
      <c r="AM15" s="35" t="s">
        <v>141</v>
      </c>
      <c r="AN15" s="35" t="s">
        <v>188</v>
      </c>
      <c r="AO15" s="35" t="s">
        <v>189</v>
      </c>
      <c r="AP15" s="35" t="s">
        <v>216</v>
      </c>
    </row>
    <row r="16" spans="1:42" x14ac:dyDescent="0.2">
      <c r="A16" s="1">
        <f t="shared" si="5"/>
        <v>36692.085000000006</v>
      </c>
      <c r="B16" s="16">
        <f t="shared" si="3"/>
        <v>2.7342310950103532</v>
      </c>
      <c r="C16" s="17">
        <f t="shared" si="0"/>
        <v>30.909784427535868</v>
      </c>
      <c r="D16" s="16">
        <f t="shared" si="4"/>
        <v>0.60804177793993852</v>
      </c>
      <c r="E16" s="16">
        <f t="shared" si="1"/>
        <v>0</v>
      </c>
      <c r="F16" s="16">
        <f t="shared" si="2"/>
        <v>0</v>
      </c>
      <c r="G16" s="19">
        <f>IF('Peak Revenue'!$A$1="BL","-",SUM(C16:F16))</f>
        <v>31.517826205475806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6">
        <v>0</v>
      </c>
      <c r="S16" s="236">
        <v>0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36">
        <v>0</v>
      </c>
      <c r="AA16" s="236">
        <v>0</v>
      </c>
      <c r="AB16" s="16">
        <f>AB15*(1+Assumptions!$L$13/12)</f>
        <v>0.60804177793993852</v>
      </c>
      <c r="AC16" s="16">
        <f t="shared" si="6"/>
        <v>0</v>
      </c>
      <c r="AD16" s="18">
        <f t="shared" si="7"/>
        <v>181.15599510176347</v>
      </c>
      <c r="AE16" s="18">
        <f t="shared" si="7"/>
        <v>0</v>
      </c>
      <c r="AF16" s="5">
        <v>0</v>
      </c>
      <c r="AG16" s="73">
        <f t="shared" si="7"/>
        <v>0</v>
      </c>
      <c r="AH16" s="16">
        <f>Assumptions!$E$12*Assumptions!H17</f>
        <v>2.7342310950103532</v>
      </c>
      <c r="AI16" s="16">
        <f>Assumptions!$F$12*Assumptions!I17</f>
        <v>2.9665362174352876</v>
      </c>
      <c r="AJ16" s="16">
        <f t="shared" si="8"/>
        <v>0</v>
      </c>
      <c r="AK16" s="16">
        <f t="shared" si="8"/>
        <v>0</v>
      </c>
    </row>
    <row r="17" spans="1:42" x14ac:dyDescent="0.2">
      <c r="A17" s="1">
        <f t="shared" si="5"/>
        <v>36722.502000000008</v>
      </c>
      <c r="B17" s="16">
        <f t="shared" si="3"/>
        <v>2.7255784649628518</v>
      </c>
      <c r="C17" s="17">
        <f t="shared" si="0"/>
        <v>30.811968654031006</v>
      </c>
      <c r="D17" s="16">
        <f t="shared" si="4"/>
        <v>0.60905518090317179</v>
      </c>
      <c r="E17" s="16">
        <f t="shared" si="1"/>
        <v>0</v>
      </c>
      <c r="F17" s="16">
        <f t="shared" si="2"/>
        <v>0</v>
      </c>
      <c r="G17" s="19">
        <f>IF('Peak Revenue'!$A$1="BL","-",SUM(C17:F17))</f>
        <v>31.421023834934179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6">
        <v>0</v>
      </c>
      <c r="S17" s="236">
        <v>0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36">
        <v>0</v>
      </c>
      <c r="AA17" s="236">
        <v>0</v>
      </c>
      <c r="AB17" s="16">
        <f>AB16*(1+Assumptions!$L$13/12)</f>
        <v>0.60905518090317179</v>
      </c>
      <c r="AC17" s="16">
        <f t="shared" si="6"/>
        <v>0</v>
      </c>
      <c r="AD17" s="18">
        <f t="shared" si="7"/>
        <v>181.15599510176347</v>
      </c>
      <c r="AE17" s="18">
        <f t="shared" si="7"/>
        <v>0</v>
      </c>
      <c r="AF17" s="5">
        <v>0</v>
      </c>
      <c r="AG17" s="73">
        <f t="shared" si="7"/>
        <v>0</v>
      </c>
      <c r="AH17" s="16">
        <f>Assumptions!$E$12*Assumptions!H18</f>
        <v>2.7255784649628518</v>
      </c>
      <c r="AI17" s="16">
        <f>Assumptions!$F$12*Assumptions!I18</f>
        <v>2.9665362174352876</v>
      </c>
      <c r="AJ17" s="16">
        <f t="shared" si="8"/>
        <v>0</v>
      </c>
      <c r="AK17" s="16">
        <f t="shared" si="8"/>
        <v>0</v>
      </c>
      <c r="AL17" s="472">
        <f>VLOOKUP($C$1,UnitData,3)</f>
        <v>705</v>
      </c>
      <c r="AM17" s="472">
        <f>VLOOKUP($C$1,UnitData,4)</f>
        <v>705</v>
      </c>
      <c r="AN17" s="472">
        <f>VLOOKUP($C$1,UnitData,5)</f>
        <v>705</v>
      </c>
      <c r="AO17" s="472">
        <f>AN17</f>
        <v>705</v>
      </c>
      <c r="AP17" s="472">
        <f>AVERAGE(AL17:AO17)</f>
        <v>705</v>
      </c>
    </row>
    <row r="18" spans="1:42" x14ac:dyDescent="0.2">
      <c r="A18" s="1">
        <f t="shared" si="5"/>
        <v>36752.919000000009</v>
      </c>
      <c r="B18" s="16">
        <f t="shared" si="3"/>
        <v>2.5842521741870006</v>
      </c>
      <c r="C18" s="17">
        <f t="shared" si="0"/>
        <v>29.214311020118288</v>
      </c>
      <c r="D18" s="16">
        <f t="shared" si="4"/>
        <v>0.61007027287134374</v>
      </c>
      <c r="E18" s="16">
        <f t="shared" si="1"/>
        <v>0</v>
      </c>
      <c r="F18" s="16">
        <f t="shared" si="2"/>
        <v>0</v>
      </c>
      <c r="G18" s="19">
        <f>IF('Peak Revenue'!$A$1="BL","-",SUM(C18:F18))</f>
        <v>29.824381292989631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16">
        <f>AB17*(1+Assumptions!$L$13/12)</f>
        <v>0.61007027287134374</v>
      </c>
      <c r="AC18" s="16">
        <f t="shared" si="6"/>
        <v>0</v>
      </c>
      <c r="AD18" s="18">
        <f t="shared" si="7"/>
        <v>181.15599510176347</v>
      </c>
      <c r="AE18" s="18">
        <f t="shared" si="7"/>
        <v>0</v>
      </c>
      <c r="AF18" s="5">
        <v>0</v>
      </c>
      <c r="AG18" s="73">
        <f t="shared" si="7"/>
        <v>0</v>
      </c>
      <c r="AH18" s="16">
        <f>Assumptions!$E$12*Assumptions!H19</f>
        <v>2.5842521741870006</v>
      </c>
      <c r="AI18" s="16">
        <f>Assumptions!$F$12*Assumptions!I19</f>
        <v>2.9665362174352876</v>
      </c>
      <c r="AJ18" s="16">
        <f t="shared" si="8"/>
        <v>0</v>
      </c>
      <c r="AK18" s="16">
        <f t="shared" si="8"/>
        <v>0</v>
      </c>
    </row>
    <row r="19" spans="1:42" x14ac:dyDescent="0.2">
      <c r="A19" s="1">
        <f t="shared" si="5"/>
        <v>36783.33600000001</v>
      </c>
      <c r="B19" s="16">
        <f t="shared" si="3"/>
        <v>2.5755995441394992</v>
      </c>
      <c r="C19" s="17">
        <f t="shared" si="0"/>
        <v>29.116495246613429</v>
      </c>
      <c r="D19" s="16">
        <f t="shared" si="4"/>
        <v>0.61108705665946272</v>
      </c>
      <c r="E19" s="16">
        <f t="shared" si="1"/>
        <v>0</v>
      </c>
      <c r="F19" s="16">
        <f t="shared" si="2"/>
        <v>0</v>
      </c>
      <c r="G19" s="19">
        <f>IF('Peak Revenue'!$A$1="BL","-",SUM(C19:F19))</f>
        <v>29.727582303272893</v>
      </c>
      <c r="H19" s="236">
        <v>0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6">
        <v>0</v>
      </c>
      <c r="S19" s="236">
        <v>0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0</v>
      </c>
      <c r="AB19" s="16">
        <f>AB18*(1+Assumptions!$L$13/12)</f>
        <v>0.61108705665946272</v>
      </c>
      <c r="AC19" s="16">
        <f t="shared" si="6"/>
        <v>0</v>
      </c>
      <c r="AD19" s="18">
        <f t="shared" si="7"/>
        <v>181.15599510176347</v>
      </c>
      <c r="AE19" s="18">
        <f t="shared" si="7"/>
        <v>0</v>
      </c>
      <c r="AF19" s="5">
        <v>0</v>
      </c>
      <c r="AG19" s="73">
        <f t="shared" si="7"/>
        <v>0</v>
      </c>
      <c r="AH19" s="16">
        <f>Assumptions!$E$12*Assumptions!H20</f>
        <v>2.5755995441394992</v>
      </c>
      <c r="AI19" s="16">
        <f>Assumptions!$F$12*Assumptions!I20</f>
        <v>2.9665362174352876</v>
      </c>
      <c r="AJ19" s="16">
        <f t="shared" si="8"/>
        <v>0</v>
      </c>
      <c r="AK19" s="16">
        <f t="shared" si="8"/>
        <v>0</v>
      </c>
    </row>
    <row r="20" spans="1:42" x14ac:dyDescent="0.2">
      <c r="A20" s="1">
        <f t="shared" si="5"/>
        <v>36813.753000000012</v>
      </c>
      <c r="B20" s="16">
        <f t="shared" si="3"/>
        <v>2.8524837056595351</v>
      </c>
      <c r="C20" s="17">
        <f t="shared" si="0"/>
        <v>32.246599998768957</v>
      </c>
      <c r="D20" s="16">
        <f t="shared" si="4"/>
        <v>0.61210553508722854</v>
      </c>
      <c r="E20" s="16">
        <f t="shared" si="1"/>
        <v>0</v>
      </c>
      <c r="F20" s="16">
        <f t="shared" si="2"/>
        <v>0</v>
      </c>
      <c r="G20" s="19">
        <f>IF('Peak Revenue'!$A$1="BL","-",SUM(C20:F20))</f>
        <v>32.858705533856188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236">
        <v>0</v>
      </c>
      <c r="R20" s="236">
        <v>0</v>
      </c>
      <c r="S20" s="236">
        <v>0</v>
      </c>
      <c r="T20" s="236">
        <v>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0</v>
      </c>
      <c r="AB20" s="16">
        <f>AB19*(1+Assumptions!$L$13/12)</f>
        <v>0.61210553508722854</v>
      </c>
      <c r="AC20" s="16">
        <f t="shared" si="6"/>
        <v>0</v>
      </c>
      <c r="AD20" s="18">
        <f t="shared" si="7"/>
        <v>181.15599510176347</v>
      </c>
      <c r="AE20" s="18">
        <f t="shared" si="7"/>
        <v>0</v>
      </c>
      <c r="AF20" s="5">
        <v>0</v>
      </c>
      <c r="AG20" s="73">
        <f t="shared" si="7"/>
        <v>0</v>
      </c>
      <c r="AH20" s="16">
        <f>Assumptions!$E$12*Assumptions!H21</f>
        <v>2.8524837056595351</v>
      </c>
      <c r="AI20" s="16">
        <f>Assumptions!$F$12*Assumptions!I21</f>
        <v>2.9665362174352876</v>
      </c>
      <c r="AJ20" s="16">
        <f t="shared" si="8"/>
        <v>0</v>
      </c>
      <c r="AK20" s="16">
        <f t="shared" si="8"/>
        <v>0</v>
      </c>
    </row>
    <row r="21" spans="1:42" x14ac:dyDescent="0.2">
      <c r="A21" s="1">
        <f t="shared" si="5"/>
        <v>36844.170000000013</v>
      </c>
      <c r="B21" s="16">
        <f t="shared" si="3"/>
        <v>3.1235994471479032</v>
      </c>
      <c r="C21" s="17">
        <f t="shared" si="0"/>
        <v>35.311494235254578</v>
      </c>
      <c r="D21" s="16">
        <f t="shared" si="4"/>
        <v>0.61312571097904056</v>
      </c>
      <c r="E21" s="16">
        <f t="shared" si="1"/>
        <v>0</v>
      </c>
      <c r="F21" s="16">
        <f t="shared" si="2"/>
        <v>0</v>
      </c>
      <c r="G21" s="19">
        <f>IF('Peak Revenue'!$A$1="BL","-",SUM(C21:F21))</f>
        <v>35.924619946233619</v>
      </c>
      <c r="H21" s="236">
        <v>0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0</v>
      </c>
      <c r="Q21" s="236">
        <v>0</v>
      </c>
      <c r="R21" s="236">
        <v>0</v>
      </c>
      <c r="S21" s="236">
        <v>0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0</v>
      </c>
      <c r="AB21" s="16">
        <f>AB20*(1+Assumptions!$L$13/12)</f>
        <v>0.61312571097904056</v>
      </c>
      <c r="AC21" s="16">
        <f t="shared" si="6"/>
        <v>0</v>
      </c>
      <c r="AD21" s="18">
        <f t="shared" si="7"/>
        <v>181.15599510176347</v>
      </c>
      <c r="AE21" s="18">
        <f t="shared" si="7"/>
        <v>0</v>
      </c>
      <c r="AF21" s="5">
        <v>0</v>
      </c>
      <c r="AG21" s="73">
        <f t="shared" si="7"/>
        <v>0</v>
      </c>
      <c r="AH21" s="16">
        <f>Assumptions!$E$12*Assumptions!H22</f>
        <v>3.1235994471479032</v>
      </c>
      <c r="AI21" s="16">
        <f>Assumptions!$F$12*Assumptions!I22</f>
        <v>3.2163497936403647</v>
      </c>
      <c r="AJ21" s="16">
        <f t="shared" si="8"/>
        <v>0</v>
      </c>
      <c r="AK21" s="16">
        <f t="shared" si="8"/>
        <v>0</v>
      </c>
    </row>
    <row r="22" spans="1:42" x14ac:dyDescent="0.2">
      <c r="A22" s="1">
        <f t="shared" si="5"/>
        <v>36874.587000000014</v>
      </c>
      <c r="B22" s="16">
        <f t="shared" si="3"/>
        <v>3.3802941385571033</v>
      </c>
      <c r="C22" s="17">
        <f t="shared" si="0"/>
        <v>38.21336218256544</v>
      </c>
      <c r="D22" s="16">
        <f t="shared" si="4"/>
        <v>0.61414758716400564</v>
      </c>
      <c r="E22" s="16">
        <f t="shared" si="1"/>
        <v>0</v>
      </c>
      <c r="F22" s="16">
        <f t="shared" si="2"/>
        <v>0</v>
      </c>
      <c r="G22" s="19">
        <f>IF('Peak Revenue'!$A$1="BL","-",SUM(C22:F22))</f>
        <v>38.827509769729446</v>
      </c>
      <c r="H22" s="236">
        <v>0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6">
        <v>0</v>
      </c>
      <c r="S22" s="236">
        <v>0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0</v>
      </c>
      <c r="AB22" s="16">
        <f>AB21*(1+Assumptions!$L$13/12)</f>
        <v>0.61414758716400564</v>
      </c>
      <c r="AC22" s="16">
        <f t="shared" si="6"/>
        <v>0</v>
      </c>
      <c r="AD22" s="18">
        <f t="shared" si="7"/>
        <v>181.15599510176347</v>
      </c>
      <c r="AE22" s="18">
        <f t="shared" si="7"/>
        <v>0</v>
      </c>
      <c r="AF22" s="5">
        <v>0</v>
      </c>
      <c r="AG22" s="73">
        <f t="shared" si="7"/>
        <v>0</v>
      </c>
      <c r="AH22" s="16">
        <f>Assumptions!$E$12*Assumptions!H23</f>
        <v>3.3802941385571033</v>
      </c>
      <c r="AI22" s="16">
        <f>Assumptions!$F$12*Assumptions!I23</f>
        <v>3.3724832787685379</v>
      </c>
      <c r="AJ22" s="16">
        <f t="shared" si="8"/>
        <v>0</v>
      </c>
      <c r="AK22" s="16">
        <f t="shared" si="8"/>
        <v>0</v>
      </c>
    </row>
    <row r="23" spans="1:42" x14ac:dyDescent="0.2">
      <c r="A23" s="1">
        <f t="shared" si="5"/>
        <v>36905.004000000015</v>
      </c>
      <c r="B23" s="16">
        <f t="shared" si="3"/>
        <v>4.5652300825677408</v>
      </c>
      <c r="C23" s="17">
        <f t="shared" si="0"/>
        <v>51.608760492768923</v>
      </c>
      <c r="D23" s="16">
        <f t="shared" si="4"/>
        <v>0.61517116647594572</v>
      </c>
      <c r="E23" s="16">
        <f t="shared" si="1"/>
        <v>0</v>
      </c>
      <c r="F23" s="16">
        <f t="shared" si="2"/>
        <v>0</v>
      </c>
      <c r="G23" s="19">
        <f>IF('Peak Revenue'!$A$1="BL","-",SUM(C23:F23))</f>
        <v>52.223931659244869</v>
      </c>
      <c r="H23" s="197">
        <v>65.501020134313507</v>
      </c>
      <c r="I23" s="197">
        <v>64.363456962416578</v>
      </c>
      <c r="J23" s="197">
        <v>62.31143235544819</v>
      </c>
      <c r="K23" s="197">
        <v>59.052838541552134</v>
      </c>
      <c r="L23" s="197">
        <v>58.529148600926057</v>
      </c>
      <c r="M23" s="197">
        <v>58.103280282332435</v>
      </c>
      <c r="N23" s="197">
        <v>53.988811994486383</v>
      </c>
      <c r="O23" s="197">
        <v>43.800590339459546</v>
      </c>
      <c r="P23" s="197">
        <v>38.98349486767345</v>
      </c>
      <c r="Q23" s="197">
        <v>34.864574744794744</v>
      </c>
      <c r="R23" s="197">
        <v>32.461485065381254</v>
      </c>
      <c r="S23" s="197">
        <v>25.772736886107847</v>
      </c>
      <c r="T23" s="197">
        <v>24.569477510239587</v>
      </c>
      <c r="U23" s="197">
        <v>23.524415005524908</v>
      </c>
      <c r="V23" s="197">
        <v>22.359215127740995</v>
      </c>
      <c r="W23" s="197">
        <v>21.853382962339253</v>
      </c>
      <c r="X23" s="197">
        <v>21.423012257988713</v>
      </c>
      <c r="Y23" s="197">
        <v>21.22463895950138</v>
      </c>
      <c r="Z23" s="197">
        <v>21.016540244790146</v>
      </c>
      <c r="AA23" s="197">
        <v>20.591301131894838</v>
      </c>
      <c r="AB23" s="16">
        <f>AB22*(1+Assumptions!$L$13/12)</f>
        <v>0.61517116647594572</v>
      </c>
      <c r="AC23" s="16">
        <f>VLOOKUP($C$1,EnvVOM,4)</f>
        <v>0</v>
      </c>
      <c r="AD23" s="18">
        <f>Assumptions!B13</f>
        <v>198.92520866387423</v>
      </c>
      <c r="AE23" s="18">
        <f>Assumptions!C13</f>
        <v>0</v>
      </c>
      <c r="AF23" s="5">
        <v>0</v>
      </c>
      <c r="AG23" s="73">
        <f>VLOOKUP($C$1,Coal,4)</f>
        <v>0</v>
      </c>
      <c r="AH23" s="16">
        <f>Assumptions!$E$13*Assumptions!H12</f>
        <v>4.5652300825677408</v>
      </c>
      <c r="AI23" s="16">
        <f>Assumptions!$F$13*Assumptions!I12</f>
        <v>4.2923414634146342</v>
      </c>
      <c r="AJ23" s="16">
        <f>VLOOKUP($C$1,SO2Rate,4)</f>
        <v>0</v>
      </c>
      <c r="AK23" s="16">
        <f>VLOOKUP($C$1,NOxRate,4)</f>
        <v>0</v>
      </c>
    </row>
    <row r="24" spans="1:42" x14ac:dyDescent="0.2">
      <c r="A24" s="1">
        <f t="shared" si="5"/>
        <v>36935.421000000017</v>
      </c>
      <c r="B24" s="16">
        <f t="shared" si="3"/>
        <v>4.091708877195023</v>
      </c>
      <c r="C24" s="17">
        <f t="shared" si="0"/>
        <v>46.255724165061508</v>
      </c>
      <c r="D24" s="16">
        <f t="shared" si="4"/>
        <v>0.61619645175340565</v>
      </c>
      <c r="E24" s="16">
        <f t="shared" si="1"/>
        <v>0</v>
      </c>
      <c r="F24" s="16">
        <f t="shared" si="2"/>
        <v>0</v>
      </c>
      <c r="G24" s="19">
        <f>IF('Peak Revenue'!$A$1="BL","-",SUM(C24:F24))</f>
        <v>46.871920616814911</v>
      </c>
      <c r="H24" s="197">
        <v>72.295988221952058</v>
      </c>
      <c r="I24" s="197">
        <v>70.242502707494509</v>
      </c>
      <c r="J24" s="197">
        <v>66.965838193908269</v>
      </c>
      <c r="K24" s="197">
        <v>65.046722806725285</v>
      </c>
      <c r="L24" s="197">
        <v>64.88753629867206</v>
      </c>
      <c r="M24" s="197">
        <v>61.888452658919618</v>
      </c>
      <c r="N24" s="197">
        <v>52.601435090402354</v>
      </c>
      <c r="O24" s="197">
        <v>44.423387242126346</v>
      </c>
      <c r="P24" s="197">
        <v>36.984351754041498</v>
      </c>
      <c r="Q24" s="197">
        <v>35.441623714759068</v>
      </c>
      <c r="R24" s="197">
        <v>27.625153444356972</v>
      </c>
      <c r="S24" s="197">
        <v>25.726367811121531</v>
      </c>
      <c r="T24" s="197">
        <v>24.948078276206562</v>
      </c>
      <c r="U24" s="197">
        <v>23.69828870262149</v>
      </c>
      <c r="V24" s="197">
        <v>23.163200824176094</v>
      </c>
      <c r="W24" s="197">
        <v>22.739462318707826</v>
      </c>
      <c r="X24" s="197">
        <v>22.381535123989412</v>
      </c>
      <c r="Y24" s="197">
        <v>22.112401897106217</v>
      </c>
      <c r="Z24" s="197">
        <v>21.956058854064121</v>
      </c>
      <c r="AA24" s="197">
        <v>21.630872042519858</v>
      </c>
      <c r="AB24" s="16">
        <f>AB23*(1+Assumptions!$L$13/12)</f>
        <v>0.61619645175340565</v>
      </c>
      <c r="AC24" s="16">
        <f>AC23</f>
        <v>0</v>
      </c>
      <c r="AD24" s="18">
        <f>AD23</f>
        <v>198.92520866387423</v>
      </c>
      <c r="AE24" s="18">
        <f>AE23</f>
        <v>0</v>
      </c>
      <c r="AF24" s="5">
        <v>0</v>
      </c>
      <c r="AG24" s="73">
        <f>AG23</f>
        <v>0</v>
      </c>
      <c r="AH24" s="16">
        <f>Assumptions!$E$13*Assumptions!H13</f>
        <v>4.091708877195023</v>
      </c>
      <c r="AI24" s="16">
        <f>Assumptions!$F$13*Assumptions!I13</f>
        <v>4.2525975609756097</v>
      </c>
      <c r="AJ24" s="16">
        <f>AJ23</f>
        <v>0</v>
      </c>
      <c r="AK24" s="16">
        <f>AK23</f>
        <v>0</v>
      </c>
    </row>
    <row r="25" spans="1:42" x14ac:dyDescent="0.2">
      <c r="A25" s="1">
        <f t="shared" si="5"/>
        <v>36965.838000000018</v>
      </c>
      <c r="B25" s="16">
        <f t="shared" si="3"/>
        <v>4.0229066507733462</v>
      </c>
      <c r="C25" s="17">
        <f t="shared" si="0"/>
        <v>45.477932561890356</v>
      </c>
      <c r="D25" s="16">
        <f t="shared" si="4"/>
        <v>0.61722344583966138</v>
      </c>
      <c r="E25" s="16">
        <f t="shared" si="1"/>
        <v>0</v>
      </c>
      <c r="F25" s="16">
        <f t="shared" si="2"/>
        <v>0</v>
      </c>
      <c r="G25" s="19">
        <f>IF('Peak Revenue'!$A$1="BL","-",SUM(C25:F25))</f>
        <v>46.095156007730019</v>
      </c>
      <c r="H25" s="197">
        <v>70.425563092427197</v>
      </c>
      <c r="I25" s="197">
        <v>68.486561366576538</v>
      </c>
      <c r="J25" s="197">
        <v>66.339650527427438</v>
      </c>
      <c r="K25" s="197">
        <v>64.031830692906027</v>
      </c>
      <c r="L25" s="197">
        <v>63.682223523190459</v>
      </c>
      <c r="M25" s="197">
        <v>62.551125273916092</v>
      </c>
      <c r="N25" s="197">
        <v>57.836212198451847</v>
      </c>
      <c r="O25" s="197">
        <v>46.648782252484338</v>
      </c>
      <c r="P25" s="197">
        <v>42.678867712958791</v>
      </c>
      <c r="Q25" s="197">
        <v>36.297185879034913</v>
      </c>
      <c r="R25" s="197">
        <v>36.102620449961968</v>
      </c>
      <c r="S25" s="197">
        <v>27.196746495005261</v>
      </c>
      <c r="T25" s="197">
        <v>24.169218736944146</v>
      </c>
      <c r="U25" s="197">
        <v>23.710998782054475</v>
      </c>
      <c r="V25" s="197">
        <v>22.675814380251552</v>
      </c>
      <c r="W25" s="197">
        <v>21.741752595314821</v>
      </c>
      <c r="X25" s="197">
        <v>21.36727689346494</v>
      </c>
      <c r="Y25" s="197">
        <v>20.950374293915701</v>
      </c>
      <c r="Z25" s="197">
        <v>20.653748138456013</v>
      </c>
      <c r="AA25" s="197">
        <v>20.21226605160593</v>
      </c>
      <c r="AB25" s="16">
        <f>AB24*(1+Assumptions!$L$13/12)</f>
        <v>0.61722344583966138</v>
      </c>
      <c r="AC25" s="16">
        <f t="shared" ref="AC25:AC34" si="9">AC24</f>
        <v>0</v>
      </c>
      <c r="AD25" s="18">
        <f t="shared" ref="AD25:AE34" si="10">AD24</f>
        <v>198.92520866387423</v>
      </c>
      <c r="AE25" s="18">
        <f t="shared" si="10"/>
        <v>0</v>
      </c>
      <c r="AF25" s="5">
        <v>0</v>
      </c>
      <c r="AG25" s="73">
        <f t="shared" ref="AG25:AG34" si="11">AG24</f>
        <v>0</v>
      </c>
      <c r="AH25" s="16">
        <f>Assumptions!$E$13*Assumptions!H14</f>
        <v>4.0229066507733462</v>
      </c>
      <c r="AI25" s="16">
        <f>Assumptions!$F$13*Assumptions!I14</f>
        <v>4.0936219512195118</v>
      </c>
      <c r="AJ25" s="16">
        <f t="shared" ref="AJ25:AK34" si="12">AJ24</f>
        <v>0</v>
      </c>
      <c r="AK25" s="16">
        <f t="shared" si="12"/>
        <v>0</v>
      </c>
    </row>
    <row r="26" spans="1:42" x14ac:dyDescent="0.2">
      <c r="A26" s="1">
        <f t="shared" si="5"/>
        <v>36996.255000000019</v>
      </c>
      <c r="B26" s="16">
        <f t="shared" si="3"/>
        <v>3.8245943510873359</v>
      </c>
      <c r="C26" s="17">
        <f t="shared" si="0"/>
        <v>43.23606264686758</v>
      </c>
      <c r="D26" s="16">
        <f t="shared" si="4"/>
        <v>0.6182521515827275</v>
      </c>
      <c r="E26" s="16">
        <f t="shared" si="1"/>
        <v>0</v>
      </c>
      <c r="F26" s="16">
        <f t="shared" si="2"/>
        <v>0</v>
      </c>
      <c r="G26" s="19">
        <f>IF('Peak Revenue'!$A$1="BL","-",SUM(C26:F26))</f>
        <v>43.854314798450311</v>
      </c>
      <c r="H26" s="197">
        <v>69.341409252379094</v>
      </c>
      <c r="I26" s="197">
        <v>66.676579507074749</v>
      </c>
      <c r="J26" s="197">
        <v>65.643581736709365</v>
      </c>
      <c r="K26" s="197">
        <v>65.558319964368096</v>
      </c>
      <c r="L26" s="197">
        <v>64.611359324929992</v>
      </c>
      <c r="M26" s="197">
        <v>59.452327357320527</v>
      </c>
      <c r="N26" s="197">
        <v>47.283434245950716</v>
      </c>
      <c r="O26" s="197">
        <v>41.596389022628536</v>
      </c>
      <c r="P26" s="197">
        <v>37.297770647662986</v>
      </c>
      <c r="Q26" s="197">
        <v>31.848638200029484</v>
      </c>
      <c r="R26" s="197">
        <v>23.101740849368067</v>
      </c>
      <c r="S26" s="197">
        <v>22.521268083047559</v>
      </c>
      <c r="T26" s="197">
        <v>21.280319172819468</v>
      </c>
      <c r="U26" s="197">
        <v>20.331595265566694</v>
      </c>
      <c r="V26" s="197">
        <v>19.818380106086074</v>
      </c>
      <c r="W26" s="197">
        <v>19.460184909105102</v>
      </c>
      <c r="X26" s="197">
        <v>19.230994576497736</v>
      </c>
      <c r="Y26" s="197">
        <v>19.056240608552677</v>
      </c>
      <c r="Z26" s="197">
        <v>18.79711403696183</v>
      </c>
      <c r="AA26" s="197">
        <v>18.528378831198022</v>
      </c>
      <c r="AB26" s="16">
        <f>AB25*(1+Assumptions!$L$13/12)</f>
        <v>0.6182521515827275</v>
      </c>
      <c r="AC26" s="16">
        <f t="shared" si="9"/>
        <v>0</v>
      </c>
      <c r="AD26" s="18">
        <f t="shared" si="10"/>
        <v>198.92520866387423</v>
      </c>
      <c r="AE26" s="18">
        <f t="shared" si="10"/>
        <v>0</v>
      </c>
      <c r="AF26" s="5">
        <v>0</v>
      </c>
      <c r="AG26" s="73">
        <f t="shared" si="11"/>
        <v>0</v>
      </c>
      <c r="AH26" s="16">
        <f>Assumptions!$E$13*Assumptions!H15</f>
        <v>3.8245943510873359</v>
      </c>
      <c r="AI26" s="16">
        <f>Assumptions!$F$13*Assumptions!I15</f>
        <v>3.9346463414634143</v>
      </c>
      <c r="AJ26" s="16">
        <f t="shared" si="12"/>
        <v>0</v>
      </c>
      <c r="AK26" s="16">
        <f t="shared" si="12"/>
        <v>0</v>
      </c>
    </row>
    <row r="27" spans="1:42" x14ac:dyDescent="0.2">
      <c r="A27" s="1">
        <f t="shared" si="5"/>
        <v>37026.67200000002</v>
      </c>
      <c r="B27" s="16">
        <f t="shared" si="3"/>
        <v>4.0269538405628564</v>
      </c>
      <c r="C27" s="17">
        <f t="shared" si="0"/>
        <v>45.523685009135711</v>
      </c>
      <c r="D27" s="16">
        <f t="shared" si="4"/>
        <v>0.61928257183536539</v>
      </c>
      <c r="E27" s="16">
        <f t="shared" si="1"/>
        <v>0</v>
      </c>
      <c r="F27" s="16">
        <f t="shared" si="2"/>
        <v>0</v>
      </c>
      <c r="G27" s="19">
        <f>IF('Peak Revenue'!$A$1="BL","-",SUM(C27:F27))</f>
        <v>46.142967580971074</v>
      </c>
      <c r="H27" s="197">
        <v>63.113980176149518</v>
      </c>
      <c r="I27" s="197">
        <v>55.550094531867522</v>
      </c>
      <c r="J27" s="197">
        <v>53.705110089514037</v>
      </c>
      <c r="K27" s="197">
        <v>51.38064803010365</v>
      </c>
      <c r="L27" s="197">
        <v>48.088606423289441</v>
      </c>
      <c r="M27" s="197">
        <v>46.893131568112253</v>
      </c>
      <c r="N27" s="197">
        <v>45.28896252568633</v>
      </c>
      <c r="O27" s="197">
        <v>35.956275073741111</v>
      </c>
      <c r="P27" s="197">
        <v>31.923351765201517</v>
      </c>
      <c r="Q27" s="197">
        <v>27.427728584671936</v>
      </c>
      <c r="R27" s="197">
        <v>27.244930278160442</v>
      </c>
      <c r="S27" s="197">
        <v>25.584730979585782</v>
      </c>
      <c r="T27" s="197">
        <v>24.923912894748437</v>
      </c>
      <c r="U27" s="197">
        <v>23.426721702750623</v>
      </c>
      <c r="V27" s="197">
        <v>22.781072945806645</v>
      </c>
      <c r="W27" s="197">
        <v>22.313655698607516</v>
      </c>
      <c r="X27" s="197">
        <v>22.046888979792563</v>
      </c>
      <c r="Y27" s="197">
        <v>21.783402420480456</v>
      </c>
      <c r="Z27" s="197">
        <v>21.624018718661056</v>
      </c>
      <c r="AA27" s="197">
        <v>21.281940712610112</v>
      </c>
      <c r="AB27" s="16">
        <f>AB26*(1+Assumptions!$L$13/12)</f>
        <v>0.61928257183536539</v>
      </c>
      <c r="AC27" s="16">
        <f t="shared" si="9"/>
        <v>0</v>
      </c>
      <c r="AD27" s="18">
        <f t="shared" si="10"/>
        <v>198.92520866387423</v>
      </c>
      <c r="AE27" s="18">
        <f t="shared" si="10"/>
        <v>0</v>
      </c>
      <c r="AF27" s="5">
        <v>0</v>
      </c>
      <c r="AG27" s="73">
        <f t="shared" si="11"/>
        <v>0</v>
      </c>
      <c r="AH27" s="16">
        <f>Assumptions!$E$13*Assumptions!H16</f>
        <v>4.0269538405628564</v>
      </c>
      <c r="AI27" s="16">
        <f>Assumptions!$F$13*Assumptions!I16</f>
        <v>3.7756707317073168</v>
      </c>
      <c r="AJ27" s="16">
        <f t="shared" si="12"/>
        <v>0</v>
      </c>
      <c r="AK27" s="16">
        <f t="shared" si="12"/>
        <v>0</v>
      </c>
    </row>
    <row r="28" spans="1:42" x14ac:dyDescent="0.2">
      <c r="A28" s="1">
        <f t="shared" si="5"/>
        <v>37057.089000000022</v>
      </c>
      <c r="B28" s="16">
        <f t="shared" si="3"/>
        <v>3.8367359204558671</v>
      </c>
      <c r="C28" s="17">
        <f t="shared" si="0"/>
        <v>43.373319988603676</v>
      </c>
      <c r="D28" s="16">
        <f t="shared" si="4"/>
        <v>0.62031470945509104</v>
      </c>
      <c r="E28" s="16">
        <f t="shared" si="1"/>
        <v>0</v>
      </c>
      <c r="F28" s="16">
        <f t="shared" si="2"/>
        <v>0</v>
      </c>
      <c r="G28" s="19">
        <f>IF('Peak Revenue'!$A$1="BL","-",SUM(C28:F28))</f>
        <v>43.99363469805877</v>
      </c>
      <c r="H28" s="197">
        <v>168.69153762716547</v>
      </c>
      <c r="I28" s="197">
        <v>88.102812452760077</v>
      </c>
      <c r="J28" s="197">
        <v>78.34135830682095</v>
      </c>
      <c r="K28" s="197">
        <v>73.479978869463906</v>
      </c>
      <c r="L28" s="197">
        <v>68.167946757768192</v>
      </c>
      <c r="M28" s="197">
        <v>66.722172455234485</v>
      </c>
      <c r="N28" s="197">
        <v>55.038321392460766</v>
      </c>
      <c r="O28" s="197">
        <v>42.517707397507351</v>
      </c>
      <c r="P28" s="197">
        <v>37.264434463058357</v>
      </c>
      <c r="Q28" s="197">
        <v>27.442008292445486</v>
      </c>
      <c r="R28" s="197">
        <v>25.909471192294845</v>
      </c>
      <c r="S28" s="197">
        <v>24.012006192818582</v>
      </c>
      <c r="T28" s="197">
        <v>23.305382169285995</v>
      </c>
      <c r="U28" s="197">
        <v>22.561989437189091</v>
      </c>
      <c r="V28" s="197">
        <v>22.141255811626817</v>
      </c>
      <c r="W28" s="197">
        <v>21.875844685169092</v>
      </c>
      <c r="X28" s="197">
        <v>21.583010759058826</v>
      </c>
      <c r="Y28" s="197">
        <v>21.452267739528363</v>
      </c>
      <c r="Z28" s="197">
        <v>21.343121917136553</v>
      </c>
      <c r="AA28" s="197">
        <v>20.954189432857959</v>
      </c>
      <c r="AB28" s="16">
        <f>AB27*(1+Assumptions!$L$13/12)</f>
        <v>0.62031470945509104</v>
      </c>
      <c r="AC28" s="16">
        <f t="shared" si="9"/>
        <v>0</v>
      </c>
      <c r="AD28" s="18">
        <f t="shared" si="10"/>
        <v>198.92520866387423</v>
      </c>
      <c r="AE28" s="18">
        <f t="shared" si="10"/>
        <v>0</v>
      </c>
      <c r="AF28" s="5">
        <v>0</v>
      </c>
      <c r="AG28" s="73">
        <f t="shared" si="11"/>
        <v>0</v>
      </c>
      <c r="AH28" s="16">
        <f>Assumptions!$E$13*Assumptions!H17</f>
        <v>3.8367359204558671</v>
      </c>
      <c r="AI28" s="16">
        <f>Assumptions!$F$13*Assumptions!I17</f>
        <v>3.7756707317073168</v>
      </c>
      <c r="AJ28" s="16">
        <f t="shared" si="12"/>
        <v>0</v>
      </c>
      <c r="AK28" s="16">
        <f t="shared" si="12"/>
        <v>0</v>
      </c>
    </row>
    <row r="29" spans="1:42" x14ac:dyDescent="0.2">
      <c r="A29" s="1">
        <f t="shared" si="5"/>
        <v>37087.506000000023</v>
      </c>
      <c r="B29" s="16">
        <f t="shared" si="3"/>
        <v>3.8245943510873359</v>
      </c>
      <c r="C29" s="17">
        <f t="shared" si="0"/>
        <v>43.23606264686758</v>
      </c>
      <c r="D29" s="16">
        <f t="shared" si="4"/>
        <v>0.62134856730418286</v>
      </c>
      <c r="E29" s="16">
        <f t="shared" si="1"/>
        <v>0</v>
      </c>
      <c r="F29" s="16">
        <f t="shared" si="2"/>
        <v>0</v>
      </c>
      <c r="G29" s="19">
        <f>IF('Peak Revenue'!$A$1="BL","-",SUM(C29:F29))</f>
        <v>43.857411214171762</v>
      </c>
      <c r="H29" s="197">
        <v>1335.6561520342393</v>
      </c>
      <c r="I29" s="197">
        <v>672.52635398981772</v>
      </c>
      <c r="J29" s="197">
        <v>399.31907723268876</v>
      </c>
      <c r="K29" s="197">
        <v>234.19997196902099</v>
      </c>
      <c r="L29" s="197">
        <v>74.294776679788711</v>
      </c>
      <c r="M29" s="197">
        <v>53.706988698813845</v>
      </c>
      <c r="N29" s="197">
        <v>49.532051821208221</v>
      </c>
      <c r="O29" s="197">
        <v>46.782884859243872</v>
      </c>
      <c r="P29" s="197">
        <v>45.61595145051939</v>
      </c>
      <c r="Q29" s="197">
        <v>37.583084166070854</v>
      </c>
      <c r="R29" s="197">
        <v>30.523600428078417</v>
      </c>
      <c r="S29" s="197">
        <v>27.242617564476443</v>
      </c>
      <c r="T29" s="197">
        <v>24.276755910388566</v>
      </c>
      <c r="U29" s="197">
        <v>23.111113092723869</v>
      </c>
      <c r="V29" s="197">
        <v>21.508336093960171</v>
      </c>
      <c r="W29" s="197">
        <v>20.86034277692378</v>
      </c>
      <c r="X29" s="197">
        <v>20.299474645503786</v>
      </c>
      <c r="Y29" s="197">
        <v>19.988995103129909</v>
      </c>
      <c r="Z29" s="197">
        <v>19.701044467192041</v>
      </c>
      <c r="AA29" s="197">
        <v>19.214950206110533</v>
      </c>
      <c r="AB29" s="16">
        <f>AB28*(1+Assumptions!$L$13/12)</f>
        <v>0.62134856730418286</v>
      </c>
      <c r="AC29" s="16">
        <f t="shared" si="9"/>
        <v>0</v>
      </c>
      <c r="AD29" s="18">
        <f t="shared" si="10"/>
        <v>198.92520866387423</v>
      </c>
      <c r="AE29" s="18">
        <f t="shared" si="10"/>
        <v>0</v>
      </c>
      <c r="AF29" s="5">
        <v>0</v>
      </c>
      <c r="AG29" s="73">
        <f t="shared" si="11"/>
        <v>0</v>
      </c>
      <c r="AH29" s="16">
        <f>Assumptions!$E$13*Assumptions!H18</f>
        <v>3.8245943510873359</v>
      </c>
      <c r="AI29" s="16">
        <f>Assumptions!$F$13*Assumptions!I18</f>
        <v>3.7756707317073168</v>
      </c>
      <c r="AJ29" s="16">
        <f t="shared" si="12"/>
        <v>0</v>
      </c>
      <c r="AK29" s="16">
        <f t="shared" si="12"/>
        <v>0</v>
      </c>
    </row>
    <row r="30" spans="1:42" x14ac:dyDescent="0.2">
      <c r="A30" s="1">
        <f t="shared" si="5"/>
        <v>37117.923000000024</v>
      </c>
      <c r="B30" s="16">
        <f t="shared" si="3"/>
        <v>3.6262820514013261</v>
      </c>
      <c r="C30" s="17">
        <f t="shared" si="0"/>
        <v>40.994192731844819</v>
      </c>
      <c r="D30" s="16">
        <f t="shared" si="4"/>
        <v>0.62238414824968991</v>
      </c>
      <c r="E30" s="16">
        <f t="shared" si="1"/>
        <v>0</v>
      </c>
      <c r="F30" s="16">
        <f t="shared" si="2"/>
        <v>0</v>
      </c>
      <c r="G30" s="19">
        <f>IF('Peak Revenue'!$A$1="BL","-",SUM(C30:F30))</f>
        <v>41.616576880094506</v>
      </c>
      <c r="H30" s="197">
        <v>4372.2517708777741</v>
      </c>
      <c r="I30" s="197">
        <v>1648.175815853371</v>
      </c>
      <c r="J30" s="197">
        <v>879.77263027914069</v>
      </c>
      <c r="K30" s="197">
        <v>402.73852725793444</v>
      </c>
      <c r="L30" s="197">
        <v>223.54934456624324</v>
      </c>
      <c r="M30" s="197">
        <v>56.951450771268171</v>
      </c>
      <c r="N30" s="197">
        <v>45.125663762761519</v>
      </c>
      <c r="O30" s="197">
        <v>40.409858381824527</v>
      </c>
      <c r="P30" s="197">
        <v>38.480972012031614</v>
      </c>
      <c r="Q30" s="197">
        <v>29.936979013595952</v>
      </c>
      <c r="R30" s="197">
        <v>25.176980031670698</v>
      </c>
      <c r="S30" s="197">
        <v>23.644609197066746</v>
      </c>
      <c r="T30" s="197">
        <v>23.322002893919507</v>
      </c>
      <c r="U30" s="197">
        <v>21.97464640568943</v>
      </c>
      <c r="V30" s="197">
        <v>21.29852279200496</v>
      </c>
      <c r="W30" s="197">
        <v>20.793558011132198</v>
      </c>
      <c r="X30" s="197">
        <v>20.406328926481891</v>
      </c>
      <c r="Y30" s="197">
        <v>20.166472818756255</v>
      </c>
      <c r="Z30" s="197">
        <v>19.951638850896778</v>
      </c>
      <c r="AA30" s="197">
        <v>19.555253104908672</v>
      </c>
      <c r="AB30" s="16">
        <f>AB29*(1+Assumptions!$L$13/12)</f>
        <v>0.62238414824968991</v>
      </c>
      <c r="AC30" s="16">
        <f t="shared" si="9"/>
        <v>0</v>
      </c>
      <c r="AD30" s="18">
        <f t="shared" si="10"/>
        <v>198.92520866387423</v>
      </c>
      <c r="AE30" s="18">
        <f t="shared" si="10"/>
        <v>0</v>
      </c>
      <c r="AF30" s="5">
        <v>0</v>
      </c>
      <c r="AG30" s="73">
        <f t="shared" si="11"/>
        <v>0</v>
      </c>
      <c r="AH30" s="16">
        <f>Assumptions!$E$13*Assumptions!H19</f>
        <v>3.6262820514013261</v>
      </c>
      <c r="AI30" s="16">
        <f>Assumptions!$F$13*Assumptions!I19</f>
        <v>3.7756707317073168</v>
      </c>
      <c r="AJ30" s="16">
        <f t="shared" si="12"/>
        <v>0</v>
      </c>
      <c r="AK30" s="16">
        <f t="shared" si="12"/>
        <v>0</v>
      </c>
    </row>
    <row r="31" spans="1:42" x14ac:dyDescent="0.2">
      <c r="A31" s="1">
        <f t="shared" si="5"/>
        <v>37148.340000000026</v>
      </c>
      <c r="B31" s="16">
        <f t="shared" si="3"/>
        <v>3.6141404820327949</v>
      </c>
      <c r="C31" s="17">
        <f t="shared" si="0"/>
        <v>40.856935390108731</v>
      </c>
      <c r="D31" s="16">
        <f t="shared" si="4"/>
        <v>0.62342145516343939</v>
      </c>
      <c r="E31" s="16">
        <f t="shared" si="1"/>
        <v>0</v>
      </c>
      <c r="F31" s="16">
        <f t="shared" si="2"/>
        <v>0</v>
      </c>
      <c r="G31" s="19">
        <f>IF('Peak Revenue'!$A$1="BL","-",SUM(C31:F31))</f>
        <v>41.480356845272169</v>
      </c>
      <c r="H31" s="197">
        <v>465.60281250659966</v>
      </c>
      <c r="I31" s="197">
        <v>264.92218756673026</v>
      </c>
      <c r="J31" s="197">
        <v>182.29261917776941</v>
      </c>
      <c r="K31" s="197">
        <v>73.277367932323301</v>
      </c>
      <c r="L31" s="197">
        <v>49.927519241861042</v>
      </c>
      <c r="M31" s="197">
        <v>43.469949397864795</v>
      </c>
      <c r="N31" s="197">
        <v>39.38618246280889</v>
      </c>
      <c r="O31" s="197">
        <v>38.682561608485571</v>
      </c>
      <c r="P31" s="197">
        <v>34.4203759889254</v>
      </c>
      <c r="Q31" s="197">
        <v>28.438971640100458</v>
      </c>
      <c r="R31" s="197">
        <v>25.732801544377697</v>
      </c>
      <c r="S31" s="197">
        <v>23.75827650719981</v>
      </c>
      <c r="T31" s="197">
        <v>23.11090646117167</v>
      </c>
      <c r="U31" s="197">
        <v>22.96463578254475</v>
      </c>
      <c r="V31" s="197">
        <v>22.162018735617814</v>
      </c>
      <c r="W31" s="197">
        <v>21.435707532171179</v>
      </c>
      <c r="X31" s="197">
        <v>21.038554356199811</v>
      </c>
      <c r="Y31" s="197">
        <v>20.813617536224982</v>
      </c>
      <c r="Z31" s="197">
        <v>20.518935901676812</v>
      </c>
      <c r="AA31" s="197">
        <v>20.027632150868584</v>
      </c>
      <c r="AB31" s="16">
        <f>AB30*(1+Assumptions!$L$13/12)</f>
        <v>0.62342145516343939</v>
      </c>
      <c r="AC31" s="16">
        <f t="shared" si="9"/>
        <v>0</v>
      </c>
      <c r="AD31" s="18">
        <f t="shared" si="10"/>
        <v>198.92520866387423</v>
      </c>
      <c r="AE31" s="18">
        <f t="shared" si="10"/>
        <v>0</v>
      </c>
      <c r="AF31" s="5">
        <v>0</v>
      </c>
      <c r="AG31" s="73">
        <f t="shared" si="11"/>
        <v>0</v>
      </c>
      <c r="AH31" s="16">
        <f>Assumptions!$E$13*Assumptions!H20</f>
        <v>3.6141404820327949</v>
      </c>
      <c r="AI31" s="16">
        <f>Assumptions!$F$13*Assumptions!I20</f>
        <v>3.7756707317073168</v>
      </c>
      <c r="AJ31" s="16">
        <f t="shared" si="12"/>
        <v>0</v>
      </c>
      <c r="AK31" s="16">
        <f t="shared" si="12"/>
        <v>0</v>
      </c>
    </row>
    <row r="32" spans="1:42" x14ac:dyDescent="0.2">
      <c r="A32" s="1">
        <f t="shared" si="5"/>
        <v>37178.757000000027</v>
      </c>
      <c r="B32" s="16">
        <f t="shared" si="3"/>
        <v>4.0026707018257941</v>
      </c>
      <c r="C32" s="17">
        <f t="shared" si="0"/>
        <v>45.249170325663535</v>
      </c>
      <c r="D32" s="16">
        <f t="shared" si="4"/>
        <v>0.62446049092204514</v>
      </c>
      <c r="E32" s="16">
        <f t="shared" si="1"/>
        <v>0</v>
      </c>
      <c r="F32" s="16">
        <f t="shared" si="2"/>
        <v>0</v>
      </c>
      <c r="G32" s="19">
        <f>IF('Peak Revenue'!$A$1="BL","-",SUM(C32:F32))</f>
        <v>45.873630816585582</v>
      </c>
      <c r="H32" s="197">
        <v>61.304244711702268</v>
      </c>
      <c r="I32" s="197">
        <v>60.218941752759619</v>
      </c>
      <c r="J32" s="197">
        <v>59.015897399342535</v>
      </c>
      <c r="K32" s="197">
        <v>55.807856932456545</v>
      </c>
      <c r="L32" s="197">
        <v>54.33485218749022</v>
      </c>
      <c r="M32" s="197">
        <v>54.242482210254884</v>
      </c>
      <c r="N32" s="197">
        <v>52.549419796499777</v>
      </c>
      <c r="O32" s="197">
        <v>41.074234544984492</v>
      </c>
      <c r="P32" s="197">
        <v>38.319339367687121</v>
      </c>
      <c r="Q32" s="197">
        <v>38.292607429390529</v>
      </c>
      <c r="R32" s="197">
        <v>37.001524331233874</v>
      </c>
      <c r="S32" s="197">
        <v>26.981509794889423</v>
      </c>
      <c r="T32" s="197">
        <v>24.604901478062164</v>
      </c>
      <c r="U32" s="197">
        <v>24.047183729174446</v>
      </c>
      <c r="V32" s="197">
        <v>22.762760608057892</v>
      </c>
      <c r="W32" s="197">
        <v>22.02889337690258</v>
      </c>
      <c r="X32" s="197">
        <v>21.598624196738992</v>
      </c>
      <c r="Y32" s="197">
        <v>21.36519978865498</v>
      </c>
      <c r="Z32" s="197">
        <v>21.097694555038636</v>
      </c>
      <c r="AA32" s="197">
        <v>20.658143674031365</v>
      </c>
      <c r="AB32" s="16">
        <f>AB31*(1+Assumptions!$L$13/12)</f>
        <v>0.62446049092204514</v>
      </c>
      <c r="AC32" s="16">
        <f t="shared" si="9"/>
        <v>0</v>
      </c>
      <c r="AD32" s="18">
        <f t="shared" si="10"/>
        <v>198.92520866387423</v>
      </c>
      <c r="AE32" s="18">
        <f t="shared" si="10"/>
        <v>0</v>
      </c>
      <c r="AF32" s="5">
        <v>0</v>
      </c>
      <c r="AG32" s="73">
        <f t="shared" si="11"/>
        <v>0</v>
      </c>
      <c r="AH32" s="16">
        <f>Assumptions!$E$13*Assumptions!H21</f>
        <v>4.0026707018257941</v>
      </c>
      <c r="AI32" s="16">
        <f>Assumptions!$F$13*Assumptions!I21</f>
        <v>3.7756707317073168</v>
      </c>
      <c r="AJ32" s="16">
        <f t="shared" si="12"/>
        <v>0</v>
      </c>
      <c r="AK32" s="16">
        <f t="shared" si="12"/>
        <v>0</v>
      </c>
    </row>
    <row r="33" spans="1:38" x14ac:dyDescent="0.2">
      <c r="A33" s="1">
        <f t="shared" si="5"/>
        <v>37209.174000000028</v>
      </c>
      <c r="B33" s="16">
        <f t="shared" si="3"/>
        <v>4.3831065420397719</v>
      </c>
      <c r="C33" s="17">
        <f t="shared" si="0"/>
        <v>49.549900366727606</v>
      </c>
      <c r="D33" s="16">
        <f t="shared" si="4"/>
        <v>0.62550125840691528</v>
      </c>
      <c r="E33" s="16">
        <f t="shared" si="1"/>
        <v>0</v>
      </c>
      <c r="F33" s="16">
        <f t="shared" si="2"/>
        <v>0</v>
      </c>
      <c r="G33" s="19">
        <f>IF('Peak Revenue'!$A$1="BL","-",SUM(C33:F33))</f>
        <v>50.175401625134519</v>
      </c>
      <c r="H33" s="197">
        <v>89.60176072929562</v>
      </c>
      <c r="I33" s="197">
        <v>79.163362953591374</v>
      </c>
      <c r="J33" s="197">
        <v>69.39661946896851</v>
      </c>
      <c r="K33" s="197">
        <v>59.201606426916179</v>
      </c>
      <c r="L33" s="197">
        <v>56.758926726818473</v>
      </c>
      <c r="M33" s="197">
        <v>53.201978385674771</v>
      </c>
      <c r="N33" s="197">
        <v>50.708012500067795</v>
      </c>
      <c r="O33" s="197">
        <v>50.608278829362895</v>
      </c>
      <c r="P33" s="197">
        <v>47.138703354391325</v>
      </c>
      <c r="Q33" s="197">
        <v>37.52064815583114</v>
      </c>
      <c r="R33" s="197">
        <v>34.042267416934884</v>
      </c>
      <c r="S33" s="197">
        <v>29.377606666702825</v>
      </c>
      <c r="T33" s="197">
        <v>28.967797583390592</v>
      </c>
      <c r="U33" s="197">
        <v>26.002366660937696</v>
      </c>
      <c r="V33" s="197">
        <v>25.090198182761082</v>
      </c>
      <c r="W33" s="197">
        <v>23.548692144616798</v>
      </c>
      <c r="X33" s="197">
        <v>22.847541013888545</v>
      </c>
      <c r="Y33" s="197">
        <v>22.30913680895582</v>
      </c>
      <c r="Z33" s="197">
        <v>21.879283063841946</v>
      </c>
      <c r="AA33" s="197">
        <v>21.345472763375472</v>
      </c>
      <c r="AB33" s="16">
        <f>AB32*(1+Assumptions!$L$13/12)</f>
        <v>0.62550125840691528</v>
      </c>
      <c r="AC33" s="16">
        <f t="shared" si="9"/>
        <v>0</v>
      </c>
      <c r="AD33" s="18">
        <f t="shared" si="10"/>
        <v>198.92520866387423</v>
      </c>
      <c r="AE33" s="18">
        <f t="shared" si="10"/>
        <v>0</v>
      </c>
      <c r="AF33" s="5">
        <v>0</v>
      </c>
      <c r="AG33" s="73">
        <f t="shared" si="11"/>
        <v>0</v>
      </c>
      <c r="AH33" s="16">
        <f>Assumptions!$E$13*Assumptions!H22</f>
        <v>4.3831065420397719</v>
      </c>
      <c r="AI33" s="16">
        <f>Assumptions!$F$13*Assumptions!I22</f>
        <v>4.0936219512195118</v>
      </c>
      <c r="AJ33" s="16">
        <f t="shared" si="12"/>
        <v>0</v>
      </c>
      <c r="AK33" s="16">
        <f t="shared" si="12"/>
        <v>0</v>
      </c>
    </row>
    <row r="34" spans="1:38" x14ac:dyDescent="0.2">
      <c r="A34" s="1">
        <f t="shared" si="5"/>
        <v>37239.591000000029</v>
      </c>
      <c r="B34" s="16">
        <f t="shared" si="3"/>
        <v>4.7433064333061985</v>
      </c>
      <c r="C34" s="17">
        <f t="shared" si="0"/>
        <v>53.621868171564877</v>
      </c>
      <c r="D34" s="16">
        <f t="shared" si="4"/>
        <v>0.62654376050426019</v>
      </c>
      <c r="E34" s="16">
        <f t="shared" si="1"/>
        <v>0</v>
      </c>
      <c r="F34" s="16">
        <f t="shared" si="2"/>
        <v>0</v>
      </c>
      <c r="G34" s="19">
        <f>IF('Peak Revenue'!$A$1="BL","-",SUM(C34:F34))</f>
        <v>54.248411932069139</v>
      </c>
      <c r="H34" s="197">
        <v>93.278708978317795</v>
      </c>
      <c r="I34" s="197">
        <v>89.712457289696701</v>
      </c>
      <c r="J34" s="197">
        <v>86.809253395685715</v>
      </c>
      <c r="K34" s="197">
        <v>86.307265112837428</v>
      </c>
      <c r="L34" s="197">
        <v>86.290043585282731</v>
      </c>
      <c r="M34" s="197">
        <v>82.533956348267424</v>
      </c>
      <c r="N34" s="197">
        <v>65.729929849049867</v>
      </c>
      <c r="O34" s="197">
        <v>58.211508636939904</v>
      </c>
      <c r="P34" s="197">
        <v>55.419680468435587</v>
      </c>
      <c r="Q34" s="197">
        <v>55.333716237686232</v>
      </c>
      <c r="R34" s="197">
        <v>27.913033022208197</v>
      </c>
      <c r="S34" s="197">
        <v>24.926841444885437</v>
      </c>
      <c r="T34" s="197">
        <v>24.298916490687837</v>
      </c>
      <c r="U34" s="197">
        <v>23.426936536936545</v>
      </c>
      <c r="V34" s="197">
        <v>22.320481449553743</v>
      </c>
      <c r="W34" s="197">
        <v>21.858567203839108</v>
      </c>
      <c r="X34" s="197">
        <v>21.473608956298431</v>
      </c>
      <c r="Y34" s="197">
        <v>21.232941048445301</v>
      </c>
      <c r="Z34" s="197">
        <v>20.99232746115711</v>
      </c>
      <c r="AA34" s="197">
        <v>20.52235632462871</v>
      </c>
      <c r="AB34" s="16">
        <f>AB33*(1+Assumptions!$L$13/12)</f>
        <v>0.62654376050426019</v>
      </c>
      <c r="AC34" s="16">
        <f t="shared" si="9"/>
        <v>0</v>
      </c>
      <c r="AD34" s="18">
        <f t="shared" si="10"/>
        <v>198.92520866387423</v>
      </c>
      <c r="AE34" s="18">
        <f t="shared" si="10"/>
        <v>0</v>
      </c>
      <c r="AF34" s="5">
        <v>0</v>
      </c>
      <c r="AG34" s="73">
        <f t="shared" si="11"/>
        <v>0</v>
      </c>
      <c r="AH34" s="16">
        <f>Assumptions!$E$13*Assumptions!H23</f>
        <v>4.7433064333061985</v>
      </c>
      <c r="AI34" s="16">
        <f>Assumptions!$F$13*Assumptions!I23</f>
        <v>4.2923414634146342</v>
      </c>
      <c r="AJ34" s="16">
        <f t="shared" si="12"/>
        <v>0</v>
      </c>
      <c r="AK34" s="16">
        <f t="shared" si="12"/>
        <v>0</v>
      </c>
    </row>
    <row r="35" spans="1:38" x14ac:dyDescent="0.2">
      <c r="A35" s="1">
        <f t="shared" si="5"/>
        <v>37270.008000000031</v>
      </c>
      <c r="B35" s="16">
        <f t="shared" si="3"/>
        <v>4.1606975675827789</v>
      </c>
      <c r="C35" s="17">
        <f t="shared" si="0"/>
        <v>47.035623695761373</v>
      </c>
      <c r="D35" s="16">
        <f t="shared" si="4"/>
        <v>0.62758800010510063</v>
      </c>
      <c r="E35" s="16">
        <f t="shared" si="1"/>
        <v>0</v>
      </c>
      <c r="F35" s="16">
        <f t="shared" si="2"/>
        <v>0</v>
      </c>
      <c r="G35" s="19">
        <f>IF('Peak Revenue'!$A$1="BL","-",SUM(C35:F35))</f>
        <v>47.663211695866472</v>
      </c>
      <c r="H35" s="197">
        <v>77.619688937682881</v>
      </c>
      <c r="I35" s="197">
        <v>75.711203786504399</v>
      </c>
      <c r="J35" s="197">
        <v>73.78410128803003</v>
      </c>
      <c r="K35" s="197">
        <v>69.692918356594618</v>
      </c>
      <c r="L35" s="197">
        <v>68.657800810470818</v>
      </c>
      <c r="M35" s="197">
        <v>68.299843104989094</v>
      </c>
      <c r="N35" s="197">
        <v>64.436204034381973</v>
      </c>
      <c r="O35" s="197">
        <v>52.580480235146702</v>
      </c>
      <c r="P35" s="197">
        <v>46.206641503579462</v>
      </c>
      <c r="Q35" s="197">
        <v>41.405894413389028</v>
      </c>
      <c r="R35" s="197">
        <v>37.880297087824729</v>
      </c>
      <c r="S35" s="197">
        <v>26.615622323594394</v>
      </c>
      <c r="T35" s="197">
        <v>24.797814763733417</v>
      </c>
      <c r="U35" s="197">
        <v>24.116929007254381</v>
      </c>
      <c r="V35" s="197">
        <v>22.794354166470747</v>
      </c>
      <c r="W35" s="197">
        <v>22.207132341659275</v>
      </c>
      <c r="X35" s="197">
        <v>21.861331403753546</v>
      </c>
      <c r="Y35" s="197">
        <v>21.528588324610666</v>
      </c>
      <c r="Z35" s="197">
        <v>21.301869470401293</v>
      </c>
      <c r="AA35" s="197">
        <v>20.847407529582057</v>
      </c>
      <c r="AB35" s="16">
        <f>AB34*(1+Assumptions!$L$13/12)</f>
        <v>0.62758800010510063</v>
      </c>
      <c r="AC35" s="16">
        <f>VLOOKUP($C$1,EnvVOM,5)</f>
        <v>0</v>
      </c>
      <c r="AD35" s="18">
        <f>Assumptions!B14</f>
        <v>218.80258102590736</v>
      </c>
      <c r="AE35" s="18">
        <f>Assumptions!C14</f>
        <v>0</v>
      </c>
      <c r="AF35" s="5">
        <v>0</v>
      </c>
      <c r="AG35" s="73">
        <f>VLOOKUP($C$1,Coal,5)</f>
        <v>0</v>
      </c>
      <c r="AH35" s="16">
        <f>Assumptions!$E$14*Assumptions!H12</f>
        <v>4.1606975675827789</v>
      </c>
      <c r="AI35" s="16">
        <f>Assumptions!$F$14*Assumptions!I12</f>
        <v>3.9054604358353529</v>
      </c>
      <c r="AJ35" s="16">
        <f>VLOOKUP($C$1,SO2Rate,5)</f>
        <v>0</v>
      </c>
      <c r="AK35" s="16">
        <f>VLOOKUP($C$1,NOxRate,5)</f>
        <v>0</v>
      </c>
    </row>
    <row r="36" spans="1:38" x14ac:dyDescent="0.2">
      <c r="A36" s="1">
        <f t="shared" si="5"/>
        <v>37300.425000000032</v>
      </c>
      <c r="B36" s="16">
        <f t="shared" si="3"/>
        <v>3.7291358517962672</v>
      </c>
      <c r="C36" s="17">
        <f t="shared" si="0"/>
        <v>42.15692868476485</v>
      </c>
      <c r="D36" s="16">
        <f t="shared" si="4"/>
        <v>0.62863398010527582</v>
      </c>
      <c r="E36" s="16">
        <f t="shared" si="1"/>
        <v>0</v>
      </c>
      <c r="F36" s="16">
        <f t="shared" si="2"/>
        <v>0</v>
      </c>
      <c r="G36" s="19">
        <f>IF('Peak Revenue'!$A$1="BL","-",SUM(C36:F36))</f>
        <v>42.785562664870127</v>
      </c>
      <c r="H36" s="197">
        <v>187.53697382609306</v>
      </c>
      <c r="I36" s="197">
        <v>104.02247061300116</v>
      </c>
      <c r="J36" s="197">
        <v>86.059835618879717</v>
      </c>
      <c r="K36" s="197">
        <v>65.257061758178793</v>
      </c>
      <c r="L36" s="197">
        <v>55.481156323912892</v>
      </c>
      <c r="M36" s="197">
        <v>52.189227629941016</v>
      </c>
      <c r="N36" s="197">
        <v>48.314758359370956</v>
      </c>
      <c r="O36" s="197">
        <v>47.919360511893828</v>
      </c>
      <c r="P36" s="197">
        <v>45.394252149101554</v>
      </c>
      <c r="Q36" s="197">
        <v>36.118328093413211</v>
      </c>
      <c r="R36" s="197">
        <v>34.054617668247836</v>
      </c>
      <c r="S36" s="197">
        <v>28.965482260046556</v>
      </c>
      <c r="T36" s="197">
        <v>27.890325606343374</v>
      </c>
      <c r="U36" s="197">
        <v>27.187373053256131</v>
      </c>
      <c r="V36" s="197">
        <v>26.220341540765521</v>
      </c>
      <c r="W36" s="197">
        <v>24.779411712521686</v>
      </c>
      <c r="X36" s="197">
        <v>24.135924287314982</v>
      </c>
      <c r="Y36" s="197">
        <v>23.424666076124076</v>
      </c>
      <c r="Z36" s="197">
        <v>22.817911254663347</v>
      </c>
      <c r="AA36" s="197">
        <v>22.338050286879817</v>
      </c>
      <c r="AB36" s="16">
        <f>AB35*(1+Assumptions!$L$13/12)</f>
        <v>0.62863398010527582</v>
      </c>
      <c r="AC36" s="16">
        <f>AC35</f>
        <v>0</v>
      </c>
      <c r="AD36" s="18">
        <f>AD35</f>
        <v>218.80258102590736</v>
      </c>
      <c r="AE36" s="18">
        <f>AE35</f>
        <v>0</v>
      </c>
      <c r="AF36" s="5">
        <v>0</v>
      </c>
      <c r="AG36" s="73">
        <f>AG35</f>
        <v>0</v>
      </c>
      <c r="AH36" s="16">
        <f>Assumptions!$E$14*Assumptions!H13</f>
        <v>3.7291358517962672</v>
      </c>
      <c r="AI36" s="16">
        <f>Assumptions!$F$14*Assumptions!I13</f>
        <v>3.8692987651331734</v>
      </c>
      <c r="AJ36" s="16">
        <f>AJ35</f>
        <v>0</v>
      </c>
      <c r="AK36" s="16">
        <f>AK35</f>
        <v>0</v>
      </c>
    </row>
    <row r="37" spans="1:38" x14ac:dyDescent="0.2">
      <c r="A37" s="1">
        <f t="shared" si="5"/>
        <v>37330.842000000033</v>
      </c>
      <c r="B37" s="16">
        <f t="shared" si="3"/>
        <v>3.6664303033486547</v>
      </c>
      <c r="C37" s="17">
        <f t="shared" si="0"/>
        <v>41.448058469491855</v>
      </c>
      <c r="D37" s="16">
        <f t="shared" si="4"/>
        <v>0.62968170340545127</v>
      </c>
      <c r="E37" s="16">
        <f t="shared" si="1"/>
        <v>0</v>
      </c>
      <c r="F37" s="16">
        <f t="shared" si="2"/>
        <v>0</v>
      </c>
      <c r="G37" s="19">
        <f>IF('Peak Revenue'!$A$1="BL","-",SUM(C37:F37))</f>
        <v>42.077740172897308</v>
      </c>
      <c r="H37" s="197">
        <v>74.472344708406197</v>
      </c>
      <c r="I37" s="197">
        <v>71.699674653338178</v>
      </c>
      <c r="J37" s="197">
        <v>70.515954849927567</v>
      </c>
      <c r="K37" s="197">
        <v>66.821077220360479</v>
      </c>
      <c r="L37" s="197">
        <v>64.914537002916092</v>
      </c>
      <c r="M37" s="197">
        <v>64.768200365504953</v>
      </c>
      <c r="N37" s="197">
        <v>62.764682794640734</v>
      </c>
      <c r="O37" s="197">
        <v>49.317206155876832</v>
      </c>
      <c r="P37" s="197">
        <v>45.037211650050878</v>
      </c>
      <c r="Q37" s="197">
        <v>44.884727774528244</v>
      </c>
      <c r="R37" s="197">
        <v>44.722799770156904</v>
      </c>
      <c r="S37" s="197">
        <v>25.78236639803777</v>
      </c>
      <c r="T37" s="197">
        <v>23.264392800970487</v>
      </c>
      <c r="U37" s="197">
        <v>22.837620092156364</v>
      </c>
      <c r="V37" s="197">
        <v>21.638335614202116</v>
      </c>
      <c r="W37" s="197">
        <v>20.94105001959209</v>
      </c>
      <c r="X37" s="197">
        <v>20.461231362748634</v>
      </c>
      <c r="Y37" s="197">
        <v>20.016343397958778</v>
      </c>
      <c r="Z37" s="197">
        <v>19.763924129829654</v>
      </c>
      <c r="AA37" s="197">
        <v>19.253775197355935</v>
      </c>
      <c r="AB37" s="16">
        <f>AB36*(1+Assumptions!$L$13/12)</f>
        <v>0.62968170340545127</v>
      </c>
      <c r="AC37" s="16">
        <f t="shared" ref="AC37:AC46" si="13">AC36</f>
        <v>0</v>
      </c>
      <c r="AD37" s="18">
        <f t="shared" ref="AD37:AE46" si="14">AD36</f>
        <v>218.80258102590736</v>
      </c>
      <c r="AE37" s="18">
        <f t="shared" si="14"/>
        <v>0</v>
      </c>
      <c r="AF37" s="5">
        <v>0</v>
      </c>
      <c r="AG37" s="73">
        <f t="shared" ref="AG37:AG46" si="15">AG36</f>
        <v>0</v>
      </c>
      <c r="AH37" s="16">
        <f>Assumptions!$E$14*Assumptions!H14</f>
        <v>3.6664303033486547</v>
      </c>
      <c r="AI37" s="16">
        <f>Assumptions!$F$14*Assumptions!I14</f>
        <v>3.7246520823244564</v>
      </c>
      <c r="AJ37" s="16">
        <f t="shared" ref="AJ37:AK46" si="16">AJ36</f>
        <v>0</v>
      </c>
      <c r="AK37" s="16">
        <f t="shared" si="16"/>
        <v>0</v>
      </c>
    </row>
    <row r="38" spans="1:38" x14ac:dyDescent="0.2">
      <c r="A38" s="1">
        <f t="shared" si="5"/>
        <v>37361.259000000035</v>
      </c>
      <c r="B38" s="16">
        <f t="shared" si="3"/>
        <v>3.4856907813525941</v>
      </c>
      <c r="C38" s="17">
        <f t="shared" si="0"/>
        <v>39.404844319587326</v>
      </c>
      <c r="D38" s="16">
        <f t="shared" si="4"/>
        <v>0.63073117291112701</v>
      </c>
      <c r="E38" s="16">
        <f t="shared" si="1"/>
        <v>0</v>
      </c>
      <c r="F38" s="16">
        <f t="shared" si="2"/>
        <v>0</v>
      </c>
      <c r="G38" s="19">
        <f>IF('Peak Revenue'!$A$1="BL","-",SUM(C38:F38))</f>
        <v>40.035575492498452</v>
      </c>
      <c r="H38" s="197">
        <v>69.099344266976644</v>
      </c>
      <c r="I38" s="197">
        <v>66.375706093132948</v>
      </c>
      <c r="J38" s="197">
        <v>64.254460502531202</v>
      </c>
      <c r="K38" s="197">
        <v>63.772249657018989</v>
      </c>
      <c r="L38" s="197">
        <v>63.406557508401534</v>
      </c>
      <c r="M38" s="197">
        <v>60.15921507751267</v>
      </c>
      <c r="N38" s="197">
        <v>47.263003755572747</v>
      </c>
      <c r="O38" s="197">
        <v>42.335809717655252</v>
      </c>
      <c r="P38" s="197">
        <v>39.505859485741787</v>
      </c>
      <c r="Q38" s="197">
        <v>33.46502583887883</v>
      </c>
      <c r="R38" s="197">
        <v>23.15465545992538</v>
      </c>
      <c r="S38" s="197">
        <v>21.922629247050711</v>
      </c>
      <c r="T38" s="197">
        <v>21.380490087644301</v>
      </c>
      <c r="U38" s="197">
        <v>20.308684174883247</v>
      </c>
      <c r="V38" s="197">
        <v>19.835700772146346</v>
      </c>
      <c r="W38" s="197">
        <v>19.453473749354306</v>
      </c>
      <c r="X38" s="197">
        <v>19.207296402411327</v>
      </c>
      <c r="Y38" s="197">
        <v>19.039240123450099</v>
      </c>
      <c r="Z38" s="197">
        <v>18.899697131657796</v>
      </c>
      <c r="AA38" s="197">
        <v>18.485972251630265</v>
      </c>
      <c r="AB38" s="16">
        <f>AB37*(1+Assumptions!$L$13/12)</f>
        <v>0.63073117291112701</v>
      </c>
      <c r="AC38" s="16">
        <f t="shared" si="13"/>
        <v>0</v>
      </c>
      <c r="AD38" s="18">
        <f t="shared" si="14"/>
        <v>218.80258102590736</v>
      </c>
      <c r="AE38" s="18">
        <f t="shared" si="14"/>
        <v>0</v>
      </c>
      <c r="AF38" s="5">
        <v>0</v>
      </c>
      <c r="AG38" s="73">
        <f t="shared" si="15"/>
        <v>0</v>
      </c>
      <c r="AH38" s="16">
        <f>Assumptions!$E$14*Assumptions!H15</f>
        <v>3.4856907813525941</v>
      </c>
      <c r="AI38" s="16">
        <f>Assumptions!$F$14*Assumptions!I15</f>
        <v>3.5800053995157399</v>
      </c>
      <c r="AJ38" s="16">
        <f t="shared" si="16"/>
        <v>0</v>
      </c>
      <c r="AK38" s="16">
        <f t="shared" si="16"/>
        <v>0</v>
      </c>
    </row>
    <row r="39" spans="1:38" x14ac:dyDescent="0.2">
      <c r="A39" s="1">
        <f t="shared" si="5"/>
        <v>37391.676000000036</v>
      </c>
      <c r="B39" s="16">
        <f t="shared" si="3"/>
        <v>3.6701188650220438</v>
      </c>
      <c r="C39" s="17">
        <f t="shared" si="0"/>
        <v>41.48975671744909</v>
      </c>
      <c r="D39" s="16">
        <f t="shared" si="4"/>
        <v>0.63178239153264559</v>
      </c>
      <c r="E39" s="16">
        <f t="shared" si="1"/>
        <v>0</v>
      </c>
      <c r="F39" s="16">
        <f t="shared" si="2"/>
        <v>0</v>
      </c>
      <c r="G39" s="19">
        <f>IF('Peak Revenue'!$A$1="BL","-",SUM(C39:F39))</f>
        <v>42.121539108981736</v>
      </c>
      <c r="H39" s="197">
        <v>60.92043001130908</v>
      </c>
      <c r="I39" s="197">
        <v>57.763638834758595</v>
      </c>
      <c r="J39" s="197">
        <v>55.393817889237823</v>
      </c>
      <c r="K39" s="197">
        <v>51.364113584617414</v>
      </c>
      <c r="L39" s="197">
        <v>50.835156117668888</v>
      </c>
      <c r="M39" s="197">
        <v>45.309173750761438</v>
      </c>
      <c r="N39" s="197">
        <v>37.434387069229565</v>
      </c>
      <c r="O39" s="197">
        <v>36.396137285552399</v>
      </c>
      <c r="P39" s="197">
        <v>32.876254800430416</v>
      </c>
      <c r="Q39" s="197">
        <v>29.447965218104383</v>
      </c>
      <c r="R39" s="197">
        <v>27.401861581004134</v>
      </c>
      <c r="S39" s="197">
        <v>26.463445835062547</v>
      </c>
      <c r="T39" s="197">
        <v>25.637953846258863</v>
      </c>
      <c r="U39" s="197">
        <v>24.846873383355966</v>
      </c>
      <c r="V39" s="197">
        <v>23.166611246790268</v>
      </c>
      <c r="W39" s="197">
        <v>22.482630798047047</v>
      </c>
      <c r="X39" s="197">
        <v>21.843023952242469</v>
      </c>
      <c r="Y39" s="197">
        <v>21.449365048558491</v>
      </c>
      <c r="Z39" s="197">
        <v>21.187016341850647</v>
      </c>
      <c r="AA39" s="197">
        <v>20.67426584328998</v>
      </c>
      <c r="AB39" s="16">
        <f>AB38*(1+Assumptions!$L$13/12)</f>
        <v>0.63178239153264559</v>
      </c>
      <c r="AC39" s="16">
        <f t="shared" si="13"/>
        <v>0</v>
      </c>
      <c r="AD39" s="18">
        <f t="shared" si="14"/>
        <v>218.80258102590736</v>
      </c>
      <c r="AE39" s="18">
        <f t="shared" si="14"/>
        <v>0</v>
      </c>
      <c r="AF39" s="5">
        <v>0</v>
      </c>
      <c r="AG39" s="73">
        <f t="shared" si="15"/>
        <v>0</v>
      </c>
      <c r="AH39" s="16">
        <f>Assumptions!$E$14*Assumptions!H16</f>
        <v>3.6701188650220438</v>
      </c>
      <c r="AI39" s="16">
        <f>Assumptions!$F$14*Assumptions!I16</f>
        <v>3.435358716707023</v>
      </c>
      <c r="AJ39" s="16">
        <f t="shared" si="16"/>
        <v>0</v>
      </c>
      <c r="AK39" s="16">
        <f t="shared" si="16"/>
        <v>0</v>
      </c>
    </row>
    <row r="40" spans="1:38" x14ac:dyDescent="0.2">
      <c r="A40" s="1">
        <f t="shared" si="5"/>
        <v>37422.093000000037</v>
      </c>
      <c r="B40" s="16">
        <f t="shared" si="3"/>
        <v>3.4967564663727608</v>
      </c>
      <c r="C40" s="17">
        <f t="shared" si="0"/>
        <v>39.529939063459032</v>
      </c>
      <c r="D40" s="16">
        <f t="shared" si="4"/>
        <v>0.63283536218519998</v>
      </c>
      <c r="E40" s="16">
        <f t="shared" si="1"/>
        <v>0</v>
      </c>
      <c r="F40" s="16">
        <f t="shared" si="2"/>
        <v>0</v>
      </c>
      <c r="G40" s="19">
        <f>IF('Peak Revenue'!$A$1="BL","-",SUM(C40:F40))</f>
        <v>40.16277442564423</v>
      </c>
      <c r="H40" s="197">
        <v>369.69652614314498</v>
      </c>
      <c r="I40" s="197">
        <v>232.20462315963829</v>
      </c>
      <c r="J40" s="197">
        <v>126.00609111676519</v>
      </c>
      <c r="K40" s="197">
        <v>58.282397392635161</v>
      </c>
      <c r="L40" s="197">
        <v>53.795914011554792</v>
      </c>
      <c r="M40" s="197">
        <v>49.735571781617196</v>
      </c>
      <c r="N40" s="197">
        <v>48.544661905387237</v>
      </c>
      <c r="O40" s="197">
        <v>43.928310955151829</v>
      </c>
      <c r="P40" s="197">
        <v>34.226034727598432</v>
      </c>
      <c r="Q40" s="197">
        <v>29.113610276756745</v>
      </c>
      <c r="R40" s="197">
        <v>27.05725640650585</v>
      </c>
      <c r="S40" s="197">
        <v>24.625543612645551</v>
      </c>
      <c r="T40" s="197">
        <v>23.146377135870374</v>
      </c>
      <c r="U40" s="197">
        <v>21.942429519214677</v>
      </c>
      <c r="V40" s="197">
        <v>21.253758935960995</v>
      </c>
      <c r="W40" s="197">
        <v>20.998453826358254</v>
      </c>
      <c r="X40" s="197">
        <v>20.818182725658986</v>
      </c>
      <c r="Y40" s="197">
        <v>20.535441030875354</v>
      </c>
      <c r="Z40" s="197">
        <v>20.372784727048831</v>
      </c>
      <c r="AA40" s="197">
        <v>19.949904828713674</v>
      </c>
      <c r="AB40" s="16">
        <f>AB39*(1+Assumptions!$L$13/12)</f>
        <v>0.63283536218519998</v>
      </c>
      <c r="AC40" s="16">
        <f t="shared" si="13"/>
        <v>0</v>
      </c>
      <c r="AD40" s="18">
        <f t="shared" si="14"/>
        <v>218.80258102590736</v>
      </c>
      <c r="AE40" s="18">
        <f t="shared" si="14"/>
        <v>0</v>
      </c>
      <c r="AF40" s="5">
        <v>0</v>
      </c>
      <c r="AG40" s="73">
        <f t="shared" si="15"/>
        <v>0</v>
      </c>
      <c r="AH40" s="16">
        <f>Assumptions!$E$14*Assumptions!H17</f>
        <v>3.4967564663727608</v>
      </c>
      <c r="AI40" s="16">
        <f>Assumptions!$F$14*Assumptions!I17</f>
        <v>3.435358716707023</v>
      </c>
      <c r="AJ40" s="16">
        <f t="shared" si="16"/>
        <v>0</v>
      </c>
      <c r="AK40" s="16">
        <f t="shared" si="16"/>
        <v>0</v>
      </c>
    </row>
    <row r="41" spans="1:38" x14ac:dyDescent="0.2">
      <c r="A41" s="1">
        <f t="shared" si="5"/>
        <v>37452.510000000038</v>
      </c>
      <c r="B41" s="16">
        <f t="shared" si="3"/>
        <v>3.4856907813525941</v>
      </c>
      <c r="C41" s="17">
        <f t="shared" si="0"/>
        <v>39.404844319587326</v>
      </c>
      <c r="D41" s="16">
        <f t="shared" si="4"/>
        <v>0.63389008778884204</v>
      </c>
      <c r="E41" s="16">
        <f t="shared" si="1"/>
        <v>0</v>
      </c>
      <c r="F41" s="16">
        <f t="shared" si="2"/>
        <v>0</v>
      </c>
      <c r="G41" s="19">
        <f>IF('Peak Revenue'!$A$1="BL","-",SUM(C41:F41))</f>
        <v>40.038734407376168</v>
      </c>
      <c r="H41" s="197">
        <v>1055.5831613825278</v>
      </c>
      <c r="I41" s="197">
        <v>557.80810355480537</v>
      </c>
      <c r="J41" s="197">
        <v>347.35746153335202</v>
      </c>
      <c r="K41" s="197">
        <v>212.79104294126213</v>
      </c>
      <c r="L41" s="197">
        <v>68.033570902138052</v>
      </c>
      <c r="M41" s="197">
        <v>58.669496459004584</v>
      </c>
      <c r="N41" s="197">
        <v>53.816271048005468</v>
      </c>
      <c r="O41" s="197">
        <v>51.527330112054003</v>
      </c>
      <c r="P41" s="197">
        <v>49.482742898876126</v>
      </c>
      <c r="Q41" s="197">
        <v>39.84270191008082</v>
      </c>
      <c r="R41" s="197">
        <v>32.177011164873605</v>
      </c>
      <c r="S41" s="197">
        <v>29.040320027713939</v>
      </c>
      <c r="T41" s="197">
        <v>24.44197558605282</v>
      </c>
      <c r="U41" s="197">
        <v>23.078108810754358</v>
      </c>
      <c r="V41" s="197">
        <v>21.541527608861919</v>
      </c>
      <c r="W41" s="197">
        <v>20.870205523287261</v>
      </c>
      <c r="X41" s="197">
        <v>20.43309520169106</v>
      </c>
      <c r="Y41" s="197">
        <v>20.083665243686326</v>
      </c>
      <c r="Z41" s="197">
        <v>19.858194470189485</v>
      </c>
      <c r="AA41" s="197">
        <v>19.358128130329455</v>
      </c>
      <c r="AB41" s="16">
        <f>AB40*(1+Assumptions!$L$13/12)</f>
        <v>0.63389008778884204</v>
      </c>
      <c r="AC41" s="16">
        <f t="shared" si="13"/>
        <v>0</v>
      </c>
      <c r="AD41" s="18">
        <f t="shared" si="14"/>
        <v>218.80258102590736</v>
      </c>
      <c r="AE41" s="18">
        <f t="shared" si="14"/>
        <v>0</v>
      </c>
      <c r="AF41" s="5">
        <v>0</v>
      </c>
      <c r="AG41" s="73">
        <f t="shared" si="15"/>
        <v>0</v>
      </c>
      <c r="AH41" s="16">
        <f>Assumptions!$E$14*Assumptions!H18</f>
        <v>3.4856907813525941</v>
      </c>
      <c r="AI41" s="16">
        <f>Assumptions!$F$14*Assumptions!I18</f>
        <v>3.435358716707023</v>
      </c>
      <c r="AJ41" s="16">
        <f t="shared" si="16"/>
        <v>0</v>
      </c>
      <c r="AK41" s="16">
        <f t="shared" si="16"/>
        <v>0</v>
      </c>
    </row>
    <row r="42" spans="1:38" x14ac:dyDescent="0.2">
      <c r="A42" s="1">
        <f t="shared" si="5"/>
        <v>37482.92700000004</v>
      </c>
      <c r="B42" s="16">
        <f t="shared" si="3"/>
        <v>3.304951259356534</v>
      </c>
      <c r="C42" s="17">
        <f t="shared" si="0"/>
        <v>37.361630169682797</v>
      </c>
      <c r="D42" s="16">
        <f t="shared" si="4"/>
        <v>0.63494657126849008</v>
      </c>
      <c r="E42" s="16">
        <f t="shared" si="1"/>
        <v>0</v>
      </c>
      <c r="F42" s="16">
        <f t="shared" si="2"/>
        <v>0</v>
      </c>
      <c r="G42" s="19">
        <f>IF('Peak Revenue'!$A$1="BL","-",SUM(C42:F42))</f>
        <v>37.996576740951291</v>
      </c>
      <c r="H42" s="197">
        <v>2214.6198515256228</v>
      </c>
      <c r="I42" s="197">
        <v>982.19166419557007</v>
      </c>
      <c r="J42" s="197">
        <v>550.78247770454811</v>
      </c>
      <c r="K42" s="197">
        <v>276.99517556332842</v>
      </c>
      <c r="L42" s="197">
        <v>133.31662885966114</v>
      </c>
      <c r="M42" s="197">
        <v>71.63936069653947</v>
      </c>
      <c r="N42" s="197">
        <v>63.940004549254319</v>
      </c>
      <c r="O42" s="197">
        <v>60.980928581600779</v>
      </c>
      <c r="P42" s="197">
        <v>48.641443497059171</v>
      </c>
      <c r="Q42" s="197">
        <v>40.584015886968224</v>
      </c>
      <c r="R42" s="197">
        <v>34.514254406945568</v>
      </c>
      <c r="S42" s="197">
        <v>32.127259208906061</v>
      </c>
      <c r="T42" s="197">
        <v>30.838936311707535</v>
      </c>
      <c r="U42" s="197">
        <v>26.010970736211501</v>
      </c>
      <c r="V42" s="197">
        <v>24.426905224326084</v>
      </c>
      <c r="W42" s="197">
        <v>22.99601096858272</v>
      </c>
      <c r="X42" s="197">
        <v>22.179932264453043</v>
      </c>
      <c r="Y42" s="197">
        <v>21.869864771443179</v>
      </c>
      <c r="Z42" s="197">
        <v>21.616216401319392</v>
      </c>
      <c r="AA42" s="197">
        <v>20.966881061636702</v>
      </c>
      <c r="AB42" s="16">
        <f>AB41*(1+Assumptions!$L$13/12)</f>
        <v>0.63494657126849008</v>
      </c>
      <c r="AC42" s="16">
        <f t="shared" si="13"/>
        <v>0</v>
      </c>
      <c r="AD42" s="18">
        <f t="shared" si="14"/>
        <v>218.80258102590736</v>
      </c>
      <c r="AE42" s="18">
        <f t="shared" si="14"/>
        <v>0</v>
      </c>
      <c r="AF42" s="5">
        <v>0</v>
      </c>
      <c r="AG42" s="73">
        <f t="shared" si="15"/>
        <v>0</v>
      </c>
      <c r="AH42" s="16">
        <f>Assumptions!$E$14*Assumptions!H19</f>
        <v>3.304951259356534</v>
      </c>
      <c r="AI42" s="16">
        <f>Assumptions!$F$14*Assumptions!I19</f>
        <v>3.435358716707023</v>
      </c>
      <c r="AJ42" s="16">
        <f t="shared" si="16"/>
        <v>0</v>
      </c>
      <c r="AK42" s="16">
        <f t="shared" si="16"/>
        <v>0</v>
      </c>
    </row>
    <row r="43" spans="1:38" x14ac:dyDescent="0.2">
      <c r="A43" s="1">
        <f t="shared" si="5"/>
        <v>37513.344000000041</v>
      </c>
      <c r="B43" s="16">
        <f t="shared" si="3"/>
        <v>3.2938855743363669</v>
      </c>
      <c r="C43" s="17">
        <f t="shared" si="0"/>
        <v>37.236535425811091</v>
      </c>
      <c r="D43" s="16">
        <f t="shared" si="4"/>
        <v>0.63600481555393762</v>
      </c>
      <c r="E43" s="16">
        <f t="shared" si="1"/>
        <v>0</v>
      </c>
      <c r="F43" s="16">
        <f t="shared" si="2"/>
        <v>0</v>
      </c>
      <c r="G43" s="19">
        <f>IF('Peak Revenue'!$A$1="BL","-",SUM(C43:F43))</f>
        <v>37.87254024136503</v>
      </c>
      <c r="H43" s="197">
        <v>456.21662556815892</v>
      </c>
      <c r="I43" s="197">
        <v>267.8990473735762</v>
      </c>
      <c r="J43" s="197">
        <v>197.83923666433392</v>
      </c>
      <c r="K43" s="197">
        <v>63.388434167870216</v>
      </c>
      <c r="L43" s="197">
        <v>46.357745399998016</v>
      </c>
      <c r="M43" s="197">
        <v>40.185146010028582</v>
      </c>
      <c r="N43" s="197">
        <v>36.35859950575739</v>
      </c>
      <c r="O43" s="197">
        <v>35.304665816361684</v>
      </c>
      <c r="P43" s="197">
        <v>32.585080284017629</v>
      </c>
      <c r="Q43" s="197">
        <v>26.652497571820184</v>
      </c>
      <c r="R43" s="197">
        <v>25.073863098392756</v>
      </c>
      <c r="S43" s="197">
        <v>23.836612299808017</v>
      </c>
      <c r="T43" s="197">
        <v>22.050006835328414</v>
      </c>
      <c r="U43" s="197">
        <v>21.186062737084427</v>
      </c>
      <c r="V43" s="197">
        <v>21.116498425392223</v>
      </c>
      <c r="W43" s="197">
        <v>20.771698530267805</v>
      </c>
      <c r="X43" s="197">
        <v>20.362804213127838</v>
      </c>
      <c r="Y43" s="197">
        <v>20.031062025985296</v>
      </c>
      <c r="Z43" s="197">
        <v>19.787734247744858</v>
      </c>
      <c r="AA43" s="197">
        <v>19.347517015117138</v>
      </c>
      <c r="AB43" s="16">
        <f>AB42*(1+Assumptions!$L$13/12)</f>
        <v>0.63600481555393762</v>
      </c>
      <c r="AC43" s="16">
        <f t="shared" si="13"/>
        <v>0</v>
      </c>
      <c r="AD43" s="18">
        <f t="shared" si="14"/>
        <v>218.80258102590736</v>
      </c>
      <c r="AE43" s="18">
        <f t="shared" si="14"/>
        <v>0</v>
      </c>
      <c r="AF43" s="5">
        <v>0</v>
      </c>
      <c r="AG43" s="73">
        <f t="shared" si="15"/>
        <v>0</v>
      </c>
      <c r="AH43" s="16">
        <f>Assumptions!$E$14*Assumptions!H20</f>
        <v>3.2938855743363669</v>
      </c>
      <c r="AI43" s="16">
        <f>Assumptions!$F$14*Assumptions!I20</f>
        <v>3.435358716707023</v>
      </c>
      <c r="AJ43" s="16">
        <f t="shared" si="16"/>
        <v>0</v>
      </c>
      <c r="AK43" s="16">
        <f t="shared" si="16"/>
        <v>0</v>
      </c>
    </row>
    <row r="44" spans="1:38" x14ac:dyDescent="0.2">
      <c r="A44" s="1">
        <f t="shared" si="5"/>
        <v>37543.761000000042</v>
      </c>
      <c r="B44" s="16">
        <f t="shared" si="3"/>
        <v>3.6479874949817095</v>
      </c>
      <c r="C44" s="17">
        <f t="shared" si="0"/>
        <v>41.239567229705678</v>
      </c>
      <c r="D44" s="16">
        <f t="shared" si="4"/>
        <v>0.63706482357986083</v>
      </c>
      <c r="E44" s="16">
        <f t="shared" si="1"/>
        <v>0</v>
      </c>
      <c r="F44" s="16">
        <f t="shared" si="2"/>
        <v>0</v>
      </c>
      <c r="G44" s="19">
        <f>IF('Peak Revenue'!$A$1="BL","-",SUM(C44:F44))</f>
        <v>41.87663205328554</v>
      </c>
      <c r="H44" s="197">
        <v>57.006142922524738</v>
      </c>
      <c r="I44" s="197">
        <v>56.040761732617263</v>
      </c>
      <c r="J44" s="197">
        <v>54.740886369632719</v>
      </c>
      <c r="K44" s="197">
        <v>52.62768407506006</v>
      </c>
      <c r="L44" s="197">
        <v>50.217795242768652</v>
      </c>
      <c r="M44" s="197">
        <v>48.76559951993525</v>
      </c>
      <c r="N44" s="197">
        <v>48.638725296568417</v>
      </c>
      <c r="O44" s="197">
        <v>45.683376491748547</v>
      </c>
      <c r="P44" s="197">
        <v>36.688748232550807</v>
      </c>
      <c r="Q44" s="197">
        <v>34.365545523634452</v>
      </c>
      <c r="R44" s="197">
        <v>28.906273685521207</v>
      </c>
      <c r="S44" s="197">
        <v>28.333261203807076</v>
      </c>
      <c r="T44" s="197">
        <v>27.231769522040128</v>
      </c>
      <c r="U44" s="197">
        <v>26.240079571408636</v>
      </c>
      <c r="V44" s="197">
        <v>24.750438797629815</v>
      </c>
      <c r="W44" s="197">
        <v>23.682460652555424</v>
      </c>
      <c r="X44" s="197">
        <v>23.035655624432707</v>
      </c>
      <c r="Y44" s="197">
        <v>22.43229591980225</v>
      </c>
      <c r="Z44" s="197">
        <v>22.126096747118428</v>
      </c>
      <c r="AA44" s="197">
        <v>21.579800289647636</v>
      </c>
      <c r="AB44" s="16">
        <f>AB43*(1+Assumptions!$L$13/12)</f>
        <v>0.63706482357986083</v>
      </c>
      <c r="AC44" s="16">
        <f t="shared" si="13"/>
        <v>0</v>
      </c>
      <c r="AD44" s="18">
        <f t="shared" si="14"/>
        <v>218.80258102590736</v>
      </c>
      <c r="AE44" s="18">
        <f t="shared" si="14"/>
        <v>0</v>
      </c>
      <c r="AF44" s="5">
        <v>0</v>
      </c>
      <c r="AG44" s="73">
        <f t="shared" si="15"/>
        <v>0</v>
      </c>
      <c r="AH44" s="16">
        <f>Assumptions!$E$14*Assumptions!H21</f>
        <v>3.6479874949817095</v>
      </c>
      <c r="AI44" s="16">
        <f>Assumptions!$F$14*Assumptions!I21</f>
        <v>3.435358716707023</v>
      </c>
      <c r="AJ44" s="16">
        <f t="shared" si="16"/>
        <v>0</v>
      </c>
      <c r="AK44" s="16">
        <f t="shared" si="16"/>
        <v>0</v>
      </c>
    </row>
    <row r="45" spans="1:38" x14ac:dyDescent="0.2">
      <c r="A45" s="1">
        <f t="shared" si="5"/>
        <v>37574.178000000044</v>
      </c>
      <c r="B45" s="16">
        <f t="shared" si="3"/>
        <v>3.9947122922802745</v>
      </c>
      <c r="C45" s="17">
        <f t="shared" si="0"/>
        <v>45.159202537685786</v>
      </c>
      <c r="D45" s="16">
        <f t="shared" si="4"/>
        <v>0.6381265982858273</v>
      </c>
      <c r="E45" s="16">
        <f t="shared" si="1"/>
        <v>0</v>
      </c>
      <c r="F45" s="16">
        <f t="shared" si="2"/>
        <v>0</v>
      </c>
      <c r="G45" s="19">
        <f>IF('Peak Revenue'!$A$1="BL","-",SUM(C45:F45))</f>
        <v>45.797329135971616</v>
      </c>
      <c r="H45" s="197">
        <v>81.719667091237312</v>
      </c>
      <c r="I45" s="197">
        <v>70.159320331937181</v>
      </c>
      <c r="J45" s="197">
        <v>67.095752685073052</v>
      </c>
      <c r="K45" s="197">
        <v>63.853907515457706</v>
      </c>
      <c r="L45" s="197">
        <v>59.803205265538168</v>
      </c>
      <c r="M45" s="197">
        <v>58.007957767646047</v>
      </c>
      <c r="N45" s="197">
        <v>56.982965979184243</v>
      </c>
      <c r="O45" s="197">
        <v>47.962078826274947</v>
      </c>
      <c r="P45" s="197">
        <v>40.67215677369326</v>
      </c>
      <c r="Q45" s="197">
        <v>33.46691003161763</v>
      </c>
      <c r="R45" s="197">
        <v>32.585813980086577</v>
      </c>
      <c r="S45" s="197">
        <v>29.625966433836272</v>
      </c>
      <c r="T45" s="197">
        <v>29.625966433836272</v>
      </c>
      <c r="U45" s="197">
        <v>29.541670909900702</v>
      </c>
      <c r="V45" s="197">
        <v>29.299400375655477</v>
      </c>
      <c r="W45" s="197">
        <v>24.080534054725973</v>
      </c>
      <c r="X45" s="197">
        <v>22.759920017739283</v>
      </c>
      <c r="Y45" s="197">
        <v>21.531707394619289</v>
      </c>
      <c r="Z45" s="197">
        <v>20.647493928612192</v>
      </c>
      <c r="AA45" s="197">
        <v>19.695587829446993</v>
      </c>
      <c r="AB45" s="16">
        <f>AB44*(1+Assumptions!$L$13/12)</f>
        <v>0.6381265982858273</v>
      </c>
      <c r="AC45" s="16">
        <f t="shared" si="13"/>
        <v>0</v>
      </c>
      <c r="AD45" s="18">
        <f t="shared" si="14"/>
        <v>218.80258102590736</v>
      </c>
      <c r="AE45" s="18">
        <f t="shared" si="14"/>
        <v>0</v>
      </c>
      <c r="AF45" s="5">
        <v>0</v>
      </c>
      <c r="AG45" s="73">
        <f t="shared" si="15"/>
        <v>0</v>
      </c>
      <c r="AH45" s="16">
        <f>Assumptions!$E$14*Assumptions!H22</f>
        <v>3.9947122922802745</v>
      </c>
      <c r="AI45" s="16">
        <f>Assumptions!$F$14*Assumptions!I22</f>
        <v>3.7246520823244564</v>
      </c>
      <c r="AJ45" s="16">
        <f t="shared" si="16"/>
        <v>0</v>
      </c>
      <c r="AK45" s="16">
        <f t="shared" si="16"/>
        <v>0</v>
      </c>
    </row>
    <row r="46" spans="1:38" x14ac:dyDescent="0.2">
      <c r="A46" s="1">
        <f t="shared" si="5"/>
        <v>37604.595000000045</v>
      </c>
      <c r="B46" s="16">
        <f t="shared" si="3"/>
        <v>4.3229942812118942</v>
      </c>
      <c r="C46" s="17">
        <f t="shared" si="0"/>
        <v>48.870346605879725</v>
      </c>
      <c r="D46" s="16">
        <f t="shared" si="4"/>
        <v>0.63919014261630369</v>
      </c>
      <c r="E46" s="16">
        <f t="shared" si="1"/>
        <v>0</v>
      </c>
      <c r="F46" s="16">
        <f t="shared" si="2"/>
        <v>0</v>
      </c>
      <c r="G46" s="19">
        <f>IF('Peak Revenue'!$A$1="BL","-",SUM(C46:F46))</f>
        <v>49.509536748496025</v>
      </c>
      <c r="H46" s="197">
        <v>84.119426862222653</v>
      </c>
      <c r="I46" s="197">
        <v>76.12353258684513</v>
      </c>
      <c r="J46" s="197">
        <v>74.332274868709035</v>
      </c>
      <c r="K46" s="197">
        <v>70.884443720119123</v>
      </c>
      <c r="L46" s="197">
        <v>66.727670262545445</v>
      </c>
      <c r="M46" s="197">
        <v>65.032198740499382</v>
      </c>
      <c r="N46" s="197">
        <v>64.493876889460211</v>
      </c>
      <c r="O46" s="197">
        <v>59.244323721414652</v>
      </c>
      <c r="P46" s="197">
        <v>46.97174242695845</v>
      </c>
      <c r="Q46" s="197">
        <v>42.887291263159092</v>
      </c>
      <c r="R46" s="197">
        <v>37.014647076443147</v>
      </c>
      <c r="S46" s="197">
        <v>35.625733349195443</v>
      </c>
      <c r="T46" s="197">
        <v>26.8157386494157</v>
      </c>
      <c r="U46" s="197">
        <v>25.728933776355788</v>
      </c>
      <c r="V46" s="197">
        <v>24.002608701604075</v>
      </c>
      <c r="W46" s="197">
        <v>22.776321447061623</v>
      </c>
      <c r="X46" s="197">
        <v>22.22656526514379</v>
      </c>
      <c r="Y46" s="197">
        <v>21.819644030236663</v>
      </c>
      <c r="Z46" s="197">
        <v>21.46613043327919</v>
      </c>
      <c r="AA46" s="197">
        <v>20.856624001489145</v>
      </c>
      <c r="AB46" s="16">
        <f>AB45*(1+Assumptions!$L$13/12)</f>
        <v>0.63919014261630369</v>
      </c>
      <c r="AC46" s="16">
        <f t="shared" si="13"/>
        <v>0</v>
      </c>
      <c r="AD46" s="18">
        <f t="shared" si="14"/>
        <v>218.80258102590736</v>
      </c>
      <c r="AE46" s="18">
        <f t="shared" si="14"/>
        <v>0</v>
      </c>
      <c r="AF46" s="5">
        <v>0</v>
      </c>
      <c r="AG46" s="73">
        <f t="shared" si="15"/>
        <v>0</v>
      </c>
      <c r="AH46" s="16">
        <f>Assumptions!$E$14*Assumptions!H23</f>
        <v>4.3229942812118942</v>
      </c>
      <c r="AI46" s="16">
        <f>Assumptions!$F$14*Assumptions!I23</f>
        <v>3.9054604358353529</v>
      </c>
      <c r="AJ46" s="16">
        <f t="shared" si="16"/>
        <v>0</v>
      </c>
      <c r="AK46" s="16">
        <f t="shared" si="16"/>
        <v>0</v>
      </c>
    </row>
    <row r="47" spans="1:38" x14ac:dyDescent="0.2">
      <c r="A47" s="1">
        <f t="shared" si="5"/>
        <v>37635.012000000046</v>
      </c>
      <c r="B47" s="16">
        <f t="shared" si="3"/>
        <v>3.9896555363352655</v>
      </c>
      <c r="C47" s="17">
        <f t="shared" si="0"/>
        <v>45.102037202814088</v>
      </c>
      <c r="D47" s="16">
        <f t="shared" si="4"/>
        <v>0.64025545952066421</v>
      </c>
      <c r="E47" s="16">
        <f t="shared" si="1"/>
        <v>0</v>
      </c>
      <c r="F47" s="16">
        <f t="shared" si="2"/>
        <v>0</v>
      </c>
      <c r="G47" s="19">
        <f>IF('Peak Revenue'!$A$1="BL","-",SUM(C47:F47))</f>
        <v>45.742292662334755</v>
      </c>
      <c r="H47" s="197">
        <v>74.028231842640821</v>
      </c>
      <c r="I47" s="197">
        <v>71.633993864981036</v>
      </c>
      <c r="J47" s="197">
        <v>66.883973322967805</v>
      </c>
      <c r="K47" s="197">
        <v>60.321597098039646</v>
      </c>
      <c r="L47" s="197">
        <v>55.062612679049195</v>
      </c>
      <c r="M47" s="197">
        <v>52.480110542031355</v>
      </c>
      <c r="N47" s="197">
        <v>49.328971455208524</v>
      </c>
      <c r="O47" s="197">
        <v>48.897765739432565</v>
      </c>
      <c r="P47" s="197">
        <v>47.513146539933118</v>
      </c>
      <c r="Q47" s="197">
        <v>37.361930008329139</v>
      </c>
      <c r="R47" s="197">
        <v>35.57364104503786</v>
      </c>
      <c r="S47" s="197">
        <v>34.931762563240625</v>
      </c>
      <c r="T47" s="197">
        <v>27.888519862783046</v>
      </c>
      <c r="U47" s="197">
        <v>25.602155362477049</v>
      </c>
      <c r="V47" s="197">
        <v>25.421649063098961</v>
      </c>
      <c r="W47" s="197">
        <v>25.018727472501162</v>
      </c>
      <c r="X47" s="197">
        <v>23.995763829819953</v>
      </c>
      <c r="Y47" s="197">
        <v>23.190517805433011</v>
      </c>
      <c r="Z47" s="197">
        <v>22.123427149241571</v>
      </c>
      <c r="AA47" s="197">
        <v>21.031465550528427</v>
      </c>
      <c r="AB47" s="16">
        <f>AB46*(1+Assumptions!$L$13/12)</f>
        <v>0.64025545952066421</v>
      </c>
      <c r="AC47" s="16">
        <f>VLOOKUP($C$1,EnvVOM,6)</f>
        <v>0</v>
      </c>
      <c r="AD47" s="18">
        <f>Assumptions!B15</f>
        <v>240.4080539178627</v>
      </c>
      <c r="AE47" s="18">
        <f>Assumptions!C15</f>
        <v>4274.5039754649742</v>
      </c>
      <c r="AF47" s="5">
        <f>IF(Assumptions!D$15=1,0,1)</f>
        <v>0</v>
      </c>
      <c r="AG47" s="73">
        <f>VLOOKUP($C$1,Coal,6)</f>
        <v>0</v>
      </c>
      <c r="AH47" s="16">
        <f>Assumptions!$E$15*Assumptions!H12</f>
        <v>3.9896555363352655</v>
      </c>
      <c r="AI47" s="16">
        <f>Assumptions!$F$15*Assumptions!I12</f>
        <v>3.808396097560975</v>
      </c>
      <c r="AJ47" s="16">
        <f>VLOOKUP($C$1,SO2Rate,6)</f>
        <v>0</v>
      </c>
      <c r="AK47" s="16">
        <f>VLOOKUP($C$1,NOxRate,6)</f>
        <v>0</v>
      </c>
      <c r="AL47" s="4"/>
    </row>
    <row r="48" spans="1:38" x14ac:dyDescent="0.2">
      <c r="A48" s="1">
        <f t="shared" si="5"/>
        <v>37665.429000000047</v>
      </c>
      <c r="B48" s="16">
        <f t="shared" si="3"/>
        <v>3.5758348823004904</v>
      </c>
      <c r="C48" s="17">
        <f t="shared" si="0"/>
        <v>40.423900365288162</v>
      </c>
      <c r="D48" s="16">
        <f t="shared" si="4"/>
        <v>0.64132255195319865</v>
      </c>
      <c r="E48" s="16">
        <f t="shared" si="1"/>
        <v>0</v>
      </c>
      <c r="F48" s="16">
        <f t="shared" si="2"/>
        <v>0</v>
      </c>
      <c r="G48" s="19">
        <f>IF('Peak Revenue'!$A$1="BL","-",SUM(C48:F48))</f>
        <v>41.065222917241364</v>
      </c>
      <c r="H48" s="197">
        <v>117.50502983162259</v>
      </c>
      <c r="I48" s="197">
        <v>73.056560333132126</v>
      </c>
      <c r="J48" s="197">
        <v>64.707655712366389</v>
      </c>
      <c r="K48" s="197">
        <v>59.587951919959515</v>
      </c>
      <c r="L48" s="197">
        <v>57.049526657934145</v>
      </c>
      <c r="M48" s="197">
        <v>53.974672035976383</v>
      </c>
      <c r="N48" s="197">
        <v>51.143237675113873</v>
      </c>
      <c r="O48" s="197">
        <v>50.902569355894421</v>
      </c>
      <c r="P48" s="197">
        <v>46.256806556604104</v>
      </c>
      <c r="Q48" s="197">
        <v>36.717227987826099</v>
      </c>
      <c r="R48" s="197">
        <v>31.825957338689449</v>
      </c>
      <c r="S48" s="197">
        <v>29.579854489679825</v>
      </c>
      <c r="T48" s="197">
        <v>27.310203818911244</v>
      </c>
      <c r="U48" s="197">
        <v>25.319175204033961</v>
      </c>
      <c r="V48" s="197">
        <v>24.456729162346843</v>
      </c>
      <c r="W48" s="197">
        <v>23.212075497993908</v>
      </c>
      <c r="X48" s="197">
        <v>22.735601559567971</v>
      </c>
      <c r="Y48" s="197">
        <v>22.327077911242728</v>
      </c>
      <c r="Z48" s="197">
        <v>21.926088590252714</v>
      </c>
      <c r="AA48" s="197">
        <v>21.439021540675689</v>
      </c>
      <c r="AB48" s="16">
        <f>AB47*(1+Assumptions!$L$13/12)</f>
        <v>0.64132255195319865</v>
      </c>
      <c r="AC48" s="16">
        <f>AC47</f>
        <v>0</v>
      </c>
      <c r="AD48" s="18">
        <f>AD47</f>
        <v>240.4080539178627</v>
      </c>
      <c r="AE48" s="18">
        <f>AE47</f>
        <v>4274.5039754649742</v>
      </c>
      <c r="AF48" s="5">
        <f>IF(Assumptions!D$15=1,0,1)</f>
        <v>0</v>
      </c>
      <c r="AG48" s="73">
        <f>AG47</f>
        <v>0</v>
      </c>
      <c r="AH48" s="16">
        <f>Assumptions!$E$15*Assumptions!H13</f>
        <v>3.5758348823004904</v>
      </c>
      <c r="AI48" s="16">
        <f>Assumptions!$F$15*Assumptions!I13</f>
        <v>3.7731331707317071</v>
      </c>
      <c r="AJ48" s="16">
        <f>AJ47</f>
        <v>0</v>
      </c>
      <c r="AK48" s="16">
        <f>AK47</f>
        <v>0</v>
      </c>
      <c r="AL48" s="4"/>
    </row>
    <row r="49" spans="1:38" x14ac:dyDescent="0.2">
      <c r="A49" s="1">
        <f t="shared" si="5"/>
        <v>37695.846000000049</v>
      </c>
      <c r="B49" s="16">
        <f t="shared" si="3"/>
        <v>3.5157070949621048</v>
      </c>
      <c r="C49" s="17">
        <f t="shared" si="0"/>
        <v>39.744171081203191</v>
      </c>
      <c r="D49" s="16">
        <f t="shared" si="4"/>
        <v>0.64239142287312068</v>
      </c>
      <c r="E49" s="16">
        <f t="shared" si="1"/>
        <v>0</v>
      </c>
      <c r="F49" s="16">
        <f t="shared" si="2"/>
        <v>0</v>
      </c>
      <c r="G49" s="19">
        <f>IF('Peak Revenue'!$A$1="BL","-",SUM(C49:F49))</f>
        <v>40.386562504076309</v>
      </c>
      <c r="H49" s="197">
        <v>79.200863106730282</v>
      </c>
      <c r="I49" s="197">
        <v>70.213735561138677</v>
      </c>
      <c r="J49" s="197">
        <v>62.347127630750776</v>
      </c>
      <c r="K49" s="197">
        <v>59.974670810236979</v>
      </c>
      <c r="L49" s="197">
        <v>57.287550027261908</v>
      </c>
      <c r="M49" s="197">
        <v>53.710844545722281</v>
      </c>
      <c r="N49" s="197">
        <v>53.103338445906381</v>
      </c>
      <c r="O49" s="197">
        <v>51.9983722885178</v>
      </c>
      <c r="P49" s="197">
        <v>45.252404931858834</v>
      </c>
      <c r="Q49" s="197">
        <v>37.602507522029136</v>
      </c>
      <c r="R49" s="197">
        <v>34.219566952446208</v>
      </c>
      <c r="S49" s="197">
        <v>30.655113837816739</v>
      </c>
      <c r="T49" s="197">
        <v>30.480109483427547</v>
      </c>
      <c r="U49" s="197">
        <v>27.377428571776974</v>
      </c>
      <c r="V49" s="197">
        <v>26.373578806429645</v>
      </c>
      <c r="W49" s="197">
        <v>25.455681414833656</v>
      </c>
      <c r="X49" s="197">
        <v>24.169747935253728</v>
      </c>
      <c r="Y49" s="197">
        <v>23.707990701041744</v>
      </c>
      <c r="Z49" s="197">
        <v>23.163111857270806</v>
      </c>
      <c r="AA49" s="197">
        <v>22.525068739664277</v>
      </c>
      <c r="AB49" s="16">
        <f>AB48*(1+Assumptions!$L$13/12)</f>
        <v>0.64239142287312068</v>
      </c>
      <c r="AC49" s="16">
        <f t="shared" ref="AC49:AC58" si="17">AC48</f>
        <v>0</v>
      </c>
      <c r="AD49" s="18">
        <f t="shared" ref="AD49:AE58" si="18">AD48</f>
        <v>240.4080539178627</v>
      </c>
      <c r="AE49" s="18">
        <f t="shared" si="18"/>
        <v>4274.5039754649742</v>
      </c>
      <c r="AF49" s="5">
        <f>IF(Assumptions!D$15=1,0,1)</f>
        <v>0</v>
      </c>
      <c r="AG49" s="73">
        <f t="shared" ref="AG49:AG58" si="19">AG48</f>
        <v>0</v>
      </c>
      <c r="AH49" s="16">
        <f>Assumptions!$E$15*Assumptions!H14</f>
        <v>3.5157070949621048</v>
      </c>
      <c r="AI49" s="16">
        <f>Assumptions!$F$15*Assumptions!I14</f>
        <v>3.6320814634146337</v>
      </c>
      <c r="AJ49" s="16">
        <f t="shared" ref="AJ49:AK58" si="20">AJ48</f>
        <v>0</v>
      </c>
      <c r="AK49" s="16">
        <f t="shared" si="20"/>
        <v>0</v>
      </c>
      <c r="AL49" s="4"/>
    </row>
    <row r="50" spans="1:38" x14ac:dyDescent="0.2">
      <c r="A50" s="1">
        <f t="shared" si="5"/>
        <v>37726.26300000005</v>
      </c>
      <c r="B50" s="16">
        <f t="shared" si="3"/>
        <v>3.342397590280874</v>
      </c>
      <c r="C50" s="17">
        <f t="shared" si="0"/>
        <v>37.78495138001712</v>
      </c>
      <c r="D50" s="16">
        <f t="shared" si="4"/>
        <v>0.64346207524457588</v>
      </c>
      <c r="E50" s="16">
        <f t="shared" si="1"/>
        <v>0</v>
      </c>
      <c r="F50" s="16">
        <f t="shared" si="2"/>
        <v>0</v>
      </c>
      <c r="G50" s="19">
        <f>IF('Peak Revenue'!$A$1="BL","-",SUM(C50:F50))</f>
        <v>38.428413455261698</v>
      </c>
      <c r="H50" s="197">
        <v>63.677584810919441</v>
      </c>
      <c r="I50" s="197">
        <v>63.677584810919441</v>
      </c>
      <c r="J50" s="197">
        <v>63.227961110744914</v>
      </c>
      <c r="K50" s="197">
        <v>59.634810729951781</v>
      </c>
      <c r="L50" s="197">
        <v>49.736984622867716</v>
      </c>
      <c r="M50" s="197">
        <v>42.408531692128804</v>
      </c>
      <c r="N50" s="197">
        <v>37.733638968158537</v>
      </c>
      <c r="O50" s="197">
        <v>34.713776986132764</v>
      </c>
      <c r="P50" s="197">
        <v>32.395204863624528</v>
      </c>
      <c r="Q50" s="197">
        <v>32.395204863624528</v>
      </c>
      <c r="R50" s="197">
        <v>32.395204863624528</v>
      </c>
      <c r="S50" s="197">
        <v>30.032329990683291</v>
      </c>
      <c r="T50" s="197">
        <v>26.478946976939628</v>
      </c>
      <c r="U50" s="197">
        <v>25.801155027575781</v>
      </c>
      <c r="V50" s="197">
        <v>24.599634890927209</v>
      </c>
      <c r="W50" s="197">
        <v>23.794887999960469</v>
      </c>
      <c r="X50" s="197">
        <v>23.437162086970655</v>
      </c>
      <c r="Y50" s="197">
        <v>23.078756290729139</v>
      </c>
      <c r="Z50" s="197">
        <v>22.82259669896926</v>
      </c>
      <c r="AA50" s="197">
        <v>22.325350075265384</v>
      </c>
      <c r="AB50" s="16">
        <f>AB49*(1+Assumptions!$L$13/12)</f>
        <v>0.64346207524457588</v>
      </c>
      <c r="AC50" s="16">
        <f t="shared" si="17"/>
        <v>0</v>
      </c>
      <c r="AD50" s="18">
        <f t="shared" si="18"/>
        <v>240.4080539178627</v>
      </c>
      <c r="AE50" s="18">
        <f t="shared" si="18"/>
        <v>4274.5039754649742</v>
      </c>
      <c r="AF50" s="5">
        <f>IF(Assumptions!D$15=1,0,1)</f>
        <v>0</v>
      </c>
      <c r="AG50" s="73">
        <f t="shared" si="19"/>
        <v>0</v>
      </c>
      <c r="AH50" s="16">
        <f>Assumptions!$E$15*Assumptions!H15</f>
        <v>3.342397590280874</v>
      </c>
      <c r="AI50" s="16">
        <f>Assumptions!$F$15*Assumptions!I15</f>
        <v>3.4910297560975603</v>
      </c>
      <c r="AJ50" s="16">
        <f t="shared" si="20"/>
        <v>0</v>
      </c>
      <c r="AK50" s="16">
        <f t="shared" si="20"/>
        <v>0</v>
      </c>
      <c r="AL50" s="4"/>
    </row>
    <row r="51" spans="1:38" x14ac:dyDescent="0.2">
      <c r="A51" s="1">
        <f t="shared" si="5"/>
        <v>37756.680000000051</v>
      </c>
      <c r="B51" s="16">
        <f t="shared" si="3"/>
        <v>3.5192440236290685</v>
      </c>
      <c r="C51" s="17">
        <f t="shared" si="0"/>
        <v>39.784155156737611</v>
      </c>
      <c r="D51" s="16">
        <f t="shared" si="4"/>
        <v>0.64453451203665024</v>
      </c>
      <c r="E51" s="16">
        <f t="shared" si="1"/>
        <v>0</v>
      </c>
      <c r="F51" s="16">
        <f t="shared" si="2"/>
        <v>0</v>
      </c>
      <c r="G51" s="19">
        <f>IF('Peak Revenue'!$A$1="BL","-",SUM(C51:F51))</f>
        <v>40.428689668774261</v>
      </c>
      <c r="H51" s="197">
        <v>78.432296188507138</v>
      </c>
      <c r="I51" s="197">
        <v>72.178618729435158</v>
      </c>
      <c r="J51" s="197">
        <v>68.71995139670878</v>
      </c>
      <c r="K51" s="197">
        <v>64.194505496564858</v>
      </c>
      <c r="L51" s="197">
        <v>60.138395340018391</v>
      </c>
      <c r="M51" s="197">
        <v>58.227973052312812</v>
      </c>
      <c r="N51" s="197">
        <v>56.703802578782145</v>
      </c>
      <c r="O51" s="197">
        <v>43.482140808795748</v>
      </c>
      <c r="P51" s="197">
        <v>38.794790561262481</v>
      </c>
      <c r="Q51" s="197">
        <v>33.537844081419777</v>
      </c>
      <c r="R51" s="197">
        <v>33.332377150933503</v>
      </c>
      <c r="S51" s="197">
        <v>32.062747245659502</v>
      </c>
      <c r="T51" s="197">
        <v>30.062367550673311</v>
      </c>
      <c r="U51" s="197">
        <v>28.780648233385659</v>
      </c>
      <c r="V51" s="197">
        <v>28.484845063347358</v>
      </c>
      <c r="W51" s="197">
        <v>27.867135492491499</v>
      </c>
      <c r="X51" s="197">
        <v>27.19156344132492</v>
      </c>
      <c r="Y51" s="197">
        <v>26.748298290299051</v>
      </c>
      <c r="Z51" s="197">
        <v>26.315433229657284</v>
      </c>
      <c r="AA51" s="197">
        <v>25.618611554271897</v>
      </c>
      <c r="AB51" s="16">
        <f>AB50*(1+Assumptions!$L$13/12)</f>
        <v>0.64453451203665024</v>
      </c>
      <c r="AC51" s="16">
        <f t="shared" si="17"/>
        <v>0</v>
      </c>
      <c r="AD51" s="18">
        <f t="shared" si="18"/>
        <v>240.4080539178627</v>
      </c>
      <c r="AE51" s="18">
        <f t="shared" si="18"/>
        <v>4274.5039754649742</v>
      </c>
      <c r="AF51" s="5">
        <v>1</v>
      </c>
      <c r="AG51" s="73">
        <f t="shared" si="19"/>
        <v>0</v>
      </c>
      <c r="AH51" s="16">
        <f>Assumptions!$E$15*Assumptions!H16</f>
        <v>3.5192440236290685</v>
      </c>
      <c r="AI51" s="16">
        <f>Assumptions!$F$15*Assumptions!I16</f>
        <v>3.3499780487804869</v>
      </c>
      <c r="AJ51" s="16">
        <f t="shared" si="20"/>
        <v>0</v>
      </c>
      <c r="AK51" s="16">
        <f t="shared" si="20"/>
        <v>0</v>
      </c>
      <c r="AL51" s="4"/>
    </row>
    <row r="52" spans="1:38" x14ac:dyDescent="0.2">
      <c r="A52" s="1">
        <f t="shared" si="5"/>
        <v>37787.097000000053</v>
      </c>
      <c r="B52" s="16">
        <f t="shared" si="3"/>
        <v>3.3530083762817657</v>
      </c>
      <c r="C52" s="17">
        <f t="shared" si="0"/>
        <v>37.904903606620351</v>
      </c>
      <c r="D52" s="16">
        <f t="shared" si="4"/>
        <v>0.645608736223378</v>
      </c>
      <c r="E52" s="16">
        <f t="shared" si="1"/>
        <v>0</v>
      </c>
      <c r="F52" s="16">
        <f t="shared" si="2"/>
        <v>0</v>
      </c>
      <c r="G52" s="19">
        <f>IF('Peak Revenue'!$A$1="BL","-",SUM(C52:F52))</f>
        <v>38.550512342843732</v>
      </c>
      <c r="H52" s="197">
        <v>279.59627063945044</v>
      </c>
      <c r="I52" s="197">
        <v>193.6508018465415</v>
      </c>
      <c r="J52" s="197">
        <v>107.37453031660434</v>
      </c>
      <c r="K52" s="197">
        <v>76.682479313998471</v>
      </c>
      <c r="L52" s="197">
        <v>65.02490680262089</v>
      </c>
      <c r="M52" s="197">
        <v>59.053872167654774</v>
      </c>
      <c r="N52" s="197">
        <v>54.082517147956608</v>
      </c>
      <c r="O52" s="197">
        <v>51.531831289566746</v>
      </c>
      <c r="P52" s="197">
        <v>40.10804114935943</v>
      </c>
      <c r="Q52" s="197">
        <v>39.016987895921353</v>
      </c>
      <c r="R52" s="197">
        <v>36.684863557543324</v>
      </c>
      <c r="S52" s="197">
        <v>31.676910024665471</v>
      </c>
      <c r="T52" s="197">
        <v>29.891593867077614</v>
      </c>
      <c r="U52" s="197">
        <v>29.150394411199365</v>
      </c>
      <c r="V52" s="197">
        <v>28.47227833759786</v>
      </c>
      <c r="W52" s="197">
        <v>28.045054302138315</v>
      </c>
      <c r="X52" s="197">
        <v>27.306433639772123</v>
      </c>
      <c r="Y52" s="197">
        <v>26.718820062353704</v>
      </c>
      <c r="Z52" s="197">
        <v>26.02802640624904</v>
      </c>
      <c r="AA52" s="197">
        <v>24.456340317409929</v>
      </c>
      <c r="AB52" s="16">
        <f>AB51*(1+Assumptions!$L$13/12)</f>
        <v>0.645608736223378</v>
      </c>
      <c r="AC52" s="16">
        <f t="shared" si="17"/>
        <v>0</v>
      </c>
      <c r="AD52" s="18">
        <f t="shared" si="18"/>
        <v>240.4080539178627</v>
      </c>
      <c r="AE52" s="18">
        <f t="shared" si="18"/>
        <v>4274.5039754649742</v>
      </c>
      <c r="AF52" s="5">
        <v>1</v>
      </c>
      <c r="AG52" s="73">
        <f t="shared" si="19"/>
        <v>0</v>
      </c>
      <c r="AH52" s="16">
        <f>Assumptions!$E$15*Assumptions!H17</f>
        <v>3.3530083762817657</v>
      </c>
      <c r="AI52" s="16">
        <f>Assumptions!$F$15*Assumptions!I17</f>
        <v>3.3499780487804869</v>
      </c>
      <c r="AJ52" s="16">
        <f t="shared" si="20"/>
        <v>0</v>
      </c>
      <c r="AK52" s="16">
        <f t="shared" si="20"/>
        <v>0</v>
      </c>
      <c r="AL52" s="4"/>
    </row>
    <row r="53" spans="1:38" x14ac:dyDescent="0.2">
      <c r="A53" s="1">
        <f t="shared" si="5"/>
        <v>37817.514000000054</v>
      </c>
      <c r="B53" s="16">
        <f t="shared" si="3"/>
        <v>3.342397590280874</v>
      </c>
      <c r="C53" s="17">
        <f t="shared" si="0"/>
        <v>37.78495138001712</v>
      </c>
      <c r="D53" s="16">
        <f t="shared" si="4"/>
        <v>0.64668475078375032</v>
      </c>
      <c r="E53" s="16">
        <f t="shared" si="1"/>
        <v>0</v>
      </c>
      <c r="F53" s="16">
        <f t="shared" si="2"/>
        <v>0</v>
      </c>
      <c r="G53" s="19">
        <f>IF('Peak Revenue'!$A$1="BL","-",SUM(C53:F53))</f>
        <v>38.431636130800868</v>
      </c>
      <c r="H53" s="197">
        <v>859.48305581503337</v>
      </c>
      <c r="I53" s="197">
        <v>473.70757579450583</v>
      </c>
      <c r="J53" s="197">
        <v>303.81592564862189</v>
      </c>
      <c r="K53" s="197">
        <v>195.49377956891368</v>
      </c>
      <c r="L53" s="197">
        <v>89.589284251866331</v>
      </c>
      <c r="M53" s="197">
        <v>72.669109214856292</v>
      </c>
      <c r="N53" s="197">
        <v>60.105336207781669</v>
      </c>
      <c r="O53" s="197">
        <v>54.954947032173145</v>
      </c>
      <c r="P53" s="197">
        <v>52.453711459269151</v>
      </c>
      <c r="Q53" s="197">
        <v>49.707123249122397</v>
      </c>
      <c r="R53" s="197">
        <v>40.871302295451848</v>
      </c>
      <c r="S53" s="197">
        <v>39.494409235647332</v>
      </c>
      <c r="T53" s="197">
        <v>37.184011116541541</v>
      </c>
      <c r="U53" s="197">
        <v>35.206004824571117</v>
      </c>
      <c r="V53" s="197">
        <v>33.245676000666904</v>
      </c>
      <c r="W53" s="197">
        <v>31.704321493295758</v>
      </c>
      <c r="X53" s="197">
        <v>30.922816019176555</v>
      </c>
      <c r="Y53" s="197">
        <v>30.418036437875909</v>
      </c>
      <c r="Z53" s="197">
        <v>29.72400936899724</v>
      </c>
      <c r="AA53" s="197">
        <v>27.395895579734667</v>
      </c>
      <c r="AB53" s="16">
        <f>AB52*(1+Assumptions!$L$13/12)</f>
        <v>0.64668475078375032</v>
      </c>
      <c r="AC53" s="16">
        <f t="shared" si="17"/>
        <v>0</v>
      </c>
      <c r="AD53" s="18">
        <f t="shared" si="18"/>
        <v>240.4080539178627</v>
      </c>
      <c r="AE53" s="18">
        <f t="shared" si="18"/>
        <v>4274.5039754649742</v>
      </c>
      <c r="AF53" s="5">
        <v>1</v>
      </c>
      <c r="AG53" s="73">
        <f t="shared" si="19"/>
        <v>0</v>
      </c>
      <c r="AH53" s="16">
        <f>Assumptions!$E$15*Assumptions!H18</f>
        <v>3.342397590280874</v>
      </c>
      <c r="AI53" s="16">
        <f>Assumptions!$F$15*Assumptions!I18</f>
        <v>3.3499780487804869</v>
      </c>
      <c r="AJ53" s="16">
        <f t="shared" si="20"/>
        <v>0</v>
      </c>
      <c r="AK53" s="16">
        <f t="shared" si="20"/>
        <v>0</v>
      </c>
      <c r="AL53" s="4"/>
    </row>
    <row r="54" spans="1:38" x14ac:dyDescent="0.2">
      <c r="A54" s="1">
        <f t="shared" si="5"/>
        <v>37847.931000000055</v>
      </c>
      <c r="B54" s="16">
        <f t="shared" si="3"/>
        <v>3.1690880855996437</v>
      </c>
      <c r="C54" s="17">
        <f t="shared" si="0"/>
        <v>35.825731678831048</v>
      </c>
      <c r="D54" s="16">
        <f t="shared" si="4"/>
        <v>0.64776255870172328</v>
      </c>
      <c r="E54" s="16">
        <f t="shared" si="1"/>
        <v>0</v>
      </c>
      <c r="F54" s="16">
        <f t="shared" si="2"/>
        <v>0</v>
      </c>
      <c r="G54" s="19">
        <f>IF('Peak Revenue'!$A$1="BL","-",SUM(C54:F54))</f>
        <v>36.473494237532769</v>
      </c>
      <c r="H54" s="197">
        <v>1783.4584120462423</v>
      </c>
      <c r="I54" s="197">
        <v>821.600196973626</v>
      </c>
      <c r="J54" s="197">
        <v>477.67586208541707</v>
      </c>
      <c r="K54" s="197">
        <v>247.96854478524637</v>
      </c>
      <c r="L54" s="197">
        <v>150.1364155822242</v>
      </c>
      <c r="M54" s="197">
        <v>91.064805553063309</v>
      </c>
      <c r="N54" s="197">
        <v>78.348591394381501</v>
      </c>
      <c r="O54" s="197">
        <v>72.795175737680694</v>
      </c>
      <c r="P54" s="197">
        <v>64.369943483334453</v>
      </c>
      <c r="Q54" s="197">
        <v>47.958708635409778</v>
      </c>
      <c r="R54" s="197">
        <v>41.118750635394036</v>
      </c>
      <c r="S54" s="197">
        <v>37.735427765940933</v>
      </c>
      <c r="T54" s="197">
        <v>34.03312904064628</v>
      </c>
      <c r="U54" s="197">
        <v>32.664490758808526</v>
      </c>
      <c r="V54" s="197">
        <v>32.071413621710306</v>
      </c>
      <c r="W54" s="197">
        <v>31.507016750892149</v>
      </c>
      <c r="X54" s="197">
        <v>30.617290349368318</v>
      </c>
      <c r="Y54" s="197">
        <v>29.756718723707845</v>
      </c>
      <c r="Z54" s="197">
        <v>28.74573954278247</v>
      </c>
      <c r="AA54" s="197">
        <v>27.099459633045274</v>
      </c>
      <c r="AB54" s="16">
        <f>AB53*(1+Assumptions!$L$13/12)</f>
        <v>0.64776255870172328</v>
      </c>
      <c r="AC54" s="16">
        <f t="shared" si="17"/>
        <v>0</v>
      </c>
      <c r="AD54" s="18">
        <f t="shared" si="18"/>
        <v>240.4080539178627</v>
      </c>
      <c r="AE54" s="18">
        <f t="shared" si="18"/>
        <v>4274.5039754649742</v>
      </c>
      <c r="AF54" s="5">
        <v>1</v>
      </c>
      <c r="AG54" s="73">
        <f t="shared" si="19"/>
        <v>0</v>
      </c>
      <c r="AH54" s="16">
        <f>Assumptions!$E$15*Assumptions!H19</f>
        <v>3.1690880855996437</v>
      </c>
      <c r="AI54" s="16">
        <f>Assumptions!$F$15*Assumptions!I19</f>
        <v>3.3499780487804869</v>
      </c>
      <c r="AJ54" s="16">
        <f t="shared" si="20"/>
        <v>0</v>
      </c>
      <c r="AK54" s="16">
        <f t="shared" si="20"/>
        <v>0</v>
      </c>
      <c r="AL54" s="4"/>
    </row>
    <row r="55" spans="1:38" x14ac:dyDescent="0.2">
      <c r="A55" s="1">
        <f t="shared" si="5"/>
        <v>37878.348000000056</v>
      </c>
      <c r="B55" s="16">
        <f t="shared" si="3"/>
        <v>3.158477299598752</v>
      </c>
      <c r="C55" s="17">
        <f t="shared" si="0"/>
        <v>35.705779452227823</v>
      </c>
      <c r="D55" s="16">
        <f t="shared" si="4"/>
        <v>0.64884216296622621</v>
      </c>
      <c r="E55" s="16">
        <f t="shared" si="1"/>
        <v>0</v>
      </c>
      <c r="F55" s="16">
        <f t="shared" si="2"/>
        <v>0</v>
      </c>
      <c r="G55" s="19">
        <f>IF('Peak Revenue'!$A$1="BL","-",SUM(C55:F55))</f>
        <v>36.354621615194048</v>
      </c>
      <c r="H55" s="197">
        <v>189.4924103063496</v>
      </c>
      <c r="I55" s="197">
        <v>116.49255602144783</v>
      </c>
      <c r="J55" s="197">
        <v>99.280172823737104</v>
      </c>
      <c r="K55" s="197">
        <v>67.622072900753068</v>
      </c>
      <c r="L55" s="197">
        <v>54.177233538903621</v>
      </c>
      <c r="M55" s="197">
        <v>52.76377714797907</v>
      </c>
      <c r="N55" s="197">
        <v>49.192405689861559</v>
      </c>
      <c r="O55" s="197">
        <v>45.404603114951122</v>
      </c>
      <c r="P55" s="197">
        <v>45.022535037316423</v>
      </c>
      <c r="Q55" s="197">
        <v>41.82566877861678</v>
      </c>
      <c r="R55" s="197">
        <v>37.455161376200309</v>
      </c>
      <c r="S55" s="197">
        <v>35.158415128954097</v>
      </c>
      <c r="T55" s="197">
        <v>34.261490006315661</v>
      </c>
      <c r="U55" s="197">
        <v>33.161186043473656</v>
      </c>
      <c r="V55" s="197">
        <v>32.71844314339446</v>
      </c>
      <c r="W55" s="197">
        <v>32.506459100341921</v>
      </c>
      <c r="X55" s="197">
        <v>32.038069271291775</v>
      </c>
      <c r="Y55" s="197">
        <v>31.295226732535202</v>
      </c>
      <c r="Z55" s="197">
        <v>30.758700780609693</v>
      </c>
      <c r="AA55" s="197">
        <v>28.926725315633028</v>
      </c>
      <c r="AB55" s="16">
        <f>AB54*(1+Assumptions!$L$13/12)</f>
        <v>0.64884216296622621</v>
      </c>
      <c r="AC55" s="16">
        <f t="shared" si="17"/>
        <v>0</v>
      </c>
      <c r="AD55" s="18">
        <f t="shared" si="18"/>
        <v>240.4080539178627</v>
      </c>
      <c r="AE55" s="18">
        <f t="shared" si="18"/>
        <v>4274.5039754649742</v>
      </c>
      <c r="AF55" s="5">
        <v>1</v>
      </c>
      <c r="AG55" s="73">
        <f t="shared" si="19"/>
        <v>0</v>
      </c>
      <c r="AH55" s="16">
        <f>Assumptions!$E$15*Assumptions!H20</f>
        <v>3.158477299598752</v>
      </c>
      <c r="AI55" s="16">
        <f>Assumptions!$F$15*Assumptions!I20</f>
        <v>3.3499780487804869</v>
      </c>
      <c r="AJ55" s="16">
        <f t="shared" si="20"/>
        <v>0</v>
      </c>
      <c r="AK55" s="16">
        <f t="shared" si="20"/>
        <v>0</v>
      </c>
      <c r="AL55" s="4"/>
    </row>
    <row r="56" spans="1:38" x14ac:dyDescent="0.2">
      <c r="A56" s="1">
        <f t="shared" si="5"/>
        <v>37908.765000000058</v>
      </c>
      <c r="B56" s="16">
        <f t="shared" si="3"/>
        <v>3.4980224516272855</v>
      </c>
      <c r="C56" s="17">
        <f t="shared" si="0"/>
        <v>39.544250703531155</v>
      </c>
      <c r="D56" s="16">
        <f t="shared" si="4"/>
        <v>0.6499235665711699</v>
      </c>
      <c r="E56" s="16">
        <f t="shared" si="1"/>
        <v>0</v>
      </c>
      <c r="F56" s="16">
        <f t="shared" si="2"/>
        <v>0</v>
      </c>
      <c r="G56" s="19">
        <f>IF('Peak Revenue'!$A$1="BL","-",SUM(C56:F56))</f>
        <v>40.194174270102323</v>
      </c>
      <c r="H56" s="197">
        <v>65.977933928873625</v>
      </c>
      <c r="I56" s="197">
        <v>63.741495704892074</v>
      </c>
      <c r="J56" s="197">
        <v>62.554235306004728</v>
      </c>
      <c r="K56" s="197">
        <v>59.04991668824141</v>
      </c>
      <c r="L56" s="197">
        <v>57.436681485054244</v>
      </c>
      <c r="M56" s="197">
        <v>57.285519486389163</v>
      </c>
      <c r="N56" s="197">
        <v>51.640111540665046</v>
      </c>
      <c r="O56" s="197">
        <v>43.6962399341609</v>
      </c>
      <c r="P56" s="197">
        <v>42.905529187316588</v>
      </c>
      <c r="Q56" s="197">
        <v>40.372405687050176</v>
      </c>
      <c r="R56" s="197">
        <v>31.259923126493863</v>
      </c>
      <c r="S56" s="197">
        <v>29.375572858362908</v>
      </c>
      <c r="T56" s="197">
        <v>28.967777362326522</v>
      </c>
      <c r="U56" s="197">
        <v>28.938793733846786</v>
      </c>
      <c r="V56" s="197">
        <v>25.879977100537332</v>
      </c>
      <c r="W56" s="197">
        <v>24.644746489389469</v>
      </c>
      <c r="X56" s="197">
        <v>23.262867181278772</v>
      </c>
      <c r="Y56" s="197">
        <v>22.396640766634068</v>
      </c>
      <c r="Z56" s="197">
        <v>21.748856590514201</v>
      </c>
      <c r="AA56" s="197">
        <v>21.021056240554358</v>
      </c>
      <c r="AB56" s="16">
        <f>AB55*(1+Assumptions!$L$13/12)</f>
        <v>0.6499235665711699</v>
      </c>
      <c r="AC56" s="16">
        <f t="shared" si="17"/>
        <v>0</v>
      </c>
      <c r="AD56" s="18">
        <f t="shared" si="18"/>
        <v>240.4080539178627</v>
      </c>
      <c r="AE56" s="18">
        <f t="shared" si="18"/>
        <v>4274.5039754649742</v>
      </c>
      <c r="AF56" s="5">
        <f>IF(Assumptions!D$15=1,0,1)</f>
        <v>0</v>
      </c>
      <c r="AG56" s="73">
        <f t="shared" si="19"/>
        <v>0</v>
      </c>
      <c r="AH56" s="16">
        <f>Assumptions!$E$15*Assumptions!H21</f>
        <v>3.4980224516272855</v>
      </c>
      <c r="AI56" s="16">
        <f>Assumptions!$F$15*Assumptions!I21</f>
        <v>3.3499780487804869</v>
      </c>
      <c r="AJ56" s="16">
        <f t="shared" si="20"/>
        <v>0</v>
      </c>
      <c r="AK56" s="16">
        <f t="shared" si="20"/>
        <v>0</v>
      </c>
      <c r="AL56" s="4"/>
    </row>
    <row r="57" spans="1:38" x14ac:dyDescent="0.2">
      <c r="A57" s="1">
        <f t="shared" si="5"/>
        <v>37939.182000000059</v>
      </c>
      <c r="B57" s="16">
        <f t="shared" si="3"/>
        <v>3.8304937463218907</v>
      </c>
      <c r="C57" s="17">
        <f t="shared" si="0"/>
        <v>43.302753803765654</v>
      </c>
      <c r="D57" s="16">
        <f t="shared" si="4"/>
        <v>0.65100677251545525</v>
      </c>
      <c r="E57" s="16">
        <f t="shared" si="1"/>
        <v>0</v>
      </c>
      <c r="F57" s="16">
        <f t="shared" si="2"/>
        <v>0</v>
      </c>
      <c r="G57" s="19">
        <f>IF('Peak Revenue'!$A$1="BL","-",SUM(C57:F57))</f>
        <v>43.953760576281113</v>
      </c>
      <c r="H57" s="197">
        <v>75.657803801230017</v>
      </c>
      <c r="I57" s="197">
        <v>73.878793945720417</v>
      </c>
      <c r="J57" s="197">
        <v>71.392811624549879</v>
      </c>
      <c r="K57" s="197">
        <v>66.900707385534048</v>
      </c>
      <c r="L57" s="197">
        <v>65.136766073318341</v>
      </c>
      <c r="M57" s="197">
        <v>64.597485608818431</v>
      </c>
      <c r="N57" s="197">
        <v>57.354286677840051</v>
      </c>
      <c r="O57" s="197">
        <v>45.252785946837356</v>
      </c>
      <c r="P57" s="197">
        <v>39.299342527483148</v>
      </c>
      <c r="Q57" s="197">
        <v>37.072941905769781</v>
      </c>
      <c r="R57" s="197">
        <v>34.062255128064891</v>
      </c>
      <c r="S57" s="197">
        <v>33.321432864986932</v>
      </c>
      <c r="T57" s="197">
        <v>32.398808835402832</v>
      </c>
      <c r="U57" s="197">
        <v>26.790041395936814</v>
      </c>
      <c r="V57" s="197">
        <v>25.296177537903759</v>
      </c>
      <c r="W57" s="197">
        <v>24.407427962115811</v>
      </c>
      <c r="X57" s="197">
        <v>23.267853379319302</v>
      </c>
      <c r="Y57" s="197">
        <v>22.834655678301718</v>
      </c>
      <c r="Z57" s="197">
        <v>22.439919331554925</v>
      </c>
      <c r="AA57" s="197">
        <v>21.811307753831347</v>
      </c>
      <c r="AB57" s="16">
        <f>AB56*(1+Assumptions!$L$13/12)</f>
        <v>0.65100677251545525</v>
      </c>
      <c r="AC57" s="16">
        <f t="shared" si="17"/>
        <v>0</v>
      </c>
      <c r="AD57" s="18">
        <f t="shared" si="18"/>
        <v>240.4080539178627</v>
      </c>
      <c r="AE57" s="18">
        <f t="shared" si="18"/>
        <v>4274.5039754649742</v>
      </c>
      <c r="AF57" s="5">
        <f>IF(Assumptions!D$15=1,0,1)</f>
        <v>0</v>
      </c>
      <c r="AG57" s="73">
        <f t="shared" si="19"/>
        <v>0</v>
      </c>
      <c r="AH57" s="16">
        <f>Assumptions!$E$15*Assumptions!H22</f>
        <v>3.8304937463218907</v>
      </c>
      <c r="AI57" s="16">
        <f>Assumptions!$F$15*Assumptions!I22</f>
        <v>3.6320814634146337</v>
      </c>
      <c r="AJ57" s="16">
        <f t="shared" si="20"/>
        <v>0</v>
      </c>
      <c r="AK57" s="16">
        <f t="shared" si="20"/>
        <v>0</v>
      </c>
      <c r="AL57" s="4"/>
    </row>
    <row r="58" spans="1:38" x14ac:dyDescent="0.2">
      <c r="A58" s="1">
        <f t="shared" si="5"/>
        <v>37969.59900000006</v>
      </c>
      <c r="B58" s="16">
        <f t="shared" si="3"/>
        <v>4.1452803976816766</v>
      </c>
      <c r="C58" s="17">
        <f t="shared" si="0"/>
        <v>46.861336526328117</v>
      </c>
      <c r="D58" s="16">
        <f t="shared" si="4"/>
        <v>0.65209178380298105</v>
      </c>
      <c r="E58" s="16">
        <f t="shared" si="1"/>
        <v>0</v>
      </c>
      <c r="F58" s="16">
        <f t="shared" si="2"/>
        <v>0</v>
      </c>
      <c r="G58" s="19">
        <f>IF('Peak Revenue'!$A$1="BL","-",SUM(C58:F58))</f>
        <v>47.513428310131097</v>
      </c>
      <c r="H58" s="197">
        <v>86.503101636355069</v>
      </c>
      <c r="I58" s="197">
        <v>75.300460574016114</v>
      </c>
      <c r="J58" s="197">
        <v>73.153484633885597</v>
      </c>
      <c r="K58" s="197">
        <v>69.621438686686844</v>
      </c>
      <c r="L58" s="197">
        <v>65.22375044606072</v>
      </c>
      <c r="M58" s="197">
        <v>64.385070052265007</v>
      </c>
      <c r="N58" s="197">
        <v>62.52217220964134</v>
      </c>
      <c r="O58" s="197">
        <v>51.497249805531567</v>
      </c>
      <c r="P58" s="197">
        <v>44.564201434030942</v>
      </c>
      <c r="Q58" s="197">
        <v>36.82929609896901</v>
      </c>
      <c r="R58" s="197">
        <v>36.53704952600684</v>
      </c>
      <c r="S58" s="197">
        <v>32.613774760640247</v>
      </c>
      <c r="T58" s="197">
        <v>32.470062410947378</v>
      </c>
      <c r="U58" s="197">
        <v>32.470062410947378</v>
      </c>
      <c r="V58" s="197">
        <v>32.470062410947378</v>
      </c>
      <c r="W58" s="197">
        <v>32.470062410947378</v>
      </c>
      <c r="X58" s="197">
        <v>31.204365610780673</v>
      </c>
      <c r="Y58" s="197">
        <v>27.609596638703099</v>
      </c>
      <c r="Z58" s="197">
        <v>26.679184826872763</v>
      </c>
      <c r="AA58" s="197">
        <v>24.082999903243813</v>
      </c>
      <c r="AB58" s="16">
        <f>AB57*(1+Assumptions!$L$13/12)</f>
        <v>0.65209178380298105</v>
      </c>
      <c r="AC58" s="16">
        <f t="shared" si="17"/>
        <v>0</v>
      </c>
      <c r="AD58" s="18">
        <f t="shared" si="18"/>
        <v>240.4080539178627</v>
      </c>
      <c r="AE58" s="18">
        <f t="shared" si="18"/>
        <v>4274.5039754649742</v>
      </c>
      <c r="AF58" s="5">
        <f>IF(Assumptions!D$15=1,0,1)</f>
        <v>0</v>
      </c>
      <c r="AG58" s="73">
        <f t="shared" si="19"/>
        <v>0</v>
      </c>
      <c r="AH58" s="16">
        <f>Assumptions!$E$15*Assumptions!H23</f>
        <v>4.1452803976816766</v>
      </c>
      <c r="AI58" s="16">
        <f>Assumptions!$F$15*Assumptions!I23</f>
        <v>3.808396097560975</v>
      </c>
      <c r="AJ58" s="16">
        <f t="shared" si="20"/>
        <v>0</v>
      </c>
      <c r="AK58" s="16">
        <f t="shared" si="20"/>
        <v>0</v>
      </c>
      <c r="AL58" s="4"/>
    </row>
    <row r="59" spans="1:38" x14ac:dyDescent="0.2">
      <c r="A59" s="1">
        <f t="shared" si="5"/>
        <v>38000.016000000061</v>
      </c>
      <c r="B59" s="16">
        <f t="shared" si="3"/>
        <v>4.0146933517713324</v>
      </c>
      <c r="C59" s="17">
        <f t="shared" si="0"/>
        <v>45.385083313685087</v>
      </c>
      <c r="D59" s="16">
        <f t="shared" si="4"/>
        <v>0.65317860344265266</v>
      </c>
      <c r="E59" s="16">
        <f t="shared" si="1"/>
        <v>0</v>
      </c>
      <c r="F59" s="16">
        <f t="shared" si="2"/>
        <v>0</v>
      </c>
      <c r="G59" s="19">
        <f>IF('Peak Revenue'!$A$1="BL","-",SUM(C59:F59))</f>
        <v>46.038261917127741</v>
      </c>
      <c r="H59" s="197">
        <v>77.924930636924003</v>
      </c>
      <c r="I59" s="197">
        <v>74.66636620142063</v>
      </c>
      <c r="J59" s="197">
        <v>73.465830468650381</v>
      </c>
      <c r="K59" s="197">
        <v>73.349873419039511</v>
      </c>
      <c r="L59" s="197">
        <v>72.207054737877598</v>
      </c>
      <c r="M59" s="197">
        <v>66.384015791666826</v>
      </c>
      <c r="N59" s="197">
        <v>50.552298397304433</v>
      </c>
      <c r="O59" s="197">
        <v>45.56320712107329</v>
      </c>
      <c r="P59" s="197">
        <v>44.237650471047104</v>
      </c>
      <c r="Q59" s="197">
        <v>37.540990539524365</v>
      </c>
      <c r="R59" s="197">
        <v>37.026939056060776</v>
      </c>
      <c r="S59" s="197">
        <v>33.062702315870887</v>
      </c>
      <c r="T59" s="197">
        <v>26.89445212205688</v>
      </c>
      <c r="U59" s="197">
        <v>25.498154211301053</v>
      </c>
      <c r="V59" s="197">
        <v>24.924639905935848</v>
      </c>
      <c r="W59" s="197">
        <v>23.746461063724208</v>
      </c>
      <c r="X59" s="197">
        <v>23.317715759704434</v>
      </c>
      <c r="Y59" s="197">
        <v>23.00679745296468</v>
      </c>
      <c r="Z59" s="197">
        <v>22.71501965906161</v>
      </c>
      <c r="AA59" s="197">
        <v>22.197177358218802</v>
      </c>
      <c r="AB59" s="16">
        <f>AB58*(1+Assumptions!$L$13/12)</f>
        <v>0.65317860344265266</v>
      </c>
      <c r="AC59" s="16">
        <f>VLOOKUP($C$1,EnvVOM,7)</f>
        <v>0</v>
      </c>
      <c r="AD59" s="18">
        <f>Assumptions!B16</f>
        <v>264.14659569665338</v>
      </c>
      <c r="AE59" s="18">
        <f>Assumptions!C16</f>
        <v>3642.145326358393</v>
      </c>
      <c r="AF59" s="5">
        <f>IF(Assumptions!D$16=1,0,1)</f>
        <v>0</v>
      </c>
      <c r="AG59" s="73">
        <f>VLOOKUP($C$1,Coal,7)</f>
        <v>0</v>
      </c>
      <c r="AH59" s="16">
        <f>Assumptions!$E$16*Assumptions!H12</f>
        <v>4.0146933517713324</v>
      </c>
      <c r="AI59" s="16">
        <f>Assumptions!$F$16*Assumptions!I12</f>
        <v>3.8442498113207555</v>
      </c>
      <c r="AJ59" s="16">
        <f>VLOOKUP($C$1,SO2Rate,7)</f>
        <v>0</v>
      </c>
      <c r="AK59" s="16">
        <f>VLOOKUP($C$1,NOxRate,7)</f>
        <v>0</v>
      </c>
      <c r="AL59" s="4"/>
    </row>
    <row r="60" spans="1:38" x14ac:dyDescent="0.2">
      <c r="A60" s="1">
        <f t="shared" si="5"/>
        <v>38030.433000000063</v>
      </c>
      <c r="B60" s="16">
        <f t="shared" si="3"/>
        <v>3.598275690284412</v>
      </c>
      <c r="C60" s="17">
        <f t="shared" si="0"/>
        <v>40.67758796997839</v>
      </c>
      <c r="D60" s="16">
        <f t="shared" si="4"/>
        <v>0.65426723444839041</v>
      </c>
      <c r="E60" s="16">
        <f t="shared" si="1"/>
        <v>0</v>
      </c>
      <c r="F60" s="16">
        <f t="shared" si="2"/>
        <v>0</v>
      </c>
      <c r="G60" s="19">
        <f>IF('Peak Revenue'!$A$1="BL","-",SUM(C60:F60))</f>
        <v>41.33185520442678</v>
      </c>
      <c r="H60" s="197">
        <v>78.142813113795825</v>
      </c>
      <c r="I60" s="197">
        <v>72.281333737853146</v>
      </c>
      <c r="J60" s="197">
        <v>70.173761672953589</v>
      </c>
      <c r="K60" s="197">
        <v>65.94643925395701</v>
      </c>
      <c r="L60" s="197">
        <v>64.925792395300903</v>
      </c>
      <c r="M60" s="197">
        <v>64.186181966721833</v>
      </c>
      <c r="N60" s="197">
        <v>52.786163879704105</v>
      </c>
      <c r="O60" s="197">
        <v>43.846434738629199</v>
      </c>
      <c r="P60" s="197">
        <v>40.833843313038102</v>
      </c>
      <c r="Q60" s="197">
        <v>35.856297136856675</v>
      </c>
      <c r="R60" s="197">
        <v>32.972799474753295</v>
      </c>
      <c r="S60" s="197">
        <v>32.972799474753295</v>
      </c>
      <c r="T60" s="197">
        <v>32.56027203123918</v>
      </c>
      <c r="U60" s="197">
        <v>28.804382663798624</v>
      </c>
      <c r="V60" s="197">
        <v>26.442055403281351</v>
      </c>
      <c r="W60" s="197">
        <v>25.861423422490013</v>
      </c>
      <c r="X60" s="197">
        <v>24.88162250217631</v>
      </c>
      <c r="Y60" s="197">
        <v>24.411510453752474</v>
      </c>
      <c r="Z60" s="197">
        <v>24.146909059052184</v>
      </c>
      <c r="AA60" s="197">
        <v>23.625690100140467</v>
      </c>
      <c r="AB60" s="16">
        <f>AB59*(1+Assumptions!$L$13/12)</f>
        <v>0.65426723444839041</v>
      </c>
      <c r="AC60" s="16">
        <f>AC59</f>
        <v>0</v>
      </c>
      <c r="AD60" s="18">
        <f>AD59</f>
        <v>264.14659569665338</v>
      </c>
      <c r="AE60" s="18">
        <f>AE59</f>
        <v>3642.145326358393</v>
      </c>
      <c r="AF60" s="5">
        <f>IF(Assumptions!D$16=1,0,1)</f>
        <v>0</v>
      </c>
      <c r="AG60" s="73">
        <f>AG59</f>
        <v>0</v>
      </c>
      <c r="AH60" s="16">
        <f>Assumptions!$E$16*Assumptions!H13</f>
        <v>3.598275690284412</v>
      </c>
      <c r="AI60" s="16">
        <f>Assumptions!$F$16*Assumptions!I13</f>
        <v>3.8086549056603785</v>
      </c>
      <c r="AJ60" s="16">
        <f>AJ59</f>
        <v>0</v>
      </c>
      <c r="AK60" s="16">
        <f>AK59</f>
        <v>0</v>
      </c>
      <c r="AL60" s="4"/>
    </row>
    <row r="61" spans="1:38" x14ac:dyDescent="0.2">
      <c r="A61" s="1">
        <f t="shared" si="5"/>
        <v>38060.850000000064</v>
      </c>
      <c r="B61" s="16">
        <f t="shared" si="3"/>
        <v>3.5377705599828939</v>
      </c>
      <c r="C61" s="17">
        <f t="shared" si="0"/>
        <v>39.993592920038104</v>
      </c>
      <c r="D61" s="16">
        <f t="shared" si="4"/>
        <v>0.65535767983913773</v>
      </c>
      <c r="E61" s="16">
        <f t="shared" si="1"/>
        <v>0</v>
      </c>
      <c r="F61" s="16">
        <f t="shared" si="2"/>
        <v>0</v>
      </c>
      <c r="G61" s="19">
        <f>IF('Peak Revenue'!$A$1="BL","-",SUM(C61:F61))</f>
        <v>40.648950599877239</v>
      </c>
      <c r="H61" s="197">
        <v>102.87258516876197</v>
      </c>
      <c r="I61" s="197">
        <v>75.110789904043301</v>
      </c>
      <c r="J61" s="197">
        <v>62.754755032448429</v>
      </c>
      <c r="K61" s="197">
        <v>60.217613918866121</v>
      </c>
      <c r="L61" s="197">
        <v>56.646191573736232</v>
      </c>
      <c r="M61" s="197">
        <v>53.779938074099405</v>
      </c>
      <c r="N61" s="197">
        <v>53.371222025270598</v>
      </c>
      <c r="O61" s="197">
        <v>48.485718160965426</v>
      </c>
      <c r="P61" s="197">
        <v>38.515918646043062</v>
      </c>
      <c r="Q61" s="197">
        <v>33.858109398151001</v>
      </c>
      <c r="R61" s="197">
        <v>30.91725023147734</v>
      </c>
      <c r="S61" s="197">
        <v>28.736500981307977</v>
      </c>
      <c r="T61" s="197">
        <v>27.706836538767316</v>
      </c>
      <c r="U61" s="197">
        <v>27.706836538767316</v>
      </c>
      <c r="V61" s="197">
        <v>27.586936268338171</v>
      </c>
      <c r="W61" s="197">
        <v>27.496258880636564</v>
      </c>
      <c r="X61" s="197">
        <v>27.380342368650986</v>
      </c>
      <c r="Y61" s="197">
        <v>26.691893344235091</v>
      </c>
      <c r="Z61" s="197">
        <v>23.552613559515532</v>
      </c>
      <c r="AA61" s="197">
        <v>21.199341710079153</v>
      </c>
      <c r="AB61" s="16">
        <f>AB60*(1+Assumptions!$L$13/12)</f>
        <v>0.65535767983913773</v>
      </c>
      <c r="AC61" s="16">
        <f t="shared" ref="AC61:AC70" si="21">AC60</f>
        <v>0</v>
      </c>
      <c r="AD61" s="18">
        <f t="shared" ref="AD61:AE70" si="22">AD60</f>
        <v>264.14659569665338</v>
      </c>
      <c r="AE61" s="18">
        <f t="shared" si="22"/>
        <v>3642.145326358393</v>
      </c>
      <c r="AF61" s="5">
        <f>IF(Assumptions!D$16=1,0,1)</f>
        <v>0</v>
      </c>
      <c r="AG61" s="73">
        <f t="shared" ref="AG61:AG70" si="23">AG60</f>
        <v>0</v>
      </c>
      <c r="AH61" s="16">
        <f>Assumptions!$E$16*Assumptions!H14</f>
        <v>3.5377705599828939</v>
      </c>
      <c r="AI61" s="16">
        <f>Assumptions!$F$16*Assumptions!I14</f>
        <v>3.6662752830188685</v>
      </c>
      <c r="AJ61" s="16">
        <f t="shared" ref="AJ61:AK70" si="24">AJ60</f>
        <v>0</v>
      </c>
      <c r="AK61" s="16">
        <f t="shared" si="24"/>
        <v>0</v>
      </c>
      <c r="AL61" s="4"/>
    </row>
    <row r="62" spans="1:38" x14ac:dyDescent="0.2">
      <c r="A62" s="1">
        <f t="shared" si="5"/>
        <v>38091.267000000065</v>
      </c>
      <c r="B62" s="16">
        <f t="shared" si="3"/>
        <v>3.3633734197020471</v>
      </c>
      <c r="C62" s="17">
        <f t="shared" si="0"/>
        <v>38.022077776092573</v>
      </c>
      <c r="D62" s="16">
        <f t="shared" si="4"/>
        <v>0.65644994263886969</v>
      </c>
      <c r="E62" s="16">
        <f t="shared" si="1"/>
        <v>0</v>
      </c>
      <c r="F62" s="16">
        <f t="shared" si="2"/>
        <v>0</v>
      </c>
      <c r="G62" s="19">
        <f>IF('Peak Revenue'!$A$1="BL","-",SUM(C62:F62))</f>
        <v>38.678527718731445</v>
      </c>
      <c r="H62" s="197">
        <v>64.094135083462817</v>
      </c>
      <c r="I62" s="197">
        <v>56.252229689460094</v>
      </c>
      <c r="J62" s="197">
        <v>54.424556013860425</v>
      </c>
      <c r="K62" s="197">
        <v>50.894599112358897</v>
      </c>
      <c r="L62" s="197">
        <v>49.146184882367947</v>
      </c>
      <c r="M62" s="197">
        <v>49.028168109510474</v>
      </c>
      <c r="N62" s="197">
        <v>41.223842564640663</v>
      </c>
      <c r="O62" s="197">
        <v>35.657668472219967</v>
      </c>
      <c r="P62" s="197">
        <v>35.467053872397898</v>
      </c>
      <c r="Q62" s="197">
        <v>35.120540773395845</v>
      </c>
      <c r="R62" s="197">
        <v>29.850501240756135</v>
      </c>
      <c r="S62" s="197">
        <v>27.148931990278786</v>
      </c>
      <c r="T62" s="197">
        <v>25.719677727754508</v>
      </c>
      <c r="U62" s="197">
        <v>25.546975814515481</v>
      </c>
      <c r="V62" s="197">
        <v>25.546975814515481</v>
      </c>
      <c r="W62" s="197">
        <v>25.35956303738897</v>
      </c>
      <c r="X62" s="197">
        <v>24.369456548653204</v>
      </c>
      <c r="Y62" s="197">
        <v>24.16156497315631</v>
      </c>
      <c r="Z62" s="197">
        <v>23.862147244439008</v>
      </c>
      <c r="AA62" s="197">
        <v>23.242870661266856</v>
      </c>
      <c r="AB62" s="16">
        <f>AB61*(1+Assumptions!$L$13/12)</f>
        <v>0.65644994263886969</v>
      </c>
      <c r="AC62" s="16">
        <f t="shared" si="21"/>
        <v>0</v>
      </c>
      <c r="AD62" s="18">
        <f t="shared" si="22"/>
        <v>264.14659569665338</v>
      </c>
      <c r="AE62" s="18">
        <f t="shared" si="22"/>
        <v>3642.145326358393</v>
      </c>
      <c r="AF62" s="5">
        <f>IF(Assumptions!D$16=1,0,1)</f>
        <v>0</v>
      </c>
      <c r="AG62" s="73">
        <f t="shared" si="23"/>
        <v>0</v>
      </c>
      <c r="AH62" s="16">
        <f>Assumptions!$E$16*Assumptions!H15</f>
        <v>3.3633734197020471</v>
      </c>
      <c r="AI62" s="16">
        <f>Assumptions!$F$16*Assumptions!I15</f>
        <v>3.523895660377359</v>
      </c>
      <c r="AJ62" s="16">
        <f t="shared" si="24"/>
        <v>0</v>
      </c>
      <c r="AK62" s="16">
        <f t="shared" si="24"/>
        <v>0</v>
      </c>
      <c r="AL62" s="4"/>
    </row>
    <row r="63" spans="1:38" x14ac:dyDescent="0.2">
      <c r="A63" s="1">
        <f t="shared" si="5"/>
        <v>38121.684000000067</v>
      </c>
      <c r="B63" s="16">
        <f t="shared" si="3"/>
        <v>3.5413296852947478</v>
      </c>
      <c r="C63" s="17">
        <f t="shared" si="0"/>
        <v>40.033827922975775</v>
      </c>
      <c r="D63" s="16">
        <f t="shared" si="4"/>
        <v>0.65754402587660121</v>
      </c>
      <c r="E63" s="16">
        <f t="shared" si="1"/>
        <v>0</v>
      </c>
      <c r="F63" s="16">
        <f t="shared" si="2"/>
        <v>0</v>
      </c>
      <c r="G63" s="19">
        <f>IF('Peak Revenue'!$A$1="BL","-",SUM(C63:F63))</f>
        <v>40.691371948852378</v>
      </c>
      <c r="H63" s="197">
        <v>72.265641483905199</v>
      </c>
      <c r="I63" s="197">
        <v>68.532451347526901</v>
      </c>
      <c r="J63" s="197">
        <v>64.999490797839854</v>
      </c>
      <c r="K63" s="197">
        <v>64.410875507792042</v>
      </c>
      <c r="L63" s="197">
        <v>57.520470353531231</v>
      </c>
      <c r="M63" s="197">
        <v>51.228044258165966</v>
      </c>
      <c r="N63" s="197">
        <v>44.690881374892271</v>
      </c>
      <c r="O63" s="197">
        <v>35.40871644973749</v>
      </c>
      <c r="P63" s="197">
        <v>32.422654688059417</v>
      </c>
      <c r="Q63" s="197">
        <v>31.619879302169142</v>
      </c>
      <c r="R63" s="197">
        <v>31.498410041090978</v>
      </c>
      <c r="S63" s="197">
        <v>31.498410041090978</v>
      </c>
      <c r="T63" s="197">
        <v>31.367804479480846</v>
      </c>
      <c r="U63" s="197">
        <v>31.248842107747077</v>
      </c>
      <c r="V63" s="197">
        <v>30.703733088166292</v>
      </c>
      <c r="W63" s="197">
        <v>29.676308296012323</v>
      </c>
      <c r="X63" s="197">
        <v>29.142619820810172</v>
      </c>
      <c r="Y63" s="197">
        <v>28.999831339466564</v>
      </c>
      <c r="Z63" s="197">
        <v>28.606411451430318</v>
      </c>
      <c r="AA63" s="197">
        <v>27.365219931964525</v>
      </c>
      <c r="AB63" s="16">
        <f>AB62*(1+Assumptions!$L$13/12)</f>
        <v>0.65754402587660121</v>
      </c>
      <c r="AC63" s="16">
        <f t="shared" si="21"/>
        <v>0</v>
      </c>
      <c r="AD63" s="18">
        <f t="shared" si="22"/>
        <v>264.14659569665338</v>
      </c>
      <c r="AE63" s="18">
        <f t="shared" si="22"/>
        <v>3642.145326358393</v>
      </c>
      <c r="AF63" s="5">
        <v>1</v>
      </c>
      <c r="AG63" s="73">
        <f t="shared" si="23"/>
        <v>0</v>
      </c>
      <c r="AH63" s="16">
        <f>Assumptions!$E$16*Assumptions!H16</f>
        <v>3.5413296852947478</v>
      </c>
      <c r="AI63" s="16">
        <f>Assumptions!$F$16*Assumptions!I16</f>
        <v>3.3815160377358495</v>
      </c>
      <c r="AJ63" s="16">
        <f t="shared" si="24"/>
        <v>0</v>
      </c>
      <c r="AK63" s="16">
        <f t="shared" si="24"/>
        <v>0</v>
      </c>
      <c r="AL63" s="4"/>
    </row>
    <row r="64" spans="1:38" x14ac:dyDescent="0.2">
      <c r="A64" s="1">
        <f t="shared" si="5"/>
        <v>38152.101000000068</v>
      </c>
      <c r="B64" s="16">
        <f t="shared" si="3"/>
        <v>3.3740507956376091</v>
      </c>
      <c r="C64" s="17">
        <f t="shared" si="0"/>
        <v>38.142782784905563</v>
      </c>
      <c r="D64" s="16">
        <f t="shared" si="4"/>
        <v>0.65863993258639553</v>
      </c>
      <c r="E64" s="16">
        <f t="shared" si="1"/>
        <v>0</v>
      </c>
      <c r="F64" s="16">
        <f t="shared" si="2"/>
        <v>0</v>
      </c>
      <c r="G64" s="19">
        <f>IF('Peak Revenue'!$A$1="BL","-",SUM(C64:F64))</f>
        <v>38.80142271749196</v>
      </c>
      <c r="H64" s="197">
        <v>329.79568723500768</v>
      </c>
      <c r="I64" s="197">
        <v>213.93891521747696</v>
      </c>
      <c r="J64" s="197">
        <v>157.45825850279422</v>
      </c>
      <c r="K64" s="197">
        <v>67.224761468180802</v>
      </c>
      <c r="L64" s="197">
        <v>57.634479163676914</v>
      </c>
      <c r="M64" s="197">
        <v>51.563810972489733</v>
      </c>
      <c r="N64" s="197">
        <v>47.258167326754617</v>
      </c>
      <c r="O64" s="197">
        <v>45.616128877236513</v>
      </c>
      <c r="P64" s="197">
        <v>35.754753944355052</v>
      </c>
      <c r="Q64" s="197">
        <v>33.805534854943062</v>
      </c>
      <c r="R64" s="197">
        <v>32.150737210807229</v>
      </c>
      <c r="S64" s="197">
        <v>29.317029477157444</v>
      </c>
      <c r="T64" s="197">
        <v>27.762260714706759</v>
      </c>
      <c r="U64" s="197">
        <v>27.385413353657793</v>
      </c>
      <c r="V64" s="197">
        <v>26.461720393921354</v>
      </c>
      <c r="W64" s="197">
        <v>25.827235611550229</v>
      </c>
      <c r="X64" s="197">
        <v>24.802472841271946</v>
      </c>
      <c r="Y64" s="197">
        <v>24.097291563206028</v>
      </c>
      <c r="Z64" s="197">
        <v>23.998514691064521</v>
      </c>
      <c r="AA64" s="197">
        <v>22.678617579027815</v>
      </c>
      <c r="AB64" s="16">
        <f>AB63*(1+Assumptions!$L$13/12)</f>
        <v>0.65863993258639553</v>
      </c>
      <c r="AC64" s="16">
        <f t="shared" si="21"/>
        <v>0</v>
      </c>
      <c r="AD64" s="18">
        <f t="shared" si="22"/>
        <v>264.14659569665338</v>
      </c>
      <c r="AE64" s="18">
        <f t="shared" si="22"/>
        <v>3642.145326358393</v>
      </c>
      <c r="AF64" s="5">
        <v>1</v>
      </c>
      <c r="AG64" s="73">
        <f t="shared" si="23"/>
        <v>0</v>
      </c>
      <c r="AH64" s="16">
        <f>Assumptions!$E$16*Assumptions!H17</f>
        <v>3.3740507956376091</v>
      </c>
      <c r="AI64" s="16">
        <f>Assumptions!$F$16*Assumptions!I17</f>
        <v>3.3815160377358495</v>
      </c>
      <c r="AJ64" s="16">
        <f t="shared" si="24"/>
        <v>0</v>
      </c>
      <c r="AK64" s="16">
        <f t="shared" si="24"/>
        <v>0</v>
      </c>
      <c r="AL64" s="4"/>
    </row>
    <row r="65" spans="1:38" x14ac:dyDescent="0.2">
      <c r="A65" s="1">
        <f t="shared" si="5"/>
        <v>38182.518000000069</v>
      </c>
      <c r="B65" s="16">
        <f t="shared" si="3"/>
        <v>3.3633734197020471</v>
      </c>
      <c r="C65" s="17">
        <f t="shared" si="0"/>
        <v>38.022077776092573</v>
      </c>
      <c r="D65" s="16">
        <f t="shared" si="4"/>
        <v>0.65973766580737292</v>
      </c>
      <c r="E65" s="16">
        <f t="shared" si="1"/>
        <v>0</v>
      </c>
      <c r="F65" s="16">
        <f t="shared" si="2"/>
        <v>0</v>
      </c>
      <c r="G65" s="19">
        <f>IF('Peak Revenue'!$A$1="BL","-",SUM(C65:F65))</f>
        <v>38.681815441899943</v>
      </c>
      <c r="H65" s="197">
        <v>480.70051839704712</v>
      </c>
      <c r="I65" s="197">
        <v>279.43392623901167</v>
      </c>
      <c r="J65" s="197">
        <v>200.46398979230241</v>
      </c>
      <c r="K65" s="197">
        <v>115.82122062394672</v>
      </c>
      <c r="L65" s="197">
        <v>85.177887484427316</v>
      </c>
      <c r="M65" s="197">
        <v>74.849212254957635</v>
      </c>
      <c r="N65" s="197">
        <v>68.815570285160959</v>
      </c>
      <c r="O65" s="197">
        <v>66.924565510086381</v>
      </c>
      <c r="P65" s="197">
        <v>50.114333555445363</v>
      </c>
      <c r="Q65" s="197">
        <v>44.705864261783674</v>
      </c>
      <c r="R65" s="197">
        <v>41.897137266814497</v>
      </c>
      <c r="S65" s="197">
        <v>35.553567608667223</v>
      </c>
      <c r="T65" s="197">
        <v>33.167677143235181</v>
      </c>
      <c r="U65" s="197">
        <v>33.146371516503734</v>
      </c>
      <c r="V65" s="197">
        <v>33.146371516503734</v>
      </c>
      <c r="W65" s="197">
        <v>32.862634633153199</v>
      </c>
      <c r="X65" s="197">
        <v>31.743271678563417</v>
      </c>
      <c r="Y65" s="197">
        <v>31.32740976863618</v>
      </c>
      <c r="Z65" s="197">
        <v>30.583569104163935</v>
      </c>
      <c r="AA65" s="197">
        <v>28.756178860417961</v>
      </c>
      <c r="AB65" s="16">
        <f>AB64*(1+Assumptions!$L$13/12)</f>
        <v>0.65973766580737292</v>
      </c>
      <c r="AC65" s="16">
        <f t="shared" si="21"/>
        <v>0</v>
      </c>
      <c r="AD65" s="18">
        <f t="shared" si="22"/>
        <v>264.14659569665338</v>
      </c>
      <c r="AE65" s="18">
        <f t="shared" si="22"/>
        <v>3642.145326358393</v>
      </c>
      <c r="AF65" s="5">
        <v>1</v>
      </c>
      <c r="AG65" s="73">
        <f t="shared" si="23"/>
        <v>0</v>
      </c>
      <c r="AH65" s="16">
        <f>Assumptions!$E$16*Assumptions!H18</f>
        <v>3.3633734197020471</v>
      </c>
      <c r="AI65" s="16">
        <f>Assumptions!$F$16*Assumptions!I18</f>
        <v>3.3815160377358495</v>
      </c>
      <c r="AJ65" s="16">
        <f t="shared" si="24"/>
        <v>0</v>
      </c>
      <c r="AK65" s="16">
        <f t="shared" si="24"/>
        <v>0</v>
      </c>
      <c r="AL65" s="4"/>
    </row>
    <row r="66" spans="1:38" x14ac:dyDescent="0.2">
      <c r="A66" s="1">
        <f t="shared" si="5"/>
        <v>38212.93500000007</v>
      </c>
      <c r="B66" s="16">
        <f t="shared" si="3"/>
        <v>3.1889762794212002</v>
      </c>
      <c r="C66" s="17">
        <f t="shared" si="0"/>
        <v>36.050562632147027</v>
      </c>
      <c r="D66" s="16">
        <f t="shared" si="4"/>
        <v>0.66083722858371852</v>
      </c>
      <c r="E66" s="16">
        <f t="shared" si="1"/>
        <v>0</v>
      </c>
      <c r="F66" s="16">
        <f t="shared" si="2"/>
        <v>0</v>
      </c>
      <c r="G66" s="19">
        <f>IF('Peak Revenue'!$A$1="BL","-",SUM(C66:F66))</f>
        <v>36.711399860730744</v>
      </c>
      <c r="H66" s="197">
        <v>1628.7024036401699</v>
      </c>
      <c r="I66" s="197">
        <v>797.53502335473297</v>
      </c>
      <c r="J66" s="197">
        <v>480.88558800833215</v>
      </c>
      <c r="K66" s="197">
        <v>258.59729819595134</v>
      </c>
      <c r="L66" s="197">
        <v>155.2187087150852</v>
      </c>
      <c r="M66" s="197">
        <v>64.180352660245759</v>
      </c>
      <c r="N66" s="197">
        <v>51.122684368686649</v>
      </c>
      <c r="O66" s="197">
        <v>45.480348343963776</v>
      </c>
      <c r="P66" s="197">
        <v>43.827749891303974</v>
      </c>
      <c r="Q66" s="197">
        <v>35.597235392085928</v>
      </c>
      <c r="R66" s="197">
        <v>32.395312526247224</v>
      </c>
      <c r="S66" s="197">
        <v>31.396119018990639</v>
      </c>
      <c r="T66" s="197">
        <v>30.552708125968806</v>
      </c>
      <c r="U66" s="197">
        <v>29.601438376882921</v>
      </c>
      <c r="V66" s="197">
        <v>29.159195757010153</v>
      </c>
      <c r="W66" s="197">
        <v>28.633769177563273</v>
      </c>
      <c r="X66" s="197">
        <v>28.075394106308426</v>
      </c>
      <c r="Y66" s="197">
        <v>27.508496376106898</v>
      </c>
      <c r="Z66" s="197">
        <v>26.896894847671508</v>
      </c>
      <c r="AA66" s="197">
        <v>26.005201303072024</v>
      </c>
      <c r="AB66" s="16">
        <f>AB65*(1+Assumptions!$L$13/12)</f>
        <v>0.66083722858371852</v>
      </c>
      <c r="AC66" s="16">
        <f t="shared" si="21"/>
        <v>0</v>
      </c>
      <c r="AD66" s="18">
        <f t="shared" si="22"/>
        <v>264.14659569665338</v>
      </c>
      <c r="AE66" s="18">
        <f t="shared" si="22"/>
        <v>3642.145326358393</v>
      </c>
      <c r="AF66" s="5">
        <v>1</v>
      </c>
      <c r="AG66" s="73">
        <f t="shared" si="23"/>
        <v>0</v>
      </c>
      <c r="AH66" s="16">
        <f>Assumptions!$E$16*Assumptions!H19</f>
        <v>3.1889762794212002</v>
      </c>
      <c r="AI66" s="16">
        <f>Assumptions!$F$16*Assumptions!I19</f>
        <v>3.3815160377358495</v>
      </c>
      <c r="AJ66" s="16">
        <f t="shared" si="24"/>
        <v>0</v>
      </c>
      <c r="AK66" s="16">
        <f t="shared" si="24"/>
        <v>0</v>
      </c>
      <c r="AL66" s="4"/>
    </row>
    <row r="67" spans="1:38" x14ac:dyDescent="0.2">
      <c r="A67" s="1">
        <f t="shared" si="5"/>
        <v>38243.352000000072</v>
      </c>
      <c r="B67" s="16">
        <f t="shared" si="3"/>
        <v>3.1782989034856381</v>
      </c>
      <c r="C67" s="17">
        <f t="shared" si="0"/>
        <v>35.929857623334037</v>
      </c>
      <c r="D67" s="16">
        <f t="shared" si="4"/>
        <v>0.66193862396469139</v>
      </c>
      <c r="E67" s="16">
        <f t="shared" si="1"/>
        <v>0</v>
      </c>
      <c r="F67" s="16">
        <f t="shared" si="2"/>
        <v>0</v>
      </c>
      <c r="G67" s="19">
        <f>IF('Peak Revenue'!$A$1="BL","-",SUM(C67:F67))</f>
        <v>36.591796247298731</v>
      </c>
      <c r="H67" s="197">
        <v>116.61713602511725</v>
      </c>
      <c r="I67" s="197">
        <v>92.598682253508869</v>
      </c>
      <c r="J67" s="197">
        <v>78.292384039574884</v>
      </c>
      <c r="K67" s="197">
        <v>68.690584008832232</v>
      </c>
      <c r="L67" s="197">
        <v>63.805360042668553</v>
      </c>
      <c r="M67" s="197">
        <v>61.937232257057019</v>
      </c>
      <c r="N67" s="197">
        <v>53.68231470723692</v>
      </c>
      <c r="O67" s="197">
        <v>46.165074179889274</v>
      </c>
      <c r="P67" s="197">
        <v>39.149954217681383</v>
      </c>
      <c r="Q67" s="197">
        <v>33.385020360034218</v>
      </c>
      <c r="R67" s="197">
        <v>31.869295640467669</v>
      </c>
      <c r="S67" s="197">
        <v>31.148844564556516</v>
      </c>
      <c r="T67" s="197">
        <v>31.041719087737857</v>
      </c>
      <c r="U67" s="197">
        <v>31.041719087737857</v>
      </c>
      <c r="V67" s="197">
        <v>30.810965079053187</v>
      </c>
      <c r="W67" s="197">
        <v>30.698911852223933</v>
      </c>
      <c r="X67" s="197">
        <v>29.94097012306694</v>
      </c>
      <c r="Y67" s="197">
        <v>29.394846969620268</v>
      </c>
      <c r="Z67" s="197">
        <v>29.150333255241414</v>
      </c>
      <c r="AA67" s="197">
        <v>27.796803395581527</v>
      </c>
      <c r="AB67" s="16">
        <f>AB66*(1+Assumptions!$L$13/12)</f>
        <v>0.66193862396469139</v>
      </c>
      <c r="AC67" s="16">
        <f t="shared" si="21"/>
        <v>0</v>
      </c>
      <c r="AD67" s="18">
        <f t="shared" si="22"/>
        <v>264.14659569665338</v>
      </c>
      <c r="AE67" s="18">
        <f t="shared" si="22"/>
        <v>3642.145326358393</v>
      </c>
      <c r="AF67" s="5">
        <v>1</v>
      </c>
      <c r="AG67" s="73">
        <f t="shared" si="23"/>
        <v>0</v>
      </c>
      <c r="AH67" s="16">
        <f>Assumptions!$E$16*Assumptions!H20</f>
        <v>3.1782989034856381</v>
      </c>
      <c r="AI67" s="16">
        <f>Assumptions!$F$16*Assumptions!I20</f>
        <v>3.3815160377358495</v>
      </c>
      <c r="AJ67" s="16">
        <f t="shared" si="24"/>
        <v>0</v>
      </c>
      <c r="AK67" s="16">
        <f t="shared" si="24"/>
        <v>0</v>
      </c>
      <c r="AL67" s="4"/>
    </row>
    <row r="68" spans="1:38" x14ac:dyDescent="0.2">
      <c r="A68" s="1">
        <f t="shared" si="5"/>
        <v>38273.769000000073</v>
      </c>
      <c r="B68" s="16">
        <f t="shared" si="3"/>
        <v>3.5199749334236237</v>
      </c>
      <c r="C68" s="17">
        <f t="shared" si="0"/>
        <v>39.792417905349787</v>
      </c>
      <c r="D68" s="16">
        <f t="shared" si="4"/>
        <v>0.66304185500463253</v>
      </c>
      <c r="E68" s="16">
        <f t="shared" si="1"/>
        <v>0</v>
      </c>
      <c r="F68" s="16">
        <f t="shared" si="2"/>
        <v>0</v>
      </c>
      <c r="G68" s="19">
        <f>IF('Peak Revenue'!$A$1="BL","-",SUM(C68:F68))</f>
        <v>40.455459760354422</v>
      </c>
      <c r="H68" s="197">
        <v>64.416434267290214</v>
      </c>
      <c r="I68" s="197">
        <v>62.964214475930895</v>
      </c>
      <c r="J68" s="197">
        <v>60.120941634334848</v>
      </c>
      <c r="K68" s="197">
        <v>57.13132356710021</v>
      </c>
      <c r="L68" s="197">
        <v>56.842616531325405</v>
      </c>
      <c r="M68" s="197">
        <v>54.498260120396061</v>
      </c>
      <c r="N68" s="197">
        <v>42.333673725214837</v>
      </c>
      <c r="O68" s="197">
        <v>36.420008190825413</v>
      </c>
      <c r="P68" s="197">
        <v>32.649395483373553</v>
      </c>
      <c r="Q68" s="197">
        <v>30.361320288947201</v>
      </c>
      <c r="R68" s="197">
        <v>29.156405330228655</v>
      </c>
      <c r="S68" s="197">
        <v>29.156405330228655</v>
      </c>
      <c r="T68" s="197">
        <v>29.008874974473915</v>
      </c>
      <c r="U68" s="197">
        <v>28.931753991926247</v>
      </c>
      <c r="V68" s="197">
        <v>28.771366761737674</v>
      </c>
      <c r="W68" s="197">
        <v>28.707648322142717</v>
      </c>
      <c r="X68" s="197">
        <v>28.39756776707474</v>
      </c>
      <c r="Y68" s="197">
        <v>24.039938588816405</v>
      </c>
      <c r="Z68" s="197">
        <v>22.87685725027886</v>
      </c>
      <c r="AA68" s="197">
        <v>21.04733929005409</v>
      </c>
      <c r="AB68" s="16">
        <f>AB67*(1+Assumptions!$L$13/12)</f>
        <v>0.66304185500463253</v>
      </c>
      <c r="AC68" s="16">
        <f t="shared" si="21"/>
        <v>0</v>
      </c>
      <c r="AD68" s="18">
        <f t="shared" si="22"/>
        <v>264.14659569665338</v>
      </c>
      <c r="AE68" s="18">
        <f t="shared" si="22"/>
        <v>3642.145326358393</v>
      </c>
      <c r="AF68" s="5">
        <f>IF(Assumptions!D$16=1,0,1)</f>
        <v>0</v>
      </c>
      <c r="AG68" s="73">
        <f t="shared" si="23"/>
        <v>0</v>
      </c>
      <c r="AH68" s="16">
        <f>Assumptions!$E$16*Assumptions!H21</f>
        <v>3.5199749334236237</v>
      </c>
      <c r="AI68" s="16">
        <f>Assumptions!$F$16*Assumptions!I21</f>
        <v>3.3815160377358495</v>
      </c>
      <c r="AJ68" s="16">
        <f t="shared" si="24"/>
        <v>0</v>
      </c>
      <c r="AK68" s="16">
        <f t="shared" si="24"/>
        <v>0</v>
      </c>
      <c r="AL68" s="4"/>
    </row>
    <row r="69" spans="1:38" x14ac:dyDescent="0.2">
      <c r="A69" s="1">
        <f t="shared" si="5"/>
        <v>38304.186000000074</v>
      </c>
      <c r="B69" s="16">
        <f t="shared" si="3"/>
        <v>3.8545327127379014</v>
      </c>
      <c r="C69" s="17">
        <f t="shared" si="0"/>
        <v>43.574508181490202</v>
      </c>
      <c r="D69" s="16">
        <f t="shared" si="4"/>
        <v>0.66414692476297366</v>
      </c>
      <c r="E69" s="16">
        <f t="shared" si="1"/>
        <v>0</v>
      </c>
      <c r="F69" s="16">
        <f t="shared" si="2"/>
        <v>0</v>
      </c>
      <c r="G69" s="19">
        <f>IF('Peak Revenue'!$A$1="BL","-",SUM(C69:F69))</f>
        <v>44.238655106253177</v>
      </c>
      <c r="H69" s="197">
        <v>80.208553162574574</v>
      </c>
      <c r="I69" s="197">
        <v>78.1817208468768</v>
      </c>
      <c r="J69" s="197">
        <v>78.115776968555224</v>
      </c>
      <c r="K69" s="197">
        <v>77.573873474116766</v>
      </c>
      <c r="L69" s="197">
        <v>74.316134404804387</v>
      </c>
      <c r="M69" s="197">
        <v>59.930483597347084</v>
      </c>
      <c r="N69" s="197">
        <v>50.594986587370919</v>
      </c>
      <c r="O69" s="197">
        <v>45.224759133939514</v>
      </c>
      <c r="P69" s="197">
        <v>40.623889175872065</v>
      </c>
      <c r="Q69" s="197">
        <v>28.90640163101866</v>
      </c>
      <c r="R69" s="197">
        <v>28.08807065788136</v>
      </c>
      <c r="S69" s="197">
        <v>26.748180359511771</v>
      </c>
      <c r="T69" s="197">
        <v>25.651569145397421</v>
      </c>
      <c r="U69" s="197">
        <v>25.208937943677277</v>
      </c>
      <c r="V69" s="197">
        <v>24.801875744360199</v>
      </c>
      <c r="W69" s="197">
        <v>24.482097129030077</v>
      </c>
      <c r="X69" s="197">
        <v>24.238813608935615</v>
      </c>
      <c r="Y69" s="197">
        <v>23.954602579162778</v>
      </c>
      <c r="Z69" s="197">
        <v>23.795996622938404</v>
      </c>
      <c r="AA69" s="197">
        <v>23.284694235607216</v>
      </c>
      <c r="AB69" s="16">
        <f>AB68*(1+Assumptions!$L$13/12)</f>
        <v>0.66414692476297366</v>
      </c>
      <c r="AC69" s="16">
        <f t="shared" si="21"/>
        <v>0</v>
      </c>
      <c r="AD69" s="18">
        <f t="shared" si="22"/>
        <v>264.14659569665338</v>
      </c>
      <c r="AE69" s="18">
        <f t="shared" si="22"/>
        <v>3642.145326358393</v>
      </c>
      <c r="AF69" s="5">
        <f>IF(Assumptions!D$16=1,0,1)</f>
        <v>0</v>
      </c>
      <c r="AG69" s="73">
        <f t="shared" si="23"/>
        <v>0</v>
      </c>
      <c r="AH69" s="16">
        <f>Assumptions!$E$16*Assumptions!H22</f>
        <v>3.8545327127379014</v>
      </c>
      <c r="AI69" s="16">
        <f>Assumptions!$F$16*Assumptions!I22</f>
        <v>3.6662752830188685</v>
      </c>
      <c r="AJ69" s="16">
        <f t="shared" si="24"/>
        <v>0</v>
      </c>
      <c r="AK69" s="16">
        <f t="shared" si="24"/>
        <v>0</v>
      </c>
      <c r="AL69" s="4"/>
    </row>
    <row r="70" spans="1:38" x14ac:dyDescent="0.2">
      <c r="A70" s="1">
        <f t="shared" si="5"/>
        <v>38334.603000000076</v>
      </c>
      <c r="B70" s="16">
        <f t="shared" si="3"/>
        <v>4.171294865492909</v>
      </c>
      <c r="C70" s="17">
        <f t="shared" si="0"/>
        <v>47.155423442942315</v>
      </c>
      <c r="D70" s="16">
        <f t="shared" si="4"/>
        <v>0.66525383630424528</v>
      </c>
      <c r="E70" s="16">
        <f t="shared" si="1"/>
        <v>0</v>
      </c>
      <c r="F70" s="16">
        <f t="shared" si="2"/>
        <v>0</v>
      </c>
      <c r="G70" s="19">
        <f>IF('Peak Revenue'!$A$1="BL","-",SUM(C70:F70))</f>
        <v>47.82067727924656</v>
      </c>
      <c r="H70" s="197">
        <v>74.062591725701139</v>
      </c>
      <c r="I70" s="197">
        <v>71.875315325656146</v>
      </c>
      <c r="J70" s="197">
        <v>69.783748992439143</v>
      </c>
      <c r="K70" s="197">
        <v>65.858541797323966</v>
      </c>
      <c r="L70" s="197">
        <v>65.064261191047393</v>
      </c>
      <c r="M70" s="197">
        <v>64.369943660715734</v>
      </c>
      <c r="N70" s="197">
        <v>53.66054571964159</v>
      </c>
      <c r="O70" s="197">
        <v>48.507152388090113</v>
      </c>
      <c r="P70" s="197">
        <v>46.578522151351677</v>
      </c>
      <c r="Q70" s="197">
        <v>42.629513722559537</v>
      </c>
      <c r="R70" s="197">
        <v>32.795019197352403</v>
      </c>
      <c r="S70" s="197">
        <v>32.795019197352403</v>
      </c>
      <c r="T70" s="197">
        <v>32.679138849411814</v>
      </c>
      <c r="U70" s="197">
        <v>32.534740732191203</v>
      </c>
      <c r="V70" s="197">
        <v>32.481246792003347</v>
      </c>
      <c r="W70" s="197">
        <v>27.505849760045123</v>
      </c>
      <c r="X70" s="197">
        <v>25.954034489745535</v>
      </c>
      <c r="Y70" s="197">
        <v>24.019225326399194</v>
      </c>
      <c r="Z70" s="197">
        <v>23.169838083346107</v>
      </c>
      <c r="AA70" s="197">
        <v>22.503925199874686</v>
      </c>
      <c r="AB70" s="16">
        <f>AB69*(1+Assumptions!$L$13/12)</f>
        <v>0.66525383630424528</v>
      </c>
      <c r="AC70" s="16">
        <f t="shared" si="21"/>
        <v>0</v>
      </c>
      <c r="AD70" s="18">
        <f t="shared" si="22"/>
        <v>264.14659569665338</v>
      </c>
      <c r="AE70" s="18">
        <f t="shared" si="22"/>
        <v>3642.145326358393</v>
      </c>
      <c r="AF70" s="5">
        <f>IF(Assumptions!D$16=1,0,1)</f>
        <v>0</v>
      </c>
      <c r="AG70" s="73">
        <f t="shared" si="23"/>
        <v>0</v>
      </c>
      <c r="AH70" s="16">
        <f>Assumptions!$E$16*Assumptions!H23</f>
        <v>4.171294865492909</v>
      </c>
      <c r="AI70" s="16">
        <f>Assumptions!$F$16*Assumptions!I23</f>
        <v>3.8442498113207555</v>
      </c>
      <c r="AJ70" s="16">
        <f t="shared" si="24"/>
        <v>0</v>
      </c>
      <c r="AK70" s="16">
        <f t="shared" si="24"/>
        <v>0</v>
      </c>
      <c r="AL70" s="4"/>
    </row>
    <row r="71" spans="1:38" x14ac:dyDescent="0.2">
      <c r="A71" s="1">
        <f t="shared" si="5"/>
        <v>38365.020000000077</v>
      </c>
      <c r="B71" s="16">
        <f t="shared" si="3"/>
        <v>4.0539502921348314</v>
      </c>
      <c r="C71" s="17">
        <f t="shared" si="0"/>
        <v>45.828873001445849</v>
      </c>
      <c r="D71" s="16">
        <f t="shared" si="4"/>
        <v>0.66636259269808573</v>
      </c>
      <c r="E71" s="16">
        <f t="shared" si="1"/>
        <v>0</v>
      </c>
      <c r="F71" s="16">
        <f t="shared" si="2"/>
        <v>0</v>
      </c>
      <c r="G71" s="19">
        <f>IF('Peak Revenue'!$A$1="BL","-",SUM(C71:F71))</f>
        <v>46.495235594143935</v>
      </c>
      <c r="H71" s="197">
        <v>73.401895751362176</v>
      </c>
      <c r="I71" s="197">
        <v>71.068778498723574</v>
      </c>
      <c r="J71" s="197">
        <v>67.747450749798332</v>
      </c>
      <c r="K71" s="197">
        <v>66.487340606394383</v>
      </c>
      <c r="L71" s="197">
        <v>66.254418827685654</v>
      </c>
      <c r="M71" s="197">
        <v>60.451742496969985</v>
      </c>
      <c r="N71" s="197">
        <v>46.594160126047285</v>
      </c>
      <c r="O71" s="197">
        <v>39.165986928499699</v>
      </c>
      <c r="P71" s="197">
        <v>37.733888947700052</v>
      </c>
      <c r="Q71" s="197">
        <v>33.915931016028118</v>
      </c>
      <c r="R71" s="197">
        <v>33.687230299456296</v>
      </c>
      <c r="S71" s="197">
        <v>33.687230299456296</v>
      </c>
      <c r="T71" s="197">
        <v>33.687230299456296</v>
      </c>
      <c r="U71" s="197">
        <v>33.687230299456296</v>
      </c>
      <c r="V71" s="197">
        <v>33.687230299456296</v>
      </c>
      <c r="W71" s="197">
        <v>31.334243177532802</v>
      </c>
      <c r="X71" s="197">
        <v>28.183496931421907</v>
      </c>
      <c r="Y71" s="197">
        <v>27.479230138707372</v>
      </c>
      <c r="Z71" s="197">
        <v>26.38152685570461</v>
      </c>
      <c r="AA71" s="197">
        <v>25.516315540917017</v>
      </c>
      <c r="AB71" s="16">
        <f>AB70*(1+Assumptions!$L$13/12)</f>
        <v>0.66636259269808573</v>
      </c>
      <c r="AC71" s="16">
        <f>VLOOKUP($C$1,EnvVOM,8)</f>
        <v>0</v>
      </c>
      <c r="AD71" s="18">
        <f>Assumptions!B17</f>
        <v>290.22096928831274</v>
      </c>
      <c r="AE71" s="18">
        <f>Assumptions!C17</f>
        <v>3781.0444397566248</v>
      </c>
      <c r="AF71" s="5">
        <f>IF(Assumptions!D$17=1,0,1)</f>
        <v>0</v>
      </c>
      <c r="AG71" s="73">
        <f>VLOOKUP($C$1,Coal,8)</f>
        <v>0</v>
      </c>
      <c r="AH71" s="16">
        <f>Assumptions!$E$17*Assumptions!H12</f>
        <v>4.0539502921348314</v>
      </c>
      <c r="AI71" s="16">
        <f>Assumptions!$F$17*Assumptions!I12</f>
        <v>3.8826460507614224</v>
      </c>
      <c r="AJ71" s="16">
        <f>VLOOKUP($C$1,SO2Rate,8)</f>
        <v>0</v>
      </c>
      <c r="AK71" s="16">
        <f>VLOOKUP($C$1,NOxRate,8)</f>
        <v>0</v>
      </c>
      <c r="AL71" s="4"/>
    </row>
    <row r="72" spans="1:38" x14ac:dyDescent="0.2">
      <c r="A72" s="1">
        <f t="shared" si="5"/>
        <v>38395.437000000078</v>
      </c>
      <c r="B72" s="16">
        <f t="shared" si="3"/>
        <v>3.6334607671527612</v>
      </c>
      <c r="C72" s="17">
        <f t="shared" si="0"/>
        <v>41.075346280551202</v>
      </c>
      <c r="D72" s="16">
        <f t="shared" si="4"/>
        <v>0.66747319701924923</v>
      </c>
      <c r="E72" s="16">
        <f t="shared" si="1"/>
        <v>0</v>
      </c>
      <c r="F72" s="16">
        <f t="shared" si="2"/>
        <v>0</v>
      </c>
      <c r="G72" s="19">
        <f>IF('Peak Revenue'!$A$1="BL","-",SUM(C72:F72))</f>
        <v>41.74281947757045</v>
      </c>
      <c r="H72" s="197">
        <v>81.889367586608245</v>
      </c>
      <c r="I72" s="197">
        <v>77.073808874671428</v>
      </c>
      <c r="J72" s="197">
        <v>74.339865388168192</v>
      </c>
      <c r="K72" s="197">
        <v>70.205037570063013</v>
      </c>
      <c r="L72" s="197">
        <v>69.851329995864987</v>
      </c>
      <c r="M72" s="197">
        <v>63.697333387765902</v>
      </c>
      <c r="N72" s="197">
        <v>51.547807014422524</v>
      </c>
      <c r="O72" s="197">
        <v>49.281657868326256</v>
      </c>
      <c r="P72" s="197">
        <v>40.617843702545251</v>
      </c>
      <c r="Q72" s="197">
        <v>34.915106469135196</v>
      </c>
      <c r="R72" s="197">
        <v>34.862836581106265</v>
      </c>
      <c r="S72" s="197">
        <v>34.634084039153109</v>
      </c>
      <c r="T72" s="197">
        <v>34.621781113400068</v>
      </c>
      <c r="U72" s="197">
        <v>27.944721023680181</v>
      </c>
      <c r="V72" s="197">
        <v>26.513886537364495</v>
      </c>
      <c r="W72" s="197">
        <v>25.446948356893852</v>
      </c>
      <c r="X72" s="197">
        <v>24.634094839049062</v>
      </c>
      <c r="Y72" s="197">
        <v>24.179274496272615</v>
      </c>
      <c r="Z72" s="197">
        <v>23.748435689688797</v>
      </c>
      <c r="AA72" s="197">
        <v>22.977671384480828</v>
      </c>
      <c r="AB72" s="16">
        <f>AB71*(1+Assumptions!$L$13/12)</f>
        <v>0.66747319701924923</v>
      </c>
      <c r="AC72" s="16">
        <f>AC71</f>
        <v>0</v>
      </c>
      <c r="AD72" s="18">
        <f>AD71</f>
        <v>290.22096928831274</v>
      </c>
      <c r="AE72" s="18">
        <f>AE71</f>
        <v>3781.0444397566248</v>
      </c>
      <c r="AF72" s="5">
        <f>IF(Assumptions!D$17=1,0,1)</f>
        <v>0</v>
      </c>
      <c r="AG72" s="73">
        <f>AG71</f>
        <v>0</v>
      </c>
      <c r="AH72" s="16">
        <f>Assumptions!$E$17*Assumptions!H13</f>
        <v>3.6334607671527612</v>
      </c>
      <c r="AI72" s="16">
        <f>Assumptions!$F$17*Assumptions!I13</f>
        <v>3.8466956243654833</v>
      </c>
      <c r="AJ72" s="16">
        <f>AJ71</f>
        <v>0</v>
      </c>
      <c r="AK72" s="16">
        <f>AK71</f>
        <v>0</v>
      </c>
      <c r="AL72" s="4"/>
    </row>
    <row r="73" spans="1:38" x14ac:dyDescent="0.2">
      <c r="A73" s="1">
        <f t="shared" si="5"/>
        <v>38425.854000000079</v>
      </c>
      <c r="B73" s="16">
        <f t="shared" si="3"/>
        <v>3.5723639985656233</v>
      </c>
      <c r="C73" s="17">
        <f t="shared" si="0"/>
        <v>40.384662910848569</v>
      </c>
      <c r="D73" s="16">
        <f t="shared" si="4"/>
        <v>0.66858565234761469</v>
      </c>
      <c r="E73" s="16">
        <f t="shared" si="1"/>
        <v>0</v>
      </c>
      <c r="F73" s="16">
        <f t="shared" si="2"/>
        <v>0</v>
      </c>
      <c r="G73" s="19">
        <f>IF('Peak Revenue'!$A$1="BL","-",SUM(C73:F73))</f>
        <v>41.053248563196185</v>
      </c>
      <c r="H73" s="197">
        <v>72.859033951990526</v>
      </c>
      <c r="I73" s="197">
        <v>70.440020011307595</v>
      </c>
      <c r="J73" s="197">
        <v>66.904526734369782</v>
      </c>
      <c r="K73" s="197">
        <v>65.318298961946709</v>
      </c>
      <c r="L73" s="197">
        <v>65.13992287496211</v>
      </c>
      <c r="M73" s="197">
        <v>59.291772288461559</v>
      </c>
      <c r="N73" s="197">
        <v>45.806097924994987</v>
      </c>
      <c r="O73" s="197">
        <v>39.388388559906375</v>
      </c>
      <c r="P73" s="197">
        <v>37.169759446371579</v>
      </c>
      <c r="Q73" s="197">
        <v>33.399512488964618</v>
      </c>
      <c r="R73" s="197">
        <v>32.390926529977889</v>
      </c>
      <c r="S73" s="197">
        <v>32.390926529977889</v>
      </c>
      <c r="T73" s="197">
        <v>32.390926529977889</v>
      </c>
      <c r="U73" s="197">
        <v>32.390926529977889</v>
      </c>
      <c r="V73" s="197">
        <v>32.292194794541246</v>
      </c>
      <c r="W73" s="197">
        <v>27.956466166983596</v>
      </c>
      <c r="X73" s="197">
        <v>26.684013612399497</v>
      </c>
      <c r="Y73" s="197">
        <v>25.523476061622883</v>
      </c>
      <c r="Z73" s="197">
        <v>24.547637321220051</v>
      </c>
      <c r="AA73" s="197">
        <v>23.405650581200366</v>
      </c>
      <c r="AB73" s="16">
        <f>AB72*(1+Assumptions!$L$13/12)</f>
        <v>0.66858565234761469</v>
      </c>
      <c r="AC73" s="16">
        <f t="shared" ref="AC73:AC82" si="25">AC72</f>
        <v>0</v>
      </c>
      <c r="AD73" s="18">
        <f t="shared" ref="AD73:AE82" si="26">AD72</f>
        <v>290.22096928831274</v>
      </c>
      <c r="AE73" s="18">
        <f t="shared" si="26"/>
        <v>3781.0444397566248</v>
      </c>
      <c r="AF73" s="5">
        <f>IF(Assumptions!D$17=1,0,1)</f>
        <v>0</v>
      </c>
      <c r="AG73" s="73">
        <f t="shared" ref="AG73:AG82" si="27">AG72</f>
        <v>0</v>
      </c>
      <c r="AH73" s="16">
        <f>Assumptions!$E$17*Assumptions!H14</f>
        <v>3.5723639985656233</v>
      </c>
      <c r="AI73" s="16">
        <f>Assumptions!$F$17*Assumptions!I14</f>
        <v>3.7028939187817267</v>
      </c>
      <c r="AJ73" s="16">
        <f t="shared" ref="AJ73:AK82" si="28">AJ72</f>
        <v>0</v>
      </c>
      <c r="AK73" s="16">
        <f t="shared" si="28"/>
        <v>0</v>
      </c>
      <c r="AL73" s="4"/>
    </row>
    <row r="74" spans="1:38" x14ac:dyDescent="0.2">
      <c r="A74" s="1">
        <f t="shared" si="5"/>
        <v>38456.271000000081</v>
      </c>
      <c r="B74" s="16">
        <f t="shared" si="3"/>
        <v>3.3962615479321063</v>
      </c>
      <c r="C74" s="17">
        <f t="shared" si="0"/>
        <v>38.393869668764481</v>
      </c>
      <c r="D74" s="16">
        <f t="shared" si="4"/>
        <v>0.66969996176819402</v>
      </c>
      <c r="E74" s="16">
        <f t="shared" si="1"/>
        <v>0</v>
      </c>
      <c r="F74" s="16">
        <f t="shared" si="2"/>
        <v>0</v>
      </c>
      <c r="G74" s="19">
        <f>IF('Peak Revenue'!$A$1="BL","-",SUM(C74:F74))</f>
        <v>39.063569630532676</v>
      </c>
      <c r="H74" s="197">
        <v>59.304207670478448</v>
      </c>
      <c r="I74" s="197">
        <v>57.153144791661227</v>
      </c>
      <c r="J74" s="197">
        <v>54.514346482828131</v>
      </c>
      <c r="K74" s="197">
        <v>53.925877605716984</v>
      </c>
      <c r="L74" s="197">
        <v>53.747379476491261</v>
      </c>
      <c r="M74" s="197">
        <v>44.921195076783491</v>
      </c>
      <c r="N74" s="197">
        <v>41.142651300265285</v>
      </c>
      <c r="O74" s="197">
        <v>38.25698050341866</v>
      </c>
      <c r="P74" s="197">
        <v>33.580074866121329</v>
      </c>
      <c r="Q74" s="197">
        <v>28.473309975048657</v>
      </c>
      <c r="R74" s="197">
        <v>28.091822839289478</v>
      </c>
      <c r="S74" s="197">
        <v>28.091822839289478</v>
      </c>
      <c r="T74" s="197">
        <v>28.069235654794589</v>
      </c>
      <c r="U74" s="197">
        <v>27.000060290338403</v>
      </c>
      <c r="V74" s="197">
        <v>26.03130176602982</v>
      </c>
      <c r="W74" s="197">
        <v>25.8264181537693</v>
      </c>
      <c r="X74" s="197">
        <v>24.787727500442877</v>
      </c>
      <c r="Y74" s="197">
        <v>24.228992862438613</v>
      </c>
      <c r="Z74" s="197">
        <v>23.764155709058386</v>
      </c>
      <c r="AA74" s="197">
        <v>23.342453097807564</v>
      </c>
      <c r="AB74" s="16">
        <f>AB73*(1+Assumptions!$L$13/12)</f>
        <v>0.66969996176819402</v>
      </c>
      <c r="AC74" s="16">
        <f t="shared" si="25"/>
        <v>0</v>
      </c>
      <c r="AD74" s="18">
        <f t="shared" si="26"/>
        <v>290.22096928831274</v>
      </c>
      <c r="AE74" s="18">
        <f t="shared" si="26"/>
        <v>3781.0444397566248</v>
      </c>
      <c r="AF74" s="5">
        <f>IF(Assumptions!D$17=1,0,1)</f>
        <v>0</v>
      </c>
      <c r="AG74" s="73">
        <f t="shared" si="27"/>
        <v>0</v>
      </c>
      <c r="AH74" s="16">
        <f>Assumptions!$E$17*Assumptions!H15</f>
        <v>3.3962615479321063</v>
      </c>
      <c r="AI74" s="16">
        <f>Assumptions!$F$17*Assumptions!I15</f>
        <v>3.5590922131979701</v>
      </c>
      <c r="AJ74" s="16">
        <f t="shared" si="28"/>
        <v>0</v>
      </c>
      <c r="AK74" s="16">
        <f t="shared" si="28"/>
        <v>0</v>
      </c>
      <c r="AL74" s="4"/>
    </row>
    <row r="75" spans="1:38" x14ac:dyDescent="0.2">
      <c r="A75" s="1">
        <f t="shared" si="5"/>
        <v>38486.688000000082</v>
      </c>
      <c r="B75" s="16">
        <f t="shared" si="3"/>
        <v>3.5759579261295724</v>
      </c>
      <c r="C75" s="17">
        <f t="shared" ref="C75:C138" si="29">(B75*$B$1*1000)/1000000</f>
        <v>40.425291344360488</v>
      </c>
      <c r="D75" s="16">
        <f t="shared" si="4"/>
        <v>0.67081612837114102</v>
      </c>
      <c r="E75" s="16">
        <f t="shared" ref="E75:E138" si="30">(($AJ75*$B$1*AD75*1000)/2000)/1000000</f>
        <v>0</v>
      </c>
      <c r="F75" s="16">
        <f t="shared" ref="F75:F138" si="31">AF75*(($AK75*$B$1*AE75*1000)/2000)/1000000</f>
        <v>0</v>
      </c>
      <c r="G75" s="19">
        <f>IF('Peak Revenue'!$A$1="BL","-",SUM(C75:F75))</f>
        <v>41.096107472731632</v>
      </c>
      <c r="H75" s="197">
        <v>78.954243060226901</v>
      </c>
      <c r="I75" s="197">
        <v>68.904304346369585</v>
      </c>
      <c r="J75" s="197">
        <v>63.73488773375616</v>
      </c>
      <c r="K75" s="197">
        <v>59.36596721769159</v>
      </c>
      <c r="L75" s="197">
        <v>56.653486044397098</v>
      </c>
      <c r="M75" s="197">
        <v>55.742286293884561</v>
      </c>
      <c r="N75" s="197">
        <v>42.576779265072318</v>
      </c>
      <c r="O75" s="197">
        <v>38.09531917765127</v>
      </c>
      <c r="P75" s="197">
        <v>33.522022269532705</v>
      </c>
      <c r="Q75" s="197">
        <v>32.593107351583242</v>
      </c>
      <c r="R75" s="197">
        <v>32.520934450584477</v>
      </c>
      <c r="S75" s="197">
        <v>32.193409488355812</v>
      </c>
      <c r="T75" s="197">
        <v>31.145975872484065</v>
      </c>
      <c r="U75" s="197">
        <v>30.553405508985712</v>
      </c>
      <c r="V75" s="197">
        <v>29.782198894825463</v>
      </c>
      <c r="W75" s="197">
        <v>28.943665048298296</v>
      </c>
      <c r="X75" s="197">
        <v>28.55102057495386</v>
      </c>
      <c r="Y75" s="197">
        <v>28.075022317654909</v>
      </c>
      <c r="Z75" s="197">
        <v>27.852420117745723</v>
      </c>
      <c r="AA75" s="197">
        <v>27.333079765250901</v>
      </c>
      <c r="AB75" s="16">
        <f>AB74*(1+Assumptions!$L$13/12)</f>
        <v>0.67081612837114102</v>
      </c>
      <c r="AC75" s="16">
        <f t="shared" si="25"/>
        <v>0</v>
      </c>
      <c r="AD75" s="18">
        <f t="shared" si="26"/>
        <v>290.22096928831274</v>
      </c>
      <c r="AE75" s="18">
        <f t="shared" si="26"/>
        <v>3781.0444397566248</v>
      </c>
      <c r="AF75" s="5">
        <v>1</v>
      </c>
      <c r="AG75" s="73">
        <f t="shared" si="27"/>
        <v>0</v>
      </c>
      <c r="AH75" s="16">
        <f>Assumptions!$E$17*Assumptions!H16</f>
        <v>3.5759579261295724</v>
      </c>
      <c r="AI75" s="16">
        <f>Assumptions!$F$17*Assumptions!I16</f>
        <v>3.4152905076142135</v>
      </c>
      <c r="AJ75" s="16">
        <f t="shared" si="28"/>
        <v>0</v>
      </c>
      <c r="AK75" s="16">
        <f t="shared" si="28"/>
        <v>0</v>
      </c>
      <c r="AL75" s="4"/>
    </row>
    <row r="76" spans="1:38" x14ac:dyDescent="0.2">
      <c r="A76" s="1">
        <f t="shared" si="5"/>
        <v>38517.105000000083</v>
      </c>
      <c r="B76" s="16">
        <f t="shared" ref="B76:B139" si="32">IF($B$9="Coal",AG76,IF($B$9="Gas",AH76,IF($B$9="Oil",AI76,0)))</f>
        <v>3.4070433306239543</v>
      </c>
      <c r="C76" s="17">
        <f t="shared" si="29"/>
        <v>38.515754969300239</v>
      </c>
      <c r="D76" s="16">
        <f t="shared" ref="D76:D139" si="33">AB76+AC76</f>
        <v>0.67193415525175959</v>
      </c>
      <c r="E76" s="16">
        <f t="shared" si="30"/>
        <v>0</v>
      </c>
      <c r="F76" s="16">
        <f t="shared" si="31"/>
        <v>0</v>
      </c>
      <c r="G76" s="19">
        <f>IF('Peak Revenue'!$A$1="BL","-",SUM(C76:F76))</f>
        <v>39.187689124552001</v>
      </c>
      <c r="H76" s="197">
        <v>241.70667877359452</v>
      </c>
      <c r="I76" s="197">
        <v>177.47379728950406</v>
      </c>
      <c r="J76" s="197">
        <v>155.06651786181317</v>
      </c>
      <c r="K76" s="197">
        <v>103.08410065676853</v>
      </c>
      <c r="L76" s="197">
        <v>56.542479759817162</v>
      </c>
      <c r="M76" s="197">
        <v>49.718862572536736</v>
      </c>
      <c r="N76" s="197">
        <v>45.771565786234348</v>
      </c>
      <c r="O76" s="197">
        <v>43.810271197535357</v>
      </c>
      <c r="P76" s="197">
        <v>36.217239978675082</v>
      </c>
      <c r="Q76" s="197">
        <v>33.004697757326063</v>
      </c>
      <c r="R76" s="197">
        <v>32.141583282745493</v>
      </c>
      <c r="S76" s="197">
        <v>30.926889089179308</v>
      </c>
      <c r="T76" s="197">
        <v>30.431018900446762</v>
      </c>
      <c r="U76" s="197">
        <v>29.863307458356541</v>
      </c>
      <c r="V76" s="197">
        <v>29.064365718843742</v>
      </c>
      <c r="W76" s="197">
        <v>28.168833154531605</v>
      </c>
      <c r="X76" s="197">
        <v>27.788275328263701</v>
      </c>
      <c r="Y76" s="197">
        <v>27.206268287558629</v>
      </c>
      <c r="Z76" s="197">
        <v>26.67189572346296</v>
      </c>
      <c r="AA76" s="197">
        <v>25.332208281715893</v>
      </c>
      <c r="AB76" s="16">
        <f>AB75*(1+Assumptions!$L$13/12)</f>
        <v>0.67193415525175959</v>
      </c>
      <c r="AC76" s="16">
        <f t="shared" si="25"/>
        <v>0</v>
      </c>
      <c r="AD76" s="18">
        <f t="shared" si="26"/>
        <v>290.22096928831274</v>
      </c>
      <c r="AE76" s="18">
        <f t="shared" si="26"/>
        <v>3781.0444397566248</v>
      </c>
      <c r="AF76" s="5">
        <v>1</v>
      </c>
      <c r="AG76" s="73">
        <f t="shared" si="27"/>
        <v>0</v>
      </c>
      <c r="AH76" s="16">
        <f>Assumptions!$E$17*Assumptions!H17</f>
        <v>3.4070433306239543</v>
      </c>
      <c r="AI76" s="16">
        <f>Assumptions!$F$17*Assumptions!I17</f>
        <v>3.4152905076142135</v>
      </c>
      <c r="AJ76" s="16">
        <f t="shared" si="28"/>
        <v>0</v>
      </c>
      <c r="AK76" s="16">
        <f t="shared" si="28"/>
        <v>0</v>
      </c>
      <c r="AL76" s="4"/>
    </row>
    <row r="77" spans="1:38" x14ac:dyDescent="0.2">
      <c r="A77" s="1">
        <f t="shared" ref="A77:A140" si="34">A76+30.417</f>
        <v>38547.522000000085</v>
      </c>
      <c r="B77" s="16">
        <f t="shared" si="32"/>
        <v>3.3962615479321063</v>
      </c>
      <c r="C77" s="17">
        <f t="shared" si="29"/>
        <v>38.393869668764481</v>
      </c>
      <c r="D77" s="16">
        <f t="shared" si="33"/>
        <v>0.67305404551051251</v>
      </c>
      <c r="E77" s="16">
        <f t="shared" si="30"/>
        <v>0</v>
      </c>
      <c r="F77" s="16">
        <f t="shared" si="31"/>
        <v>0</v>
      </c>
      <c r="G77" s="19">
        <f>IF('Peak Revenue'!$A$1="BL","-",SUM(C77:F77))</f>
        <v>39.066923714274992</v>
      </c>
      <c r="H77" s="197">
        <v>538.65154979934925</v>
      </c>
      <c r="I77" s="197">
        <v>363.78976732443232</v>
      </c>
      <c r="J77" s="197">
        <v>265.11515640925103</v>
      </c>
      <c r="K77" s="197">
        <v>184.26477432184845</v>
      </c>
      <c r="L77" s="197">
        <v>138.26579161345902</v>
      </c>
      <c r="M77" s="197">
        <v>75.861740833625078</v>
      </c>
      <c r="N77" s="197">
        <v>55.78916722948766</v>
      </c>
      <c r="O77" s="197">
        <v>50.355753662897158</v>
      </c>
      <c r="P77" s="197">
        <v>49.400118586026949</v>
      </c>
      <c r="Q77" s="197">
        <v>41.033626228973205</v>
      </c>
      <c r="R77" s="197">
        <v>35.45540942269092</v>
      </c>
      <c r="S77" s="197">
        <v>33.61021216590909</v>
      </c>
      <c r="T77" s="197">
        <v>32.083696778697806</v>
      </c>
      <c r="U77" s="197">
        <v>31.052985577680836</v>
      </c>
      <c r="V77" s="197">
        <v>30.63577362230118</v>
      </c>
      <c r="W77" s="197">
        <v>29.587872692851061</v>
      </c>
      <c r="X77" s="197">
        <v>28.840599713448128</v>
      </c>
      <c r="Y77" s="197">
        <v>28.570829098161244</v>
      </c>
      <c r="Z77" s="197">
        <v>27.694272637399806</v>
      </c>
      <c r="AA77" s="197">
        <v>25.364665524611709</v>
      </c>
      <c r="AB77" s="16">
        <f>AB76*(1+Assumptions!$L$13/12)</f>
        <v>0.67305404551051251</v>
      </c>
      <c r="AC77" s="16">
        <f t="shared" si="25"/>
        <v>0</v>
      </c>
      <c r="AD77" s="18">
        <f t="shared" si="26"/>
        <v>290.22096928831274</v>
      </c>
      <c r="AE77" s="18">
        <f t="shared" si="26"/>
        <v>3781.0444397566248</v>
      </c>
      <c r="AF77" s="5">
        <v>1</v>
      </c>
      <c r="AG77" s="73">
        <f t="shared" si="27"/>
        <v>0</v>
      </c>
      <c r="AH77" s="16">
        <f>Assumptions!$E$17*Assumptions!H18</f>
        <v>3.3962615479321063</v>
      </c>
      <c r="AI77" s="16">
        <f>Assumptions!$F$17*Assumptions!I18</f>
        <v>3.4152905076142135</v>
      </c>
      <c r="AJ77" s="16">
        <f t="shared" si="28"/>
        <v>0</v>
      </c>
      <c r="AK77" s="16">
        <f t="shared" si="28"/>
        <v>0</v>
      </c>
      <c r="AL77" s="4"/>
    </row>
    <row r="78" spans="1:38" x14ac:dyDescent="0.2">
      <c r="A78" s="1">
        <f t="shared" si="34"/>
        <v>38577.939000000086</v>
      </c>
      <c r="B78" s="16">
        <f t="shared" si="32"/>
        <v>3.2201590972985898</v>
      </c>
      <c r="C78" s="17">
        <f t="shared" si="29"/>
        <v>36.403076426680393</v>
      </c>
      <c r="D78" s="16">
        <f t="shared" si="33"/>
        <v>0.67417580225303009</v>
      </c>
      <c r="E78" s="16">
        <f t="shared" si="30"/>
        <v>0</v>
      </c>
      <c r="F78" s="16">
        <f t="shared" si="31"/>
        <v>0</v>
      </c>
      <c r="G78" s="19">
        <f>IF('Peak Revenue'!$A$1="BL","-",SUM(C78:F78))</f>
        <v>37.077252228933425</v>
      </c>
      <c r="H78" s="197">
        <v>848.60440930492678</v>
      </c>
      <c r="I78" s="197">
        <v>492.21352996723846</v>
      </c>
      <c r="J78" s="197">
        <v>337.34197106825741</v>
      </c>
      <c r="K78" s="197">
        <v>211.36095838200896</v>
      </c>
      <c r="L78" s="197">
        <v>154.35257701520936</v>
      </c>
      <c r="M78" s="197">
        <v>92.460781836924269</v>
      </c>
      <c r="N78" s="197">
        <v>70.371508885798306</v>
      </c>
      <c r="O78" s="197">
        <v>63.410366051871598</v>
      </c>
      <c r="P78" s="197">
        <v>58.60725984460089</v>
      </c>
      <c r="Q78" s="197">
        <v>44.158609073707218</v>
      </c>
      <c r="R78" s="197">
        <v>38.558858534401345</v>
      </c>
      <c r="S78" s="197">
        <v>36.270460739600395</v>
      </c>
      <c r="T78" s="197">
        <v>35.685278546820697</v>
      </c>
      <c r="U78" s="197">
        <v>34.985838864093857</v>
      </c>
      <c r="V78" s="197">
        <v>34.244297745175643</v>
      </c>
      <c r="W78" s="197">
        <v>33.497073014835209</v>
      </c>
      <c r="X78" s="197">
        <v>32.361724423187844</v>
      </c>
      <c r="Y78" s="197">
        <v>31.627564811723648</v>
      </c>
      <c r="Z78" s="197">
        <v>30.881168562599782</v>
      </c>
      <c r="AA78" s="197">
        <v>28.466644256673749</v>
      </c>
      <c r="AB78" s="16">
        <f>AB77*(1+Assumptions!$L$13/12)</f>
        <v>0.67417580225303009</v>
      </c>
      <c r="AC78" s="16">
        <f t="shared" si="25"/>
        <v>0</v>
      </c>
      <c r="AD78" s="18">
        <f t="shared" si="26"/>
        <v>290.22096928831274</v>
      </c>
      <c r="AE78" s="18">
        <f t="shared" si="26"/>
        <v>3781.0444397566248</v>
      </c>
      <c r="AF78" s="5">
        <v>1</v>
      </c>
      <c r="AG78" s="73">
        <f t="shared" si="27"/>
        <v>0</v>
      </c>
      <c r="AH78" s="16">
        <f>Assumptions!$E$17*Assumptions!H19</f>
        <v>3.2201590972985898</v>
      </c>
      <c r="AI78" s="16">
        <f>Assumptions!$F$17*Assumptions!I19</f>
        <v>3.4152905076142135</v>
      </c>
      <c r="AJ78" s="16">
        <f t="shared" si="28"/>
        <v>0</v>
      </c>
      <c r="AK78" s="16">
        <f t="shared" si="28"/>
        <v>0</v>
      </c>
      <c r="AL78" s="4"/>
    </row>
    <row r="79" spans="1:38" x14ac:dyDescent="0.2">
      <c r="A79" s="1">
        <f t="shared" si="34"/>
        <v>38608.356000000087</v>
      </c>
      <c r="B79" s="16">
        <f t="shared" si="32"/>
        <v>3.2093773146067419</v>
      </c>
      <c r="C79" s="17">
        <f t="shared" si="29"/>
        <v>36.281191126144641</v>
      </c>
      <c r="D79" s="16">
        <f t="shared" si="33"/>
        <v>0.67529942859011849</v>
      </c>
      <c r="E79" s="16">
        <f t="shared" si="30"/>
        <v>0</v>
      </c>
      <c r="F79" s="16">
        <f t="shared" si="31"/>
        <v>0</v>
      </c>
      <c r="G79" s="19">
        <f>IF('Peak Revenue'!$A$1="BL","-",SUM(C79:F79))</f>
        <v>36.956490554734756</v>
      </c>
      <c r="H79" s="197">
        <v>197.77839709212429</v>
      </c>
      <c r="I79" s="197">
        <v>162.04618741458313</v>
      </c>
      <c r="J79" s="197">
        <v>134.26062354709208</v>
      </c>
      <c r="K79" s="197">
        <v>86.696652264740578</v>
      </c>
      <c r="L79" s="197">
        <v>66.515579944064299</v>
      </c>
      <c r="M79" s="197">
        <v>60.224210625544387</v>
      </c>
      <c r="N79" s="197">
        <v>58.177400998196298</v>
      </c>
      <c r="O79" s="197">
        <v>47.558647732152693</v>
      </c>
      <c r="P79" s="197">
        <v>38.804618791091123</v>
      </c>
      <c r="Q79" s="197">
        <v>33.451605575851708</v>
      </c>
      <c r="R79" s="197">
        <v>32.599208182595028</v>
      </c>
      <c r="S79" s="197">
        <v>30.921321456169345</v>
      </c>
      <c r="T79" s="197">
        <v>29.882953764424315</v>
      </c>
      <c r="U79" s="197">
        <v>29.338415542563091</v>
      </c>
      <c r="V79" s="197">
        <v>29.016018223345053</v>
      </c>
      <c r="W79" s="197">
        <v>28.583219579332059</v>
      </c>
      <c r="X79" s="197">
        <v>28.579620939492337</v>
      </c>
      <c r="Y79" s="197">
        <v>28.57930148007377</v>
      </c>
      <c r="Z79" s="197">
        <v>28.579092043973112</v>
      </c>
      <c r="AA79" s="197">
        <v>27.287897619430755</v>
      </c>
      <c r="AB79" s="16">
        <f>AB78*(1+Assumptions!$L$13/12)</f>
        <v>0.67529942859011849</v>
      </c>
      <c r="AC79" s="16">
        <f t="shared" si="25"/>
        <v>0</v>
      </c>
      <c r="AD79" s="18">
        <f t="shared" si="26"/>
        <v>290.22096928831274</v>
      </c>
      <c r="AE79" s="18">
        <f t="shared" si="26"/>
        <v>3781.0444397566248</v>
      </c>
      <c r="AF79" s="5">
        <v>1</v>
      </c>
      <c r="AG79" s="73">
        <f t="shared" si="27"/>
        <v>0</v>
      </c>
      <c r="AH79" s="16">
        <f>Assumptions!$E$17*Assumptions!H20</f>
        <v>3.2093773146067419</v>
      </c>
      <c r="AI79" s="16">
        <f>Assumptions!$F$17*Assumptions!I20</f>
        <v>3.4152905076142135</v>
      </c>
      <c r="AJ79" s="16">
        <f t="shared" si="28"/>
        <v>0</v>
      </c>
      <c r="AK79" s="16">
        <f t="shared" si="28"/>
        <v>0</v>
      </c>
      <c r="AL79" s="4"/>
    </row>
    <row r="80" spans="1:38" x14ac:dyDescent="0.2">
      <c r="A80" s="1">
        <f t="shared" si="34"/>
        <v>38638.773000000088</v>
      </c>
      <c r="B80" s="16">
        <f t="shared" si="32"/>
        <v>3.5543943607458766</v>
      </c>
      <c r="C80" s="17">
        <f t="shared" si="29"/>
        <v>40.181520743288964</v>
      </c>
      <c r="D80" s="16">
        <f t="shared" si="33"/>
        <v>0.67642492763776874</v>
      </c>
      <c r="E80" s="16">
        <f t="shared" si="30"/>
        <v>0</v>
      </c>
      <c r="F80" s="16">
        <f t="shared" si="31"/>
        <v>0</v>
      </c>
      <c r="G80" s="19">
        <f>IF('Peak Revenue'!$A$1="BL","-",SUM(C80:F80))</f>
        <v>40.857945670926732</v>
      </c>
      <c r="H80" s="197">
        <v>70.845104078451627</v>
      </c>
      <c r="I80" s="197">
        <v>64.726857695634948</v>
      </c>
      <c r="J80" s="197">
        <v>61.058495768739782</v>
      </c>
      <c r="K80" s="197">
        <v>58.821351401554672</v>
      </c>
      <c r="L80" s="197">
        <v>56.564892943892929</v>
      </c>
      <c r="M80" s="197">
        <v>52.779488744957817</v>
      </c>
      <c r="N80" s="197">
        <v>52.036801256080423</v>
      </c>
      <c r="O80" s="197">
        <v>50.753882254161418</v>
      </c>
      <c r="P80" s="197">
        <v>42.092796856663071</v>
      </c>
      <c r="Q80" s="197">
        <v>37.027770893507849</v>
      </c>
      <c r="R80" s="197">
        <v>30.630191959776589</v>
      </c>
      <c r="S80" s="197">
        <v>30.086294003242891</v>
      </c>
      <c r="T80" s="197">
        <v>28.132474745209436</v>
      </c>
      <c r="U80" s="197">
        <v>27.465657885533339</v>
      </c>
      <c r="V80" s="197">
        <v>27.393732203125118</v>
      </c>
      <c r="W80" s="197">
        <v>25.624874324669086</v>
      </c>
      <c r="X80" s="197">
        <v>24.766604913054859</v>
      </c>
      <c r="Y80" s="197">
        <v>24.389961327824285</v>
      </c>
      <c r="Z80" s="197">
        <v>23.419244672150459</v>
      </c>
      <c r="AA80" s="197">
        <v>22.439473295236162</v>
      </c>
      <c r="AB80" s="16">
        <f>AB79*(1+Assumptions!$L$13/12)</f>
        <v>0.67642492763776874</v>
      </c>
      <c r="AC80" s="16">
        <f t="shared" si="25"/>
        <v>0</v>
      </c>
      <c r="AD80" s="18">
        <f t="shared" si="26"/>
        <v>290.22096928831274</v>
      </c>
      <c r="AE80" s="18">
        <f t="shared" si="26"/>
        <v>3781.0444397566248</v>
      </c>
      <c r="AF80" s="5">
        <f>IF(Assumptions!D$17=1,0,1)</f>
        <v>0</v>
      </c>
      <c r="AG80" s="73">
        <f t="shared" si="27"/>
        <v>0</v>
      </c>
      <c r="AH80" s="16">
        <f>Assumptions!$E$17*Assumptions!H21</f>
        <v>3.5543943607458766</v>
      </c>
      <c r="AI80" s="16">
        <f>Assumptions!$F$17*Assumptions!I21</f>
        <v>3.4152905076142135</v>
      </c>
      <c r="AJ80" s="16">
        <f t="shared" si="28"/>
        <v>0</v>
      </c>
      <c r="AK80" s="16">
        <f t="shared" si="28"/>
        <v>0</v>
      </c>
      <c r="AL80" s="4"/>
    </row>
    <row r="81" spans="1:38" x14ac:dyDescent="0.2">
      <c r="A81" s="1">
        <f t="shared" si="34"/>
        <v>38669.19000000009</v>
      </c>
      <c r="B81" s="16">
        <f t="shared" si="32"/>
        <v>3.8922235517571124</v>
      </c>
      <c r="C81" s="17">
        <f t="shared" si="29"/>
        <v>44.000593493409447</v>
      </c>
      <c r="D81" s="16">
        <f t="shared" si="33"/>
        <v>0.67755230251716503</v>
      </c>
      <c r="E81" s="16">
        <f t="shared" si="30"/>
        <v>0</v>
      </c>
      <c r="F81" s="16">
        <f t="shared" si="31"/>
        <v>0</v>
      </c>
      <c r="G81" s="19">
        <f>IF('Peak Revenue'!$A$1="BL","-",SUM(C81:F81))</f>
        <v>44.678145795926611</v>
      </c>
      <c r="H81" s="197">
        <v>78.5916063147165</v>
      </c>
      <c r="I81" s="197">
        <v>73.455675139125873</v>
      </c>
      <c r="J81" s="197">
        <v>67.192291077685724</v>
      </c>
      <c r="K81" s="197">
        <v>64.263780003509197</v>
      </c>
      <c r="L81" s="197">
        <v>60.861515878851563</v>
      </c>
      <c r="M81" s="197">
        <v>58.437917222810746</v>
      </c>
      <c r="N81" s="197">
        <v>58.229875602103689</v>
      </c>
      <c r="O81" s="197">
        <v>53.40232357475751</v>
      </c>
      <c r="P81" s="197">
        <v>41.00300755352098</v>
      </c>
      <c r="Q81" s="197">
        <v>40.893253350993398</v>
      </c>
      <c r="R81" s="197">
        <v>40.85446059360293</v>
      </c>
      <c r="S81" s="197">
        <v>31.630371233466015</v>
      </c>
      <c r="T81" s="197">
        <v>29.592053942844377</v>
      </c>
      <c r="U81" s="197">
        <v>29.393205022048797</v>
      </c>
      <c r="V81" s="197">
        <v>28.412182934262198</v>
      </c>
      <c r="W81" s="197">
        <v>26.689439849946801</v>
      </c>
      <c r="X81" s="197">
        <v>26.24783029766337</v>
      </c>
      <c r="Y81" s="197">
        <v>25.446986755743513</v>
      </c>
      <c r="Z81" s="197">
        <v>24.703139788446911</v>
      </c>
      <c r="AA81" s="197">
        <v>23.804449506315599</v>
      </c>
      <c r="AB81" s="16">
        <f>AB80*(1+Assumptions!$L$13/12)</f>
        <v>0.67755230251716503</v>
      </c>
      <c r="AC81" s="16">
        <f t="shared" si="25"/>
        <v>0</v>
      </c>
      <c r="AD81" s="18">
        <f t="shared" si="26"/>
        <v>290.22096928831274</v>
      </c>
      <c r="AE81" s="18">
        <f t="shared" si="26"/>
        <v>3781.0444397566248</v>
      </c>
      <c r="AF81" s="5">
        <f>IF(Assumptions!D$17=1,0,1)</f>
        <v>0</v>
      </c>
      <c r="AG81" s="73">
        <f t="shared" si="27"/>
        <v>0</v>
      </c>
      <c r="AH81" s="16">
        <f>Assumptions!$E$17*Assumptions!H22</f>
        <v>3.8922235517571124</v>
      </c>
      <c r="AI81" s="16">
        <f>Assumptions!$F$17*Assumptions!I22</f>
        <v>3.7028939187817267</v>
      </c>
      <c r="AJ81" s="16">
        <f t="shared" si="28"/>
        <v>0</v>
      </c>
      <c r="AK81" s="16">
        <f t="shared" si="28"/>
        <v>0</v>
      </c>
      <c r="AL81" s="4"/>
    </row>
    <row r="82" spans="1:38" x14ac:dyDescent="0.2">
      <c r="A82" s="1">
        <f t="shared" si="34"/>
        <v>38699.607000000091</v>
      </c>
      <c r="B82" s="16">
        <f t="shared" si="32"/>
        <v>4.2120831049486016</v>
      </c>
      <c r="C82" s="17">
        <f t="shared" si="29"/>
        <v>47.616524075970339</v>
      </c>
      <c r="D82" s="16">
        <f t="shared" si="33"/>
        <v>0.67868155635469363</v>
      </c>
      <c r="E82" s="16">
        <f t="shared" si="30"/>
        <v>0</v>
      </c>
      <c r="F82" s="16">
        <f t="shared" si="31"/>
        <v>0</v>
      </c>
      <c r="G82" s="19">
        <f>IF('Peak Revenue'!$A$1="BL","-",SUM(C82:F82))</f>
        <v>48.295205632325036</v>
      </c>
      <c r="H82" s="197">
        <v>90.488934570895111</v>
      </c>
      <c r="I82" s="197">
        <v>87.532116567806582</v>
      </c>
      <c r="J82" s="197">
        <v>84.530636725157109</v>
      </c>
      <c r="K82" s="197">
        <v>80.492668977979292</v>
      </c>
      <c r="L82" s="197">
        <v>76.57010633719176</v>
      </c>
      <c r="M82" s="197">
        <v>76.339780772696486</v>
      </c>
      <c r="N82" s="197">
        <v>73.836059491009379</v>
      </c>
      <c r="O82" s="197">
        <v>62.118352523284557</v>
      </c>
      <c r="P82" s="197">
        <v>52.441015293726736</v>
      </c>
      <c r="Q82" s="197">
        <v>45.397520194960336</v>
      </c>
      <c r="R82" s="197">
        <v>43.047883078771463</v>
      </c>
      <c r="S82" s="197">
        <v>38.10207688914182</v>
      </c>
      <c r="T82" s="197">
        <v>30.3282711793453</v>
      </c>
      <c r="U82" s="197">
        <v>28.299426809518412</v>
      </c>
      <c r="V82" s="197">
        <v>27.294440415790714</v>
      </c>
      <c r="W82" s="197">
        <v>27.042250375285953</v>
      </c>
      <c r="X82" s="197">
        <v>26.196748153912086</v>
      </c>
      <c r="Y82" s="197">
        <v>25.441610787256234</v>
      </c>
      <c r="Z82" s="197">
        <v>24.97392618855984</v>
      </c>
      <c r="AA82" s="197">
        <v>24.37226702126954</v>
      </c>
      <c r="AB82" s="16">
        <f>AB81*(1+Assumptions!$L$13/12)</f>
        <v>0.67868155635469363</v>
      </c>
      <c r="AC82" s="16">
        <f t="shared" si="25"/>
        <v>0</v>
      </c>
      <c r="AD82" s="18">
        <f t="shared" si="26"/>
        <v>290.22096928831274</v>
      </c>
      <c r="AE82" s="18">
        <f t="shared" si="26"/>
        <v>3781.0444397566248</v>
      </c>
      <c r="AF82" s="5">
        <f>IF(Assumptions!D$17=1,0,1)</f>
        <v>0</v>
      </c>
      <c r="AG82" s="73">
        <f t="shared" si="27"/>
        <v>0</v>
      </c>
      <c r="AH82" s="16">
        <f>Assumptions!$E$17*Assumptions!H23</f>
        <v>4.2120831049486016</v>
      </c>
      <c r="AI82" s="16">
        <f>Assumptions!$F$17*Assumptions!I23</f>
        <v>3.8826460507614224</v>
      </c>
      <c r="AJ82" s="16">
        <f t="shared" si="28"/>
        <v>0</v>
      </c>
      <c r="AK82" s="16">
        <f t="shared" si="28"/>
        <v>0</v>
      </c>
      <c r="AL82" s="4"/>
    </row>
    <row r="83" spans="1:38" x14ac:dyDescent="0.2">
      <c r="A83" s="1">
        <f t="shared" si="34"/>
        <v>38730.024000000092</v>
      </c>
      <c r="B83" s="16">
        <f t="shared" si="32"/>
        <v>4.0827587934965441</v>
      </c>
      <c r="C83" s="17">
        <f t="shared" si="29"/>
        <v>46.154545753977963</v>
      </c>
      <c r="D83" s="16">
        <f t="shared" si="33"/>
        <v>0.67981269228195151</v>
      </c>
      <c r="E83" s="16">
        <f t="shared" si="30"/>
        <v>0</v>
      </c>
      <c r="F83" s="16">
        <f t="shared" si="31"/>
        <v>0</v>
      </c>
      <c r="G83" s="19">
        <f>IF('Peak Revenue'!$A$1="BL","-",SUM(C83:F83))</f>
        <v>46.834358446259913</v>
      </c>
      <c r="H83" s="197">
        <v>90.871466975174343</v>
      </c>
      <c r="I83" s="197">
        <v>79.475179888670567</v>
      </c>
      <c r="J83" s="197">
        <v>71.987376253097565</v>
      </c>
      <c r="K83" s="197">
        <v>66.106841992823234</v>
      </c>
      <c r="L83" s="197">
        <v>63.451964872503616</v>
      </c>
      <c r="M83" s="197">
        <v>59.730244379693829</v>
      </c>
      <c r="N83" s="197">
        <v>56.710878266528582</v>
      </c>
      <c r="O83" s="197">
        <v>56.482445132018697</v>
      </c>
      <c r="P83" s="197">
        <v>51.910480854302186</v>
      </c>
      <c r="Q83" s="197">
        <v>41.124652502399734</v>
      </c>
      <c r="R83" s="197">
        <v>35.906991274837978</v>
      </c>
      <c r="S83" s="197">
        <v>32.560457628054934</v>
      </c>
      <c r="T83" s="197">
        <v>30.286180523270374</v>
      </c>
      <c r="U83" s="197">
        <v>29.228102994602473</v>
      </c>
      <c r="V83" s="197">
        <v>28.113307285673674</v>
      </c>
      <c r="W83" s="197">
        <v>25.970498766617649</v>
      </c>
      <c r="X83" s="197">
        <v>24.994647358506988</v>
      </c>
      <c r="Y83" s="197">
        <v>24.436107424033185</v>
      </c>
      <c r="Z83" s="197">
        <v>23.980407011930563</v>
      </c>
      <c r="AA83" s="197">
        <v>22.937159138345464</v>
      </c>
      <c r="AB83" s="16">
        <f>AB82*(1+Assumptions!$L$13/12)</f>
        <v>0.67981269228195151</v>
      </c>
      <c r="AC83" s="16">
        <f>VLOOKUP($C$1,EnvVOM,9)</f>
        <v>0</v>
      </c>
      <c r="AD83" s="18">
        <f>Assumptions!B18</f>
        <v>319.92473742153555</v>
      </c>
      <c r="AE83" s="18">
        <f>Assumptions!C18</f>
        <v>3926.9475616572372</v>
      </c>
      <c r="AF83" s="5">
        <f>IF(Assumptions!D$18=1,0,1)</f>
        <v>0</v>
      </c>
      <c r="AG83" s="73">
        <f>VLOOKUP($C$1,Coal,9)</f>
        <v>0</v>
      </c>
      <c r="AH83" s="16">
        <f>Assumptions!$E$18*Assumptions!H12</f>
        <v>4.0827587934965441</v>
      </c>
      <c r="AI83" s="16">
        <f>Assumptions!$F$18*Assumptions!I12</f>
        <v>3.9163658823529417</v>
      </c>
      <c r="AJ83" s="16">
        <f>VLOOKUP($C$1,SO2Rate,9)</f>
        <v>0</v>
      </c>
      <c r="AK83" s="16">
        <f>VLOOKUP($C$1,NOxRate,9)</f>
        <v>0</v>
      </c>
      <c r="AL83" s="4"/>
    </row>
    <row r="84" spans="1:38" x14ac:dyDescent="0.2">
      <c r="A84" s="1">
        <f t="shared" si="34"/>
        <v>38760.441000000093</v>
      </c>
      <c r="B84" s="16">
        <f t="shared" si="32"/>
        <v>3.6592811526817428</v>
      </c>
      <c r="C84" s="17">
        <f t="shared" si="29"/>
        <v>41.367239146517477</v>
      </c>
      <c r="D84" s="16">
        <f t="shared" si="33"/>
        <v>0.68094571343575483</v>
      </c>
      <c r="E84" s="16">
        <f t="shared" si="30"/>
        <v>0</v>
      </c>
      <c r="F84" s="16">
        <f t="shared" si="31"/>
        <v>0</v>
      </c>
      <c r="G84" s="19">
        <f>IF('Peak Revenue'!$A$1="BL","-",SUM(C84:F84))</f>
        <v>42.048184859953231</v>
      </c>
      <c r="H84" s="197">
        <v>77.028705550120307</v>
      </c>
      <c r="I84" s="197">
        <v>74.094600946607628</v>
      </c>
      <c r="J84" s="197">
        <v>74.080026412624235</v>
      </c>
      <c r="K84" s="197">
        <v>68.957815664169829</v>
      </c>
      <c r="L84" s="197">
        <v>54.467900376146488</v>
      </c>
      <c r="M84" s="197">
        <v>52.394089576330821</v>
      </c>
      <c r="N84" s="197">
        <v>51.610550912575412</v>
      </c>
      <c r="O84" s="197">
        <v>45.623208152161325</v>
      </c>
      <c r="P84" s="197">
        <v>41.295686568967312</v>
      </c>
      <c r="Q84" s="197">
        <v>36.753257845410431</v>
      </c>
      <c r="R84" s="197">
        <v>36.510702110603802</v>
      </c>
      <c r="S84" s="197">
        <v>36.510702110603802</v>
      </c>
      <c r="T84" s="197">
        <v>36.284157497063838</v>
      </c>
      <c r="U84" s="197">
        <v>36.21197235376998</v>
      </c>
      <c r="V84" s="197">
        <v>36.21197235376998</v>
      </c>
      <c r="W84" s="197">
        <v>36.21197235376998</v>
      </c>
      <c r="X84" s="197">
        <v>36.21197235376998</v>
      </c>
      <c r="Y84" s="197">
        <v>29.222674848316451</v>
      </c>
      <c r="Z84" s="197">
        <v>23.547266582679143</v>
      </c>
      <c r="AA84" s="197">
        <v>22.04478038944308</v>
      </c>
      <c r="AB84" s="16">
        <f>AB83*(1+Assumptions!$L$13/12)</f>
        <v>0.68094571343575483</v>
      </c>
      <c r="AC84" s="16">
        <f>AC83</f>
        <v>0</v>
      </c>
      <c r="AD84" s="18">
        <f>AD83</f>
        <v>319.92473742153555</v>
      </c>
      <c r="AE84" s="18">
        <f>AE83</f>
        <v>3926.9475616572372</v>
      </c>
      <c r="AF84" s="5">
        <f>IF(Assumptions!D$18=1,0,1)</f>
        <v>0</v>
      </c>
      <c r="AG84" s="73">
        <f>AG83</f>
        <v>0</v>
      </c>
      <c r="AH84" s="16">
        <f>Assumptions!$E$18*Assumptions!H13</f>
        <v>3.6592811526817428</v>
      </c>
      <c r="AI84" s="16">
        <f>Assumptions!$F$18*Assumptions!I13</f>
        <v>3.8801032352941185</v>
      </c>
      <c r="AJ84" s="16">
        <f>AJ83</f>
        <v>0</v>
      </c>
      <c r="AK84" s="16">
        <f>AK83</f>
        <v>0</v>
      </c>
      <c r="AL84" s="4"/>
    </row>
    <row r="85" spans="1:38" x14ac:dyDescent="0.2">
      <c r="A85" s="1">
        <f t="shared" si="34"/>
        <v>38790.858000000095</v>
      </c>
      <c r="B85" s="16">
        <f t="shared" si="32"/>
        <v>3.5977502134180543</v>
      </c>
      <c r="C85" s="17">
        <f t="shared" si="29"/>
        <v>40.671647588168526</v>
      </c>
      <c r="D85" s="16">
        <f t="shared" si="33"/>
        <v>0.68208062295814775</v>
      </c>
      <c r="E85" s="16">
        <f t="shared" si="30"/>
        <v>0</v>
      </c>
      <c r="F85" s="16">
        <f t="shared" si="31"/>
        <v>0</v>
      </c>
      <c r="G85" s="19">
        <f>IF('Peak Revenue'!$A$1="BL","-",SUM(C85:F85))</f>
        <v>41.353728211126672</v>
      </c>
      <c r="H85" s="197">
        <v>88.245016267231591</v>
      </c>
      <c r="I85" s="197">
        <v>80.211653502084872</v>
      </c>
      <c r="J85" s="197">
        <v>69.851392443673603</v>
      </c>
      <c r="K85" s="197">
        <v>65.588647830888718</v>
      </c>
      <c r="L85" s="197">
        <v>62.390420028623488</v>
      </c>
      <c r="M85" s="197">
        <v>58.151795269736724</v>
      </c>
      <c r="N85" s="197">
        <v>57.420133603159627</v>
      </c>
      <c r="O85" s="197">
        <v>55.229927007399219</v>
      </c>
      <c r="P85" s="197">
        <v>45.314459149772958</v>
      </c>
      <c r="Q85" s="197">
        <v>40.090454712844348</v>
      </c>
      <c r="R85" s="197">
        <v>33.162696263167376</v>
      </c>
      <c r="S85" s="197">
        <v>32.943917422857417</v>
      </c>
      <c r="T85" s="197">
        <v>29.549185694337208</v>
      </c>
      <c r="U85" s="197">
        <v>29.451920351882055</v>
      </c>
      <c r="V85" s="197">
        <v>29.451920351882055</v>
      </c>
      <c r="W85" s="197">
        <v>29.382992058883087</v>
      </c>
      <c r="X85" s="197">
        <v>28.725903766978508</v>
      </c>
      <c r="Y85" s="197">
        <v>26.209374166316252</v>
      </c>
      <c r="Z85" s="197">
        <v>24.813531653499474</v>
      </c>
      <c r="AA85" s="197">
        <v>23.44589721494162</v>
      </c>
      <c r="AB85" s="16">
        <f>AB84*(1+Assumptions!$L$13/12)</f>
        <v>0.68208062295814775</v>
      </c>
      <c r="AC85" s="16">
        <f t="shared" ref="AC85:AC94" si="35">AC84</f>
        <v>0</v>
      </c>
      <c r="AD85" s="18">
        <f t="shared" ref="AD85:AE94" si="36">AD84</f>
        <v>319.92473742153555</v>
      </c>
      <c r="AE85" s="18">
        <f t="shared" si="36"/>
        <v>3926.9475616572372</v>
      </c>
      <c r="AF85" s="5">
        <f>IF(Assumptions!D$18=1,0,1)</f>
        <v>0</v>
      </c>
      <c r="AG85" s="73">
        <f t="shared" ref="AG85:AG94" si="37">AG84</f>
        <v>0</v>
      </c>
      <c r="AH85" s="16">
        <f>Assumptions!$E$18*Assumptions!H14</f>
        <v>3.5977502134180543</v>
      </c>
      <c r="AI85" s="16">
        <f>Assumptions!$F$18*Assumptions!I14</f>
        <v>3.7350526470588239</v>
      </c>
      <c r="AJ85" s="16">
        <f t="shared" ref="AJ85:AK94" si="38">AJ84</f>
        <v>0</v>
      </c>
      <c r="AK85" s="16">
        <f t="shared" si="38"/>
        <v>0</v>
      </c>
      <c r="AL85" s="4"/>
    </row>
    <row r="86" spans="1:38" x14ac:dyDescent="0.2">
      <c r="A86" s="1">
        <f t="shared" si="34"/>
        <v>38821.275000000096</v>
      </c>
      <c r="B86" s="16">
        <f t="shared" si="32"/>
        <v>3.4203963296580091</v>
      </c>
      <c r="C86" s="17">
        <f t="shared" si="29"/>
        <v>38.66670721410388</v>
      </c>
      <c r="D86" s="16">
        <f t="shared" si="33"/>
        <v>0.68321742399641139</v>
      </c>
      <c r="E86" s="16">
        <f t="shared" si="30"/>
        <v>0</v>
      </c>
      <c r="F86" s="16">
        <f t="shared" si="31"/>
        <v>0</v>
      </c>
      <c r="G86" s="19">
        <f>IF('Peak Revenue'!$A$1="BL","-",SUM(C86:F86))</f>
        <v>39.349924638100291</v>
      </c>
      <c r="H86" s="197">
        <v>73.439747626919058</v>
      </c>
      <c r="I86" s="197">
        <v>72.729605765512616</v>
      </c>
      <c r="J86" s="197">
        <v>72.729605765512616</v>
      </c>
      <c r="K86" s="197">
        <v>70.967939515391876</v>
      </c>
      <c r="L86" s="197">
        <v>64.018227366218767</v>
      </c>
      <c r="M86" s="197">
        <v>51.0060616044195</v>
      </c>
      <c r="N86" s="197">
        <v>42.179377890204719</v>
      </c>
      <c r="O86" s="197">
        <v>40.427353904439784</v>
      </c>
      <c r="P86" s="197">
        <v>35.630790959975116</v>
      </c>
      <c r="Q86" s="197">
        <v>35.630790959975116</v>
      </c>
      <c r="R86" s="197">
        <v>35.630790959975116</v>
      </c>
      <c r="S86" s="197">
        <v>33.139261519957849</v>
      </c>
      <c r="T86" s="197">
        <v>26.816920856065284</v>
      </c>
      <c r="U86" s="197">
        <v>25.898447766693238</v>
      </c>
      <c r="V86" s="197">
        <v>24.791022433939386</v>
      </c>
      <c r="W86" s="197">
        <v>24.32120655092459</v>
      </c>
      <c r="X86" s="197">
        <v>23.955195366891001</v>
      </c>
      <c r="Y86" s="197">
        <v>23.623999780332419</v>
      </c>
      <c r="Z86" s="197">
        <v>23.304351721217678</v>
      </c>
      <c r="AA86" s="197">
        <v>22.760108909881524</v>
      </c>
      <c r="AB86" s="16">
        <f>AB85*(1+Assumptions!$L$13/12)</f>
        <v>0.68321742399641139</v>
      </c>
      <c r="AC86" s="16">
        <f t="shared" si="35"/>
        <v>0</v>
      </c>
      <c r="AD86" s="18">
        <f t="shared" si="36"/>
        <v>319.92473742153555</v>
      </c>
      <c r="AE86" s="18">
        <f t="shared" si="36"/>
        <v>3926.9475616572372</v>
      </c>
      <c r="AF86" s="5">
        <f>IF(Assumptions!D$18=1,0,1)</f>
        <v>0</v>
      </c>
      <c r="AG86" s="73">
        <f t="shared" si="37"/>
        <v>0</v>
      </c>
      <c r="AH86" s="16">
        <f>Assumptions!$E$18*Assumptions!H15</f>
        <v>3.4203963296580091</v>
      </c>
      <c r="AI86" s="16">
        <f>Assumptions!$F$18*Assumptions!I15</f>
        <v>3.5900020588235297</v>
      </c>
      <c r="AJ86" s="16">
        <f t="shared" si="38"/>
        <v>0</v>
      </c>
      <c r="AK86" s="16">
        <f t="shared" si="38"/>
        <v>0</v>
      </c>
      <c r="AL86" s="4"/>
    </row>
    <row r="87" spans="1:38" x14ac:dyDescent="0.2">
      <c r="A87" s="1">
        <f t="shared" si="34"/>
        <v>38851.692000000097</v>
      </c>
      <c r="B87" s="16">
        <f t="shared" si="32"/>
        <v>3.6013696804335655</v>
      </c>
      <c r="C87" s="17">
        <f t="shared" si="29"/>
        <v>40.712564738659644</v>
      </c>
      <c r="D87" s="16">
        <f t="shared" si="33"/>
        <v>0.68435611970307209</v>
      </c>
      <c r="E87" s="16">
        <f t="shared" si="30"/>
        <v>0</v>
      </c>
      <c r="F87" s="16">
        <f t="shared" si="31"/>
        <v>0</v>
      </c>
      <c r="G87" s="19">
        <f>IF('Peak Revenue'!$A$1="BL","-",SUM(C87:F87))</f>
        <v>41.396920858362719</v>
      </c>
      <c r="H87" s="197">
        <v>152.95094881229366</v>
      </c>
      <c r="I87" s="197">
        <v>91.408355710881466</v>
      </c>
      <c r="J87" s="197">
        <v>82.105459152257623</v>
      </c>
      <c r="K87" s="197">
        <v>75.197769592872504</v>
      </c>
      <c r="L87" s="197">
        <v>73.444320596302688</v>
      </c>
      <c r="M87" s="197">
        <v>70.49024237552446</v>
      </c>
      <c r="N87" s="197">
        <v>51.309243754724172</v>
      </c>
      <c r="O87" s="197">
        <v>43.443865668106476</v>
      </c>
      <c r="P87" s="197">
        <v>40.910432634777166</v>
      </c>
      <c r="Q87" s="197">
        <v>32.323303038090224</v>
      </c>
      <c r="R87" s="197">
        <v>30.99271300488703</v>
      </c>
      <c r="S87" s="197">
        <v>30.077474029193759</v>
      </c>
      <c r="T87" s="197">
        <v>29.277743687878026</v>
      </c>
      <c r="U87" s="197">
        <v>28.771604586257723</v>
      </c>
      <c r="V87" s="197">
        <v>28.351746312293368</v>
      </c>
      <c r="W87" s="197">
        <v>28.197176878314544</v>
      </c>
      <c r="X87" s="197">
        <v>28.045531961317153</v>
      </c>
      <c r="Y87" s="197">
        <v>27.825713490892866</v>
      </c>
      <c r="Z87" s="197">
        <v>27.738492777200399</v>
      </c>
      <c r="AA87" s="197">
        <v>26.984441778401486</v>
      </c>
      <c r="AB87" s="16">
        <f>AB86*(1+Assumptions!$L$13/12)</f>
        <v>0.68435611970307209</v>
      </c>
      <c r="AC87" s="16">
        <f t="shared" si="35"/>
        <v>0</v>
      </c>
      <c r="AD87" s="18">
        <f t="shared" si="36"/>
        <v>319.92473742153555</v>
      </c>
      <c r="AE87" s="18">
        <f t="shared" si="36"/>
        <v>3926.9475616572372</v>
      </c>
      <c r="AF87" s="5">
        <v>1</v>
      </c>
      <c r="AG87" s="73">
        <f t="shared" si="37"/>
        <v>0</v>
      </c>
      <c r="AH87" s="16">
        <f>Assumptions!$E$18*Assumptions!H16</f>
        <v>3.6013696804335655</v>
      </c>
      <c r="AI87" s="16">
        <f>Assumptions!$F$18*Assumptions!I16</f>
        <v>3.4449514705882356</v>
      </c>
      <c r="AJ87" s="16">
        <f t="shared" si="38"/>
        <v>0</v>
      </c>
      <c r="AK87" s="16">
        <f t="shared" si="38"/>
        <v>0</v>
      </c>
      <c r="AL87" s="4"/>
    </row>
    <row r="88" spans="1:38" x14ac:dyDescent="0.2">
      <c r="A88" s="1">
        <f t="shared" si="34"/>
        <v>38882.109000000099</v>
      </c>
      <c r="B88" s="16">
        <f t="shared" si="32"/>
        <v>3.4312547307045427</v>
      </c>
      <c r="C88" s="17">
        <f t="shared" si="29"/>
        <v>38.789458665577236</v>
      </c>
      <c r="D88" s="16">
        <f t="shared" si="33"/>
        <v>0.68549671323591055</v>
      </c>
      <c r="E88" s="16">
        <f t="shared" si="30"/>
        <v>0</v>
      </c>
      <c r="F88" s="16">
        <f t="shared" si="31"/>
        <v>0</v>
      </c>
      <c r="G88" s="19">
        <f>IF('Peak Revenue'!$A$1="BL","-",SUM(C88:F88))</f>
        <v>39.474955378813149</v>
      </c>
      <c r="H88" s="197">
        <v>166.07453610162523</v>
      </c>
      <c r="I88" s="197">
        <v>125.32491700188299</v>
      </c>
      <c r="J88" s="197">
        <v>91.404246522033475</v>
      </c>
      <c r="K88" s="197">
        <v>78.684227228694652</v>
      </c>
      <c r="L88" s="197">
        <v>71.059753845209414</v>
      </c>
      <c r="M88" s="197">
        <v>68.959392769903175</v>
      </c>
      <c r="N88" s="197">
        <v>54.87350998439743</v>
      </c>
      <c r="O88" s="197">
        <v>45.998952707556796</v>
      </c>
      <c r="P88" s="197">
        <v>40.087968042384617</v>
      </c>
      <c r="Q88" s="197">
        <v>39.40294082735587</v>
      </c>
      <c r="R88" s="197">
        <v>37.810309447465151</v>
      </c>
      <c r="S88" s="197">
        <v>35.681607755083363</v>
      </c>
      <c r="T88" s="197">
        <v>34.724160590350188</v>
      </c>
      <c r="U88" s="197">
        <v>34.085100402304661</v>
      </c>
      <c r="V88" s="197">
        <v>34.011314117355184</v>
      </c>
      <c r="W88" s="197">
        <v>33.895866861008251</v>
      </c>
      <c r="X88" s="197">
        <v>33.725036539689292</v>
      </c>
      <c r="Y88" s="197">
        <v>33.387398089484734</v>
      </c>
      <c r="Z88" s="197">
        <v>33.181551836855313</v>
      </c>
      <c r="AA88" s="197">
        <v>30.693461523323965</v>
      </c>
      <c r="AB88" s="16">
        <f>AB87*(1+Assumptions!$L$13/12)</f>
        <v>0.68549671323591055</v>
      </c>
      <c r="AC88" s="16">
        <f t="shared" si="35"/>
        <v>0</v>
      </c>
      <c r="AD88" s="18">
        <f t="shared" si="36"/>
        <v>319.92473742153555</v>
      </c>
      <c r="AE88" s="18">
        <f t="shared" si="36"/>
        <v>3926.9475616572372</v>
      </c>
      <c r="AF88" s="5">
        <v>1</v>
      </c>
      <c r="AG88" s="73">
        <f t="shared" si="37"/>
        <v>0</v>
      </c>
      <c r="AH88" s="16">
        <f>Assumptions!$E$18*Assumptions!H17</f>
        <v>3.4312547307045427</v>
      </c>
      <c r="AI88" s="16">
        <f>Assumptions!$F$18*Assumptions!I17</f>
        <v>3.4449514705882356</v>
      </c>
      <c r="AJ88" s="16">
        <f t="shared" si="38"/>
        <v>0</v>
      </c>
      <c r="AK88" s="16">
        <f t="shared" si="38"/>
        <v>0</v>
      </c>
      <c r="AL88" s="4"/>
    </row>
    <row r="89" spans="1:38" x14ac:dyDescent="0.2">
      <c r="A89" s="1">
        <f t="shared" si="34"/>
        <v>38912.5260000001</v>
      </c>
      <c r="B89" s="16">
        <f t="shared" si="32"/>
        <v>3.4203963296580091</v>
      </c>
      <c r="C89" s="17">
        <f t="shared" si="29"/>
        <v>38.66670721410388</v>
      </c>
      <c r="D89" s="16">
        <f t="shared" si="33"/>
        <v>0.68663920775797038</v>
      </c>
      <c r="E89" s="16">
        <f t="shared" si="30"/>
        <v>0</v>
      </c>
      <c r="F89" s="16">
        <f t="shared" si="31"/>
        <v>0</v>
      </c>
      <c r="G89" s="19">
        <f>IF('Peak Revenue'!$A$1="BL","-",SUM(C89:F89))</f>
        <v>39.353346421861851</v>
      </c>
      <c r="H89" s="197">
        <v>211.3394752548549</v>
      </c>
      <c r="I89" s="197">
        <v>165.50999241682567</v>
      </c>
      <c r="J89" s="197">
        <v>146.60122411564006</v>
      </c>
      <c r="K89" s="197">
        <v>119.19239886696752</v>
      </c>
      <c r="L89" s="197">
        <v>108.65594378760196</v>
      </c>
      <c r="M89" s="197">
        <v>99.653127438509003</v>
      </c>
      <c r="N89" s="197">
        <v>95.129119679657492</v>
      </c>
      <c r="O89" s="197">
        <v>69.394760734456924</v>
      </c>
      <c r="P89" s="197">
        <v>55.375049796425969</v>
      </c>
      <c r="Q89" s="197">
        <v>49.174432270155854</v>
      </c>
      <c r="R89" s="197">
        <v>46.575931058986463</v>
      </c>
      <c r="S89" s="197">
        <v>46.131933881373186</v>
      </c>
      <c r="T89" s="197">
        <v>46.131933881373186</v>
      </c>
      <c r="U89" s="197">
        <v>41.657964007877339</v>
      </c>
      <c r="V89" s="197">
        <v>36.176983760707849</v>
      </c>
      <c r="W89" s="197">
        <v>34.520291463599833</v>
      </c>
      <c r="X89" s="197">
        <v>32.834978683253674</v>
      </c>
      <c r="Y89" s="197">
        <v>31.947813502419571</v>
      </c>
      <c r="Z89" s="197">
        <v>31.493017004302157</v>
      </c>
      <c r="AA89" s="197">
        <v>30.303699681999991</v>
      </c>
      <c r="AB89" s="16">
        <f>AB88*(1+Assumptions!$L$13/12)</f>
        <v>0.68663920775797038</v>
      </c>
      <c r="AC89" s="16">
        <f t="shared" si="35"/>
        <v>0</v>
      </c>
      <c r="AD89" s="18">
        <f t="shared" si="36"/>
        <v>319.92473742153555</v>
      </c>
      <c r="AE89" s="18">
        <f t="shared" si="36"/>
        <v>3926.9475616572372</v>
      </c>
      <c r="AF89" s="5">
        <v>1</v>
      </c>
      <c r="AG89" s="73">
        <f t="shared" si="37"/>
        <v>0</v>
      </c>
      <c r="AH89" s="16">
        <f>Assumptions!$E$18*Assumptions!H18</f>
        <v>3.4203963296580091</v>
      </c>
      <c r="AI89" s="16">
        <f>Assumptions!$F$18*Assumptions!I18</f>
        <v>3.4449514705882356</v>
      </c>
      <c r="AJ89" s="16">
        <f t="shared" si="38"/>
        <v>0</v>
      </c>
      <c r="AK89" s="16">
        <f t="shared" si="38"/>
        <v>0</v>
      </c>
      <c r="AL89" s="4"/>
    </row>
    <row r="90" spans="1:38" x14ac:dyDescent="0.2">
      <c r="A90" s="1">
        <f t="shared" si="34"/>
        <v>38942.943000000101</v>
      </c>
      <c r="B90" s="16">
        <f t="shared" si="32"/>
        <v>3.2430424458979643</v>
      </c>
      <c r="C90" s="17">
        <f t="shared" si="29"/>
        <v>36.661766840039242</v>
      </c>
      <c r="D90" s="16">
        <f t="shared" si="33"/>
        <v>0.68778360643756697</v>
      </c>
      <c r="E90" s="16">
        <f t="shared" si="30"/>
        <v>0</v>
      </c>
      <c r="F90" s="16">
        <f t="shared" si="31"/>
        <v>0</v>
      </c>
      <c r="G90" s="19">
        <f>IF('Peak Revenue'!$A$1="BL","-",SUM(C90:F90))</f>
        <v>37.349550446476812</v>
      </c>
      <c r="H90" s="197">
        <v>583.76452323825242</v>
      </c>
      <c r="I90" s="197">
        <v>382.22843311937851</v>
      </c>
      <c r="J90" s="197">
        <v>283.01608014104204</v>
      </c>
      <c r="K90" s="197">
        <v>195.605936490327</v>
      </c>
      <c r="L90" s="197">
        <v>148.10054394724131</v>
      </c>
      <c r="M90" s="197">
        <v>94.079917618786084</v>
      </c>
      <c r="N90" s="197">
        <v>80.911810218899035</v>
      </c>
      <c r="O90" s="197">
        <v>76.000939486482395</v>
      </c>
      <c r="P90" s="197">
        <v>61.590844186170536</v>
      </c>
      <c r="Q90" s="197">
        <v>49.487953769701207</v>
      </c>
      <c r="R90" s="197">
        <v>41.614728540842393</v>
      </c>
      <c r="S90" s="197">
        <v>37.053634309893567</v>
      </c>
      <c r="T90" s="197">
        <v>36.785153400485527</v>
      </c>
      <c r="U90" s="197">
        <v>36.46139137241137</v>
      </c>
      <c r="V90" s="197">
        <v>35.567581282888007</v>
      </c>
      <c r="W90" s="197">
        <v>32.566363447768005</v>
      </c>
      <c r="X90" s="197">
        <v>30.662900759657362</v>
      </c>
      <c r="Y90" s="197">
        <v>29.519711995208461</v>
      </c>
      <c r="Z90" s="197">
        <v>28.864568487311196</v>
      </c>
      <c r="AA90" s="197">
        <v>26.215724832813198</v>
      </c>
      <c r="AB90" s="16">
        <f>AB89*(1+Assumptions!$L$13/12)</f>
        <v>0.68778360643756697</v>
      </c>
      <c r="AC90" s="16">
        <f t="shared" si="35"/>
        <v>0</v>
      </c>
      <c r="AD90" s="18">
        <f t="shared" si="36"/>
        <v>319.92473742153555</v>
      </c>
      <c r="AE90" s="18">
        <f t="shared" si="36"/>
        <v>3926.9475616572372</v>
      </c>
      <c r="AF90" s="5">
        <v>1</v>
      </c>
      <c r="AG90" s="73">
        <f t="shared" si="37"/>
        <v>0</v>
      </c>
      <c r="AH90" s="16">
        <f>Assumptions!$E$18*Assumptions!H19</f>
        <v>3.2430424458979643</v>
      </c>
      <c r="AI90" s="16">
        <f>Assumptions!$F$18*Assumptions!I19</f>
        <v>3.4449514705882356</v>
      </c>
      <c r="AJ90" s="16">
        <f t="shared" si="38"/>
        <v>0</v>
      </c>
      <c r="AK90" s="16">
        <f t="shared" si="38"/>
        <v>0</v>
      </c>
      <c r="AL90" s="4"/>
    </row>
    <row r="91" spans="1:38" x14ac:dyDescent="0.2">
      <c r="A91" s="1">
        <f t="shared" si="34"/>
        <v>38973.360000000102</v>
      </c>
      <c r="B91" s="16">
        <f t="shared" si="32"/>
        <v>3.2321840448514312</v>
      </c>
      <c r="C91" s="17">
        <f t="shared" si="29"/>
        <v>36.539015388565893</v>
      </c>
      <c r="D91" s="16">
        <f t="shared" si="33"/>
        <v>0.68892991244829627</v>
      </c>
      <c r="E91" s="16">
        <f t="shared" si="30"/>
        <v>0</v>
      </c>
      <c r="F91" s="16">
        <f t="shared" si="31"/>
        <v>0</v>
      </c>
      <c r="G91" s="19">
        <f>IF('Peak Revenue'!$A$1="BL","-",SUM(C91:F91))</f>
        <v>37.227945301014188</v>
      </c>
      <c r="H91" s="197">
        <v>232.6563387840153</v>
      </c>
      <c r="I91" s="197">
        <v>177.77936791807628</v>
      </c>
      <c r="J91" s="197">
        <v>151.86937963762645</v>
      </c>
      <c r="K91" s="197">
        <v>79.401883910270229</v>
      </c>
      <c r="L91" s="197">
        <v>69.887055848904851</v>
      </c>
      <c r="M91" s="197">
        <v>63.014308402863172</v>
      </c>
      <c r="N91" s="197">
        <v>57.980757490705436</v>
      </c>
      <c r="O91" s="197">
        <v>57.315946320020444</v>
      </c>
      <c r="P91" s="197">
        <v>48.276083991651916</v>
      </c>
      <c r="Q91" s="197">
        <v>40.165517542455667</v>
      </c>
      <c r="R91" s="197">
        <v>33.789134939337799</v>
      </c>
      <c r="S91" s="197">
        <v>32.964370252454927</v>
      </c>
      <c r="T91" s="197">
        <v>31.686617410582777</v>
      </c>
      <c r="U91" s="197">
        <v>30.126518452051155</v>
      </c>
      <c r="V91" s="197">
        <v>29.155689729287207</v>
      </c>
      <c r="W91" s="197">
        <v>28.606808481908523</v>
      </c>
      <c r="X91" s="197">
        <v>28.180684153199984</v>
      </c>
      <c r="Y91" s="197">
        <v>27.969390279022814</v>
      </c>
      <c r="Z91" s="197">
        <v>27.512693383138576</v>
      </c>
      <c r="AA91" s="197">
        <v>26.797816128261815</v>
      </c>
      <c r="AB91" s="16">
        <f>AB90*(1+Assumptions!$L$13/12)</f>
        <v>0.68892991244829627</v>
      </c>
      <c r="AC91" s="16">
        <f t="shared" si="35"/>
        <v>0</v>
      </c>
      <c r="AD91" s="18">
        <f t="shared" si="36"/>
        <v>319.92473742153555</v>
      </c>
      <c r="AE91" s="18">
        <f t="shared" si="36"/>
        <v>3926.9475616572372</v>
      </c>
      <c r="AF91" s="5">
        <v>1</v>
      </c>
      <c r="AG91" s="73">
        <f t="shared" si="37"/>
        <v>0</v>
      </c>
      <c r="AH91" s="16">
        <f>Assumptions!$E$18*Assumptions!H20</f>
        <v>3.2321840448514312</v>
      </c>
      <c r="AI91" s="16">
        <f>Assumptions!$F$18*Assumptions!I20</f>
        <v>3.4449514705882356</v>
      </c>
      <c r="AJ91" s="16">
        <f t="shared" si="38"/>
        <v>0</v>
      </c>
      <c r="AK91" s="16">
        <f t="shared" si="38"/>
        <v>0</v>
      </c>
      <c r="AL91" s="4"/>
    </row>
    <row r="92" spans="1:38" x14ac:dyDescent="0.2">
      <c r="A92" s="1">
        <f t="shared" si="34"/>
        <v>39003.777000000104</v>
      </c>
      <c r="B92" s="16">
        <f t="shared" si="32"/>
        <v>3.5796528783404988</v>
      </c>
      <c r="C92" s="17">
        <f t="shared" si="29"/>
        <v>40.467061835712947</v>
      </c>
      <c r="D92" s="16">
        <f t="shared" si="33"/>
        <v>0.69007812896904341</v>
      </c>
      <c r="E92" s="16">
        <f t="shared" si="30"/>
        <v>0</v>
      </c>
      <c r="F92" s="16">
        <f t="shared" si="31"/>
        <v>0</v>
      </c>
      <c r="G92" s="19">
        <f>IF('Peak Revenue'!$A$1="BL","-",SUM(C92:F92))</f>
        <v>41.157139964681988</v>
      </c>
      <c r="H92" s="197">
        <v>70.427613969035804</v>
      </c>
      <c r="I92" s="197">
        <v>68.162521371052918</v>
      </c>
      <c r="J92" s="197">
        <v>66.18981139947806</v>
      </c>
      <c r="K92" s="197">
        <v>62.175497918766006</v>
      </c>
      <c r="L92" s="197">
        <v>61.390338265413014</v>
      </c>
      <c r="M92" s="197">
        <v>60.263607088057178</v>
      </c>
      <c r="N92" s="197">
        <v>49.060576321043186</v>
      </c>
      <c r="O92" s="197">
        <v>42.072716796990171</v>
      </c>
      <c r="P92" s="197">
        <v>35.074862864108802</v>
      </c>
      <c r="Q92" s="197">
        <v>34.629276073389825</v>
      </c>
      <c r="R92" s="197">
        <v>30.789696742492293</v>
      </c>
      <c r="S92" s="197">
        <v>30.731752048146458</v>
      </c>
      <c r="T92" s="197">
        <v>30.731110667399427</v>
      </c>
      <c r="U92" s="197">
        <v>30.731062572796077</v>
      </c>
      <c r="V92" s="197">
        <v>30.731062572796077</v>
      </c>
      <c r="W92" s="197">
        <v>30.025801457471459</v>
      </c>
      <c r="X92" s="197">
        <v>27.178732046862912</v>
      </c>
      <c r="Y92" s="197">
        <v>26.670266987238058</v>
      </c>
      <c r="Z92" s="197">
        <v>25.472703633066416</v>
      </c>
      <c r="AA92" s="197">
        <v>24.432749027638799</v>
      </c>
      <c r="AB92" s="16">
        <f>AB91*(1+Assumptions!$L$13/12)</f>
        <v>0.69007812896904341</v>
      </c>
      <c r="AC92" s="16">
        <f t="shared" si="35"/>
        <v>0</v>
      </c>
      <c r="AD92" s="18">
        <f t="shared" si="36"/>
        <v>319.92473742153555</v>
      </c>
      <c r="AE92" s="18">
        <f t="shared" si="36"/>
        <v>3926.9475616572372</v>
      </c>
      <c r="AF92" s="5">
        <f>IF(Assumptions!D$18=1,0,1)</f>
        <v>0</v>
      </c>
      <c r="AG92" s="73">
        <f t="shared" si="37"/>
        <v>0</v>
      </c>
      <c r="AH92" s="16">
        <f>Assumptions!$E$18*Assumptions!H21</f>
        <v>3.5796528783404988</v>
      </c>
      <c r="AI92" s="16">
        <f>Assumptions!$F$18*Assumptions!I21</f>
        <v>3.4449514705882356</v>
      </c>
      <c r="AJ92" s="16">
        <f t="shared" si="38"/>
        <v>0</v>
      </c>
      <c r="AK92" s="16">
        <f t="shared" si="38"/>
        <v>0</v>
      </c>
      <c r="AL92" s="4"/>
    </row>
    <row r="93" spans="1:38" x14ac:dyDescent="0.2">
      <c r="A93" s="1">
        <f t="shared" si="34"/>
        <v>39034.194000000105</v>
      </c>
      <c r="B93" s="16">
        <f t="shared" si="32"/>
        <v>3.9198827777985441</v>
      </c>
      <c r="C93" s="17">
        <f t="shared" si="29"/>
        <v>44.313273981877785</v>
      </c>
      <c r="D93" s="16">
        <f t="shared" si="33"/>
        <v>0.69122825918399189</v>
      </c>
      <c r="E93" s="16">
        <f t="shared" si="30"/>
        <v>0</v>
      </c>
      <c r="F93" s="16">
        <f t="shared" si="31"/>
        <v>0</v>
      </c>
      <c r="G93" s="19">
        <f>IF('Peak Revenue'!$A$1="BL","-",SUM(C93:F93))</f>
        <v>45.004502241061779</v>
      </c>
      <c r="H93" s="197">
        <v>80.999582783374265</v>
      </c>
      <c r="I93" s="197">
        <v>76.821692838900702</v>
      </c>
      <c r="J93" s="197">
        <v>75.117756774418794</v>
      </c>
      <c r="K93" s="197">
        <v>70.935882606473683</v>
      </c>
      <c r="L93" s="197">
        <v>69.406043346531959</v>
      </c>
      <c r="M93" s="197">
        <v>69.087940747996882</v>
      </c>
      <c r="N93" s="197">
        <v>64.007356384368194</v>
      </c>
      <c r="O93" s="197">
        <v>48.094809323298797</v>
      </c>
      <c r="P93" s="197">
        <v>45.151659373820095</v>
      </c>
      <c r="Q93" s="197">
        <v>43.981774996425322</v>
      </c>
      <c r="R93" s="197">
        <v>35.629186128575753</v>
      </c>
      <c r="S93" s="197">
        <v>34.206875204455145</v>
      </c>
      <c r="T93" s="197">
        <v>34.206875204455145</v>
      </c>
      <c r="U93" s="197">
        <v>32.085343921559321</v>
      </c>
      <c r="V93" s="197">
        <v>26.658911268550462</v>
      </c>
      <c r="W93" s="197">
        <v>25.669871438802588</v>
      </c>
      <c r="X93" s="197">
        <v>24.678542848996472</v>
      </c>
      <c r="Y93" s="197">
        <v>24.204769937297858</v>
      </c>
      <c r="Z93" s="197">
        <v>23.816235387322486</v>
      </c>
      <c r="AA93" s="197">
        <v>23.082924592459293</v>
      </c>
      <c r="AB93" s="16">
        <f>AB92*(1+Assumptions!$L$13/12)</f>
        <v>0.69122825918399189</v>
      </c>
      <c r="AC93" s="16">
        <f t="shared" si="35"/>
        <v>0</v>
      </c>
      <c r="AD93" s="18">
        <f t="shared" si="36"/>
        <v>319.92473742153555</v>
      </c>
      <c r="AE93" s="18">
        <f t="shared" si="36"/>
        <v>3926.9475616572372</v>
      </c>
      <c r="AF93" s="5">
        <f>IF(Assumptions!D$18=1,0,1)</f>
        <v>0</v>
      </c>
      <c r="AG93" s="73">
        <f t="shared" si="37"/>
        <v>0</v>
      </c>
      <c r="AH93" s="16">
        <f>Assumptions!$E$18*Assumptions!H22</f>
        <v>3.9198827777985441</v>
      </c>
      <c r="AI93" s="16">
        <f>Assumptions!$F$18*Assumptions!I22</f>
        <v>3.7350526470588239</v>
      </c>
      <c r="AJ93" s="16">
        <f t="shared" si="38"/>
        <v>0</v>
      </c>
      <c r="AK93" s="16">
        <f t="shared" si="38"/>
        <v>0</v>
      </c>
      <c r="AL93" s="4"/>
    </row>
    <row r="94" spans="1:38" x14ac:dyDescent="0.2">
      <c r="A94" s="1">
        <f t="shared" si="34"/>
        <v>39064.611000000106</v>
      </c>
      <c r="B94" s="16">
        <f t="shared" si="32"/>
        <v>4.2420153421790339</v>
      </c>
      <c r="C94" s="17">
        <f t="shared" si="29"/>
        <v>47.954900375587037</v>
      </c>
      <c r="D94" s="16">
        <f t="shared" si="33"/>
        <v>0.69238030628263192</v>
      </c>
      <c r="E94" s="16">
        <f t="shared" si="30"/>
        <v>0</v>
      </c>
      <c r="F94" s="16">
        <f t="shared" si="31"/>
        <v>0</v>
      </c>
      <c r="G94" s="19">
        <f>IF('Peak Revenue'!$A$1="BL","-",SUM(C94:F94))</f>
        <v>48.647280681869667</v>
      </c>
      <c r="H94" s="197">
        <v>163.69646160424401</v>
      </c>
      <c r="I94" s="197">
        <v>153.62847377574602</v>
      </c>
      <c r="J94" s="197">
        <v>90.098241136503717</v>
      </c>
      <c r="K94" s="197">
        <v>70.779883203132016</v>
      </c>
      <c r="L94" s="197">
        <v>65.102066403574781</v>
      </c>
      <c r="M94" s="197">
        <v>62.58428096032177</v>
      </c>
      <c r="N94" s="197">
        <v>59.316603094978305</v>
      </c>
      <c r="O94" s="197">
        <v>56.0349934422281</v>
      </c>
      <c r="P94" s="197">
        <v>55.69903066562987</v>
      </c>
      <c r="Q94" s="197">
        <v>54.749972151767139</v>
      </c>
      <c r="R94" s="197">
        <v>48.454161741236646</v>
      </c>
      <c r="S94" s="197">
        <v>39.417865037190012</v>
      </c>
      <c r="T94" s="197">
        <v>33.639068036480886</v>
      </c>
      <c r="U94" s="197">
        <v>31.955814110234797</v>
      </c>
      <c r="V94" s="197">
        <v>28.921337464605067</v>
      </c>
      <c r="W94" s="197">
        <v>28.269997327529673</v>
      </c>
      <c r="X94" s="197">
        <v>28.269514368240319</v>
      </c>
      <c r="Y94" s="197">
        <v>27.930599479089697</v>
      </c>
      <c r="Z94" s="197">
        <v>26.733816945864767</v>
      </c>
      <c r="AA94" s="197">
        <v>24.906779298592756</v>
      </c>
      <c r="AB94" s="16">
        <f>AB93*(1+Assumptions!$L$13/12)</f>
        <v>0.69238030628263192</v>
      </c>
      <c r="AC94" s="16">
        <f t="shared" si="35"/>
        <v>0</v>
      </c>
      <c r="AD94" s="18">
        <f t="shared" si="36"/>
        <v>319.92473742153555</v>
      </c>
      <c r="AE94" s="18">
        <f t="shared" si="36"/>
        <v>3926.9475616572372</v>
      </c>
      <c r="AF94" s="5">
        <f>IF(Assumptions!D$18=1,0,1)</f>
        <v>0</v>
      </c>
      <c r="AG94" s="73">
        <f t="shared" si="37"/>
        <v>0</v>
      </c>
      <c r="AH94" s="16">
        <f>Assumptions!$E$18*Assumptions!H23</f>
        <v>4.2420153421790339</v>
      </c>
      <c r="AI94" s="16">
        <f>Assumptions!$F$18*Assumptions!I23</f>
        <v>3.9163658823529417</v>
      </c>
      <c r="AJ94" s="16">
        <f t="shared" si="38"/>
        <v>0</v>
      </c>
      <c r="AK94" s="16">
        <f t="shared" si="38"/>
        <v>0</v>
      </c>
      <c r="AL94" s="4"/>
    </row>
    <row r="95" spans="1:38" x14ac:dyDescent="0.2">
      <c r="A95" s="1">
        <f t="shared" si="34"/>
        <v>39095.028000000108</v>
      </c>
      <c r="B95" s="16">
        <f t="shared" si="32"/>
        <v>4.1475159064986542</v>
      </c>
      <c r="C95" s="17">
        <f t="shared" si="29"/>
        <v>46.886608382735844</v>
      </c>
      <c r="D95" s="16">
        <f t="shared" si="33"/>
        <v>0.6935342734597697</v>
      </c>
      <c r="E95" s="16">
        <f t="shared" si="30"/>
        <v>0</v>
      </c>
      <c r="F95" s="16">
        <f t="shared" si="31"/>
        <v>0</v>
      </c>
      <c r="G95" s="19">
        <f>IF('Peak Revenue'!$A$1="BL","-",SUM(C95:F95))</f>
        <v>47.580142656195612</v>
      </c>
      <c r="H95" s="197">
        <v>88.210592783978655</v>
      </c>
      <c r="I95" s="197">
        <v>85.507492675197241</v>
      </c>
      <c r="J95" s="197">
        <v>81.111011258175907</v>
      </c>
      <c r="K95" s="197">
        <v>80.03162108305564</v>
      </c>
      <c r="L95" s="197">
        <v>79.337243111260619</v>
      </c>
      <c r="M95" s="197">
        <v>71.697844852664147</v>
      </c>
      <c r="N95" s="197">
        <v>54.832676903634194</v>
      </c>
      <c r="O95" s="197">
        <v>45.98743440905649</v>
      </c>
      <c r="P95" s="197">
        <v>44.874161771136599</v>
      </c>
      <c r="Q95" s="197">
        <v>38.962603525917942</v>
      </c>
      <c r="R95" s="197">
        <v>38.313990559248019</v>
      </c>
      <c r="S95" s="197">
        <v>38.313924061579911</v>
      </c>
      <c r="T95" s="197">
        <v>38.31381490390185</v>
      </c>
      <c r="U95" s="197">
        <v>38.31337570036753</v>
      </c>
      <c r="V95" s="197">
        <v>35.978174523844224</v>
      </c>
      <c r="W95" s="197">
        <v>33.079357022006349</v>
      </c>
      <c r="X95" s="197">
        <v>31.378865163025448</v>
      </c>
      <c r="Y95" s="197">
        <v>30.777416519772306</v>
      </c>
      <c r="Z95" s="197">
        <v>30.598542229177795</v>
      </c>
      <c r="AA95" s="197">
        <v>29.80523337732674</v>
      </c>
      <c r="AB95" s="16">
        <f>AB94*(1+Assumptions!$L$13/12)</f>
        <v>0.6935342734597697</v>
      </c>
      <c r="AC95" s="16">
        <f>VLOOKUP($C$1,EnvVOM,10)</f>
        <v>0</v>
      </c>
      <c r="AD95" s="18">
        <f>Assumptions!B19</f>
        <v>354.61101457823628</v>
      </c>
      <c r="AE95" s="18">
        <f>Assumptions!C19</f>
        <v>2147.6543804486269</v>
      </c>
      <c r="AF95" s="5">
        <f>IF(Assumptions!D$19=1,0,1)</f>
        <v>1</v>
      </c>
      <c r="AG95" s="73">
        <f>VLOOKUP($C$1,Coal,10)</f>
        <v>0</v>
      </c>
      <c r="AH95" s="16">
        <f>Assumptions!$E$19*Assumptions!H12</f>
        <v>4.1475159064986542</v>
      </c>
      <c r="AI95" s="16">
        <f>Assumptions!$F$19*Assumptions!I12</f>
        <v>3.9745426415094349</v>
      </c>
      <c r="AJ95" s="16">
        <f>VLOOKUP($C$1,SO2Rate,10)</f>
        <v>0</v>
      </c>
      <c r="AK95" s="16">
        <f>VLOOKUP($C$1,NOxRate,10)</f>
        <v>0</v>
      </c>
      <c r="AL95" s="4"/>
    </row>
    <row r="96" spans="1:38" x14ac:dyDescent="0.2">
      <c r="A96" s="1">
        <f t="shared" si="34"/>
        <v>39125.445000000109</v>
      </c>
      <c r="B96" s="16">
        <f t="shared" si="32"/>
        <v>3.7173214374735277</v>
      </c>
      <c r="C96" s="17">
        <f t="shared" si="29"/>
        <v>42.023369747292492</v>
      </c>
      <c r="D96" s="16">
        <f t="shared" si="33"/>
        <v>0.69469016391553606</v>
      </c>
      <c r="E96" s="16">
        <f t="shared" si="30"/>
        <v>0</v>
      </c>
      <c r="F96" s="16">
        <f t="shared" si="31"/>
        <v>0</v>
      </c>
      <c r="G96" s="19">
        <f>IF('Peak Revenue'!$A$1="BL","-",SUM(C96:F96))</f>
        <v>42.71805991120803</v>
      </c>
      <c r="H96" s="197">
        <v>158.64767780106166</v>
      </c>
      <c r="I96" s="197">
        <v>120.8425049386249</v>
      </c>
      <c r="J96" s="197">
        <v>95.980273118565336</v>
      </c>
      <c r="K96" s="197">
        <v>79.339314609615045</v>
      </c>
      <c r="L96" s="197">
        <v>70.863549322916867</v>
      </c>
      <c r="M96" s="197">
        <v>66.876626313031778</v>
      </c>
      <c r="N96" s="197">
        <v>63.94811216406702</v>
      </c>
      <c r="O96" s="197">
        <v>63.227654201916053</v>
      </c>
      <c r="P96" s="197">
        <v>48.301308383779499</v>
      </c>
      <c r="Q96" s="197">
        <v>45.909651469922693</v>
      </c>
      <c r="R96" s="197">
        <v>44.650765604759243</v>
      </c>
      <c r="S96" s="197">
        <v>39.031222417482986</v>
      </c>
      <c r="T96" s="197">
        <v>35.499430240029099</v>
      </c>
      <c r="U96" s="197">
        <v>34.247218780510586</v>
      </c>
      <c r="V96" s="197">
        <v>32.922543342672199</v>
      </c>
      <c r="W96" s="197">
        <v>31.927799279081107</v>
      </c>
      <c r="X96" s="197">
        <v>31.806429048934298</v>
      </c>
      <c r="Y96" s="197">
        <v>31.65505942435481</v>
      </c>
      <c r="Z96" s="197">
        <v>30.19139623914138</v>
      </c>
      <c r="AA96" s="197">
        <v>27.238309293402718</v>
      </c>
      <c r="AB96" s="16">
        <f>AB95*(1+Assumptions!$L$13/12)</f>
        <v>0.69469016391553606</v>
      </c>
      <c r="AC96" s="16">
        <f>AC95</f>
        <v>0</v>
      </c>
      <c r="AD96" s="18">
        <f>AD95</f>
        <v>354.61101457823628</v>
      </c>
      <c r="AE96" s="18">
        <f>AE95</f>
        <v>2147.6543804486269</v>
      </c>
      <c r="AF96" s="5">
        <f>IF(Assumptions!D$19=1,0,1)</f>
        <v>1</v>
      </c>
      <c r="AG96" s="73">
        <f>AG95</f>
        <v>0</v>
      </c>
      <c r="AH96" s="16">
        <f>Assumptions!$E$19*Assumptions!H13</f>
        <v>3.7173214374735277</v>
      </c>
      <c r="AI96" s="16">
        <f>Assumptions!$F$19*Assumptions!I13</f>
        <v>3.9377413207547178</v>
      </c>
      <c r="AJ96" s="16">
        <f>AJ95</f>
        <v>0</v>
      </c>
      <c r="AK96" s="16">
        <f>AK95</f>
        <v>0</v>
      </c>
      <c r="AL96" s="4"/>
    </row>
    <row r="97" spans="1:38" x14ac:dyDescent="0.2">
      <c r="A97" s="1">
        <f t="shared" si="34"/>
        <v>39155.86200000011</v>
      </c>
      <c r="B97" s="16">
        <f t="shared" si="32"/>
        <v>3.6548145488117578</v>
      </c>
      <c r="C97" s="17">
        <f t="shared" si="29"/>
        <v>41.316745330176794</v>
      </c>
      <c r="D97" s="16">
        <f t="shared" si="33"/>
        <v>0.69584798085539534</v>
      </c>
      <c r="E97" s="16">
        <f t="shared" si="30"/>
        <v>0</v>
      </c>
      <c r="F97" s="16">
        <f t="shared" si="31"/>
        <v>0</v>
      </c>
      <c r="G97" s="19">
        <f>IF('Peak Revenue'!$A$1="BL","-",SUM(C97:F97))</f>
        <v>42.012593311032191</v>
      </c>
      <c r="H97" s="197">
        <v>84.4024032991978</v>
      </c>
      <c r="I97" s="197">
        <v>79.333468805175713</v>
      </c>
      <c r="J97" s="197">
        <v>76.32789073325867</v>
      </c>
      <c r="K97" s="197">
        <v>73.464285891327862</v>
      </c>
      <c r="L97" s="197">
        <v>70.29766129217407</v>
      </c>
      <c r="M97" s="197">
        <v>68.337589480089903</v>
      </c>
      <c r="N97" s="197">
        <v>67.980417947198447</v>
      </c>
      <c r="O97" s="197">
        <v>63.714833541778866</v>
      </c>
      <c r="P97" s="197">
        <v>48.69761447840591</v>
      </c>
      <c r="Q97" s="197">
        <v>45.359358398110608</v>
      </c>
      <c r="R97" s="197">
        <v>41.208045929879574</v>
      </c>
      <c r="S97" s="197">
        <v>40.274297239900406</v>
      </c>
      <c r="T97" s="197">
        <v>33.47006016540702</v>
      </c>
      <c r="U97" s="197">
        <v>33.195754675616357</v>
      </c>
      <c r="V97" s="197">
        <v>33.008582740420998</v>
      </c>
      <c r="W97" s="197">
        <v>31.073292314167077</v>
      </c>
      <c r="X97" s="197">
        <v>29.375050162970894</v>
      </c>
      <c r="Y97" s="197">
        <v>28.527029777197097</v>
      </c>
      <c r="Z97" s="197">
        <v>28.148847614835592</v>
      </c>
      <c r="AA97" s="197">
        <v>25.788952620533895</v>
      </c>
      <c r="AB97" s="16">
        <f>AB96*(1+Assumptions!$L$13/12)</f>
        <v>0.69584798085539534</v>
      </c>
      <c r="AC97" s="16">
        <f t="shared" ref="AC97:AC106" si="39">AC96</f>
        <v>0</v>
      </c>
      <c r="AD97" s="18">
        <f t="shared" ref="AD97:AE106" si="40">AD96</f>
        <v>354.61101457823628</v>
      </c>
      <c r="AE97" s="18">
        <f t="shared" si="40"/>
        <v>2147.6543804486269</v>
      </c>
      <c r="AF97" s="5">
        <f>IF(Assumptions!D$19=1,0,1)</f>
        <v>1</v>
      </c>
      <c r="AG97" s="73">
        <f t="shared" ref="AG97:AG106" si="41">AG96</f>
        <v>0</v>
      </c>
      <c r="AH97" s="16">
        <f>Assumptions!$E$19*Assumptions!H14</f>
        <v>3.6548145488117578</v>
      </c>
      <c r="AI97" s="16">
        <f>Assumptions!$F$19*Assumptions!I14</f>
        <v>3.7905360377358499</v>
      </c>
      <c r="AJ97" s="16">
        <f t="shared" ref="AJ97:AK106" si="42">AJ96</f>
        <v>0</v>
      </c>
      <c r="AK97" s="16">
        <f t="shared" si="42"/>
        <v>0</v>
      </c>
      <c r="AL97" s="4"/>
    </row>
    <row r="98" spans="1:38" x14ac:dyDescent="0.2">
      <c r="A98" s="1">
        <f t="shared" si="34"/>
        <v>39186.279000000111</v>
      </c>
      <c r="B98" s="16">
        <f t="shared" si="32"/>
        <v>3.4746476344337132</v>
      </c>
      <c r="C98" s="17">
        <f t="shared" si="29"/>
        <v>39.280004363196248</v>
      </c>
      <c r="D98" s="16">
        <f t="shared" si="33"/>
        <v>0.69700772749015438</v>
      </c>
      <c r="E98" s="16">
        <f t="shared" si="30"/>
        <v>0</v>
      </c>
      <c r="F98" s="16">
        <f t="shared" si="31"/>
        <v>0</v>
      </c>
      <c r="G98" s="19">
        <f>IF('Peak Revenue'!$A$1="BL","-",SUM(C98:F98))</f>
        <v>39.977012090686401</v>
      </c>
      <c r="H98" s="197">
        <v>82.841030605113218</v>
      </c>
      <c r="I98" s="197">
        <v>82.841030605113218</v>
      </c>
      <c r="J98" s="197">
        <v>81.591252068554439</v>
      </c>
      <c r="K98" s="197">
        <v>66.101242953810441</v>
      </c>
      <c r="L98" s="197">
        <v>56.624926773897769</v>
      </c>
      <c r="M98" s="197">
        <v>51.324998501918159</v>
      </c>
      <c r="N98" s="197">
        <v>49.270984726870786</v>
      </c>
      <c r="O98" s="197">
        <v>41.078171695552356</v>
      </c>
      <c r="P98" s="197">
        <v>40.77615157976058</v>
      </c>
      <c r="Q98" s="197">
        <v>40.392417820685061</v>
      </c>
      <c r="R98" s="197">
        <v>38.666292181244287</v>
      </c>
      <c r="S98" s="197">
        <v>36.618292356772571</v>
      </c>
      <c r="T98" s="197">
        <v>34.657079869667783</v>
      </c>
      <c r="U98" s="197">
        <v>33.593722992958796</v>
      </c>
      <c r="V98" s="197">
        <v>32.523467189985354</v>
      </c>
      <c r="W98" s="197">
        <v>31.599300552367101</v>
      </c>
      <c r="X98" s="197">
        <v>30.726483378972411</v>
      </c>
      <c r="Y98" s="197">
        <v>30.110278245736264</v>
      </c>
      <c r="Z98" s="197">
        <v>28.582449181391336</v>
      </c>
      <c r="AA98" s="197">
        <v>27.112600221515635</v>
      </c>
      <c r="AB98" s="16">
        <f>AB97*(1+Assumptions!$L$13/12)</f>
        <v>0.69700772749015438</v>
      </c>
      <c r="AC98" s="16">
        <f t="shared" si="39"/>
        <v>0</v>
      </c>
      <c r="AD98" s="18">
        <f t="shared" si="40"/>
        <v>354.61101457823628</v>
      </c>
      <c r="AE98" s="18">
        <f t="shared" si="40"/>
        <v>2147.6543804486269</v>
      </c>
      <c r="AF98" s="5">
        <f>IF(Assumptions!D$19=1,0,1)</f>
        <v>1</v>
      </c>
      <c r="AG98" s="73">
        <f t="shared" si="41"/>
        <v>0</v>
      </c>
      <c r="AH98" s="16">
        <f>Assumptions!$E$19*Assumptions!H15</f>
        <v>3.4746476344337132</v>
      </c>
      <c r="AI98" s="16">
        <f>Assumptions!$F$19*Assumptions!I15</f>
        <v>3.6433307547169815</v>
      </c>
      <c r="AJ98" s="16">
        <f t="shared" si="42"/>
        <v>0</v>
      </c>
      <c r="AK98" s="16">
        <f t="shared" si="42"/>
        <v>0</v>
      </c>
      <c r="AL98" s="4"/>
    </row>
    <row r="99" spans="1:38" x14ac:dyDescent="0.2">
      <c r="A99" s="1">
        <f t="shared" si="34"/>
        <v>39216.696000000113</v>
      </c>
      <c r="B99" s="16">
        <f t="shared" si="32"/>
        <v>3.6584914246153915</v>
      </c>
      <c r="C99" s="17">
        <f t="shared" si="29"/>
        <v>41.358311472360072</v>
      </c>
      <c r="D99" s="16">
        <f t="shared" si="33"/>
        <v>0.6981694070359713</v>
      </c>
      <c r="E99" s="16">
        <f t="shared" si="30"/>
        <v>0</v>
      </c>
      <c r="F99" s="16">
        <f t="shared" si="31"/>
        <v>0</v>
      </c>
      <c r="G99" s="19">
        <f>IF('Peak Revenue'!$A$1="BL","-",SUM(C99:F99))</f>
        <v>42.056480879396041</v>
      </c>
      <c r="H99" s="197">
        <v>75.503084164780304</v>
      </c>
      <c r="I99" s="197">
        <v>69.184215629459032</v>
      </c>
      <c r="J99" s="197">
        <v>65.322505792944128</v>
      </c>
      <c r="K99" s="197">
        <v>60.340339484311926</v>
      </c>
      <c r="L99" s="197">
        <v>58.971647503358341</v>
      </c>
      <c r="M99" s="197">
        <v>56.479937423028481</v>
      </c>
      <c r="N99" s="197">
        <v>44.003479520751156</v>
      </c>
      <c r="O99" s="197">
        <v>41.139879606909673</v>
      </c>
      <c r="P99" s="197">
        <v>38.040168654174273</v>
      </c>
      <c r="Q99" s="197">
        <v>36.119708078056746</v>
      </c>
      <c r="R99" s="197">
        <v>35.348062242142035</v>
      </c>
      <c r="S99" s="197">
        <v>34.159909091037704</v>
      </c>
      <c r="T99" s="197">
        <v>33.784878668457779</v>
      </c>
      <c r="U99" s="197">
        <v>33.481906349668087</v>
      </c>
      <c r="V99" s="197">
        <v>33.115625746796781</v>
      </c>
      <c r="W99" s="197">
        <v>31.242278582035993</v>
      </c>
      <c r="X99" s="197">
        <v>30.122067524222153</v>
      </c>
      <c r="Y99" s="197">
        <v>29.939539106707432</v>
      </c>
      <c r="Z99" s="197">
        <v>29.703456303145451</v>
      </c>
      <c r="AA99" s="197">
        <v>29.357419185786632</v>
      </c>
      <c r="AB99" s="16">
        <f>AB98*(1+Assumptions!$L$13/12)</f>
        <v>0.6981694070359713</v>
      </c>
      <c r="AC99" s="16">
        <f t="shared" si="39"/>
        <v>0</v>
      </c>
      <c r="AD99" s="18">
        <f t="shared" si="40"/>
        <v>354.61101457823628</v>
      </c>
      <c r="AE99" s="18">
        <f t="shared" si="40"/>
        <v>2147.6543804486269</v>
      </c>
      <c r="AF99" s="5">
        <v>1</v>
      </c>
      <c r="AG99" s="73">
        <f t="shared" si="41"/>
        <v>0</v>
      </c>
      <c r="AH99" s="16">
        <f>Assumptions!$E$19*Assumptions!H16</f>
        <v>3.6584914246153915</v>
      </c>
      <c r="AI99" s="16">
        <f>Assumptions!$F$19*Assumptions!I16</f>
        <v>3.4961254716981136</v>
      </c>
      <c r="AJ99" s="16">
        <f t="shared" si="42"/>
        <v>0</v>
      </c>
      <c r="AK99" s="16">
        <f t="shared" si="42"/>
        <v>0</v>
      </c>
      <c r="AL99" s="4"/>
    </row>
    <row r="100" spans="1:38" x14ac:dyDescent="0.2">
      <c r="A100" s="1">
        <f t="shared" si="34"/>
        <v>39247.113000000114</v>
      </c>
      <c r="B100" s="16">
        <f t="shared" si="32"/>
        <v>3.485678261844614</v>
      </c>
      <c r="C100" s="17">
        <f t="shared" si="29"/>
        <v>39.404702789746075</v>
      </c>
      <c r="D100" s="16">
        <f t="shared" si="33"/>
        <v>0.69933302271436459</v>
      </c>
      <c r="E100" s="16">
        <f t="shared" si="30"/>
        <v>0</v>
      </c>
      <c r="F100" s="16">
        <f t="shared" si="31"/>
        <v>0</v>
      </c>
      <c r="G100" s="19">
        <f>IF('Peak Revenue'!$A$1="BL","-",SUM(C100:F100))</f>
        <v>40.104035812460438</v>
      </c>
      <c r="H100" s="197">
        <v>210.46246187641509</v>
      </c>
      <c r="I100" s="197">
        <v>170.05150156564048</v>
      </c>
      <c r="J100" s="197">
        <v>140.19507863339425</v>
      </c>
      <c r="K100" s="197">
        <v>89.143228562397425</v>
      </c>
      <c r="L100" s="197">
        <v>74.405977067551888</v>
      </c>
      <c r="M100" s="197">
        <v>65.29233306967086</v>
      </c>
      <c r="N100" s="197">
        <v>60.143973507136593</v>
      </c>
      <c r="O100" s="197">
        <v>54.992366751888945</v>
      </c>
      <c r="P100" s="197">
        <v>44.90003531261258</v>
      </c>
      <c r="Q100" s="197">
        <v>41.972539779143872</v>
      </c>
      <c r="R100" s="197">
        <v>34.039676947770964</v>
      </c>
      <c r="S100" s="197">
        <v>30.722056075049288</v>
      </c>
      <c r="T100" s="197">
        <v>29.606737747168303</v>
      </c>
      <c r="U100" s="197">
        <v>29.545425557353624</v>
      </c>
      <c r="V100" s="197">
        <v>29.274407144578014</v>
      </c>
      <c r="W100" s="197">
        <v>28.973796967232079</v>
      </c>
      <c r="X100" s="197">
        <v>27.947473921490808</v>
      </c>
      <c r="Y100" s="197">
        <v>26.876698700774377</v>
      </c>
      <c r="Z100" s="197">
        <v>25.492976902161384</v>
      </c>
      <c r="AA100" s="197">
        <v>23.457387176534667</v>
      </c>
      <c r="AB100" s="16">
        <f>AB99*(1+Assumptions!$L$13/12)</f>
        <v>0.69933302271436459</v>
      </c>
      <c r="AC100" s="16">
        <f t="shared" si="39"/>
        <v>0</v>
      </c>
      <c r="AD100" s="18">
        <f t="shared" si="40"/>
        <v>354.61101457823628</v>
      </c>
      <c r="AE100" s="18">
        <f t="shared" si="40"/>
        <v>2147.6543804486269</v>
      </c>
      <c r="AF100" s="5">
        <v>1</v>
      </c>
      <c r="AG100" s="73">
        <f t="shared" si="41"/>
        <v>0</v>
      </c>
      <c r="AH100" s="16">
        <f>Assumptions!$E$19*Assumptions!H17</f>
        <v>3.485678261844614</v>
      </c>
      <c r="AI100" s="16">
        <f>Assumptions!$F$19*Assumptions!I17</f>
        <v>3.4961254716981136</v>
      </c>
      <c r="AJ100" s="16">
        <f t="shared" si="42"/>
        <v>0</v>
      </c>
      <c r="AK100" s="16">
        <f t="shared" si="42"/>
        <v>0</v>
      </c>
      <c r="AL100" s="4"/>
    </row>
    <row r="101" spans="1:38" x14ac:dyDescent="0.2">
      <c r="A101" s="1">
        <f t="shared" si="34"/>
        <v>39277.530000000115</v>
      </c>
      <c r="B101" s="16">
        <f t="shared" si="32"/>
        <v>3.4746476344337132</v>
      </c>
      <c r="C101" s="17">
        <f t="shared" si="29"/>
        <v>39.280004363196248</v>
      </c>
      <c r="D101" s="16">
        <f t="shared" si="33"/>
        <v>0.70049857775222191</v>
      </c>
      <c r="E101" s="16">
        <f t="shared" si="30"/>
        <v>0</v>
      </c>
      <c r="F101" s="16">
        <f t="shared" si="31"/>
        <v>0</v>
      </c>
      <c r="G101" s="19">
        <f>IF('Peak Revenue'!$A$1="BL","-",SUM(C101:F101))</f>
        <v>39.980502940948469</v>
      </c>
      <c r="H101" s="197">
        <v>293.33618394641104</v>
      </c>
      <c r="I101" s="197">
        <v>224.8132364596112</v>
      </c>
      <c r="J101" s="197">
        <v>183.54555114236203</v>
      </c>
      <c r="K101" s="197">
        <v>145.580274728083</v>
      </c>
      <c r="L101" s="197">
        <v>94.027273183582494</v>
      </c>
      <c r="M101" s="197">
        <v>83.615929322123549</v>
      </c>
      <c r="N101" s="197">
        <v>76.586824685229161</v>
      </c>
      <c r="O101" s="197">
        <v>74.235347171810858</v>
      </c>
      <c r="P101" s="197">
        <v>58.840674583398538</v>
      </c>
      <c r="Q101" s="197">
        <v>46.396849584595245</v>
      </c>
      <c r="R101" s="197">
        <v>42.324254990108578</v>
      </c>
      <c r="S101" s="197">
        <v>37.421400445744936</v>
      </c>
      <c r="T101" s="197">
        <v>36.555410621041005</v>
      </c>
      <c r="U101" s="197">
        <v>36.551678420955156</v>
      </c>
      <c r="V101" s="197">
        <v>36.551511937411512</v>
      </c>
      <c r="W101" s="197">
        <v>36.476525687679874</v>
      </c>
      <c r="X101" s="197">
        <v>35.067853383046909</v>
      </c>
      <c r="Y101" s="197">
        <v>34.000499370529681</v>
      </c>
      <c r="Z101" s="197">
        <v>32.772242357851567</v>
      </c>
      <c r="AA101" s="197">
        <v>30.634268779774381</v>
      </c>
      <c r="AB101" s="16">
        <f>AB100*(1+Assumptions!$L$13/12)</f>
        <v>0.70049857775222191</v>
      </c>
      <c r="AC101" s="16">
        <f t="shared" si="39"/>
        <v>0</v>
      </c>
      <c r="AD101" s="18">
        <f t="shared" si="40"/>
        <v>354.61101457823628</v>
      </c>
      <c r="AE101" s="18">
        <f t="shared" si="40"/>
        <v>2147.6543804486269</v>
      </c>
      <c r="AF101" s="5">
        <v>1</v>
      </c>
      <c r="AG101" s="73">
        <f t="shared" si="41"/>
        <v>0</v>
      </c>
      <c r="AH101" s="16">
        <f>Assumptions!$E$19*Assumptions!H18</f>
        <v>3.4746476344337132</v>
      </c>
      <c r="AI101" s="16">
        <f>Assumptions!$F$19*Assumptions!I18</f>
        <v>3.4961254716981136</v>
      </c>
      <c r="AJ101" s="16">
        <f t="shared" si="42"/>
        <v>0</v>
      </c>
      <c r="AK101" s="16">
        <f t="shared" si="42"/>
        <v>0</v>
      </c>
      <c r="AL101" s="4"/>
    </row>
    <row r="102" spans="1:38" x14ac:dyDescent="0.2">
      <c r="A102" s="1">
        <f t="shared" si="34"/>
        <v>39307.947000000117</v>
      </c>
      <c r="B102" s="16">
        <f t="shared" si="32"/>
        <v>3.2944807200556689</v>
      </c>
      <c r="C102" s="17">
        <f t="shared" si="29"/>
        <v>37.24326339621571</v>
      </c>
      <c r="D102" s="16">
        <f t="shared" si="33"/>
        <v>0.70166607538180892</v>
      </c>
      <c r="E102" s="16">
        <f t="shared" si="30"/>
        <v>0</v>
      </c>
      <c r="F102" s="16">
        <f t="shared" si="31"/>
        <v>0</v>
      </c>
      <c r="G102" s="19">
        <f>IF('Peak Revenue'!$A$1="BL","-",SUM(C102:F102))</f>
        <v>37.944929471597518</v>
      </c>
      <c r="H102" s="197">
        <v>505.12370120044886</v>
      </c>
      <c r="I102" s="197">
        <v>346.1669326593136</v>
      </c>
      <c r="J102" s="197">
        <v>268.82319594740142</v>
      </c>
      <c r="K102" s="197">
        <v>196.72704383771719</v>
      </c>
      <c r="L102" s="197">
        <v>156.66937343437161</v>
      </c>
      <c r="M102" s="197">
        <v>105.04504340465812</v>
      </c>
      <c r="N102" s="197">
        <v>87.433278956460157</v>
      </c>
      <c r="O102" s="197">
        <v>82.090228383705821</v>
      </c>
      <c r="P102" s="197">
        <v>66.629964143232613</v>
      </c>
      <c r="Q102" s="197">
        <v>48.895287442938518</v>
      </c>
      <c r="R102" s="197">
        <v>42.150874572458562</v>
      </c>
      <c r="S102" s="197">
        <v>39.735137798048669</v>
      </c>
      <c r="T102" s="197">
        <v>38.439002867863181</v>
      </c>
      <c r="U102" s="197">
        <v>33.344851993997267</v>
      </c>
      <c r="V102" s="197">
        <v>32.559589409753286</v>
      </c>
      <c r="W102" s="197">
        <v>31.483813800035428</v>
      </c>
      <c r="X102" s="197">
        <v>30.613404720379513</v>
      </c>
      <c r="Y102" s="197">
        <v>29.582595223865777</v>
      </c>
      <c r="Z102" s="197">
        <v>28.822839818968042</v>
      </c>
      <c r="AA102" s="197">
        <v>26.016100840583903</v>
      </c>
      <c r="AB102" s="16">
        <f>AB101*(1+Assumptions!$L$13/12)</f>
        <v>0.70166607538180892</v>
      </c>
      <c r="AC102" s="16">
        <f t="shared" si="39"/>
        <v>0</v>
      </c>
      <c r="AD102" s="18">
        <f t="shared" si="40"/>
        <v>354.61101457823628</v>
      </c>
      <c r="AE102" s="18">
        <f t="shared" si="40"/>
        <v>2147.6543804486269</v>
      </c>
      <c r="AF102" s="5">
        <v>1</v>
      </c>
      <c r="AG102" s="73">
        <f t="shared" si="41"/>
        <v>0</v>
      </c>
      <c r="AH102" s="16">
        <f>Assumptions!$E$19*Assumptions!H19</f>
        <v>3.2944807200556689</v>
      </c>
      <c r="AI102" s="16">
        <f>Assumptions!$F$19*Assumptions!I19</f>
        <v>3.4961254716981136</v>
      </c>
      <c r="AJ102" s="16">
        <f t="shared" si="42"/>
        <v>0</v>
      </c>
      <c r="AK102" s="16">
        <f t="shared" si="42"/>
        <v>0</v>
      </c>
      <c r="AL102" s="4"/>
    </row>
    <row r="103" spans="1:38" x14ac:dyDescent="0.2">
      <c r="A103" s="1">
        <f t="shared" si="34"/>
        <v>39338.364000000118</v>
      </c>
      <c r="B103" s="16">
        <f t="shared" si="32"/>
        <v>3.2834500926447685</v>
      </c>
      <c r="C103" s="17">
        <f t="shared" si="29"/>
        <v>37.118564969665876</v>
      </c>
      <c r="D103" s="16">
        <f t="shared" si="33"/>
        <v>0.70283551884077866</v>
      </c>
      <c r="E103" s="16">
        <f t="shared" si="30"/>
        <v>0</v>
      </c>
      <c r="F103" s="16">
        <f t="shared" si="31"/>
        <v>0</v>
      </c>
      <c r="G103" s="19">
        <f>IF('Peak Revenue'!$A$1="BL","-",SUM(C103:F103))</f>
        <v>37.821400488506654</v>
      </c>
      <c r="H103" s="197">
        <v>224.49598698261912</v>
      </c>
      <c r="I103" s="197">
        <v>179.94634454880199</v>
      </c>
      <c r="J103" s="197">
        <v>157.85733542032847</v>
      </c>
      <c r="K103" s="197">
        <v>93.891090885625744</v>
      </c>
      <c r="L103" s="197">
        <v>75.621717445667571</v>
      </c>
      <c r="M103" s="197">
        <v>63.070006768269671</v>
      </c>
      <c r="N103" s="197">
        <v>56.286853203743817</v>
      </c>
      <c r="O103" s="197">
        <v>54.281221544911432</v>
      </c>
      <c r="P103" s="197">
        <v>47.997443129604854</v>
      </c>
      <c r="Q103" s="197">
        <v>43.036600361601351</v>
      </c>
      <c r="R103" s="197">
        <v>38.657572761673109</v>
      </c>
      <c r="S103" s="197">
        <v>33.684206236428835</v>
      </c>
      <c r="T103" s="197">
        <v>30.336927168756091</v>
      </c>
      <c r="U103" s="197">
        <v>29.018417544807939</v>
      </c>
      <c r="V103" s="197">
        <v>28.594726661656296</v>
      </c>
      <c r="W103" s="197">
        <v>27.904126321551093</v>
      </c>
      <c r="X103" s="197">
        <v>27.160893849369167</v>
      </c>
      <c r="Y103" s="197">
        <v>27.138938696573113</v>
      </c>
      <c r="Z103" s="197">
        <v>27.050336025166636</v>
      </c>
      <c r="AA103" s="197">
        <v>24.509730082139008</v>
      </c>
      <c r="AB103" s="16">
        <f>AB102*(1+Assumptions!$L$13/12)</f>
        <v>0.70283551884077866</v>
      </c>
      <c r="AC103" s="16">
        <f t="shared" si="39"/>
        <v>0</v>
      </c>
      <c r="AD103" s="18">
        <f t="shared" si="40"/>
        <v>354.61101457823628</v>
      </c>
      <c r="AE103" s="18">
        <f t="shared" si="40"/>
        <v>2147.6543804486269</v>
      </c>
      <c r="AF103" s="5">
        <v>1</v>
      </c>
      <c r="AG103" s="73">
        <f t="shared" si="41"/>
        <v>0</v>
      </c>
      <c r="AH103" s="16">
        <f>Assumptions!$E$19*Assumptions!H20</f>
        <v>3.2834500926447685</v>
      </c>
      <c r="AI103" s="16">
        <f>Assumptions!$F$19*Assumptions!I20</f>
        <v>3.4961254716981136</v>
      </c>
      <c r="AJ103" s="16">
        <f t="shared" si="42"/>
        <v>0</v>
      </c>
      <c r="AK103" s="16">
        <f t="shared" si="42"/>
        <v>0</v>
      </c>
      <c r="AL103" s="4"/>
    </row>
    <row r="104" spans="1:38" x14ac:dyDescent="0.2">
      <c r="A104" s="1">
        <f t="shared" si="34"/>
        <v>39368.781000000119</v>
      </c>
      <c r="B104" s="16">
        <f t="shared" si="32"/>
        <v>3.6364301697935901</v>
      </c>
      <c r="C104" s="17">
        <f t="shared" si="29"/>
        <v>41.108914619260418</v>
      </c>
      <c r="D104" s="16">
        <f t="shared" si="33"/>
        <v>0.70400691137217997</v>
      </c>
      <c r="E104" s="16">
        <f t="shared" si="30"/>
        <v>0</v>
      </c>
      <c r="F104" s="16">
        <f t="shared" si="31"/>
        <v>0</v>
      </c>
      <c r="G104" s="19">
        <f>IF('Peak Revenue'!$A$1="BL","-",SUM(C104:F104))</f>
        <v>41.8129215306326</v>
      </c>
      <c r="H104" s="197">
        <v>90.257409370229439</v>
      </c>
      <c r="I104" s="197">
        <v>79.920688171795447</v>
      </c>
      <c r="J104" s="197">
        <v>75.381281709205581</v>
      </c>
      <c r="K104" s="197">
        <v>70.948449414705649</v>
      </c>
      <c r="L104" s="197">
        <v>67.456132312928759</v>
      </c>
      <c r="M104" s="197">
        <v>63.004474838141164</v>
      </c>
      <c r="N104" s="197">
        <v>62.573614752066987</v>
      </c>
      <c r="O104" s="197">
        <v>58.952878351237416</v>
      </c>
      <c r="P104" s="197">
        <v>46.051899858754474</v>
      </c>
      <c r="Q104" s="197">
        <v>44.001325298012816</v>
      </c>
      <c r="R104" s="197">
        <v>40.975882851946857</v>
      </c>
      <c r="S104" s="197">
        <v>35.72709722072441</v>
      </c>
      <c r="T104" s="197">
        <v>33.444118356801326</v>
      </c>
      <c r="U104" s="197">
        <v>31.453666361729393</v>
      </c>
      <c r="V104" s="197">
        <v>31.300358006141401</v>
      </c>
      <c r="W104" s="197">
        <v>31.096427440656932</v>
      </c>
      <c r="X104" s="197">
        <v>30.966270860303215</v>
      </c>
      <c r="Y104" s="197">
        <v>30.792503470608011</v>
      </c>
      <c r="Z104" s="197">
        <v>29.946391661987306</v>
      </c>
      <c r="AA104" s="197">
        <v>26.208306814930094</v>
      </c>
      <c r="AB104" s="16">
        <f>AB103*(1+Assumptions!$L$13/12)</f>
        <v>0.70400691137217997</v>
      </c>
      <c r="AC104" s="16">
        <f t="shared" si="39"/>
        <v>0</v>
      </c>
      <c r="AD104" s="18">
        <f t="shared" si="40"/>
        <v>354.61101457823628</v>
      </c>
      <c r="AE104" s="18">
        <f t="shared" si="40"/>
        <v>2147.6543804486269</v>
      </c>
      <c r="AF104" s="5">
        <f>IF(Assumptions!D$19=1,0,1)</f>
        <v>1</v>
      </c>
      <c r="AG104" s="73">
        <f t="shared" si="41"/>
        <v>0</v>
      </c>
      <c r="AH104" s="16">
        <f>Assumptions!$E$19*Assumptions!H21</f>
        <v>3.6364301697935901</v>
      </c>
      <c r="AI104" s="16">
        <f>Assumptions!$F$19*Assumptions!I21</f>
        <v>3.4961254716981136</v>
      </c>
      <c r="AJ104" s="16">
        <f t="shared" si="42"/>
        <v>0</v>
      </c>
      <c r="AK104" s="16">
        <f t="shared" si="42"/>
        <v>0</v>
      </c>
      <c r="AL104" s="4"/>
    </row>
    <row r="105" spans="1:38" x14ac:dyDescent="0.2">
      <c r="A105" s="1">
        <f t="shared" si="34"/>
        <v>39399.19800000012</v>
      </c>
      <c r="B105" s="16">
        <f t="shared" si="32"/>
        <v>3.9820564953351445</v>
      </c>
      <c r="C105" s="17">
        <f t="shared" si="29"/>
        <v>45.016131984488396</v>
      </c>
      <c r="D105" s="16">
        <f t="shared" si="33"/>
        <v>0.70518025622446701</v>
      </c>
      <c r="E105" s="16">
        <f t="shared" si="30"/>
        <v>0</v>
      </c>
      <c r="F105" s="16">
        <f t="shared" si="31"/>
        <v>0</v>
      </c>
      <c r="G105" s="19">
        <f>IF('Peak Revenue'!$A$1="BL","-",SUM(C105:F105))</f>
        <v>45.721312240712862</v>
      </c>
      <c r="H105" s="197">
        <v>87.263224619697027</v>
      </c>
      <c r="I105" s="197">
        <v>84.654840563986284</v>
      </c>
      <c r="J105" s="197">
        <v>81.3098023754129</v>
      </c>
      <c r="K105" s="197">
        <v>76.787705316277282</v>
      </c>
      <c r="L105" s="197">
        <v>73.201807948961857</v>
      </c>
      <c r="M105" s="197">
        <v>72.886999951255547</v>
      </c>
      <c r="N105" s="197">
        <v>68.007964675353179</v>
      </c>
      <c r="O105" s="197">
        <v>51.558072428958226</v>
      </c>
      <c r="P105" s="197">
        <v>47.045349330699125</v>
      </c>
      <c r="Q105" s="197">
        <v>41.281438716580716</v>
      </c>
      <c r="R105" s="197">
        <v>40.895150871643906</v>
      </c>
      <c r="S105" s="197">
        <v>38.290494069987702</v>
      </c>
      <c r="T105" s="197">
        <v>36.75227604627581</v>
      </c>
      <c r="U105" s="197">
        <v>36.100328701406504</v>
      </c>
      <c r="V105" s="197">
        <v>36.092099318770387</v>
      </c>
      <c r="W105" s="197">
        <v>36.092099318770387</v>
      </c>
      <c r="X105" s="197">
        <v>36.092099318770387</v>
      </c>
      <c r="Y105" s="197">
        <v>36.092099318770387</v>
      </c>
      <c r="Z105" s="197">
        <v>35.567911230092207</v>
      </c>
      <c r="AA105" s="197">
        <v>33.684804936325904</v>
      </c>
      <c r="AB105" s="16">
        <f>AB104*(1+Assumptions!$L$13/12)</f>
        <v>0.70518025622446701</v>
      </c>
      <c r="AC105" s="16">
        <f t="shared" si="39"/>
        <v>0</v>
      </c>
      <c r="AD105" s="18">
        <f t="shared" si="40"/>
        <v>354.61101457823628</v>
      </c>
      <c r="AE105" s="18">
        <f t="shared" si="40"/>
        <v>2147.6543804486269</v>
      </c>
      <c r="AF105" s="5">
        <f>IF(Assumptions!D$19=1,0,1)</f>
        <v>1</v>
      </c>
      <c r="AG105" s="73">
        <f t="shared" si="41"/>
        <v>0</v>
      </c>
      <c r="AH105" s="16">
        <f>Assumptions!$E$19*Assumptions!H22</f>
        <v>3.9820564953351445</v>
      </c>
      <c r="AI105" s="16">
        <f>Assumptions!$F$19*Assumptions!I22</f>
        <v>3.7905360377358499</v>
      </c>
      <c r="AJ105" s="16">
        <f t="shared" si="42"/>
        <v>0</v>
      </c>
      <c r="AK105" s="16">
        <f t="shared" si="42"/>
        <v>0</v>
      </c>
      <c r="AL105" s="4"/>
    </row>
    <row r="106" spans="1:38" x14ac:dyDescent="0.2">
      <c r="A106" s="1">
        <f t="shared" si="34"/>
        <v>39429.615000000122</v>
      </c>
      <c r="B106" s="16">
        <f t="shared" si="32"/>
        <v>4.3092984418585312</v>
      </c>
      <c r="C106" s="17">
        <f t="shared" si="29"/>
        <v>48.715518638800013</v>
      </c>
      <c r="D106" s="16">
        <f t="shared" si="33"/>
        <v>0.70635555665150784</v>
      </c>
      <c r="E106" s="16">
        <f t="shared" si="30"/>
        <v>0</v>
      </c>
      <c r="F106" s="16">
        <f t="shared" si="31"/>
        <v>0</v>
      </c>
      <c r="G106" s="19">
        <f>IF('Peak Revenue'!$A$1="BL","-",SUM(C106:F106))</f>
        <v>49.421874195451522</v>
      </c>
      <c r="H106" s="197">
        <v>98.596931153344642</v>
      </c>
      <c r="I106" s="197">
        <v>94.546327070608385</v>
      </c>
      <c r="J106" s="197">
        <v>91.880016495710251</v>
      </c>
      <c r="K106" s="197">
        <v>87.590921918825217</v>
      </c>
      <c r="L106" s="197">
        <v>83.571852132411024</v>
      </c>
      <c r="M106" s="197">
        <v>83.197454948465264</v>
      </c>
      <c r="N106" s="197">
        <v>78.54163830454408</v>
      </c>
      <c r="O106" s="197">
        <v>60.669949280095238</v>
      </c>
      <c r="P106" s="197">
        <v>53.300910015785</v>
      </c>
      <c r="Q106" s="197">
        <v>46.865525202666319</v>
      </c>
      <c r="R106" s="197">
        <v>44.948335790763686</v>
      </c>
      <c r="S106" s="197">
        <v>40.810361049346042</v>
      </c>
      <c r="T106" s="197">
        <v>40.705998501727571</v>
      </c>
      <c r="U106" s="197">
        <v>39.931842557012949</v>
      </c>
      <c r="V106" s="197">
        <v>39.80685083472688</v>
      </c>
      <c r="W106" s="197">
        <v>39.806771533563122</v>
      </c>
      <c r="X106" s="197">
        <v>39.80669889436637</v>
      </c>
      <c r="Y106" s="197">
        <v>39.806623213213342</v>
      </c>
      <c r="Z106" s="197">
        <v>39.406480639178845</v>
      </c>
      <c r="AA106" s="197">
        <v>33.997046890038703</v>
      </c>
      <c r="AB106" s="16">
        <f>AB105*(1+Assumptions!$L$13/12)</f>
        <v>0.70635555665150784</v>
      </c>
      <c r="AC106" s="16">
        <f t="shared" si="39"/>
        <v>0</v>
      </c>
      <c r="AD106" s="18">
        <f t="shared" si="40"/>
        <v>354.61101457823628</v>
      </c>
      <c r="AE106" s="18">
        <f t="shared" si="40"/>
        <v>2147.6543804486269</v>
      </c>
      <c r="AF106" s="5">
        <f>IF(Assumptions!D$19=1,0,1)</f>
        <v>1</v>
      </c>
      <c r="AG106" s="73">
        <f t="shared" si="41"/>
        <v>0</v>
      </c>
      <c r="AH106" s="16">
        <f>Assumptions!$E$19*Assumptions!H23</f>
        <v>4.3092984418585312</v>
      </c>
      <c r="AI106" s="16">
        <f>Assumptions!$F$19*Assumptions!I23</f>
        <v>3.9745426415094349</v>
      </c>
      <c r="AJ106" s="16">
        <f t="shared" si="42"/>
        <v>0</v>
      </c>
      <c r="AK106" s="16">
        <f t="shared" si="42"/>
        <v>0</v>
      </c>
      <c r="AL106" s="4"/>
    </row>
    <row r="107" spans="1:38" x14ac:dyDescent="0.2">
      <c r="A107" s="1">
        <f t="shared" si="34"/>
        <v>39460.032000000123</v>
      </c>
      <c r="B107" s="16">
        <f t="shared" si="32"/>
        <v>3.847158216465588</v>
      </c>
      <c r="C107" s="17">
        <f t="shared" si="29"/>
        <v>43.49114138398182</v>
      </c>
      <c r="D107" s="16">
        <f t="shared" si="33"/>
        <v>0.70753281591259376</v>
      </c>
      <c r="E107" s="16">
        <f t="shared" si="30"/>
        <v>0</v>
      </c>
      <c r="F107" s="16">
        <f t="shared" si="31"/>
        <v>0</v>
      </c>
      <c r="G107" s="19">
        <f>IF('Peak Revenue'!$A$1="BL","-",SUM(C107:F107))</f>
        <v>44.198674199894413</v>
      </c>
      <c r="H107" s="197">
        <v>146.05197341410218</v>
      </c>
      <c r="I107" s="197">
        <v>121.01996621178969</v>
      </c>
      <c r="J107" s="197">
        <v>103.84729502923467</v>
      </c>
      <c r="K107" s="197">
        <v>81.967169189809141</v>
      </c>
      <c r="L107" s="197">
        <v>76.583596564875165</v>
      </c>
      <c r="M107" s="197">
        <v>71.195510914970129</v>
      </c>
      <c r="N107" s="197">
        <v>69.248045404404451</v>
      </c>
      <c r="O107" s="197">
        <v>67.516656196680998</v>
      </c>
      <c r="P107" s="197">
        <v>55.290947422288887</v>
      </c>
      <c r="Q107" s="197">
        <v>47.732030700183195</v>
      </c>
      <c r="R107" s="197">
        <v>40.90100417683864</v>
      </c>
      <c r="S107" s="197">
        <v>39.265624215682372</v>
      </c>
      <c r="T107" s="197">
        <v>37.640435164320273</v>
      </c>
      <c r="U107" s="197">
        <v>35.66209058690265</v>
      </c>
      <c r="V107" s="197">
        <v>34.326925915712152</v>
      </c>
      <c r="W107" s="197">
        <v>34.031767221165047</v>
      </c>
      <c r="X107" s="197">
        <v>33.845866152489293</v>
      </c>
      <c r="Y107" s="197">
        <v>33.757428579141646</v>
      </c>
      <c r="Z107" s="197">
        <v>33.73955686699798</v>
      </c>
      <c r="AA107" s="197">
        <v>32.341922194117927</v>
      </c>
      <c r="AB107" s="16">
        <f>AB106*(1+Assumptions!$L$13/12)</f>
        <v>0.70753281591259376</v>
      </c>
      <c r="AC107" s="16">
        <f>VLOOKUP($C$1,EnvVOM,11)</f>
        <v>0</v>
      </c>
      <c r="AD107" s="18">
        <f>Assumptions!B20</f>
        <v>391.29851871019378</v>
      </c>
      <c r="AE107" s="18">
        <f>Assumptions!C20</f>
        <v>1807.3421300276059</v>
      </c>
      <c r="AF107" s="5">
        <f>IF(Assumptions!D$20=1,0,1)</f>
        <v>1</v>
      </c>
      <c r="AG107" s="73">
        <f>VLOOKUP($C$1,Coal,11)</f>
        <v>0</v>
      </c>
      <c r="AH107" s="16">
        <f>Assumptions!$E$20*Assumptions!H12</f>
        <v>3.847158216465588</v>
      </c>
      <c r="AI107" s="16">
        <f>Assumptions!$F$20*Assumptions!I12</f>
        <v>3.5836328118465897</v>
      </c>
      <c r="AJ107" s="16">
        <f>VLOOKUP($C$1,SO2Rate,11)</f>
        <v>0</v>
      </c>
      <c r="AK107" s="16">
        <f>VLOOKUP($C$1,NOxRate,11)</f>
        <v>0</v>
      </c>
      <c r="AL107" s="4"/>
    </row>
    <row r="108" spans="1:38" x14ac:dyDescent="0.2">
      <c r="A108" s="1">
        <f t="shared" si="34"/>
        <v>39490.449000000124</v>
      </c>
      <c r="B108" s="16">
        <f t="shared" si="32"/>
        <v>3.4481178695449555</v>
      </c>
      <c r="C108" s="17">
        <f t="shared" si="29"/>
        <v>38.980092144685834</v>
      </c>
      <c r="D108" s="16">
        <f t="shared" si="33"/>
        <v>0.70871203727244814</v>
      </c>
      <c r="E108" s="16">
        <f t="shared" si="30"/>
        <v>0</v>
      </c>
      <c r="F108" s="16">
        <f t="shared" si="31"/>
        <v>0</v>
      </c>
      <c r="G108" s="19">
        <f>IF('Peak Revenue'!$A$1="BL","-",SUM(C108:F108))</f>
        <v>39.688804181958282</v>
      </c>
      <c r="H108" s="197">
        <v>109.76001464274714</v>
      </c>
      <c r="I108" s="197">
        <v>99.3607949241146</v>
      </c>
      <c r="J108" s="197">
        <v>94.817806220076747</v>
      </c>
      <c r="K108" s="197">
        <v>90.651143098150413</v>
      </c>
      <c r="L108" s="197">
        <v>85.797264125459094</v>
      </c>
      <c r="M108" s="197">
        <v>84.730909220924644</v>
      </c>
      <c r="N108" s="197">
        <v>81.56858672959055</v>
      </c>
      <c r="O108" s="197">
        <v>67.980651483205037</v>
      </c>
      <c r="P108" s="197">
        <v>56.667916383653711</v>
      </c>
      <c r="Q108" s="197">
        <v>47.523151584493142</v>
      </c>
      <c r="R108" s="197">
        <v>45.226616956866991</v>
      </c>
      <c r="S108" s="197">
        <v>40.502323768521009</v>
      </c>
      <c r="T108" s="197">
        <v>37.211593383779004</v>
      </c>
      <c r="U108" s="197">
        <v>34.60342258436566</v>
      </c>
      <c r="V108" s="197">
        <v>33.575957739077886</v>
      </c>
      <c r="W108" s="197">
        <v>32.668504977359476</v>
      </c>
      <c r="X108" s="197">
        <v>31.453345099289852</v>
      </c>
      <c r="Y108" s="197">
        <v>29.9963143988791</v>
      </c>
      <c r="Z108" s="197">
        <v>28.811676765580817</v>
      </c>
      <c r="AA108" s="197">
        <v>27.472761308313373</v>
      </c>
      <c r="AB108" s="16">
        <f>AB107*(1+Assumptions!$L$13/12)</f>
        <v>0.70871203727244814</v>
      </c>
      <c r="AC108" s="16">
        <f>AC107</f>
        <v>0</v>
      </c>
      <c r="AD108" s="18">
        <f>AD107</f>
        <v>391.29851871019378</v>
      </c>
      <c r="AE108" s="18">
        <f>AE107</f>
        <v>1807.3421300276059</v>
      </c>
      <c r="AF108" s="5">
        <f>IF(Assumptions!D$20=1,0,1)</f>
        <v>1</v>
      </c>
      <c r="AG108" s="73">
        <f>AG107</f>
        <v>0</v>
      </c>
      <c r="AH108" s="16">
        <f>Assumptions!$E$20*Assumptions!H13</f>
        <v>3.4481178695449555</v>
      </c>
      <c r="AI108" s="16">
        <f>Assumptions!$F$20*Assumptions!I13</f>
        <v>3.5504510265517135</v>
      </c>
      <c r="AJ108" s="16">
        <f>AJ107</f>
        <v>0</v>
      </c>
      <c r="AK108" s="16">
        <f>AK107</f>
        <v>0</v>
      </c>
      <c r="AL108" s="4"/>
    </row>
    <row r="109" spans="1:38" x14ac:dyDescent="0.2">
      <c r="A109" s="1">
        <f t="shared" si="34"/>
        <v>39520.866000000125</v>
      </c>
      <c r="B109" s="16">
        <f t="shared" si="32"/>
        <v>3.3901376481975132</v>
      </c>
      <c r="C109" s="17">
        <f t="shared" si="29"/>
        <v>38.324640545813772</v>
      </c>
      <c r="D109" s="16">
        <f t="shared" si="33"/>
        <v>0.70989322400123556</v>
      </c>
      <c r="E109" s="16">
        <f t="shared" si="30"/>
        <v>0</v>
      </c>
      <c r="F109" s="16">
        <f t="shared" si="31"/>
        <v>0</v>
      </c>
      <c r="G109" s="19">
        <f>IF('Peak Revenue'!$A$1="BL","-",SUM(C109:F109))</f>
        <v>39.034533769815006</v>
      </c>
      <c r="H109" s="197">
        <v>97.706798444127216</v>
      </c>
      <c r="I109" s="197">
        <v>97.253287923207296</v>
      </c>
      <c r="J109" s="197">
        <v>94.725816419445209</v>
      </c>
      <c r="K109" s="197">
        <v>82.610105924771119</v>
      </c>
      <c r="L109" s="197">
        <v>66.088510931828907</v>
      </c>
      <c r="M109" s="197">
        <v>57.236896009592805</v>
      </c>
      <c r="N109" s="197">
        <v>53.422169575200961</v>
      </c>
      <c r="O109" s="197">
        <v>47.599559893012092</v>
      </c>
      <c r="P109" s="197">
        <v>47.599559893012092</v>
      </c>
      <c r="Q109" s="197">
        <v>47.550524160036055</v>
      </c>
      <c r="R109" s="197">
        <v>47.203602961616248</v>
      </c>
      <c r="S109" s="197">
        <v>47.203602961616248</v>
      </c>
      <c r="T109" s="197">
        <v>47.203602961616248</v>
      </c>
      <c r="U109" s="197">
        <v>47.203602961616248</v>
      </c>
      <c r="V109" s="197">
        <v>43.226615342191749</v>
      </c>
      <c r="W109" s="197">
        <v>36.980078905840699</v>
      </c>
      <c r="X109" s="197">
        <v>35.655257242706746</v>
      </c>
      <c r="Y109" s="197">
        <v>33.879490817516711</v>
      </c>
      <c r="Z109" s="197">
        <v>32.369905399789261</v>
      </c>
      <c r="AA109" s="197">
        <v>29.686671707669294</v>
      </c>
      <c r="AB109" s="16">
        <f>AB108*(1+Assumptions!$L$13/12)</f>
        <v>0.70989322400123556</v>
      </c>
      <c r="AC109" s="16">
        <f t="shared" ref="AC109:AC118" si="43">AC108</f>
        <v>0</v>
      </c>
      <c r="AD109" s="18">
        <f>AD108+(Assumptions!B$21-Assumptions!B$20)/12</f>
        <v>394.5052739192019</v>
      </c>
      <c r="AE109" s="18">
        <f>AE108+(Assumptions!C$21-Assumptions!C$20)/12</f>
        <v>1822.1938424620682</v>
      </c>
      <c r="AF109" s="5">
        <f>IF(Assumptions!D$20=1,0,1)</f>
        <v>1</v>
      </c>
      <c r="AG109" s="73">
        <f t="shared" ref="AG109:AG118" si="44">AG108</f>
        <v>0</v>
      </c>
      <c r="AH109" s="16">
        <f>Assumptions!$E$20*Assumptions!H14</f>
        <v>3.3901376481975132</v>
      </c>
      <c r="AI109" s="16">
        <f>Assumptions!$F$20*Assumptions!I14</f>
        <v>3.4177238853722103</v>
      </c>
      <c r="AJ109" s="16">
        <f t="shared" ref="AJ109:AK118" si="45">AJ108</f>
        <v>0</v>
      </c>
      <c r="AK109" s="16">
        <f t="shared" si="45"/>
        <v>0</v>
      </c>
      <c r="AL109" s="4"/>
    </row>
    <row r="110" spans="1:38" x14ac:dyDescent="0.2">
      <c r="A110" s="1">
        <f t="shared" si="34"/>
        <v>39551.283000000127</v>
      </c>
      <c r="B110" s="16">
        <f t="shared" si="32"/>
        <v>3.2230181866666499</v>
      </c>
      <c r="C110" s="17">
        <f t="shared" si="29"/>
        <v>36.43539770200605</v>
      </c>
      <c r="D110" s="16">
        <f t="shared" si="33"/>
        <v>0.71107637937457102</v>
      </c>
      <c r="E110" s="16">
        <f t="shared" si="30"/>
        <v>0</v>
      </c>
      <c r="F110" s="16">
        <f t="shared" si="31"/>
        <v>0</v>
      </c>
      <c r="G110" s="19">
        <f>IF('Peak Revenue'!$A$1="BL","-",SUM(C110:F110))</f>
        <v>37.146474081380617</v>
      </c>
      <c r="H110" s="197">
        <v>78.810688998714383</v>
      </c>
      <c r="I110" s="197">
        <v>75.646753067232993</v>
      </c>
      <c r="J110" s="197">
        <v>72.411938158051754</v>
      </c>
      <c r="K110" s="197">
        <v>68.873504115855013</v>
      </c>
      <c r="L110" s="197">
        <v>64.519278347969788</v>
      </c>
      <c r="M110" s="197">
        <v>63.177677264498307</v>
      </c>
      <c r="N110" s="197">
        <v>62.618697396639881</v>
      </c>
      <c r="O110" s="197">
        <v>54.142599310535424</v>
      </c>
      <c r="P110" s="197">
        <v>44.224725760612692</v>
      </c>
      <c r="Q110" s="197">
        <v>38.905597370113838</v>
      </c>
      <c r="R110" s="197">
        <v>36.028094541065762</v>
      </c>
      <c r="S110" s="197">
        <v>35.20585221282537</v>
      </c>
      <c r="T110" s="197">
        <v>32.45915945487225</v>
      </c>
      <c r="U110" s="197">
        <v>31.175319251096063</v>
      </c>
      <c r="V110" s="197">
        <v>30.954883824267114</v>
      </c>
      <c r="W110" s="197">
        <v>30.255878524900734</v>
      </c>
      <c r="X110" s="197">
        <v>29.436097548764998</v>
      </c>
      <c r="Y110" s="197">
        <v>28.16395887332984</v>
      </c>
      <c r="Z110" s="197">
        <v>27.677314475846451</v>
      </c>
      <c r="AA110" s="197">
        <v>26.166205030029111</v>
      </c>
      <c r="AB110" s="16">
        <f>AB109*(1+Assumptions!$L$13/12)</f>
        <v>0.71107637937457102</v>
      </c>
      <c r="AC110" s="16">
        <f t="shared" si="43"/>
        <v>0</v>
      </c>
      <c r="AD110" s="18">
        <f>AD109+(Assumptions!B$21-Assumptions!B$20)/12</f>
        <v>397.71202912821002</v>
      </c>
      <c r="AE110" s="18">
        <f>AE109+(Assumptions!C$21-Assumptions!C$20)/12</f>
        <v>1837.0455548965306</v>
      </c>
      <c r="AF110" s="5">
        <f>IF(Assumptions!D$20=1,0,1)</f>
        <v>1</v>
      </c>
      <c r="AG110" s="73">
        <f t="shared" si="44"/>
        <v>0</v>
      </c>
      <c r="AH110" s="16">
        <f>Assumptions!$E$20*Assumptions!H15</f>
        <v>3.2230181866666499</v>
      </c>
      <c r="AI110" s="16">
        <f>Assumptions!$F$20*Assumptions!I15</f>
        <v>3.284996744192707</v>
      </c>
      <c r="AJ110" s="16">
        <f t="shared" si="45"/>
        <v>0</v>
      </c>
      <c r="AK110" s="16">
        <f t="shared" si="45"/>
        <v>0</v>
      </c>
      <c r="AL110" s="4"/>
    </row>
    <row r="111" spans="1:38" x14ac:dyDescent="0.2">
      <c r="A111" s="1">
        <f t="shared" si="34"/>
        <v>39581.700000000128</v>
      </c>
      <c r="B111" s="16">
        <f t="shared" si="32"/>
        <v>3.3935482494532452</v>
      </c>
      <c r="C111" s="17">
        <f t="shared" si="29"/>
        <v>38.363196522218011</v>
      </c>
      <c r="D111" s="16">
        <f t="shared" si="33"/>
        <v>0.71226150667352872</v>
      </c>
      <c r="E111" s="16">
        <f t="shared" si="30"/>
        <v>0</v>
      </c>
      <c r="F111" s="16">
        <f t="shared" si="31"/>
        <v>0</v>
      </c>
      <c r="G111" s="19">
        <f>IF('Peak Revenue'!$A$1="BL","-",SUM(C111:F111))</f>
        <v>39.075458028891539</v>
      </c>
      <c r="H111" s="197">
        <v>74.018707266307302</v>
      </c>
      <c r="I111" s="197">
        <v>70.054950473701453</v>
      </c>
      <c r="J111" s="197">
        <v>65.800889698334942</v>
      </c>
      <c r="K111" s="197">
        <v>63.544829857001254</v>
      </c>
      <c r="L111" s="197">
        <v>63.099516859384337</v>
      </c>
      <c r="M111" s="197">
        <v>52.634997211910679</v>
      </c>
      <c r="N111" s="197">
        <v>44.323943081827871</v>
      </c>
      <c r="O111" s="197">
        <v>41.078834246354326</v>
      </c>
      <c r="P111" s="197">
        <v>38.504946613078133</v>
      </c>
      <c r="Q111" s="197">
        <v>36.581000615820983</v>
      </c>
      <c r="R111" s="197">
        <v>36.206857968141506</v>
      </c>
      <c r="S111" s="197">
        <v>35.901599566673461</v>
      </c>
      <c r="T111" s="197">
        <v>34.998618759281136</v>
      </c>
      <c r="U111" s="197">
        <v>33.458191131177863</v>
      </c>
      <c r="V111" s="197">
        <v>32.825999481563883</v>
      </c>
      <c r="W111" s="197">
        <v>32.017328518234237</v>
      </c>
      <c r="X111" s="197">
        <v>31.633284806231</v>
      </c>
      <c r="Y111" s="197">
        <v>31.630093703566903</v>
      </c>
      <c r="Z111" s="197">
        <v>31.394587564499727</v>
      </c>
      <c r="AA111" s="197">
        <v>30.077297809268394</v>
      </c>
      <c r="AB111" s="16">
        <f>AB110*(1+Assumptions!$L$13/12)</f>
        <v>0.71226150667352872</v>
      </c>
      <c r="AC111" s="16">
        <f t="shared" si="43"/>
        <v>0</v>
      </c>
      <c r="AD111" s="18">
        <f>AD110+(Assumptions!B$21-Assumptions!B$20)/12</f>
        <v>400.91878433721814</v>
      </c>
      <c r="AE111" s="18">
        <f>AE110+(Assumptions!C$21-Assumptions!C$20)/12</f>
        <v>1851.8972673309929</v>
      </c>
      <c r="AF111" s="5">
        <v>1</v>
      </c>
      <c r="AG111" s="73">
        <f t="shared" si="44"/>
        <v>0</v>
      </c>
      <c r="AH111" s="16">
        <f>Assumptions!$E$20*Assumptions!H16</f>
        <v>3.3935482494532452</v>
      </c>
      <c r="AI111" s="16">
        <f>Assumptions!$F$20*Assumptions!I16</f>
        <v>3.1522696030132034</v>
      </c>
      <c r="AJ111" s="16">
        <f t="shared" si="45"/>
        <v>0</v>
      </c>
      <c r="AK111" s="16">
        <f t="shared" si="45"/>
        <v>0</v>
      </c>
      <c r="AL111" s="4"/>
    </row>
    <row r="112" spans="1:38" x14ac:dyDescent="0.2">
      <c r="A112" s="1">
        <f t="shared" si="34"/>
        <v>39612.117000000129</v>
      </c>
      <c r="B112" s="16">
        <f t="shared" si="32"/>
        <v>3.2332499904338454</v>
      </c>
      <c r="C112" s="17">
        <f t="shared" si="29"/>
        <v>36.551065631218762</v>
      </c>
      <c r="D112" s="16">
        <f t="shared" si="33"/>
        <v>0.71344860918465125</v>
      </c>
      <c r="E112" s="16">
        <f t="shared" si="30"/>
        <v>0</v>
      </c>
      <c r="F112" s="16">
        <f t="shared" si="31"/>
        <v>0</v>
      </c>
      <c r="G112" s="19">
        <f>IF('Peak Revenue'!$A$1="BL","-",SUM(C112:F112))</f>
        <v>37.264514240403415</v>
      </c>
      <c r="H112" s="197">
        <v>169.77540858411768</v>
      </c>
      <c r="I112" s="197">
        <v>153.31442692069959</v>
      </c>
      <c r="J112" s="197">
        <v>140.5164705017508</v>
      </c>
      <c r="K112" s="197">
        <v>92.2439436968547</v>
      </c>
      <c r="L112" s="197">
        <v>71.249927812176125</v>
      </c>
      <c r="M112" s="197">
        <v>63.71287365901793</v>
      </c>
      <c r="N112" s="197">
        <v>57.096500210651094</v>
      </c>
      <c r="O112" s="197">
        <v>55.574411706956816</v>
      </c>
      <c r="P112" s="197">
        <v>45.758470155697978</v>
      </c>
      <c r="Q112" s="197">
        <v>40.273064961071427</v>
      </c>
      <c r="R112" s="197">
        <v>38.82560233249923</v>
      </c>
      <c r="S112" s="197">
        <v>36.687607579130812</v>
      </c>
      <c r="T112" s="197">
        <v>35.379484203254087</v>
      </c>
      <c r="U112" s="197">
        <v>32.143568154556782</v>
      </c>
      <c r="V112" s="197">
        <v>29.190302572581153</v>
      </c>
      <c r="W112" s="197">
        <v>28.561194174965877</v>
      </c>
      <c r="X112" s="197">
        <v>28.101632985886177</v>
      </c>
      <c r="Y112" s="197">
        <v>27.947870922183405</v>
      </c>
      <c r="Z112" s="197">
        <v>27.902837612095073</v>
      </c>
      <c r="AA112" s="197">
        <v>26.752778838540561</v>
      </c>
      <c r="AB112" s="16">
        <f>AB111*(1+Assumptions!$L$13/12)</f>
        <v>0.71344860918465125</v>
      </c>
      <c r="AC112" s="16">
        <f t="shared" si="43"/>
        <v>0</v>
      </c>
      <c r="AD112" s="18">
        <f>AD111+(Assumptions!B$21-Assumptions!B$20)/12</f>
        <v>404.12553954622626</v>
      </c>
      <c r="AE112" s="18">
        <f>AE111+(Assumptions!C$21-Assumptions!C$20)/12</f>
        <v>1866.7489797654553</v>
      </c>
      <c r="AF112" s="5">
        <v>1</v>
      </c>
      <c r="AG112" s="73">
        <f t="shared" si="44"/>
        <v>0</v>
      </c>
      <c r="AH112" s="16">
        <f>Assumptions!$E$20*Assumptions!H17</f>
        <v>3.2332499904338454</v>
      </c>
      <c r="AI112" s="16">
        <f>Assumptions!$F$20*Assumptions!I17</f>
        <v>3.1522696030132034</v>
      </c>
      <c r="AJ112" s="16">
        <f t="shared" si="45"/>
        <v>0</v>
      </c>
      <c r="AK112" s="16">
        <f t="shared" si="45"/>
        <v>0</v>
      </c>
      <c r="AL112" s="4"/>
    </row>
    <row r="113" spans="1:38" x14ac:dyDescent="0.2">
      <c r="A113" s="1">
        <f t="shared" si="34"/>
        <v>39642.534000000131</v>
      </c>
      <c r="B113" s="16">
        <f t="shared" si="32"/>
        <v>3.2230181866666499</v>
      </c>
      <c r="C113" s="17">
        <f t="shared" si="29"/>
        <v>36.43539770200605</v>
      </c>
      <c r="D113" s="16">
        <f t="shared" si="33"/>
        <v>0.71463769019995904</v>
      </c>
      <c r="E113" s="16">
        <f t="shared" si="30"/>
        <v>0</v>
      </c>
      <c r="F113" s="16">
        <f t="shared" si="31"/>
        <v>0</v>
      </c>
      <c r="G113" s="19">
        <f>IF('Peak Revenue'!$A$1="BL","-",SUM(C113:F113))</f>
        <v>37.150035392206007</v>
      </c>
      <c r="H113" s="197">
        <v>309.55322945116171</v>
      </c>
      <c r="I113" s="197">
        <v>247.61898457828178</v>
      </c>
      <c r="J113" s="197">
        <v>206.90855479250516</v>
      </c>
      <c r="K113" s="197">
        <v>168.19404887539517</v>
      </c>
      <c r="L113" s="197">
        <v>140.63800008828053</v>
      </c>
      <c r="M113" s="197">
        <v>102.19985870284226</v>
      </c>
      <c r="N113" s="197">
        <v>69.325462974760114</v>
      </c>
      <c r="O113" s="197">
        <v>60.262947045847412</v>
      </c>
      <c r="P113" s="197">
        <v>58.723721886369859</v>
      </c>
      <c r="Q113" s="197">
        <v>57.717360423648643</v>
      </c>
      <c r="R113" s="197">
        <v>52.072525979703009</v>
      </c>
      <c r="S113" s="197">
        <v>40.988190043560543</v>
      </c>
      <c r="T113" s="197">
        <v>38.015719405393796</v>
      </c>
      <c r="U113" s="197">
        <v>35.256358035323615</v>
      </c>
      <c r="V113" s="197">
        <v>33.853810012278856</v>
      </c>
      <c r="W113" s="197">
        <v>31.636221832894211</v>
      </c>
      <c r="X113" s="197">
        <v>30.226312444823225</v>
      </c>
      <c r="Y113" s="197">
        <v>29.336449950139734</v>
      </c>
      <c r="Z113" s="197">
        <v>28.981218125992623</v>
      </c>
      <c r="AA113" s="197">
        <v>27.846197771371155</v>
      </c>
      <c r="AB113" s="16">
        <f>AB112*(1+Assumptions!$L$13/12)</f>
        <v>0.71463769019995904</v>
      </c>
      <c r="AC113" s="16">
        <f t="shared" si="43"/>
        <v>0</v>
      </c>
      <c r="AD113" s="18">
        <f>AD112+(Assumptions!B$21-Assumptions!B$20)/12</f>
        <v>407.33229475523439</v>
      </c>
      <c r="AE113" s="18">
        <f>AE112+(Assumptions!C$21-Assumptions!C$20)/12</f>
        <v>1881.6006921999176</v>
      </c>
      <c r="AF113" s="5">
        <v>1</v>
      </c>
      <c r="AG113" s="73">
        <f t="shared" si="44"/>
        <v>0</v>
      </c>
      <c r="AH113" s="16">
        <f>Assumptions!$E$20*Assumptions!H18</f>
        <v>3.2230181866666499</v>
      </c>
      <c r="AI113" s="16">
        <f>Assumptions!$F$20*Assumptions!I18</f>
        <v>3.1522696030132034</v>
      </c>
      <c r="AJ113" s="16">
        <f t="shared" si="45"/>
        <v>0</v>
      </c>
      <c r="AK113" s="16">
        <f t="shared" si="45"/>
        <v>0</v>
      </c>
      <c r="AL113" s="4"/>
    </row>
    <row r="114" spans="1:38" x14ac:dyDescent="0.2">
      <c r="A114" s="1">
        <f t="shared" si="34"/>
        <v>39672.951000000132</v>
      </c>
      <c r="B114" s="16">
        <f t="shared" si="32"/>
        <v>3.0558987251357865</v>
      </c>
      <c r="C114" s="17">
        <f t="shared" si="29"/>
        <v>34.546154858198328</v>
      </c>
      <c r="D114" s="16">
        <f t="shared" si="33"/>
        <v>0.71582875301695903</v>
      </c>
      <c r="E114" s="16">
        <f t="shared" si="30"/>
        <v>0</v>
      </c>
      <c r="F114" s="16">
        <f t="shared" si="31"/>
        <v>0</v>
      </c>
      <c r="G114" s="19">
        <f>IF('Peak Revenue'!$A$1="BL","-",SUM(C114:F114))</f>
        <v>35.261983611215285</v>
      </c>
      <c r="H114" s="197">
        <v>540.51678233602649</v>
      </c>
      <c r="I114" s="197">
        <v>354.25759097531881</v>
      </c>
      <c r="J114" s="197">
        <v>285.63599033883548</v>
      </c>
      <c r="K114" s="197">
        <v>218.50179053710568</v>
      </c>
      <c r="L114" s="197">
        <v>171.51734153408205</v>
      </c>
      <c r="M114" s="197">
        <v>128.19089330787082</v>
      </c>
      <c r="N114" s="197">
        <v>72.249376970558131</v>
      </c>
      <c r="O114" s="197">
        <v>64.626220666830051</v>
      </c>
      <c r="P114" s="197">
        <v>54.808664687586372</v>
      </c>
      <c r="Q114" s="197">
        <v>41.053126982642844</v>
      </c>
      <c r="R114" s="197">
        <v>36.33541193392972</v>
      </c>
      <c r="S114" s="197">
        <v>33.488260310830093</v>
      </c>
      <c r="T114" s="197">
        <v>32.312966113702657</v>
      </c>
      <c r="U114" s="197">
        <v>32.260798884417369</v>
      </c>
      <c r="V114" s="197">
        <v>32.024617887417122</v>
      </c>
      <c r="W114" s="197">
        <v>31.752990429654314</v>
      </c>
      <c r="X114" s="197">
        <v>31.323257075887522</v>
      </c>
      <c r="Y114" s="197">
        <v>30.275004240600904</v>
      </c>
      <c r="Z114" s="197">
        <v>29.313933948740988</v>
      </c>
      <c r="AA114" s="197">
        <v>26.888290937400843</v>
      </c>
      <c r="AB114" s="16">
        <f>AB113*(1+Assumptions!$L$13/12)</f>
        <v>0.71582875301695903</v>
      </c>
      <c r="AC114" s="16">
        <f t="shared" si="43"/>
        <v>0</v>
      </c>
      <c r="AD114" s="18">
        <f>AD113+(Assumptions!B$21-Assumptions!B$20)/12</f>
        <v>410.53904996424251</v>
      </c>
      <c r="AE114" s="18">
        <f>AE113+(Assumptions!C$21-Assumptions!C$20)/12</f>
        <v>1896.4524046343799</v>
      </c>
      <c r="AF114" s="5">
        <v>1</v>
      </c>
      <c r="AG114" s="73">
        <f t="shared" si="44"/>
        <v>0</v>
      </c>
      <c r="AH114" s="16">
        <f>Assumptions!$E$20*Assumptions!H19</f>
        <v>3.0558987251357865</v>
      </c>
      <c r="AI114" s="16">
        <f>Assumptions!$F$20*Assumptions!I19</f>
        <v>3.1522696030132034</v>
      </c>
      <c r="AJ114" s="16">
        <f t="shared" si="45"/>
        <v>0</v>
      </c>
      <c r="AK114" s="16">
        <f t="shared" si="45"/>
        <v>0</v>
      </c>
      <c r="AL114" s="4"/>
    </row>
    <row r="115" spans="1:38" x14ac:dyDescent="0.2">
      <c r="A115" s="1">
        <f t="shared" si="34"/>
        <v>39703.368000000133</v>
      </c>
      <c r="B115" s="16">
        <f t="shared" si="32"/>
        <v>3.045666921368591</v>
      </c>
      <c r="C115" s="17">
        <f t="shared" si="29"/>
        <v>34.430486928985609</v>
      </c>
      <c r="D115" s="16">
        <f t="shared" si="33"/>
        <v>0.71702180093865397</v>
      </c>
      <c r="E115" s="16">
        <f t="shared" si="30"/>
        <v>0</v>
      </c>
      <c r="F115" s="16">
        <f t="shared" si="31"/>
        <v>0</v>
      </c>
      <c r="G115" s="19">
        <f>IF('Peak Revenue'!$A$1="BL","-",SUM(C115:F115))</f>
        <v>35.147508729924262</v>
      </c>
      <c r="H115" s="197">
        <v>179.94301121952418</v>
      </c>
      <c r="I115" s="197">
        <v>155.8646309999223</v>
      </c>
      <c r="J115" s="197">
        <v>114.66338503925158</v>
      </c>
      <c r="K115" s="197">
        <v>86.268677788859023</v>
      </c>
      <c r="L115" s="197">
        <v>68.1064350242074</v>
      </c>
      <c r="M115" s="197">
        <v>58.989533120427005</v>
      </c>
      <c r="N115" s="197">
        <v>55.242257021086907</v>
      </c>
      <c r="O115" s="197">
        <v>52.8428444436543</v>
      </c>
      <c r="P115" s="197">
        <v>50.348424320851265</v>
      </c>
      <c r="Q115" s="197">
        <v>42.159377512839647</v>
      </c>
      <c r="R115" s="197">
        <v>38.58660047080069</v>
      </c>
      <c r="S115" s="197">
        <v>35.103082288965467</v>
      </c>
      <c r="T115" s="197">
        <v>33.314655035318232</v>
      </c>
      <c r="U115" s="197">
        <v>31.680231709352846</v>
      </c>
      <c r="V115" s="197">
        <v>30.143344499516267</v>
      </c>
      <c r="W115" s="197">
        <v>29.192688133667026</v>
      </c>
      <c r="X115" s="197">
        <v>28.298139263078117</v>
      </c>
      <c r="Y115" s="197">
        <v>27.94546565124266</v>
      </c>
      <c r="Z115" s="197">
        <v>27.732304848768596</v>
      </c>
      <c r="AA115" s="197">
        <v>27.033796868379145</v>
      </c>
      <c r="AB115" s="16">
        <f>AB114*(1+Assumptions!$L$13/12)</f>
        <v>0.71702180093865397</v>
      </c>
      <c r="AC115" s="16">
        <f t="shared" si="43"/>
        <v>0</v>
      </c>
      <c r="AD115" s="18">
        <f>AD114+(Assumptions!B$21-Assumptions!B$20)/12</f>
        <v>413.74580517325063</v>
      </c>
      <c r="AE115" s="18">
        <f>AE114+(Assumptions!C$21-Assumptions!C$20)/12</f>
        <v>1911.3041170688423</v>
      </c>
      <c r="AF115" s="5">
        <v>1</v>
      </c>
      <c r="AG115" s="73">
        <f t="shared" si="44"/>
        <v>0</v>
      </c>
      <c r="AH115" s="16">
        <f>Assumptions!$E$20*Assumptions!H20</f>
        <v>3.045666921368591</v>
      </c>
      <c r="AI115" s="16">
        <f>Assumptions!$F$20*Assumptions!I20</f>
        <v>3.1522696030132034</v>
      </c>
      <c r="AJ115" s="16">
        <f t="shared" si="45"/>
        <v>0</v>
      </c>
      <c r="AK115" s="16">
        <f t="shared" si="45"/>
        <v>0</v>
      </c>
      <c r="AL115" s="4"/>
    </row>
    <row r="116" spans="1:38" x14ac:dyDescent="0.2">
      <c r="A116" s="1">
        <f t="shared" si="34"/>
        <v>39733.785000000134</v>
      </c>
      <c r="B116" s="16">
        <f t="shared" si="32"/>
        <v>3.3730846419188536</v>
      </c>
      <c r="C116" s="17">
        <f t="shared" si="29"/>
        <v>38.131860663792573</v>
      </c>
      <c r="D116" s="16">
        <f t="shared" si="33"/>
        <v>0.71821683727355179</v>
      </c>
      <c r="E116" s="16">
        <f t="shared" si="30"/>
        <v>0</v>
      </c>
      <c r="F116" s="16">
        <f t="shared" si="31"/>
        <v>0</v>
      </c>
      <c r="G116" s="19">
        <f>IF('Peak Revenue'!$A$1="BL","-",SUM(C116:F116))</f>
        <v>38.850077501066124</v>
      </c>
      <c r="H116" s="197">
        <v>78.466188781639772</v>
      </c>
      <c r="I116" s="197">
        <v>74.5411955588133</v>
      </c>
      <c r="J116" s="197">
        <v>72.477129864013563</v>
      </c>
      <c r="K116" s="197">
        <v>67.838699095918727</v>
      </c>
      <c r="L116" s="197">
        <v>66.672458999432394</v>
      </c>
      <c r="M116" s="197">
        <v>66.091862802014688</v>
      </c>
      <c r="N116" s="197">
        <v>55.452125713392149</v>
      </c>
      <c r="O116" s="197">
        <v>46.456681054081976</v>
      </c>
      <c r="P116" s="197">
        <v>41.460889614135866</v>
      </c>
      <c r="Q116" s="197">
        <v>37.891978133030612</v>
      </c>
      <c r="R116" s="197">
        <v>37.530596431015894</v>
      </c>
      <c r="S116" s="197">
        <v>35.395494380176956</v>
      </c>
      <c r="T116" s="197">
        <v>34.482469852629833</v>
      </c>
      <c r="U116" s="197">
        <v>33.452493592961055</v>
      </c>
      <c r="V116" s="197">
        <v>33.189639030658576</v>
      </c>
      <c r="W116" s="197">
        <v>33.189639030658576</v>
      </c>
      <c r="X116" s="197">
        <v>33.189639030658576</v>
      </c>
      <c r="Y116" s="197">
        <v>33.189639030658576</v>
      </c>
      <c r="Z116" s="197">
        <v>33.189639030658576</v>
      </c>
      <c r="AA116" s="197">
        <v>32.549963533823814</v>
      </c>
      <c r="AB116" s="16">
        <f>AB115*(1+Assumptions!$L$13/12)</f>
        <v>0.71821683727355179</v>
      </c>
      <c r="AC116" s="16">
        <f t="shared" si="43"/>
        <v>0</v>
      </c>
      <c r="AD116" s="18">
        <f>AD115+(Assumptions!B$21-Assumptions!B$20)/12</f>
        <v>416.95256038225875</v>
      </c>
      <c r="AE116" s="18">
        <f>AE115+(Assumptions!C$21-Assumptions!C$20)/12</f>
        <v>1926.1558295033046</v>
      </c>
      <c r="AF116" s="5">
        <f>IF(Assumptions!D$20=1,0,1)</f>
        <v>1</v>
      </c>
      <c r="AG116" s="73">
        <f t="shared" si="44"/>
        <v>0</v>
      </c>
      <c r="AH116" s="16">
        <f>Assumptions!$E$20*Assumptions!H21</f>
        <v>3.3730846419188536</v>
      </c>
      <c r="AI116" s="16">
        <f>Assumptions!$F$20*Assumptions!I21</f>
        <v>3.1522696030132034</v>
      </c>
      <c r="AJ116" s="16">
        <f t="shared" si="45"/>
        <v>0</v>
      </c>
      <c r="AK116" s="16">
        <f t="shared" si="45"/>
        <v>0</v>
      </c>
      <c r="AL116" s="4"/>
    </row>
    <row r="117" spans="1:38" x14ac:dyDescent="0.2">
      <c r="A117" s="1">
        <f t="shared" si="34"/>
        <v>39764.202000000136</v>
      </c>
      <c r="B117" s="16">
        <f t="shared" si="32"/>
        <v>3.6936811599576527</v>
      </c>
      <c r="C117" s="17">
        <f t="shared" si="29"/>
        <v>41.756122445791057</v>
      </c>
      <c r="D117" s="16">
        <f t="shared" si="33"/>
        <v>0.71941386533567442</v>
      </c>
      <c r="E117" s="16">
        <f t="shared" si="30"/>
        <v>0</v>
      </c>
      <c r="F117" s="16">
        <f t="shared" si="31"/>
        <v>0</v>
      </c>
      <c r="G117" s="19">
        <f>IF('Peak Revenue'!$A$1="BL","-",SUM(C117:F117))</f>
        <v>42.475536311126731</v>
      </c>
      <c r="H117" s="197">
        <v>95.452520439207873</v>
      </c>
      <c r="I117" s="197">
        <v>88.505907562902593</v>
      </c>
      <c r="J117" s="197">
        <v>84.204355282374422</v>
      </c>
      <c r="K117" s="197">
        <v>79.0239314614264</v>
      </c>
      <c r="L117" s="197">
        <v>75.86517460578753</v>
      </c>
      <c r="M117" s="197">
        <v>75.4247680407112</v>
      </c>
      <c r="N117" s="197">
        <v>66.903984923682245</v>
      </c>
      <c r="O117" s="197">
        <v>52.293005355992619</v>
      </c>
      <c r="P117" s="197">
        <v>45.413413774099027</v>
      </c>
      <c r="Q117" s="197">
        <v>42.79475978975335</v>
      </c>
      <c r="R117" s="197">
        <v>41.338952567266375</v>
      </c>
      <c r="S117" s="197">
        <v>37.308227752318203</v>
      </c>
      <c r="T117" s="197">
        <v>36.656021066422625</v>
      </c>
      <c r="U117" s="197">
        <v>36.65578421384599</v>
      </c>
      <c r="V117" s="197">
        <v>36.65578421384599</v>
      </c>
      <c r="W117" s="197">
        <v>36.65578421384599</v>
      </c>
      <c r="X117" s="197">
        <v>36.402631037242656</v>
      </c>
      <c r="Y117" s="197">
        <v>34.40882363409203</v>
      </c>
      <c r="Z117" s="197">
        <v>33.546200594876716</v>
      </c>
      <c r="AA117" s="197">
        <v>31.024591379508252</v>
      </c>
      <c r="AB117" s="16">
        <f>AB116*(1+Assumptions!$L$13/12)</f>
        <v>0.71941386533567442</v>
      </c>
      <c r="AC117" s="16">
        <f t="shared" si="43"/>
        <v>0</v>
      </c>
      <c r="AD117" s="18">
        <f>AD116+(Assumptions!B$21-Assumptions!B$20)/12</f>
        <v>420.15931559126687</v>
      </c>
      <c r="AE117" s="18">
        <f>AE116+(Assumptions!C$21-Assumptions!C$20)/12</f>
        <v>1941.007541937767</v>
      </c>
      <c r="AF117" s="5">
        <f>IF(Assumptions!D$20=1,0,1)</f>
        <v>1</v>
      </c>
      <c r="AG117" s="73">
        <f t="shared" si="44"/>
        <v>0</v>
      </c>
      <c r="AH117" s="16">
        <f>Assumptions!$E$20*Assumptions!H22</f>
        <v>3.6936811599576527</v>
      </c>
      <c r="AI117" s="16">
        <f>Assumptions!$F$20*Assumptions!I22</f>
        <v>3.4177238853722103</v>
      </c>
      <c r="AJ117" s="16">
        <f t="shared" si="45"/>
        <v>0</v>
      </c>
      <c r="AK117" s="16">
        <f t="shared" si="45"/>
        <v>0</v>
      </c>
      <c r="AL117" s="4"/>
    </row>
    <row r="118" spans="1:38" x14ac:dyDescent="0.2">
      <c r="A118" s="1">
        <f t="shared" si="34"/>
        <v>39794.619000000137</v>
      </c>
      <c r="B118" s="16">
        <f t="shared" si="32"/>
        <v>3.9972246717177922</v>
      </c>
      <c r="C118" s="17">
        <f t="shared" si="29"/>
        <v>45.187604345768349</v>
      </c>
      <c r="D118" s="16">
        <f t="shared" si="33"/>
        <v>0.72061288844456728</v>
      </c>
      <c r="E118" s="16">
        <f t="shared" si="30"/>
        <v>0</v>
      </c>
      <c r="F118" s="16">
        <f t="shared" si="31"/>
        <v>0</v>
      </c>
      <c r="G118" s="19">
        <f>IF('Peak Revenue'!$A$1="BL","-",SUM(C118:F118))</f>
        <v>45.90821723421292</v>
      </c>
      <c r="H118" s="197">
        <v>178.84032718512307</v>
      </c>
      <c r="I118" s="197">
        <v>163.98016751813367</v>
      </c>
      <c r="J118" s="197">
        <v>155.54572056315411</v>
      </c>
      <c r="K118" s="197">
        <v>115.61875753763771</v>
      </c>
      <c r="L118" s="197">
        <v>87.717351639286221</v>
      </c>
      <c r="M118" s="197">
        <v>74.475681421420717</v>
      </c>
      <c r="N118" s="197">
        <v>67.484479518860212</v>
      </c>
      <c r="O118" s="197">
        <v>63.323634891758182</v>
      </c>
      <c r="P118" s="197">
        <v>60.16789294080862</v>
      </c>
      <c r="Q118" s="197">
        <v>60.047515327679399</v>
      </c>
      <c r="R118" s="197">
        <v>58.683951718603772</v>
      </c>
      <c r="S118" s="197">
        <v>47.981399017490638</v>
      </c>
      <c r="T118" s="197">
        <v>41.590345038153529</v>
      </c>
      <c r="U118" s="197">
        <v>34.869947616064685</v>
      </c>
      <c r="V118" s="197">
        <v>34.271961787800414</v>
      </c>
      <c r="W118" s="197">
        <v>31.810664974224249</v>
      </c>
      <c r="X118" s="197">
        <v>29.95021995014212</v>
      </c>
      <c r="Y118" s="197">
        <v>29.830134931145935</v>
      </c>
      <c r="Z118" s="197">
        <v>29.617757496980794</v>
      </c>
      <c r="AA118" s="197">
        <v>27.699303446768727</v>
      </c>
      <c r="AB118" s="16">
        <f>AB117*(1+Assumptions!$L$13/12)</f>
        <v>0.72061288844456728</v>
      </c>
      <c r="AC118" s="16">
        <f t="shared" si="43"/>
        <v>0</v>
      </c>
      <c r="AD118" s="18">
        <f>AD117+(Assumptions!B$21-Assumptions!B$20)/12</f>
        <v>423.366070800275</v>
      </c>
      <c r="AE118" s="18">
        <f>AE117+(Assumptions!C$21-Assumptions!C$20)/12</f>
        <v>1955.8592543722293</v>
      </c>
      <c r="AF118" s="5">
        <f>IF(Assumptions!D$20=1,0,1)</f>
        <v>1</v>
      </c>
      <c r="AG118" s="73">
        <f t="shared" si="44"/>
        <v>0</v>
      </c>
      <c r="AH118" s="16">
        <f>Assumptions!$E$20*Assumptions!H23</f>
        <v>3.9972246717177922</v>
      </c>
      <c r="AI118" s="16">
        <f>Assumptions!$F$20*Assumptions!I23</f>
        <v>3.5836328118465897</v>
      </c>
      <c r="AJ118" s="16">
        <f t="shared" si="45"/>
        <v>0</v>
      </c>
      <c r="AK118" s="16">
        <f t="shared" si="45"/>
        <v>0</v>
      </c>
      <c r="AL118" s="4"/>
    </row>
    <row r="119" spans="1:38" x14ac:dyDescent="0.2">
      <c r="A119" s="1">
        <f t="shared" si="34"/>
        <v>39825.036000000138</v>
      </c>
      <c r="B119" s="16">
        <f t="shared" si="32"/>
        <v>3.9883095962770021</v>
      </c>
      <c r="C119" s="17">
        <f t="shared" si="29"/>
        <v>45.086821694099697</v>
      </c>
      <c r="D119" s="16">
        <f t="shared" si="33"/>
        <v>0.72181390992530825</v>
      </c>
      <c r="E119" s="16">
        <f t="shared" si="30"/>
        <v>0</v>
      </c>
      <c r="F119" s="16">
        <f t="shared" si="31"/>
        <v>0</v>
      </c>
      <c r="G119" s="19">
        <f>IF('Peak Revenue'!$A$1="BL","-",SUM(C119:F119))</f>
        <v>45.808635604025007</v>
      </c>
      <c r="H119" s="197">
        <v>116.70897413266998</v>
      </c>
      <c r="I119" s="197">
        <v>105.59586960243038</v>
      </c>
      <c r="J119" s="197">
        <v>93.419336886432887</v>
      </c>
      <c r="K119" s="197">
        <v>86.892316862958381</v>
      </c>
      <c r="L119" s="197">
        <v>82.262763812343934</v>
      </c>
      <c r="M119" s="197">
        <v>76.721761679561794</v>
      </c>
      <c r="N119" s="197">
        <v>76.001297281516713</v>
      </c>
      <c r="O119" s="197">
        <v>70.437005280680353</v>
      </c>
      <c r="P119" s="197">
        <v>53.806516308452018</v>
      </c>
      <c r="Q119" s="197">
        <v>46.842980570692816</v>
      </c>
      <c r="R119" s="197">
        <v>43.027174814968511</v>
      </c>
      <c r="S119" s="197">
        <v>39.943765200845746</v>
      </c>
      <c r="T119" s="197">
        <v>37.457951574066513</v>
      </c>
      <c r="U119" s="197">
        <v>37.457951574066513</v>
      </c>
      <c r="V119" s="197">
        <v>37.457951574066513</v>
      </c>
      <c r="W119" s="197">
        <v>37.457951574066513</v>
      </c>
      <c r="X119" s="197">
        <v>35.803237642000433</v>
      </c>
      <c r="Y119" s="197">
        <v>33.103140508913341</v>
      </c>
      <c r="Z119" s="197">
        <v>32.294936378946787</v>
      </c>
      <c r="AA119" s="197">
        <v>29.724826639365244</v>
      </c>
      <c r="AB119" s="16">
        <f>AB118*(1+Assumptions!$L$13/12)</f>
        <v>0.72181390992530825</v>
      </c>
      <c r="AC119" s="16">
        <f>VLOOKUP($C$1,EnvVOM,12)</f>
        <v>0</v>
      </c>
      <c r="AD119" s="18">
        <f>Assumptions!B21</f>
        <v>429.77958121829101</v>
      </c>
      <c r="AE119" s="18">
        <f>Assumptions!C21</f>
        <v>1985.5626792411545</v>
      </c>
      <c r="AF119" s="5">
        <f>IF(Assumptions!D$21=1,0,1)</f>
        <v>1</v>
      </c>
      <c r="AG119" s="73">
        <f>VLOOKUP($C$1,Coal,12)</f>
        <v>0</v>
      </c>
      <c r="AH119" s="16">
        <f>Assumptions!$E$21*Assumptions!H12</f>
        <v>3.9883095962770021</v>
      </c>
      <c r="AI119" s="16">
        <f>Assumptions!$F$21*Assumptions!I12</f>
        <v>3.7142218467191683</v>
      </c>
      <c r="AJ119" s="16">
        <f>VLOOKUP($C$1,SO2Rate,12)</f>
        <v>0</v>
      </c>
      <c r="AK119" s="16">
        <f>VLOOKUP($C$1,NOxRate,12)</f>
        <v>0</v>
      </c>
      <c r="AL119" s="4"/>
    </row>
    <row r="120" spans="1:38" x14ac:dyDescent="0.2">
      <c r="A120" s="1">
        <f t="shared" si="34"/>
        <v>39855.45300000014</v>
      </c>
      <c r="B120" s="16">
        <f t="shared" si="32"/>
        <v>3.5746285477269937</v>
      </c>
      <c r="C120" s="17">
        <f t="shared" si="29"/>
        <v>40.410263060935087</v>
      </c>
      <c r="D120" s="16">
        <f t="shared" si="33"/>
        <v>0.72301693310851711</v>
      </c>
      <c r="E120" s="16">
        <f t="shared" si="30"/>
        <v>0</v>
      </c>
      <c r="F120" s="16">
        <f t="shared" si="31"/>
        <v>0</v>
      </c>
      <c r="G120" s="19">
        <f>IF('Peak Revenue'!$A$1="BL","-",SUM(C120:F120))</f>
        <v>41.133279994043605</v>
      </c>
      <c r="H120" s="197">
        <v>163.03336542398441</v>
      </c>
      <c r="I120" s="197">
        <v>153.0382035541341</v>
      </c>
      <c r="J120" s="197">
        <v>119.98118214244025</v>
      </c>
      <c r="K120" s="197">
        <v>88.355663471774378</v>
      </c>
      <c r="L120" s="197">
        <v>82.405601407210128</v>
      </c>
      <c r="M120" s="197">
        <v>77.609650846775281</v>
      </c>
      <c r="N120" s="197">
        <v>73.60646610545183</v>
      </c>
      <c r="O120" s="197">
        <v>72.356400062420192</v>
      </c>
      <c r="P120" s="197">
        <v>58.585914879369071</v>
      </c>
      <c r="Q120" s="197">
        <v>48.87248793428892</v>
      </c>
      <c r="R120" s="197">
        <v>41.5824099969591</v>
      </c>
      <c r="S120" s="197">
        <v>39.382019852526838</v>
      </c>
      <c r="T120" s="197">
        <v>36.104285504304812</v>
      </c>
      <c r="U120" s="197">
        <v>36.088134093517091</v>
      </c>
      <c r="V120" s="197">
        <v>35.53262442155313</v>
      </c>
      <c r="W120" s="197">
        <v>35.356008133677172</v>
      </c>
      <c r="X120" s="197">
        <v>33.80186716462849</v>
      </c>
      <c r="Y120" s="197">
        <v>33.079476144225296</v>
      </c>
      <c r="Z120" s="197">
        <v>32.214448679619878</v>
      </c>
      <c r="AA120" s="197">
        <v>29.444039654662543</v>
      </c>
      <c r="AB120" s="16">
        <f>AB119*(1+Assumptions!$L$13/12)</f>
        <v>0.72301693310851711</v>
      </c>
      <c r="AC120" s="16">
        <f>AC119</f>
        <v>0</v>
      </c>
      <c r="AD120" s="18">
        <f>AD119</f>
        <v>429.77958121829101</v>
      </c>
      <c r="AE120" s="18">
        <f>AE119</f>
        <v>1985.5626792411545</v>
      </c>
      <c r="AF120" s="5">
        <f>IF(Assumptions!D$21=1,0,1)</f>
        <v>1</v>
      </c>
      <c r="AG120" s="73">
        <f>AG119</f>
        <v>0</v>
      </c>
      <c r="AH120" s="16">
        <f>Assumptions!$E$21*Assumptions!H13</f>
        <v>3.5746285477269937</v>
      </c>
      <c r="AI120" s="16">
        <f>Assumptions!$F$21*Assumptions!I13</f>
        <v>3.6798309036939907</v>
      </c>
      <c r="AJ120" s="16">
        <f>AJ119</f>
        <v>0</v>
      </c>
      <c r="AK120" s="16">
        <f>AK119</f>
        <v>0</v>
      </c>
      <c r="AL120" s="4"/>
    </row>
    <row r="121" spans="1:38" x14ac:dyDescent="0.2">
      <c r="A121" s="1">
        <f t="shared" si="34"/>
        <v>39885.870000000141</v>
      </c>
      <c r="B121" s="16">
        <f t="shared" si="32"/>
        <v>3.5145210449462239</v>
      </c>
      <c r="C121" s="17">
        <f t="shared" si="29"/>
        <v>39.730763088594948</v>
      </c>
      <c r="D121" s="16">
        <f t="shared" si="33"/>
        <v>0.72422196133036465</v>
      </c>
      <c r="E121" s="16">
        <f t="shared" si="30"/>
        <v>0</v>
      </c>
      <c r="F121" s="16">
        <f t="shared" si="31"/>
        <v>0</v>
      </c>
      <c r="G121" s="19">
        <f>IF('Peak Revenue'!$A$1="BL","-",SUM(C121:F121))</f>
        <v>40.454985049925313</v>
      </c>
      <c r="H121" s="197">
        <v>98.219735272979392</v>
      </c>
      <c r="I121" s="197">
        <v>87.34964122781291</v>
      </c>
      <c r="J121" s="197">
        <v>84.157309127374418</v>
      </c>
      <c r="K121" s="197">
        <v>79.354534018198805</v>
      </c>
      <c r="L121" s="197">
        <v>73.845881544574382</v>
      </c>
      <c r="M121" s="197">
        <v>72.893047492920715</v>
      </c>
      <c r="N121" s="197">
        <v>70.365515101894601</v>
      </c>
      <c r="O121" s="197">
        <v>55.721875248697756</v>
      </c>
      <c r="P121" s="197">
        <v>49.671475258451309</v>
      </c>
      <c r="Q121" s="197">
        <v>43.015784684410207</v>
      </c>
      <c r="R121" s="197">
        <v>41.20962532955771</v>
      </c>
      <c r="S121" s="197">
        <v>40.864365927835884</v>
      </c>
      <c r="T121" s="197">
        <v>38.312484224602869</v>
      </c>
      <c r="U121" s="197">
        <v>36.206133455888519</v>
      </c>
      <c r="V121" s="197">
        <v>36.161738919444602</v>
      </c>
      <c r="W121" s="197">
        <v>35.686435655813099</v>
      </c>
      <c r="X121" s="197">
        <v>35.354369464135843</v>
      </c>
      <c r="Y121" s="197">
        <v>35.321215197470856</v>
      </c>
      <c r="Z121" s="197">
        <v>35.321171779494122</v>
      </c>
      <c r="AA121" s="197">
        <v>34.869472189256371</v>
      </c>
      <c r="AB121" s="16">
        <f>AB120*(1+Assumptions!$L$13/12)</f>
        <v>0.72422196133036465</v>
      </c>
      <c r="AC121" s="16">
        <f t="shared" ref="AC121:AC130" si="46">AC120</f>
        <v>0</v>
      </c>
      <c r="AD121" s="18">
        <f t="shared" ref="AD121:AE130" si="47">AD120</f>
        <v>429.77958121829101</v>
      </c>
      <c r="AE121" s="18">
        <f t="shared" si="47"/>
        <v>1985.5626792411545</v>
      </c>
      <c r="AF121" s="5">
        <f>IF(Assumptions!D$21=1,0,1)</f>
        <v>1</v>
      </c>
      <c r="AG121" s="73">
        <f t="shared" ref="AG121:AG130" si="48">AG120</f>
        <v>0</v>
      </c>
      <c r="AH121" s="16">
        <f>Assumptions!$E$21*Assumptions!H14</f>
        <v>3.5145210449462239</v>
      </c>
      <c r="AI121" s="16">
        <f>Assumptions!$F$21*Assumptions!I14</f>
        <v>3.5422671315932805</v>
      </c>
      <c r="AJ121" s="16">
        <f t="shared" ref="AJ121:AK130" si="49">AJ120</f>
        <v>0</v>
      </c>
      <c r="AK121" s="16">
        <f t="shared" si="49"/>
        <v>0</v>
      </c>
      <c r="AL121" s="4"/>
    </row>
    <row r="122" spans="1:38" x14ac:dyDescent="0.2">
      <c r="A122" s="1">
        <f t="shared" si="34"/>
        <v>39916.287000000142</v>
      </c>
      <c r="B122" s="16">
        <f t="shared" si="32"/>
        <v>3.3412700075192969</v>
      </c>
      <c r="C122" s="17">
        <f t="shared" si="29"/>
        <v>37.772204344790957</v>
      </c>
      <c r="D122" s="16">
        <f t="shared" si="33"/>
        <v>0.72542899793258198</v>
      </c>
      <c r="E122" s="16">
        <f t="shared" si="30"/>
        <v>0</v>
      </c>
      <c r="F122" s="16">
        <f t="shared" si="31"/>
        <v>0</v>
      </c>
      <c r="G122" s="19">
        <f>IF('Peak Revenue'!$A$1="BL","-",SUM(C122:F122))</f>
        <v>38.497633342723539</v>
      </c>
      <c r="H122" s="197">
        <v>79.601683098347081</v>
      </c>
      <c r="I122" s="197">
        <v>76.864302332627375</v>
      </c>
      <c r="J122" s="197">
        <v>72.993322289361274</v>
      </c>
      <c r="K122" s="197">
        <v>69.863993520475461</v>
      </c>
      <c r="L122" s="197">
        <v>69.710958805533892</v>
      </c>
      <c r="M122" s="197">
        <v>63.362111962930612</v>
      </c>
      <c r="N122" s="197">
        <v>48.46547750263359</v>
      </c>
      <c r="O122" s="197">
        <v>44.4232919344186</v>
      </c>
      <c r="P122" s="197">
        <v>40.088163194562661</v>
      </c>
      <c r="Q122" s="197">
        <v>39.550925722637935</v>
      </c>
      <c r="R122" s="197">
        <v>38.500383541731239</v>
      </c>
      <c r="S122" s="197">
        <v>36.249561302420915</v>
      </c>
      <c r="T122" s="197">
        <v>35.256060586880821</v>
      </c>
      <c r="U122" s="197">
        <v>34.795153091865657</v>
      </c>
      <c r="V122" s="197">
        <v>34.757772843707855</v>
      </c>
      <c r="W122" s="197">
        <v>34.284895032990981</v>
      </c>
      <c r="X122" s="197">
        <v>33.931989195015532</v>
      </c>
      <c r="Y122" s="197">
        <v>33.931819287734129</v>
      </c>
      <c r="Z122" s="197">
        <v>33.931764861913244</v>
      </c>
      <c r="AA122" s="197">
        <v>33.558151962231818</v>
      </c>
      <c r="AB122" s="16">
        <f>AB121*(1+Assumptions!$L$13/12)</f>
        <v>0.72542899793258198</v>
      </c>
      <c r="AC122" s="16">
        <f t="shared" si="46"/>
        <v>0</v>
      </c>
      <c r="AD122" s="18">
        <f t="shared" si="47"/>
        <v>429.77958121829101</v>
      </c>
      <c r="AE122" s="18">
        <f t="shared" si="47"/>
        <v>1985.5626792411545</v>
      </c>
      <c r="AF122" s="5">
        <f>IF(Assumptions!D$21=1,0,1)</f>
        <v>1</v>
      </c>
      <c r="AG122" s="73">
        <f t="shared" si="48"/>
        <v>0</v>
      </c>
      <c r="AH122" s="16">
        <f>Assumptions!$E$21*Assumptions!H15</f>
        <v>3.3412700075192969</v>
      </c>
      <c r="AI122" s="16">
        <f>Assumptions!$F$21*Assumptions!I15</f>
        <v>3.4047033594925704</v>
      </c>
      <c r="AJ122" s="16">
        <f t="shared" si="49"/>
        <v>0</v>
      </c>
      <c r="AK122" s="16">
        <f t="shared" si="49"/>
        <v>0</v>
      </c>
      <c r="AL122" s="4"/>
    </row>
    <row r="123" spans="1:38" x14ac:dyDescent="0.2">
      <c r="A123" s="1">
        <f t="shared" si="34"/>
        <v>39946.704000000143</v>
      </c>
      <c r="B123" s="16">
        <f t="shared" si="32"/>
        <v>3.5180567804039162</v>
      </c>
      <c r="C123" s="17">
        <f t="shared" si="29"/>
        <v>39.770733675203189</v>
      </c>
      <c r="D123" s="16">
        <f t="shared" si="33"/>
        <v>0.72663804626246964</v>
      </c>
      <c r="E123" s="16">
        <f t="shared" si="30"/>
        <v>0</v>
      </c>
      <c r="F123" s="16">
        <f t="shared" si="31"/>
        <v>0</v>
      </c>
      <c r="G123" s="19">
        <f>IF('Peak Revenue'!$A$1="BL","-",SUM(C123:F123))</f>
        <v>40.497371721465662</v>
      </c>
      <c r="H123" s="197">
        <v>109.9655446951884</v>
      </c>
      <c r="I123" s="197">
        <v>85.043855257364527</v>
      </c>
      <c r="J123" s="197">
        <v>77.020619522490009</v>
      </c>
      <c r="K123" s="197">
        <v>71.531403120857448</v>
      </c>
      <c r="L123" s="197">
        <v>70.350873172778037</v>
      </c>
      <c r="M123" s="197">
        <v>58.670809338675745</v>
      </c>
      <c r="N123" s="197">
        <v>48.651429701004659</v>
      </c>
      <c r="O123" s="197">
        <v>44.678942817185622</v>
      </c>
      <c r="P123" s="197">
        <v>40.805333142606599</v>
      </c>
      <c r="Q123" s="197">
        <v>35.213399176863717</v>
      </c>
      <c r="R123" s="197">
        <v>34.888553465204964</v>
      </c>
      <c r="S123" s="197">
        <v>34.55156523020235</v>
      </c>
      <c r="T123" s="197">
        <v>34.058953588325025</v>
      </c>
      <c r="U123" s="197">
        <v>34.058953588325025</v>
      </c>
      <c r="V123" s="197">
        <v>34.058953588325025</v>
      </c>
      <c r="W123" s="197">
        <v>34.058873740966767</v>
      </c>
      <c r="X123" s="197">
        <v>34.058644121191278</v>
      </c>
      <c r="Y123" s="197">
        <v>33.590519802173745</v>
      </c>
      <c r="Z123" s="197">
        <v>32.130376982334951</v>
      </c>
      <c r="AA123" s="197">
        <v>29.977894944158521</v>
      </c>
      <c r="AB123" s="16">
        <f>AB122*(1+Assumptions!$L$13/12)</f>
        <v>0.72663804626246964</v>
      </c>
      <c r="AC123" s="16">
        <f t="shared" si="46"/>
        <v>0</v>
      </c>
      <c r="AD123" s="18">
        <f t="shared" si="47"/>
        <v>429.77958121829101</v>
      </c>
      <c r="AE123" s="18">
        <f t="shared" si="47"/>
        <v>1985.5626792411545</v>
      </c>
      <c r="AF123" s="5">
        <v>1</v>
      </c>
      <c r="AG123" s="73">
        <f t="shared" si="48"/>
        <v>0</v>
      </c>
      <c r="AH123" s="16">
        <f>Assumptions!$E$21*Assumptions!H16</f>
        <v>3.5180567804039162</v>
      </c>
      <c r="AI123" s="16">
        <f>Assumptions!$F$21*Assumptions!I16</f>
        <v>3.2671395873918607</v>
      </c>
      <c r="AJ123" s="16">
        <f t="shared" si="49"/>
        <v>0</v>
      </c>
      <c r="AK123" s="16">
        <f t="shared" si="49"/>
        <v>0</v>
      </c>
      <c r="AL123" s="4"/>
    </row>
    <row r="124" spans="1:38" x14ac:dyDescent="0.2">
      <c r="A124" s="1">
        <f t="shared" si="34"/>
        <v>39977.121000000145</v>
      </c>
      <c r="B124" s="16">
        <f t="shared" si="32"/>
        <v>3.351877213892374</v>
      </c>
      <c r="C124" s="17">
        <f t="shared" si="29"/>
        <v>37.892116104615695</v>
      </c>
      <c r="D124" s="16">
        <f t="shared" si="33"/>
        <v>0.72784910967290717</v>
      </c>
      <c r="E124" s="16">
        <f t="shared" si="30"/>
        <v>0</v>
      </c>
      <c r="F124" s="16">
        <f t="shared" si="31"/>
        <v>0</v>
      </c>
      <c r="G124" s="19">
        <f>IF('Peak Revenue'!$A$1="BL","-",SUM(C124:F124))</f>
        <v>38.619965214288605</v>
      </c>
      <c r="H124" s="197">
        <v>204.55552934128602</v>
      </c>
      <c r="I124" s="197">
        <v>174.68480307080935</v>
      </c>
      <c r="J124" s="197">
        <v>157.33845446359339</v>
      </c>
      <c r="K124" s="197">
        <v>127.7994732809312</v>
      </c>
      <c r="L124" s="197">
        <v>78.212615172092853</v>
      </c>
      <c r="M124" s="197">
        <v>65.021474696299933</v>
      </c>
      <c r="N124" s="197">
        <v>60.687219678749258</v>
      </c>
      <c r="O124" s="197">
        <v>52.288033035421471</v>
      </c>
      <c r="P124" s="197">
        <v>42.489583549029319</v>
      </c>
      <c r="Q124" s="197">
        <v>38.906785981198944</v>
      </c>
      <c r="R124" s="197">
        <v>35.773871629173108</v>
      </c>
      <c r="S124" s="197">
        <v>34.780095005251795</v>
      </c>
      <c r="T124" s="197">
        <v>34.59979283395905</v>
      </c>
      <c r="U124" s="197">
        <v>33.682233619685569</v>
      </c>
      <c r="V124" s="197">
        <v>32.377746374624778</v>
      </c>
      <c r="W124" s="197">
        <v>31.382761039770521</v>
      </c>
      <c r="X124" s="197">
        <v>30.797326018173742</v>
      </c>
      <c r="Y124" s="197">
        <v>30.625912669057008</v>
      </c>
      <c r="Z124" s="197">
        <v>30.128405121585335</v>
      </c>
      <c r="AA124" s="197">
        <v>29.956098317304992</v>
      </c>
      <c r="AB124" s="16">
        <f>AB123*(1+Assumptions!$L$13/12)</f>
        <v>0.72784910967290717</v>
      </c>
      <c r="AC124" s="16">
        <f t="shared" si="46"/>
        <v>0</v>
      </c>
      <c r="AD124" s="18">
        <f t="shared" si="47"/>
        <v>429.77958121829101</v>
      </c>
      <c r="AE124" s="18">
        <f t="shared" si="47"/>
        <v>1985.5626792411545</v>
      </c>
      <c r="AF124" s="5">
        <v>1</v>
      </c>
      <c r="AG124" s="73">
        <f t="shared" si="48"/>
        <v>0</v>
      </c>
      <c r="AH124" s="16">
        <f>Assumptions!$E$21*Assumptions!H17</f>
        <v>3.351877213892374</v>
      </c>
      <c r="AI124" s="16">
        <f>Assumptions!$F$21*Assumptions!I17</f>
        <v>3.2671395873918607</v>
      </c>
      <c r="AJ124" s="16">
        <f t="shared" si="49"/>
        <v>0</v>
      </c>
      <c r="AK124" s="16">
        <f t="shared" si="49"/>
        <v>0</v>
      </c>
      <c r="AL124" s="4"/>
    </row>
    <row r="125" spans="1:38" x14ac:dyDescent="0.2">
      <c r="A125" s="1">
        <f t="shared" si="34"/>
        <v>40007.538000000146</v>
      </c>
      <c r="B125" s="16">
        <f t="shared" si="32"/>
        <v>3.3412700075192969</v>
      </c>
      <c r="C125" s="17">
        <f t="shared" si="29"/>
        <v>37.772204344790957</v>
      </c>
      <c r="D125" s="16">
        <f t="shared" si="33"/>
        <v>0.72906219152236207</v>
      </c>
      <c r="E125" s="16">
        <f t="shared" si="30"/>
        <v>0</v>
      </c>
      <c r="F125" s="16">
        <f t="shared" si="31"/>
        <v>0</v>
      </c>
      <c r="G125" s="19">
        <f>IF('Peak Revenue'!$A$1="BL","-",SUM(C125:F125))</f>
        <v>38.501266536313317</v>
      </c>
      <c r="H125" s="197">
        <v>320.91882413804831</v>
      </c>
      <c r="I125" s="197">
        <v>266.07431960818349</v>
      </c>
      <c r="J125" s="197">
        <v>228.67349202340529</v>
      </c>
      <c r="K125" s="197">
        <v>189.8456761943815</v>
      </c>
      <c r="L125" s="197">
        <v>162.31228792263886</v>
      </c>
      <c r="M125" s="197">
        <v>134.20604117414456</v>
      </c>
      <c r="N125" s="197">
        <v>74.217236301205148</v>
      </c>
      <c r="O125" s="197">
        <v>64.104110591915955</v>
      </c>
      <c r="P125" s="197">
        <v>61.359504663729034</v>
      </c>
      <c r="Q125" s="197">
        <v>53.002762566127487</v>
      </c>
      <c r="R125" s="197">
        <v>40.443845936394574</v>
      </c>
      <c r="S125" s="197">
        <v>35.074291451887817</v>
      </c>
      <c r="T125" s="197">
        <v>32.4125640754553</v>
      </c>
      <c r="U125" s="197">
        <v>30.638357223924061</v>
      </c>
      <c r="V125" s="197">
        <v>30.469346742220154</v>
      </c>
      <c r="W125" s="197">
        <v>30.469136684727882</v>
      </c>
      <c r="X125" s="197">
        <v>30.469136684727882</v>
      </c>
      <c r="Y125" s="197">
        <v>30.305713950258646</v>
      </c>
      <c r="Z125" s="197">
        <v>29.087398331959697</v>
      </c>
      <c r="AA125" s="197">
        <v>26.150768867052559</v>
      </c>
      <c r="AB125" s="16">
        <f>AB124*(1+Assumptions!$L$13/12)</f>
        <v>0.72906219152236207</v>
      </c>
      <c r="AC125" s="16">
        <f t="shared" si="46"/>
        <v>0</v>
      </c>
      <c r="AD125" s="18">
        <f t="shared" si="47"/>
        <v>429.77958121829101</v>
      </c>
      <c r="AE125" s="18">
        <f t="shared" si="47"/>
        <v>1985.5626792411545</v>
      </c>
      <c r="AF125" s="5">
        <v>1</v>
      </c>
      <c r="AG125" s="73">
        <f t="shared" si="48"/>
        <v>0</v>
      </c>
      <c r="AH125" s="16">
        <f>Assumptions!$E$21*Assumptions!H18</f>
        <v>3.3412700075192969</v>
      </c>
      <c r="AI125" s="16">
        <f>Assumptions!$F$21*Assumptions!I18</f>
        <v>3.2671395873918607</v>
      </c>
      <c r="AJ125" s="16">
        <f t="shared" si="49"/>
        <v>0</v>
      </c>
      <c r="AK125" s="16">
        <f t="shared" si="49"/>
        <v>0</v>
      </c>
      <c r="AL125" s="4"/>
    </row>
    <row r="126" spans="1:38" x14ac:dyDescent="0.2">
      <c r="A126" s="1">
        <f t="shared" si="34"/>
        <v>40037.955000000147</v>
      </c>
      <c r="B126" s="16">
        <f t="shared" si="32"/>
        <v>3.1680189700923709</v>
      </c>
      <c r="C126" s="17">
        <f t="shared" si="29"/>
        <v>35.813645600986995</v>
      </c>
      <c r="D126" s="16">
        <f t="shared" si="33"/>
        <v>0.73027729517489937</v>
      </c>
      <c r="E126" s="16">
        <f t="shared" si="30"/>
        <v>0</v>
      </c>
      <c r="F126" s="16">
        <f t="shared" si="31"/>
        <v>0</v>
      </c>
      <c r="G126" s="19">
        <f>IF('Peak Revenue'!$A$1="BL","-",SUM(C126:F126))</f>
        <v>36.543922896161895</v>
      </c>
      <c r="H126" s="197">
        <v>366.55177477345711</v>
      </c>
      <c r="I126" s="197">
        <v>275.82732954256664</v>
      </c>
      <c r="J126" s="197">
        <v>230.09653549221389</v>
      </c>
      <c r="K126" s="197">
        <v>183.70758145431637</v>
      </c>
      <c r="L126" s="197">
        <v>155.08858957196722</v>
      </c>
      <c r="M126" s="197">
        <v>108.06740335137411</v>
      </c>
      <c r="N126" s="197">
        <v>81.10365874674045</v>
      </c>
      <c r="O126" s="197">
        <v>75.12529576239271</v>
      </c>
      <c r="P126" s="197">
        <v>57.523973328381672</v>
      </c>
      <c r="Q126" s="197">
        <v>43.741149734759411</v>
      </c>
      <c r="R126" s="197">
        <v>40.73380180631473</v>
      </c>
      <c r="S126" s="197">
        <v>37.936916265675642</v>
      </c>
      <c r="T126" s="197">
        <v>36.633781572768982</v>
      </c>
      <c r="U126" s="197">
        <v>36.633671236702952</v>
      </c>
      <c r="V126" s="197">
        <v>36.633567303298292</v>
      </c>
      <c r="W126" s="197">
        <v>36.633431543321656</v>
      </c>
      <c r="X126" s="197">
        <v>36.588712420033545</v>
      </c>
      <c r="Y126" s="197">
        <v>35.077914571419718</v>
      </c>
      <c r="Z126" s="197">
        <v>33.622360309193432</v>
      </c>
      <c r="AA126" s="197">
        <v>30.028373721027485</v>
      </c>
      <c r="AB126" s="16">
        <f>AB125*(1+Assumptions!$L$13/12)</f>
        <v>0.73027729517489937</v>
      </c>
      <c r="AC126" s="16">
        <f t="shared" si="46"/>
        <v>0</v>
      </c>
      <c r="AD126" s="18">
        <f t="shared" si="47"/>
        <v>429.77958121829101</v>
      </c>
      <c r="AE126" s="18">
        <f t="shared" si="47"/>
        <v>1985.5626792411545</v>
      </c>
      <c r="AF126" s="5">
        <v>1</v>
      </c>
      <c r="AG126" s="73">
        <f t="shared" si="48"/>
        <v>0</v>
      </c>
      <c r="AH126" s="16">
        <f>Assumptions!$E$21*Assumptions!H19</f>
        <v>3.1680189700923709</v>
      </c>
      <c r="AI126" s="16">
        <f>Assumptions!$F$21*Assumptions!I19</f>
        <v>3.2671395873918607</v>
      </c>
      <c r="AJ126" s="16">
        <f t="shared" si="49"/>
        <v>0</v>
      </c>
      <c r="AK126" s="16">
        <f t="shared" si="49"/>
        <v>0</v>
      </c>
      <c r="AL126" s="4"/>
    </row>
    <row r="127" spans="1:38" x14ac:dyDescent="0.2">
      <c r="A127" s="1">
        <f t="shared" si="34"/>
        <v>40068.372000000149</v>
      </c>
      <c r="B127" s="16">
        <f t="shared" si="32"/>
        <v>3.1574117637192938</v>
      </c>
      <c r="C127" s="17">
        <f t="shared" si="29"/>
        <v>35.693733841162263</v>
      </c>
      <c r="D127" s="16">
        <f t="shared" si="33"/>
        <v>0.73149442400019093</v>
      </c>
      <c r="E127" s="16">
        <f t="shared" si="30"/>
        <v>0</v>
      </c>
      <c r="F127" s="16">
        <f t="shared" si="31"/>
        <v>0</v>
      </c>
      <c r="G127" s="19">
        <f>IF('Peak Revenue'!$A$1="BL","-",SUM(C127:F127))</f>
        <v>36.425228265162453</v>
      </c>
      <c r="H127" s="197">
        <v>199.22425601418007</v>
      </c>
      <c r="I127" s="197">
        <v>175.83435350510746</v>
      </c>
      <c r="J127" s="197">
        <v>162.3024291609712</v>
      </c>
      <c r="K127" s="197">
        <v>135.70259564538887</v>
      </c>
      <c r="L127" s="197">
        <v>68.811888384116088</v>
      </c>
      <c r="M127" s="197">
        <v>61.450304925870149</v>
      </c>
      <c r="N127" s="197">
        <v>57.935194318959944</v>
      </c>
      <c r="O127" s="197">
        <v>48.854739262081402</v>
      </c>
      <c r="P127" s="197">
        <v>37.354916478388631</v>
      </c>
      <c r="Q127" s="197">
        <v>33.067347421395105</v>
      </c>
      <c r="R127" s="197">
        <v>30.089013701491517</v>
      </c>
      <c r="S127" s="197">
        <v>29.885361401224035</v>
      </c>
      <c r="T127" s="197">
        <v>29.806167444772225</v>
      </c>
      <c r="U127" s="197">
        <v>29.660077173704813</v>
      </c>
      <c r="V127" s="197">
        <v>29.660077173704813</v>
      </c>
      <c r="W127" s="197">
        <v>29.660077173704813</v>
      </c>
      <c r="X127" s="197">
        <v>29.403355268114495</v>
      </c>
      <c r="Y127" s="197">
        <v>29.055948175263861</v>
      </c>
      <c r="Z127" s="197">
        <v>28.982575925723481</v>
      </c>
      <c r="AA127" s="197">
        <v>26.691188416569315</v>
      </c>
      <c r="AB127" s="16">
        <f>AB126*(1+Assumptions!$L$13/12)</f>
        <v>0.73149442400019093</v>
      </c>
      <c r="AC127" s="16">
        <f t="shared" si="46"/>
        <v>0</v>
      </c>
      <c r="AD127" s="18">
        <f t="shared" si="47"/>
        <v>429.77958121829101</v>
      </c>
      <c r="AE127" s="18">
        <f t="shared" si="47"/>
        <v>1985.5626792411545</v>
      </c>
      <c r="AF127" s="5">
        <v>1</v>
      </c>
      <c r="AG127" s="73">
        <f t="shared" si="48"/>
        <v>0</v>
      </c>
      <c r="AH127" s="16">
        <f>Assumptions!$E$21*Assumptions!H20</f>
        <v>3.1574117637192938</v>
      </c>
      <c r="AI127" s="16">
        <f>Assumptions!$F$21*Assumptions!I20</f>
        <v>3.2671395873918607</v>
      </c>
      <c r="AJ127" s="16">
        <f t="shared" si="49"/>
        <v>0</v>
      </c>
      <c r="AK127" s="16">
        <f t="shared" si="49"/>
        <v>0</v>
      </c>
      <c r="AL127" s="4"/>
    </row>
    <row r="128" spans="1:38" x14ac:dyDescent="0.2">
      <c r="A128" s="1">
        <f t="shared" si="34"/>
        <v>40098.78900000015</v>
      </c>
      <c r="B128" s="16">
        <f t="shared" si="32"/>
        <v>3.496842367657762</v>
      </c>
      <c r="C128" s="17">
        <f t="shared" si="29"/>
        <v>39.53091015555372</v>
      </c>
      <c r="D128" s="16">
        <f t="shared" si="33"/>
        <v>0.7327135813735246</v>
      </c>
      <c r="E128" s="16">
        <f t="shared" si="30"/>
        <v>0</v>
      </c>
      <c r="F128" s="16">
        <f t="shared" si="31"/>
        <v>0</v>
      </c>
      <c r="G128" s="19">
        <f>IF('Peak Revenue'!$A$1="BL","-",SUM(C128:F128))</f>
        <v>40.263623736927244</v>
      </c>
      <c r="H128" s="197">
        <v>80.044024916583325</v>
      </c>
      <c r="I128" s="197">
        <v>79.179599816456346</v>
      </c>
      <c r="J128" s="197">
        <v>79.179599816456346</v>
      </c>
      <c r="K128" s="197">
        <v>78.487608541609035</v>
      </c>
      <c r="L128" s="197">
        <v>73.787205828113954</v>
      </c>
      <c r="M128" s="197">
        <v>56.597526596564855</v>
      </c>
      <c r="N128" s="197">
        <v>47.833448480856717</v>
      </c>
      <c r="O128" s="197">
        <v>44.562453235443385</v>
      </c>
      <c r="P128" s="197">
        <v>41.973367594956493</v>
      </c>
      <c r="Q128" s="197">
        <v>39.357160740394413</v>
      </c>
      <c r="R128" s="197">
        <v>39.357160740394413</v>
      </c>
      <c r="S128" s="197">
        <v>39.167925451596716</v>
      </c>
      <c r="T128" s="197">
        <v>39.040989238260401</v>
      </c>
      <c r="U128" s="197">
        <v>39.040989238260401</v>
      </c>
      <c r="V128" s="197">
        <v>38.943872157086787</v>
      </c>
      <c r="W128" s="197">
        <v>36.121063848197046</v>
      </c>
      <c r="X128" s="197">
        <v>34.118049008563091</v>
      </c>
      <c r="Y128" s="197">
        <v>32.679436327500646</v>
      </c>
      <c r="Z128" s="197">
        <v>31.565956147977897</v>
      </c>
      <c r="AA128" s="197">
        <v>29.687707366350757</v>
      </c>
      <c r="AB128" s="16">
        <f>AB127*(1+Assumptions!$L$13/12)</f>
        <v>0.7327135813735246</v>
      </c>
      <c r="AC128" s="16">
        <f t="shared" si="46"/>
        <v>0</v>
      </c>
      <c r="AD128" s="18">
        <f t="shared" si="47"/>
        <v>429.77958121829101</v>
      </c>
      <c r="AE128" s="18">
        <f t="shared" si="47"/>
        <v>1985.5626792411545</v>
      </c>
      <c r="AF128" s="5">
        <f>IF(Assumptions!D$21=1,0,1)</f>
        <v>1</v>
      </c>
      <c r="AG128" s="73">
        <f t="shared" si="48"/>
        <v>0</v>
      </c>
      <c r="AH128" s="16">
        <f>Assumptions!$E$21*Assumptions!H21</f>
        <v>3.496842367657762</v>
      </c>
      <c r="AI128" s="16">
        <f>Assumptions!$F$21*Assumptions!I21</f>
        <v>3.2671395873918607</v>
      </c>
      <c r="AJ128" s="16">
        <f t="shared" si="49"/>
        <v>0</v>
      </c>
      <c r="AK128" s="16">
        <f t="shared" si="49"/>
        <v>0</v>
      </c>
      <c r="AL128" s="4"/>
    </row>
    <row r="129" spans="1:38" x14ac:dyDescent="0.2">
      <c r="A129" s="1">
        <f t="shared" si="34"/>
        <v>40129.206000000151</v>
      </c>
      <c r="B129" s="16">
        <f t="shared" si="32"/>
        <v>3.8292015006808455</v>
      </c>
      <c r="C129" s="17">
        <f t="shared" si="29"/>
        <v>43.2881452967287</v>
      </c>
      <c r="D129" s="16">
        <f t="shared" si="33"/>
        <v>0.73393477067581381</v>
      </c>
      <c r="E129" s="16">
        <f t="shared" si="30"/>
        <v>0</v>
      </c>
      <c r="F129" s="16">
        <f t="shared" si="31"/>
        <v>0</v>
      </c>
      <c r="G129" s="19">
        <f>IF('Peak Revenue'!$A$1="BL","-",SUM(C129:F129))</f>
        <v>44.022080067404517</v>
      </c>
      <c r="H129" s="197">
        <v>152.40276768370271</v>
      </c>
      <c r="I129" s="197">
        <v>141.02822575534111</v>
      </c>
      <c r="J129" s="197">
        <v>115.45103788802638</v>
      </c>
      <c r="K129" s="197">
        <v>83.11075752374046</v>
      </c>
      <c r="L129" s="197">
        <v>74.910772695576767</v>
      </c>
      <c r="M129" s="197">
        <v>71.911687240243296</v>
      </c>
      <c r="N129" s="197">
        <v>66.674520371381746</v>
      </c>
      <c r="O129" s="197">
        <v>51.187493929473661</v>
      </c>
      <c r="P129" s="197">
        <v>50.851036436655441</v>
      </c>
      <c r="Q129" s="197">
        <v>49.837556517553388</v>
      </c>
      <c r="R129" s="197">
        <v>41.561921882879027</v>
      </c>
      <c r="S129" s="197">
        <v>40.237744878569849</v>
      </c>
      <c r="T129" s="197">
        <v>35.900520007424035</v>
      </c>
      <c r="U129" s="197">
        <v>35.559732280851932</v>
      </c>
      <c r="V129" s="197">
        <v>35.405628549890878</v>
      </c>
      <c r="W129" s="197">
        <v>35.405628549890878</v>
      </c>
      <c r="X129" s="197">
        <v>35.405628549890878</v>
      </c>
      <c r="Y129" s="197">
        <v>35.051034880842671</v>
      </c>
      <c r="Z129" s="197">
        <v>33.078483015312507</v>
      </c>
      <c r="AA129" s="197">
        <v>27.682570440661411</v>
      </c>
      <c r="AB129" s="16">
        <f>AB128*(1+Assumptions!$L$13/12)</f>
        <v>0.73393477067581381</v>
      </c>
      <c r="AC129" s="16">
        <f t="shared" si="46"/>
        <v>0</v>
      </c>
      <c r="AD129" s="18">
        <f t="shared" si="47"/>
        <v>429.77958121829101</v>
      </c>
      <c r="AE129" s="18">
        <f t="shared" si="47"/>
        <v>1985.5626792411545</v>
      </c>
      <c r="AF129" s="5">
        <f>IF(Assumptions!D$21=1,0,1)</f>
        <v>1</v>
      </c>
      <c r="AG129" s="73">
        <f t="shared" si="48"/>
        <v>0</v>
      </c>
      <c r="AH129" s="16">
        <f>Assumptions!$E$21*Assumptions!H22</f>
        <v>3.8292015006808455</v>
      </c>
      <c r="AI129" s="16">
        <f>Assumptions!$F$21*Assumptions!I22</f>
        <v>3.5422671315932805</v>
      </c>
      <c r="AJ129" s="16">
        <f t="shared" si="49"/>
        <v>0</v>
      </c>
      <c r="AK129" s="16">
        <f t="shared" si="49"/>
        <v>0</v>
      </c>
      <c r="AL129" s="4"/>
    </row>
    <row r="130" spans="1:38" x14ac:dyDescent="0.2">
      <c r="A130" s="1">
        <f t="shared" si="34"/>
        <v>40159.623000000152</v>
      </c>
      <c r="B130" s="16">
        <f t="shared" si="32"/>
        <v>4.1438819564154672</v>
      </c>
      <c r="C130" s="17">
        <f t="shared" si="29"/>
        <v>46.845527504862446</v>
      </c>
      <c r="D130" s="16">
        <f t="shared" si="33"/>
        <v>0.73515799529360681</v>
      </c>
      <c r="E130" s="16">
        <f t="shared" si="30"/>
        <v>0</v>
      </c>
      <c r="F130" s="16">
        <f t="shared" si="31"/>
        <v>0</v>
      </c>
      <c r="G130" s="19">
        <f>IF('Peak Revenue'!$A$1="BL","-",SUM(C130:F130))</f>
        <v>47.580685500156051</v>
      </c>
      <c r="H130" s="197">
        <v>150.57291016872446</v>
      </c>
      <c r="I130" s="197">
        <v>124.23013155137332</v>
      </c>
      <c r="J130" s="197">
        <v>94.518999620200177</v>
      </c>
      <c r="K130" s="197">
        <v>87.800493982593323</v>
      </c>
      <c r="L130" s="197">
        <v>83.402796377980252</v>
      </c>
      <c r="M130" s="197">
        <v>78.102731968532254</v>
      </c>
      <c r="N130" s="197">
        <v>77.557856415480487</v>
      </c>
      <c r="O130" s="197">
        <v>73.770031394250211</v>
      </c>
      <c r="P130" s="197">
        <v>57.568422787227043</v>
      </c>
      <c r="Q130" s="197">
        <v>51.454408811851444</v>
      </c>
      <c r="R130" s="197">
        <v>43.801703066117184</v>
      </c>
      <c r="S130" s="197">
        <v>43.010463526273355</v>
      </c>
      <c r="T130" s="197">
        <v>38.508740509115604</v>
      </c>
      <c r="U130" s="197">
        <v>38.433347265811996</v>
      </c>
      <c r="V130" s="197">
        <v>38.433347265811996</v>
      </c>
      <c r="W130" s="197">
        <v>38.433347265811996</v>
      </c>
      <c r="X130" s="197">
        <v>37.8472983559423</v>
      </c>
      <c r="Y130" s="197">
        <v>36.199761299538103</v>
      </c>
      <c r="Z130" s="197">
        <v>33.561223662027729</v>
      </c>
      <c r="AA130" s="197">
        <v>30.685305016021491</v>
      </c>
      <c r="AB130" s="16">
        <f>AB129*(1+Assumptions!$L$13/12)</f>
        <v>0.73515799529360681</v>
      </c>
      <c r="AC130" s="16">
        <f t="shared" si="46"/>
        <v>0</v>
      </c>
      <c r="AD130" s="18">
        <f t="shared" si="47"/>
        <v>429.77958121829101</v>
      </c>
      <c r="AE130" s="18">
        <f t="shared" si="47"/>
        <v>1985.5626792411545</v>
      </c>
      <c r="AF130" s="5">
        <f>IF(Assumptions!D$21=1,0,1)</f>
        <v>1</v>
      </c>
      <c r="AG130" s="73">
        <f t="shared" si="48"/>
        <v>0</v>
      </c>
      <c r="AH130" s="16">
        <f>Assumptions!$E$21*Assumptions!H23</f>
        <v>4.1438819564154672</v>
      </c>
      <c r="AI130" s="16">
        <f>Assumptions!$F$21*Assumptions!I23</f>
        <v>3.7142218467191683</v>
      </c>
      <c r="AJ130" s="16">
        <f t="shared" si="49"/>
        <v>0</v>
      </c>
      <c r="AK130" s="16">
        <f t="shared" si="49"/>
        <v>0</v>
      </c>
      <c r="AL130" s="4"/>
    </row>
    <row r="131" spans="1:38" x14ac:dyDescent="0.2">
      <c r="A131" s="1">
        <f t="shared" si="34"/>
        <v>40190.040000000154</v>
      </c>
      <c r="B131" s="16">
        <f t="shared" si="32"/>
        <v>4.1589984704213947</v>
      </c>
      <c r="C131" s="17">
        <f t="shared" si="29"/>
        <v>47.016415836163965</v>
      </c>
      <c r="D131" s="16">
        <f t="shared" si="33"/>
        <v>0.73638325861909615</v>
      </c>
      <c r="E131" s="16">
        <f t="shared" si="30"/>
        <v>0</v>
      </c>
      <c r="F131" s="16">
        <f t="shared" si="31"/>
        <v>0</v>
      </c>
      <c r="G131" s="19">
        <f>IF('Peak Revenue'!$A$1="BL","-",SUM(C131:F131))</f>
        <v>47.752799094783065</v>
      </c>
      <c r="H131" s="197">
        <v>95.602555410203109</v>
      </c>
      <c r="I131" s="197">
        <v>95.602555410203109</v>
      </c>
      <c r="J131" s="197">
        <v>94.822623997170467</v>
      </c>
      <c r="K131" s="197">
        <v>89.437418265744199</v>
      </c>
      <c r="L131" s="197">
        <v>85.81036207007017</v>
      </c>
      <c r="M131" s="197">
        <v>84.957132398127087</v>
      </c>
      <c r="N131" s="197">
        <v>63.154996451716535</v>
      </c>
      <c r="O131" s="197">
        <v>54.596365992651755</v>
      </c>
      <c r="P131" s="197">
        <v>45.861199065702351</v>
      </c>
      <c r="Q131" s="197">
        <v>42.811652111274377</v>
      </c>
      <c r="R131" s="197">
        <v>41.76229063143699</v>
      </c>
      <c r="S131" s="197">
        <v>41.76229063143699</v>
      </c>
      <c r="T131" s="197">
        <v>41.49662958531097</v>
      </c>
      <c r="U131" s="197">
        <v>40.773401728632656</v>
      </c>
      <c r="V131" s="197">
        <v>40.733167054594567</v>
      </c>
      <c r="W131" s="197">
        <v>40.733167054594567</v>
      </c>
      <c r="X131" s="197">
        <v>40.733156716206388</v>
      </c>
      <c r="Y131" s="197">
        <v>40.732918902115564</v>
      </c>
      <c r="Z131" s="197">
        <v>40.666885257482576</v>
      </c>
      <c r="AA131" s="197">
        <v>32.212186980134781</v>
      </c>
      <c r="AB131" s="16">
        <f>AB130*(1+Assumptions!$L$13/12)</f>
        <v>0.73638325861909615</v>
      </c>
      <c r="AC131" s="16">
        <f>VLOOKUP($C$1,EnvVOM,13)</f>
        <v>0</v>
      </c>
      <c r="AD131" s="18">
        <f>Assumptions!B22</f>
        <v>477.98097313444265</v>
      </c>
      <c r="AE131" s="18">
        <f>Assumptions!C22</f>
        <v>1889.3389342835719</v>
      </c>
      <c r="AF131" s="5">
        <f>IF(Assumptions!D$22=1,0,1)</f>
        <v>1</v>
      </c>
      <c r="AG131" s="73">
        <f>VLOOKUP($C$1,Coal,13)</f>
        <v>0</v>
      </c>
      <c r="AH131" s="16">
        <f>Assumptions!$E$22*Assumptions!H12</f>
        <v>4.1589984704213947</v>
      </c>
      <c r="AI131" s="16">
        <f>Assumptions!$F$22*Assumptions!I12</f>
        <v>3.8664951930115166</v>
      </c>
      <c r="AJ131" s="16">
        <f>VLOOKUP($C$1,SO2Rate,13)</f>
        <v>0</v>
      </c>
      <c r="AK131" s="16">
        <f>VLOOKUP($C$1,NOxRate,13)</f>
        <v>0</v>
      </c>
      <c r="AL131" s="4"/>
    </row>
    <row r="132" spans="1:38" x14ac:dyDescent="0.2">
      <c r="A132" s="1">
        <f t="shared" si="34"/>
        <v>40220.457000000155</v>
      </c>
      <c r="B132" s="16">
        <f t="shared" si="32"/>
        <v>3.7276129907766222</v>
      </c>
      <c r="C132" s="17">
        <f t="shared" si="29"/>
        <v>42.139713129753346</v>
      </c>
      <c r="D132" s="16">
        <f t="shared" si="33"/>
        <v>0.73761056405012804</v>
      </c>
      <c r="E132" s="16">
        <f t="shared" si="30"/>
        <v>0</v>
      </c>
      <c r="F132" s="16">
        <f t="shared" si="31"/>
        <v>0</v>
      </c>
      <c r="G132" s="19">
        <f>IF('Peak Revenue'!$A$1="BL","-",SUM(C132:F132))</f>
        <v>42.877323693803476</v>
      </c>
      <c r="H132" s="197">
        <v>112.15096669241625</v>
      </c>
      <c r="I132" s="197">
        <v>95.611421352834697</v>
      </c>
      <c r="J132" s="197">
        <v>92.21000373437478</v>
      </c>
      <c r="K132" s="197">
        <v>87.07953884822706</v>
      </c>
      <c r="L132" s="197">
        <v>82.5976074675294</v>
      </c>
      <c r="M132" s="197">
        <v>79.695117912865953</v>
      </c>
      <c r="N132" s="197">
        <v>77.531046726256164</v>
      </c>
      <c r="O132" s="197">
        <v>64.175675199341654</v>
      </c>
      <c r="P132" s="197">
        <v>52.901952179198908</v>
      </c>
      <c r="Q132" s="197">
        <v>44.837396220195174</v>
      </c>
      <c r="R132" s="197">
        <v>42.357334910052877</v>
      </c>
      <c r="S132" s="197">
        <v>38.301203974297032</v>
      </c>
      <c r="T132" s="197">
        <v>38.298744504829216</v>
      </c>
      <c r="U132" s="197">
        <v>38.298649372694278</v>
      </c>
      <c r="V132" s="197">
        <v>38.298527568233602</v>
      </c>
      <c r="W132" s="197">
        <v>36.06620490194927</v>
      </c>
      <c r="X132" s="197">
        <v>33.230595875063351</v>
      </c>
      <c r="Y132" s="197">
        <v>32.600880275653338</v>
      </c>
      <c r="Z132" s="197">
        <v>31.715358152675776</v>
      </c>
      <c r="AA132" s="197">
        <v>30.054506920649963</v>
      </c>
      <c r="AB132" s="16">
        <f>AB131*(1+Assumptions!$L$13/12)</f>
        <v>0.73761056405012804</v>
      </c>
      <c r="AC132" s="16">
        <f>AC131</f>
        <v>0</v>
      </c>
      <c r="AD132" s="18">
        <f>AD131</f>
        <v>477.98097313444265</v>
      </c>
      <c r="AE132" s="18">
        <f>AE131</f>
        <v>1889.3389342835719</v>
      </c>
      <c r="AF132" s="5">
        <f>IF(Assumptions!D$22=1,0,1)</f>
        <v>1</v>
      </c>
      <c r="AG132" s="73">
        <f>AG131</f>
        <v>0</v>
      </c>
      <c r="AH132" s="16">
        <f>Assumptions!$E$22*Assumptions!H13</f>
        <v>3.7276129907766222</v>
      </c>
      <c r="AI132" s="16">
        <f>Assumptions!$F$22*Assumptions!I13</f>
        <v>3.8306943115947432</v>
      </c>
      <c r="AJ132" s="16">
        <f>AJ131</f>
        <v>0</v>
      </c>
      <c r="AK132" s="16">
        <f>AK131</f>
        <v>0</v>
      </c>
      <c r="AL132" s="4"/>
    </row>
    <row r="133" spans="1:38" x14ac:dyDescent="0.2">
      <c r="A133" s="1">
        <f t="shared" si="34"/>
        <v>40250.874000000156</v>
      </c>
      <c r="B133" s="16">
        <f t="shared" si="32"/>
        <v>3.6649330492897754</v>
      </c>
      <c r="C133" s="17">
        <f t="shared" si="29"/>
        <v>41.431132394633849</v>
      </c>
      <c r="D133" s="16">
        <f t="shared" si="33"/>
        <v>0.73883991499021162</v>
      </c>
      <c r="E133" s="16">
        <f t="shared" si="30"/>
        <v>0</v>
      </c>
      <c r="F133" s="16">
        <f t="shared" si="31"/>
        <v>0</v>
      </c>
      <c r="G133" s="19">
        <f>IF('Peak Revenue'!$A$1="BL","-",SUM(C133:F133))</f>
        <v>42.169972309624058</v>
      </c>
      <c r="H133" s="197">
        <v>82.232709187311201</v>
      </c>
      <c r="I133" s="197">
        <v>79.193967554951811</v>
      </c>
      <c r="J133" s="197">
        <v>77.162058341010948</v>
      </c>
      <c r="K133" s="197">
        <v>72.165170433625491</v>
      </c>
      <c r="L133" s="197">
        <v>70.047983224002778</v>
      </c>
      <c r="M133" s="197">
        <v>69.428508554324125</v>
      </c>
      <c r="N133" s="197">
        <v>60.10976998723828</v>
      </c>
      <c r="O133" s="197">
        <v>48.689183699881951</v>
      </c>
      <c r="P133" s="197">
        <v>45.702215257722443</v>
      </c>
      <c r="Q133" s="197">
        <v>40.955221250680133</v>
      </c>
      <c r="R133" s="197">
        <v>39.692257719468145</v>
      </c>
      <c r="S133" s="197">
        <v>39.109713538355635</v>
      </c>
      <c r="T133" s="197">
        <v>37.051739410730811</v>
      </c>
      <c r="U133" s="197">
        <v>36.151153053485892</v>
      </c>
      <c r="V133" s="197">
        <v>35.138823172631739</v>
      </c>
      <c r="W133" s="197">
        <v>34.928578874163762</v>
      </c>
      <c r="X133" s="197">
        <v>34.928578874163762</v>
      </c>
      <c r="Y133" s="197">
        <v>34.928578874163762</v>
      </c>
      <c r="Z133" s="197">
        <v>34.928578874163762</v>
      </c>
      <c r="AA133" s="197">
        <v>34.297624617382951</v>
      </c>
      <c r="AB133" s="16">
        <f>AB132*(1+Assumptions!$L$13/12)</f>
        <v>0.73883991499021162</v>
      </c>
      <c r="AC133" s="16">
        <f t="shared" ref="AC133:AC142" si="50">AC132</f>
        <v>0</v>
      </c>
      <c r="AD133" s="18">
        <f t="shared" ref="AD133:AE142" si="51">AD132</f>
        <v>477.98097313444265</v>
      </c>
      <c r="AE133" s="18">
        <f t="shared" si="51"/>
        <v>1889.3389342835719</v>
      </c>
      <c r="AF133" s="5">
        <f>IF(Assumptions!D$22=1,0,1)</f>
        <v>1</v>
      </c>
      <c r="AG133" s="73">
        <f t="shared" ref="AG133:AG142" si="52">AG132</f>
        <v>0</v>
      </c>
      <c r="AH133" s="16">
        <f>Assumptions!$E$22*Assumptions!H14</f>
        <v>3.6649330492897754</v>
      </c>
      <c r="AI133" s="16">
        <f>Assumptions!$F$22*Assumptions!I14</f>
        <v>3.68749078592765</v>
      </c>
      <c r="AJ133" s="16">
        <f t="shared" ref="AJ133:AK142" si="53">AJ132</f>
        <v>0</v>
      </c>
      <c r="AK133" s="16">
        <f t="shared" si="53"/>
        <v>0</v>
      </c>
      <c r="AL133" s="4"/>
    </row>
    <row r="134" spans="1:38" x14ac:dyDescent="0.2">
      <c r="A134" s="1">
        <f t="shared" si="34"/>
        <v>40281.291000000158</v>
      </c>
      <c r="B134" s="16">
        <f t="shared" si="32"/>
        <v>3.4842673355923917</v>
      </c>
      <c r="C134" s="17">
        <f t="shared" si="29"/>
        <v>39.388752628701198</v>
      </c>
      <c r="D134" s="16">
        <f t="shared" si="33"/>
        <v>0.74007131484852862</v>
      </c>
      <c r="E134" s="16">
        <f t="shared" si="30"/>
        <v>0</v>
      </c>
      <c r="F134" s="16">
        <f t="shared" si="31"/>
        <v>0</v>
      </c>
      <c r="G134" s="19">
        <f>IF('Peak Revenue'!$A$1="BL","-",SUM(C134:F134))</f>
        <v>40.128823943549726</v>
      </c>
      <c r="H134" s="197">
        <v>76.526684097384774</v>
      </c>
      <c r="I134" s="197">
        <v>74.01379581152554</v>
      </c>
      <c r="J134" s="197">
        <v>70.727309704574864</v>
      </c>
      <c r="K134" s="197">
        <v>68.623343704959808</v>
      </c>
      <c r="L134" s="197">
        <v>68.349598867398754</v>
      </c>
      <c r="M134" s="197">
        <v>52.600588937286815</v>
      </c>
      <c r="N134" s="197">
        <v>45.406473449121201</v>
      </c>
      <c r="O134" s="197">
        <v>39.369882637858545</v>
      </c>
      <c r="P134" s="197">
        <v>37.722645854764991</v>
      </c>
      <c r="Q134" s="197">
        <v>35.860887276832486</v>
      </c>
      <c r="R134" s="197">
        <v>34.856411034688691</v>
      </c>
      <c r="S134" s="197">
        <v>34.169375814090557</v>
      </c>
      <c r="T134" s="197">
        <v>34.122775954950235</v>
      </c>
      <c r="U134" s="197">
        <v>34.030286118831498</v>
      </c>
      <c r="V134" s="197">
        <v>33.69946368581104</v>
      </c>
      <c r="W134" s="197">
        <v>33.316813667904448</v>
      </c>
      <c r="X134" s="197">
        <v>33.316418209550456</v>
      </c>
      <c r="Y134" s="197">
        <v>33.316418209550456</v>
      </c>
      <c r="Z134" s="197">
        <v>33.316365358824058</v>
      </c>
      <c r="AA134" s="197">
        <v>32.412108427060737</v>
      </c>
      <c r="AB134" s="16">
        <f>AB133*(1+Assumptions!$L$13/12)</f>
        <v>0.74007131484852862</v>
      </c>
      <c r="AC134" s="16">
        <f t="shared" si="50"/>
        <v>0</v>
      </c>
      <c r="AD134" s="18">
        <f t="shared" si="51"/>
        <v>477.98097313444265</v>
      </c>
      <c r="AE134" s="18">
        <f t="shared" si="51"/>
        <v>1889.3389342835719</v>
      </c>
      <c r="AF134" s="5">
        <f>IF(Assumptions!D$22=1,0,1)</f>
        <v>1</v>
      </c>
      <c r="AG134" s="73">
        <f t="shared" si="52"/>
        <v>0</v>
      </c>
      <c r="AH134" s="16">
        <f>Assumptions!$E$22*Assumptions!H15</f>
        <v>3.4842673355923917</v>
      </c>
      <c r="AI134" s="16">
        <f>Assumptions!$F$22*Assumptions!I15</f>
        <v>3.5442872602605564</v>
      </c>
      <c r="AJ134" s="16">
        <f t="shared" si="53"/>
        <v>0</v>
      </c>
      <c r="AK134" s="16">
        <f t="shared" si="53"/>
        <v>0</v>
      </c>
      <c r="AL134" s="4"/>
    </row>
    <row r="135" spans="1:38" x14ac:dyDescent="0.2">
      <c r="A135" s="1">
        <f t="shared" si="34"/>
        <v>40311.708000000159</v>
      </c>
      <c r="B135" s="16">
        <f t="shared" si="32"/>
        <v>3.6686201046713545</v>
      </c>
      <c r="C135" s="17">
        <f t="shared" si="29"/>
        <v>41.472813614346762</v>
      </c>
      <c r="D135" s="16">
        <f t="shared" si="33"/>
        <v>0.74130476703994286</v>
      </c>
      <c r="E135" s="16">
        <f t="shared" si="30"/>
        <v>0</v>
      </c>
      <c r="F135" s="16">
        <f t="shared" si="31"/>
        <v>0</v>
      </c>
      <c r="G135" s="19">
        <f>IF('Peak Revenue'!$A$1="BL","-",SUM(C135:F135))</f>
        <v>42.214118381386704</v>
      </c>
      <c r="H135" s="197">
        <v>124.93346361631616</v>
      </c>
      <c r="I135" s="197">
        <v>73.59242924191696</v>
      </c>
      <c r="J135" s="197">
        <v>69.007382182021587</v>
      </c>
      <c r="K135" s="197">
        <v>63.527759204352165</v>
      </c>
      <c r="L135" s="197">
        <v>61.121298018987169</v>
      </c>
      <c r="M135" s="197">
        <v>59.046725168158432</v>
      </c>
      <c r="N135" s="197">
        <v>45.483070995411701</v>
      </c>
      <c r="O135" s="197">
        <v>42.060063181532534</v>
      </c>
      <c r="P135" s="197">
        <v>38.952828875076058</v>
      </c>
      <c r="Q135" s="197">
        <v>36.926327993182198</v>
      </c>
      <c r="R135" s="197">
        <v>35.440084082930113</v>
      </c>
      <c r="S135" s="197">
        <v>34.931837530252878</v>
      </c>
      <c r="T135" s="197">
        <v>34.744588270164236</v>
      </c>
      <c r="U135" s="197">
        <v>34.310152745733262</v>
      </c>
      <c r="V135" s="197">
        <v>33.76711774979826</v>
      </c>
      <c r="W135" s="197">
        <v>32.803179235919636</v>
      </c>
      <c r="X135" s="197">
        <v>31.878176018821442</v>
      </c>
      <c r="Y135" s="197">
        <v>31.347905766764534</v>
      </c>
      <c r="Z135" s="197">
        <v>30.663095367242626</v>
      </c>
      <c r="AA135" s="197">
        <v>30.266274236120147</v>
      </c>
      <c r="AB135" s="16">
        <f>AB134*(1+Assumptions!$L$13/12)</f>
        <v>0.74130476703994286</v>
      </c>
      <c r="AC135" s="16">
        <f t="shared" si="50"/>
        <v>0</v>
      </c>
      <c r="AD135" s="18">
        <f t="shared" si="51"/>
        <v>477.98097313444265</v>
      </c>
      <c r="AE135" s="18">
        <f t="shared" si="51"/>
        <v>1889.3389342835719</v>
      </c>
      <c r="AF135" s="5">
        <v>1</v>
      </c>
      <c r="AG135" s="73">
        <f t="shared" si="52"/>
        <v>0</v>
      </c>
      <c r="AH135" s="16">
        <f>Assumptions!$E$22*Assumptions!H16</f>
        <v>3.6686201046713545</v>
      </c>
      <c r="AI135" s="16">
        <f>Assumptions!$F$22*Assumptions!I16</f>
        <v>3.4010837345934632</v>
      </c>
      <c r="AJ135" s="16">
        <f t="shared" si="53"/>
        <v>0</v>
      </c>
      <c r="AK135" s="16">
        <f t="shared" si="53"/>
        <v>0</v>
      </c>
      <c r="AL135" s="4"/>
    </row>
    <row r="136" spans="1:38" x14ac:dyDescent="0.2">
      <c r="A136" s="1">
        <f t="shared" si="34"/>
        <v>40342.12500000016</v>
      </c>
      <c r="B136" s="16">
        <f t="shared" si="32"/>
        <v>3.4953285017371298</v>
      </c>
      <c r="C136" s="17">
        <f t="shared" si="29"/>
        <v>39.513796287839931</v>
      </c>
      <c r="D136" s="16">
        <f t="shared" si="33"/>
        <v>0.74254027498500941</v>
      </c>
      <c r="E136" s="16">
        <f t="shared" si="30"/>
        <v>0</v>
      </c>
      <c r="F136" s="16">
        <f t="shared" si="31"/>
        <v>0</v>
      </c>
      <c r="G136" s="19">
        <f>IF('Peak Revenue'!$A$1="BL","-",SUM(C136:F136))</f>
        <v>40.256336562824941</v>
      </c>
      <c r="H136" s="197">
        <v>165.51462742880122</v>
      </c>
      <c r="I136" s="197">
        <v>151.36636599170225</v>
      </c>
      <c r="J136" s="197">
        <v>112.00788652844794</v>
      </c>
      <c r="K136" s="197">
        <v>93.049089762563057</v>
      </c>
      <c r="L136" s="197">
        <v>87.232620831347418</v>
      </c>
      <c r="M136" s="197">
        <v>59.351176680268807</v>
      </c>
      <c r="N136" s="197">
        <v>48.587195318317754</v>
      </c>
      <c r="O136" s="197">
        <v>43.603133626345894</v>
      </c>
      <c r="P136" s="197">
        <v>43.603133626345894</v>
      </c>
      <c r="Q136" s="197">
        <v>43.603091847177367</v>
      </c>
      <c r="R136" s="197">
        <v>43.602909925562869</v>
      </c>
      <c r="S136" s="197">
        <v>43.602741522732444</v>
      </c>
      <c r="T136" s="197">
        <v>43.60228981690635</v>
      </c>
      <c r="U136" s="197">
        <v>40.313493909676581</v>
      </c>
      <c r="V136" s="197">
        <v>36.546922088000215</v>
      </c>
      <c r="W136" s="197">
        <v>34.545463189935163</v>
      </c>
      <c r="X136" s="197">
        <v>33.285399124296546</v>
      </c>
      <c r="Y136" s="197">
        <v>32.334411401882427</v>
      </c>
      <c r="Z136" s="197">
        <v>30.974390605380712</v>
      </c>
      <c r="AA136" s="197">
        <v>28.7551484747306</v>
      </c>
      <c r="AB136" s="16">
        <f>AB135*(1+Assumptions!$L$13/12)</f>
        <v>0.74254027498500941</v>
      </c>
      <c r="AC136" s="16">
        <f t="shared" si="50"/>
        <v>0</v>
      </c>
      <c r="AD136" s="18">
        <f t="shared" si="51"/>
        <v>477.98097313444265</v>
      </c>
      <c r="AE136" s="18">
        <f t="shared" si="51"/>
        <v>1889.3389342835719</v>
      </c>
      <c r="AF136" s="5">
        <v>1</v>
      </c>
      <c r="AG136" s="73">
        <f t="shared" si="52"/>
        <v>0</v>
      </c>
      <c r="AH136" s="16">
        <f>Assumptions!$E$22*Assumptions!H17</f>
        <v>3.4953285017371298</v>
      </c>
      <c r="AI136" s="16">
        <f>Assumptions!$F$22*Assumptions!I17</f>
        <v>3.4010837345934632</v>
      </c>
      <c r="AJ136" s="16">
        <f t="shared" si="53"/>
        <v>0</v>
      </c>
      <c r="AK136" s="16">
        <f t="shared" si="53"/>
        <v>0</v>
      </c>
      <c r="AL136" s="4"/>
    </row>
    <row r="137" spans="1:38" x14ac:dyDescent="0.2">
      <c r="A137" s="1">
        <f t="shared" si="34"/>
        <v>40372.542000000161</v>
      </c>
      <c r="B137" s="16">
        <f t="shared" si="32"/>
        <v>3.4842673355923917</v>
      </c>
      <c r="C137" s="17">
        <f t="shared" si="29"/>
        <v>39.388752628701198</v>
      </c>
      <c r="D137" s="16">
        <f t="shared" si="33"/>
        <v>0.74377784210998443</v>
      </c>
      <c r="E137" s="16">
        <f t="shared" si="30"/>
        <v>0</v>
      </c>
      <c r="F137" s="16">
        <f t="shared" si="31"/>
        <v>0</v>
      </c>
      <c r="G137" s="19">
        <f>IF('Peak Revenue'!$A$1="BL","-",SUM(C137:F137))</f>
        <v>40.132530470811183</v>
      </c>
      <c r="H137" s="197">
        <v>380.07803475693788</v>
      </c>
      <c r="I137" s="197">
        <v>286.03864301716806</v>
      </c>
      <c r="J137" s="197">
        <v>251.62706395491244</v>
      </c>
      <c r="K137" s="197">
        <v>213.5962150441714</v>
      </c>
      <c r="L137" s="197">
        <v>183.48965545116766</v>
      </c>
      <c r="M137" s="197">
        <v>158.67870391435457</v>
      </c>
      <c r="N137" s="197">
        <v>85.268130630218778</v>
      </c>
      <c r="O137" s="197">
        <v>49.988564146770621</v>
      </c>
      <c r="P137" s="197">
        <v>44.785480921582476</v>
      </c>
      <c r="Q137" s="197">
        <v>42.255611755462375</v>
      </c>
      <c r="R137" s="197">
        <v>40.146396845016071</v>
      </c>
      <c r="S137" s="197">
        <v>33.18585734847769</v>
      </c>
      <c r="T137" s="197">
        <v>30.980770283146875</v>
      </c>
      <c r="U137" s="197">
        <v>29.588879848107378</v>
      </c>
      <c r="V137" s="197">
        <v>28.516660685777133</v>
      </c>
      <c r="W137" s="197">
        <v>27.643552165761403</v>
      </c>
      <c r="X137" s="197">
        <v>26.837665457522384</v>
      </c>
      <c r="Y137" s="197">
        <v>26.385051581471558</v>
      </c>
      <c r="Z137" s="197">
        <v>25.599668998445125</v>
      </c>
      <c r="AA137" s="197">
        <v>24.38370813147608</v>
      </c>
      <c r="AB137" s="16">
        <f>AB136*(1+Assumptions!$L$13/12)</f>
        <v>0.74377784210998443</v>
      </c>
      <c r="AC137" s="16">
        <f t="shared" si="50"/>
        <v>0</v>
      </c>
      <c r="AD137" s="18">
        <f t="shared" si="51"/>
        <v>477.98097313444265</v>
      </c>
      <c r="AE137" s="18">
        <f t="shared" si="51"/>
        <v>1889.3389342835719</v>
      </c>
      <c r="AF137" s="5">
        <v>1</v>
      </c>
      <c r="AG137" s="73">
        <f t="shared" si="52"/>
        <v>0</v>
      </c>
      <c r="AH137" s="16">
        <f>Assumptions!$E$22*Assumptions!H18</f>
        <v>3.4842673355923917</v>
      </c>
      <c r="AI137" s="16">
        <f>Assumptions!$F$22*Assumptions!I18</f>
        <v>3.4010837345934632</v>
      </c>
      <c r="AJ137" s="16">
        <f t="shared" si="53"/>
        <v>0</v>
      </c>
      <c r="AK137" s="16">
        <f t="shared" si="53"/>
        <v>0</v>
      </c>
      <c r="AL137" s="4"/>
    </row>
    <row r="138" spans="1:38" x14ac:dyDescent="0.2">
      <c r="A138" s="1">
        <f t="shared" si="34"/>
        <v>40402.959000000163</v>
      </c>
      <c r="B138" s="16">
        <f t="shared" si="32"/>
        <v>3.3036016218950088</v>
      </c>
      <c r="C138" s="17">
        <f t="shared" si="29"/>
        <v>37.346372862768547</v>
      </c>
      <c r="D138" s="16">
        <f t="shared" si="33"/>
        <v>0.74501747184683442</v>
      </c>
      <c r="E138" s="16">
        <f t="shared" si="30"/>
        <v>0</v>
      </c>
      <c r="F138" s="16">
        <f t="shared" si="31"/>
        <v>0</v>
      </c>
      <c r="G138" s="19">
        <f>IF('Peak Revenue'!$A$1="BL","-",SUM(C138:F138))</f>
        <v>38.091390334615383</v>
      </c>
      <c r="H138" s="197">
        <v>619.99146407794501</v>
      </c>
      <c r="I138" s="197">
        <v>364.25396988685236</v>
      </c>
      <c r="J138" s="197">
        <v>285.70345878985898</v>
      </c>
      <c r="K138" s="197">
        <v>234.9387700281321</v>
      </c>
      <c r="L138" s="197">
        <v>197.48264112947678</v>
      </c>
      <c r="M138" s="197">
        <v>166.71204218362917</v>
      </c>
      <c r="N138" s="197">
        <v>123.79955007115127</v>
      </c>
      <c r="O138" s="197">
        <v>36.282371251387126</v>
      </c>
      <c r="P138" s="197">
        <v>32.923292261722516</v>
      </c>
      <c r="Q138" s="197">
        <v>31.679430643610978</v>
      </c>
      <c r="R138" s="197">
        <v>30.738859750237214</v>
      </c>
      <c r="S138" s="197">
        <v>29.816617516530361</v>
      </c>
      <c r="T138" s="197">
        <v>29.22829881360185</v>
      </c>
      <c r="U138" s="197">
        <v>28.338554140912308</v>
      </c>
      <c r="V138" s="197">
        <v>27.720523071024441</v>
      </c>
      <c r="W138" s="197">
        <v>27.220412380657734</v>
      </c>
      <c r="X138" s="197">
        <v>26.830926037964485</v>
      </c>
      <c r="Y138" s="197">
        <v>26.526360859848442</v>
      </c>
      <c r="Z138" s="197">
        <v>26.337869441725832</v>
      </c>
      <c r="AA138" s="197">
        <v>25.660925388313405</v>
      </c>
      <c r="AB138" s="16">
        <f>AB137*(1+Assumptions!$L$13/12)</f>
        <v>0.74501747184683442</v>
      </c>
      <c r="AC138" s="16">
        <f t="shared" si="50"/>
        <v>0</v>
      </c>
      <c r="AD138" s="18">
        <f t="shared" si="51"/>
        <v>477.98097313444265</v>
      </c>
      <c r="AE138" s="18">
        <f t="shared" si="51"/>
        <v>1889.3389342835719</v>
      </c>
      <c r="AF138" s="5">
        <v>1</v>
      </c>
      <c r="AG138" s="73">
        <f t="shared" si="52"/>
        <v>0</v>
      </c>
      <c r="AH138" s="16">
        <f>Assumptions!$E$22*Assumptions!H19</f>
        <v>3.3036016218950088</v>
      </c>
      <c r="AI138" s="16">
        <f>Assumptions!$F$22*Assumptions!I19</f>
        <v>3.4010837345934632</v>
      </c>
      <c r="AJ138" s="16">
        <f t="shared" si="53"/>
        <v>0</v>
      </c>
      <c r="AK138" s="16">
        <f t="shared" si="53"/>
        <v>0</v>
      </c>
      <c r="AL138" s="4"/>
    </row>
    <row r="139" spans="1:38" x14ac:dyDescent="0.2">
      <c r="A139" s="1">
        <f t="shared" si="34"/>
        <v>40433.376000000164</v>
      </c>
      <c r="B139" s="16">
        <f t="shared" si="32"/>
        <v>3.2925404557502711</v>
      </c>
      <c r="C139" s="17">
        <f t="shared" ref="C139:C202" si="54">(B139*$B$1*1000)/1000000</f>
        <v>37.221329203629814</v>
      </c>
      <c r="D139" s="16">
        <f t="shared" si="33"/>
        <v>0.74625916763324585</v>
      </c>
      <c r="E139" s="16">
        <f t="shared" ref="E139:E202" si="55">(($AJ139*$B$1*AD139*1000)/2000)/1000000</f>
        <v>0</v>
      </c>
      <c r="F139" s="16">
        <f t="shared" ref="F139:F202" si="56">AF139*(($AK139*$B$1*AE139*1000)/2000)/1000000</f>
        <v>0</v>
      </c>
      <c r="G139" s="19">
        <f>IF('Peak Revenue'!$A$1="BL","-",SUM(C139:F139))</f>
        <v>37.967588371263062</v>
      </c>
      <c r="H139" s="197">
        <v>155.0016517428229</v>
      </c>
      <c r="I139" s="197">
        <v>129.09102681413873</v>
      </c>
      <c r="J139" s="197">
        <v>96.902673528768702</v>
      </c>
      <c r="K139" s="197">
        <v>85.65710818466755</v>
      </c>
      <c r="L139" s="197">
        <v>80.068526738367623</v>
      </c>
      <c r="M139" s="197">
        <v>78.024479353368605</v>
      </c>
      <c r="N139" s="197">
        <v>58.582239463320924</v>
      </c>
      <c r="O139" s="197">
        <v>47.353515885192202</v>
      </c>
      <c r="P139" s="197">
        <v>44.657031072418818</v>
      </c>
      <c r="Q139" s="197">
        <v>39.425327325801163</v>
      </c>
      <c r="R139" s="197">
        <v>38.801454352726466</v>
      </c>
      <c r="S139" s="197">
        <v>38.497102131757991</v>
      </c>
      <c r="T139" s="197">
        <v>37.872479483113423</v>
      </c>
      <c r="U139" s="197">
        <v>35.986879270525947</v>
      </c>
      <c r="V139" s="197">
        <v>34.718771764389594</v>
      </c>
      <c r="W139" s="197">
        <v>33.59457697164278</v>
      </c>
      <c r="X139" s="197">
        <v>32.437844970366477</v>
      </c>
      <c r="Y139" s="197">
        <v>32.047493668879781</v>
      </c>
      <c r="Z139" s="197">
        <v>30.968100824632312</v>
      </c>
      <c r="AA139" s="197">
        <v>29.024518181189102</v>
      </c>
      <c r="AB139" s="16">
        <f>AB138*(1+Assumptions!$L$13/12)</f>
        <v>0.74625916763324585</v>
      </c>
      <c r="AC139" s="16">
        <f t="shared" si="50"/>
        <v>0</v>
      </c>
      <c r="AD139" s="18">
        <f t="shared" si="51"/>
        <v>477.98097313444265</v>
      </c>
      <c r="AE139" s="18">
        <f t="shared" si="51"/>
        <v>1889.3389342835719</v>
      </c>
      <c r="AF139" s="5">
        <v>1</v>
      </c>
      <c r="AG139" s="73">
        <f t="shared" si="52"/>
        <v>0</v>
      </c>
      <c r="AH139" s="16">
        <f>Assumptions!$E$22*Assumptions!H20</f>
        <v>3.2925404557502711</v>
      </c>
      <c r="AI139" s="16">
        <f>Assumptions!$F$22*Assumptions!I20</f>
        <v>3.4010837345934632</v>
      </c>
      <c r="AJ139" s="16">
        <f t="shared" si="53"/>
        <v>0</v>
      </c>
      <c r="AK139" s="16">
        <f t="shared" si="53"/>
        <v>0</v>
      </c>
      <c r="AL139" s="4"/>
    </row>
    <row r="140" spans="1:38" x14ac:dyDescent="0.2">
      <c r="A140" s="1">
        <f t="shared" si="34"/>
        <v>40463.793000000165</v>
      </c>
      <c r="B140" s="16">
        <f t="shared" ref="B140:B203" si="57">IF($B$9="Coal",AG140,IF($B$9="Gas",AH140,IF($B$9="Oil",AI140,0)))</f>
        <v>3.646497772381879</v>
      </c>
      <c r="C140" s="17">
        <f t="shared" si="54"/>
        <v>41.222726296069297</v>
      </c>
      <c r="D140" s="16">
        <f t="shared" ref="D140:D203" si="58">AB140+AC140</f>
        <v>0.74750293291263459</v>
      </c>
      <c r="E140" s="16">
        <f t="shared" si="55"/>
        <v>0</v>
      </c>
      <c r="F140" s="16">
        <f t="shared" si="56"/>
        <v>0</v>
      </c>
      <c r="G140" s="19">
        <f>IF('Peak Revenue'!$A$1="BL","-",SUM(C140:F140))</f>
        <v>41.970229228981928</v>
      </c>
      <c r="H140" s="197">
        <v>79.823399891773917</v>
      </c>
      <c r="I140" s="197">
        <v>74.577063780254861</v>
      </c>
      <c r="J140" s="197">
        <v>73.105225677034667</v>
      </c>
      <c r="K140" s="197">
        <v>69.038586315104027</v>
      </c>
      <c r="L140" s="197">
        <v>66.204410229348127</v>
      </c>
      <c r="M140" s="197">
        <v>65.858526285010129</v>
      </c>
      <c r="N140" s="197">
        <v>62.671733782588959</v>
      </c>
      <c r="O140" s="197">
        <v>46.949645327317164</v>
      </c>
      <c r="P140" s="197">
        <v>44.005364813822837</v>
      </c>
      <c r="Q140" s="197">
        <v>40.383065442404224</v>
      </c>
      <c r="R140" s="197">
        <v>39.88111380489304</v>
      </c>
      <c r="S140" s="197">
        <v>36.133381037218889</v>
      </c>
      <c r="T140" s="197">
        <v>34.609183683282559</v>
      </c>
      <c r="U140" s="197">
        <v>33.308597994365002</v>
      </c>
      <c r="V140" s="197">
        <v>32.527174590125639</v>
      </c>
      <c r="W140" s="197">
        <v>32.480103381603726</v>
      </c>
      <c r="X140" s="197">
        <v>32.480103381603726</v>
      </c>
      <c r="Y140" s="197">
        <v>32.480103381603726</v>
      </c>
      <c r="Z140" s="197">
        <v>32.279794822547387</v>
      </c>
      <c r="AA140" s="197">
        <v>31.292083666909452</v>
      </c>
      <c r="AB140" s="16">
        <f>AB139*(1+Assumptions!$L$13/12)</f>
        <v>0.74750293291263459</v>
      </c>
      <c r="AC140" s="16">
        <f t="shared" si="50"/>
        <v>0</v>
      </c>
      <c r="AD140" s="18">
        <f t="shared" si="51"/>
        <v>477.98097313444265</v>
      </c>
      <c r="AE140" s="18">
        <f t="shared" si="51"/>
        <v>1889.3389342835719</v>
      </c>
      <c r="AF140" s="5">
        <f>IF(Assumptions!D$22=1,0,1)</f>
        <v>1</v>
      </c>
      <c r="AG140" s="73">
        <f t="shared" si="52"/>
        <v>0</v>
      </c>
      <c r="AH140" s="16">
        <f>Assumptions!$E$22*Assumptions!H21</f>
        <v>3.646497772381879</v>
      </c>
      <c r="AI140" s="16">
        <f>Assumptions!$F$22*Assumptions!I21</f>
        <v>3.4010837345934632</v>
      </c>
      <c r="AJ140" s="16">
        <f t="shared" si="53"/>
        <v>0</v>
      </c>
      <c r="AK140" s="16">
        <f t="shared" si="53"/>
        <v>0</v>
      </c>
      <c r="AL140" s="4"/>
    </row>
    <row r="141" spans="1:38" x14ac:dyDescent="0.2">
      <c r="A141" s="1">
        <f t="shared" ref="A141:A204" si="59">A140+30.417</f>
        <v>40494.210000000166</v>
      </c>
      <c r="B141" s="16">
        <f t="shared" si="57"/>
        <v>3.9930809782503287</v>
      </c>
      <c r="C141" s="17">
        <f t="shared" si="54"/>
        <v>45.14076094908296</v>
      </c>
      <c r="D141" s="16">
        <f t="shared" si="58"/>
        <v>0.74874877113415572</v>
      </c>
      <c r="E141" s="16">
        <f t="shared" si="55"/>
        <v>0</v>
      </c>
      <c r="F141" s="16">
        <f t="shared" si="56"/>
        <v>0</v>
      </c>
      <c r="G141" s="19">
        <f>IF('Peak Revenue'!$A$1="BL","-",SUM(C141:F141))</f>
        <v>45.889509720217113</v>
      </c>
      <c r="H141" s="197">
        <v>118.54167108900542</v>
      </c>
      <c r="I141" s="197">
        <v>118.54023947829877</v>
      </c>
      <c r="J141" s="197">
        <v>117.98103945686474</v>
      </c>
      <c r="K141" s="197">
        <v>108.08391359401155</v>
      </c>
      <c r="L141" s="197">
        <v>82.095932178796332</v>
      </c>
      <c r="M141" s="197">
        <v>71.704146118378318</v>
      </c>
      <c r="N141" s="197">
        <v>65.554794388426018</v>
      </c>
      <c r="O141" s="197">
        <v>55.597166787563488</v>
      </c>
      <c r="P141" s="197">
        <v>55.118284895354812</v>
      </c>
      <c r="Q141" s="197">
        <v>55.118137611633657</v>
      </c>
      <c r="R141" s="197">
        <v>55.118029242536892</v>
      </c>
      <c r="S141" s="197">
        <v>55.118029242536892</v>
      </c>
      <c r="T141" s="197">
        <v>43.666120002878309</v>
      </c>
      <c r="U141" s="197">
        <v>35.931170804151392</v>
      </c>
      <c r="V141" s="197">
        <v>34.249037835702509</v>
      </c>
      <c r="W141" s="197">
        <v>32.747963818390012</v>
      </c>
      <c r="X141" s="197">
        <v>32.041198144467344</v>
      </c>
      <c r="Y141" s="197">
        <v>31.339425176321516</v>
      </c>
      <c r="Z141" s="197">
        <v>30.321620945690082</v>
      </c>
      <c r="AA141" s="197">
        <v>28.523682560452048</v>
      </c>
      <c r="AB141" s="16">
        <f>AB140*(1+Assumptions!$L$13/12)</f>
        <v>0.74874877113415572</v>
      </c>
      <c r="AC141" s="16">
        <f t="shared" si="50"/>
        <v>0</v>
      </c>
      <c r="AD141" s="18">
        <f t="shared" si="51"/>
        <v>477.98097313444265</v>
      </c>
      <c r="AE141" s="18">
        <f t="shared" si="51"/>
        <v>1889.3389342835719</v>
      </c>
      <c r="AF141" s="5">
        <f>IF(Assumptions!D$22=1,0,1)</f>
        <v>1</v>
      </c>
      <c r="AG141" s="73">
        <f t="shared" si="52"/>
        <v>0</v>
      </c>
      <c r="AH141" s="16">
        <f>Assumptions!$E$22*Assumptions!H22</f>
        <v>3.9930809782503287</v>
      </c>
      <c r="AI141" s="16">
        <f>Assumptions!$F$22*Assumptions!I22</f>
        <v>3.68749078592765</v>
      </c>
      <c r="AJ141" s="16">
        <f t="shared" si="53"/>
        <v>0</v>
      </c>
      <c r="AK141" s="16">
        <f t="shared" si="53"/>
        <v>0</v>
      </c>
      <c r="AL141" s="4"/>
    </row>
    <row r="142" spans="1:38" x14ac:dyDescent="0.2">
      <c r="A142" s="1">
        <f t="shared" si="59"/>
        <v>40524.627000000168</v>
      </c>
      <c r="B142" s="16">
        <f t="shared" si="57"/>
        <v>4.321228907210882</v>
      </c>
      <c r="C142" s="17">
        <f t="shared" si="54"/>
        <v>48.850389503532064</v>
      </c>
      <c r="D142" s="16">
        <f t="shared" si="58"/>
        <v>0.74999668575271272</v>
      </c>
      <c r="E142" s="16">
        <f t="shared" si="55"/>
        <v>0</v>
      </c>
      <c r="F142" s="16">
        <f t="shared" si="56"/>
        <v>0</v>
      </c>
      <c r="G142" s="19">
        <f>IF('Peak Revenue'!$A$1="BL","-",SUM(C142:F142))</f>
        <v>49.600386189284777</v>
      </c>
      <c r="H142" s="197">
        <v>135.74849435323455</v>
      </c>
      <c r="I142" s="197">
        <v>116.12961445979636</v>
      </c>
      <c r="J142" s="197">
        <v>99.413158665431268</v>
      </c>
      <c r="K142" s="197">
        <v>92.296965160133936</v>
      </c>
      <c r="L142" s="197">
        <v>86.80724473431863</v>
      </c>
      <c r="M142" s="197">
        <v>82.788418355184035</v>
      </c>
      <c r="N142" s="197">
        <v>82.190257951723339</v>
      </c>
      <c r="O142" s="197">
        <v>75.821548594856793</v>
      </c>
      <c r="P142" s="197">
        <v>58.173409261769542</v>
      </c>
      <c r="Q142" s="197">
        <v>52.095566857217861</v>
      </c>
      <c r="R142" s="197">
        <v>46.419520991136686</v>
      </c>
      <c r="S142" s="197">
        <v>44.549342704088787</v>
      </c>
      <c r="T142" s="197">
        <v>40.295502675340018</v>
      </c>
      <c r="U142" s="197">
        <v>40.035693551102966</v>
      </c>
      <c r="V142" s="197">
        <v>39.728099783351333</v>
      </c>
      <c r="W142" s="197">
        <v>39.63166903970172</v>
      </c>
      <c r="X142" s="197">
        <v>39.631636106161125</v>
      </c>
      <c r="Y142" s="197">
        <v>39.631636106161125</v>
      </c>
      <c r="Z142" s="197">
        <v>37.94812604483576</v>
      </c>
      <c r="AA142" s="197">
        <v>33.521164613714141</v>
      </c>
      <c r="AB142" s="16">
        <f>AB141*(1+Assumptions!$L$13/12)</f>
        <v>0.74999668575271272</v>
      </c>
      <c r="AC142" s="16">
        <f t="shared" si="50"/>
        <v>0</v>
      </c>
      <c r="AD142" s="18">
        <f t="shared" si="51"/>
        <v>477.98097313444265</v>
      </c>
      <c r="AE142" s="18">
        <f t="shared" si="51"/>
        <v>1889.3389342835719</v>
      </c>
      <c r="AF142" s="5">
        <f>IF(Assumptions!D$22=1,0,1)</f>
        <v>1</v>
      </c>
      <c r="AG142" s="73">
        <f t="shared" si="52"/>
        <v>0</v>
      </c>
      <c r="AH142" s="16">
        <f>Assumptions!$E$22*Assumptions!H23</f>
        <v>4.321228907210882</v>
      </c>
      <c r="AI142" s="16">
        <f>Assumptions!$F$22*Assumptions!I23</f>
        <v>3.8664951930115166</v>
      </c>
      <c r="AJ142" s="16">
        <f t="shared" si="53"/>
        <v>0</v>
      </c>
      <c r="AK142" s="16">
        <f t="shared" si="53"/>
        <v>0</v>
      </c>
      <c r="AL142" s="4"/>
    </row>
    <row r="143" spans="1:38" x14ac:dyDescent="0.2">
      <c r="A143" s="1">
        <f t="shared" si="59"/>
        <v>40555.044000000169</v>
      </c>
      <c r="B143" s="16">
        <f t="shared" si="57"/>
        <v>4.2451246779926199</v>
      </c>
      <c r="C143" s="17">
        <f t="shared" si="54"/>
        <v>47.990050623086653</v>
      </c>
      <c r="D143" s="16">
        <f t="shared" si="58"/>
        <v>0.75124668022896723</v>
      </c>
      <c r="E143" s="16">
        <f t="shared" si="55"/>
        <v>0</v>
      </c>
      <c r="F143" s="16">
        <f t="shared" si="56"/>
        <v>0</v>
      </c>
      <c r="G143" s="19">
        <f>IF('Peak Revenue'!$A$1="BL","-",SUM(C143:F143))</f>
        <v>48.741297303315619</v>
      </c>
      <c r="H143" s="197">
        <v>164.2371995400384</v>
      </c>
      <c r="I143" s="197">
        <v>157.93154079770085</v>
      </c>
      <c r="J143" s="197">
        <v>153.19974174968567</v>
      </c>
      <c r="K143" s="197">
        <v>124.75598776358501</v>
      </c>
      <c r="L143" s="197">
        <v>81.889860366992977</v>
      </c>
      <c r="M143" s="197">
        <v>75.956505132246562</v>
      </c>
      <c r="N143" s="197">
        <v>69.820366551246352</v>
      </c>
      <c r="O143" s="197">
        <v>69.215147673414521</v>
      </c>
      <c r="P143" s="197">
        <v>65.658576380337593</v>
      </c>
      <c r="Q143" s="197">
        <v>50.458494230946044</v>
      </c>
      <c r="R143" s="197">
        <v>44.632922657497673</v>
      </c>
      <c r="S143" s="197">
        <v>39.311077948113677</v>
      </c>
      <c r="T143" s="197">
        <v>38.120360288603059</v>
      </c>
      <c r="U143" s="197">
        <v>34.81179169917273</v>
      </c>
      <c r="V143" s="197">
        <v>34.481763459177891</v>
      </c>
      <c r="W143" s="197">
        <v>34.135650992187962</v>
      </c>
      <c r="X143" s="197">
        <v>33.932711571092696</v>
      </c>
      <c r="Y143" s="197">
        <v>33.932659906923945</v>
      </c>
      <c r="Z143" s="197">
        <v>33.932629788046498</v>
      </c>
      <c r="AA143" s="197">
        <v>32.251440716103616</v>
      </c>
      <c r="AB143" s="16">
        <f>AB142*(1+Assumptions!$L$13/12)</f>
        <v>0.75124668022896723</v>
      </c>
      <c r="AC143" s="16">
        <f>VLOOKUP($C$1,EnvVOM,14)</f>
        <v>0</v>
      </c>
      <c r="AD143" s="18">
        <f>Assumptions!B23</f>
        <v>526.53218862643894</v>
      </c>
      <c r="AE143" s="18">
        <f>Assumptions!C23</f>
        <v>1943.451158513079</v>
      </c>
      <c r="AF143" s="5">
        <f>IF(Assumptions!D$23=1,0,1)</f>
        <v>1</v>
      </c>
      <c r="AG143" s="73">
        <f>VLOOKUP($C$1,Coal,14)</f>
        <v>0</v>
      </c>
      <c r="AH143" s="16">
        <f>Assumptions!$E$23*Assumptions!H12</f>
        <v>4.2451246779926199</v>
      </c>
      <c r="AI143" s="16">
        <f>Assumptions!$F$23*Assumptions!I12</f>
        <v>3.9483837807100315</v>
      </c>
      <c r="AJ143" s="16">
        <f>VLOOKUP($C$1,SO2Rate,14)</f>
        <v>0</v>
      </c>
      <c r="AK143" s="16">
        <f>VLOOKUP($C$1,NOxRate,14)</f>
        <v>0</v>
      </c>
      <c r="AL143" s="4"/>
    </row>
    <row r="144" spans="1:38" x14ac:dyDescent="0.2">
      <c r="A144" s="1">
        <f t="shared" si="59"/>
        <v>40585.46100000017</v>
      </c>
      <c r="B144" s="16">
        <f t="shared" si="57"/>
        <v>3.8048058949029602</v>
      </c>
      <c r="C144" s="17">
        <f t="shared" si="54"/>
        <v>43.012359202075004</v>
      </c>
      <c r="D144" s="16">
        <f t="shared" si="58"/>
        <v>0.75249875802934885</v>
      </c>
      <c r="E144" s="16">
        <f t="shared" si="55"/>
        <v>0</v>
      </c>
      <c r="F144" s="16">
        <f t="shared" si="56"/>
        <v>0</v>
      </c>
      <c r="G144" s="19">
        <f>IF('Peak Revenue'!$A$1="BL","-",SUM(C144:F144))</f>
        <v>43.764857960104351</v>
      </c>
      <c r="H144" s="197">
        <v>144.14655867251236</v>
      </c>
      <c r="I144" s="197">
        <v>114.52021660062201</v>
      </c>
      <c r="J144" s="197">
        <v>96.882018459658127</v>
      </c>
      <c r="K144" s="197">
        <v>90.298012670119462</v>
      </c>
      <c r="L144" s="197">
        <v>85.262875064264776</v>
      </c>
      <c r="M144" s="197">
        <v>78.926596081350482</v>
      </c>
      <c r="N144" s="197">
        <v>77.684068530985982</v>
      </c>
      <c r="O144" s="197">
        <v>68.035890241360534</v>
      </c>
      <c r="P144" s="197">
        <v>54.098774829248974</v>
      </c>
      <c r="Q144" s="197">
        <v>49.791658875063987</v>
      </c>
      <c r="R144" s="197">
        <v>44.924173461246248</v>
      </c>
      <c r="S144" s="197">
        <v>44.047410668657399</v>
      </c>
      <c r="T144" s="197">
        <v>42.525815371453632</v>
      </c>
      <c r="U144" s="197">
        <v>41.37232754377586</v>
      </c>
      <c r="V144" s="197">
        <v>40.466892700463852</v>
      </c>
      <c r="W144" s="197">
        <v>38.824852082022325</v>
      </c>
      <c r="X144" s="197">
        <v>38.611971548513857</v>
      </c>
      <c r="Y144" s="197">
        <v>38.611971548513857</v>
      </c>
      <c r="Z144" s="197">
        <v>38.611971548513857</v>
      </c>
      <c r="AA144" s="197">
        <v>38.008319327881914</v>
      </c>
      <c r="AB144" s="16">
        <f>AB143*(1+Assumptions!$L$13/12)</f>
        <v>0.75249875802934885</v>
      </c>
      <c r="AC144" s="16">
        <f>AC143</f>
        <v>0</v>
      </c>
      <c r="AD144" s="18">
        <f>AD143</f>
        <v>526.53218862643894</v>
      </c>
      <c r="AE144" s="18">
        <f>AE143</f>
        <v>1943.451158513079</v>
      </c>
      <c r="AF144" s="5">
        <f>IF(Assumptions!D$23=1,0,1)</f>
        <v>1</v>
      </c>
      <c r="AG144" s="73">
        <f>AG143</f>
        <v>0</v>
      </c>
      <c r="AH144" s="16">
        <f>Assumptions!$E$23*Assumptions!H13</f>
        <v>3.8048058949029602</v>
      </c>
      <c r="AI144" s="16">
        <f>Assumptions!$F$23*Assumptions!I13</f>
        <v>3.911824671629383</v>
      </c>
      <c r="AJ144" s="16">
        <f>AJ143</f>
        <v>0</v>
      </c>
      <c r="AK144" s="16">
        <f>AK143</f>
        <v>0</v>
      </c>
      <c r="AL144" s="4"/>
    </row>
    <row r="145" spans="1:38" x14ac:dyDescent="0.2">
      <c r="A145" s="1">
        <f t="shared" si="59"/>
        <v>40615.878000000172</v>
      </c>
      <c r="B145" s="16">
        <f t="shared" si="57"/>
        <v>3.7408279520608732</v>
      </c>
      <c r="C145" s="17">
        <f t="shared" si="54"/>
        <v>42.289104893039138</v>
      </c>
      <c r="D145" s="16">
        <f t="shared" si="58"/>
        <v>0.75375292262606441</v>
      </c>
      <c r="E145" s="16">
        <f t="shared" si="55"/>
        <v>0</v>
      </c>
      <c r="F145" s="16">
        <f t="shared" si="56"/>
        <v>0</v>
      </c>
      <c r="G145" s="19">
        <f>IF('Peak Revenue'!$A$1="BL","-",SUM(C145:F145))</f>
        <v>43.042857815665201</v>
      </c>
      <c r="H145" s="197">
        <v>135.10060666663111</v>
      </c>
      <c r="I145" s="197">
        <v>110.980835189247</v>
      </c>
      <c r="J145" s="197">
        <v>85.213278254058523</v>
      </c>
      <c r="K145" s="197">
        <v>75.92200093584492</v>
      </c>
      <c r="L145" s="197">
        <v>71.5744139272024</v>
      </c>
      <c r="M145" s="197">
        <v>67.171411308157289</v>
      </c>
      <c r="N145" s="197">
        <v>66.803655477711175</v>
      </c>
      <c r="O145" s="197">
        <v>62.758580603872566</v>
      </c>
      <c r="P145" s="197">
        <v>50.097967535726589</v>
      </c>
      <c r="Q145" s="197">
        <v>46.740548744635532</v>
      </c>
      <c r="R145" s="197">
        <v>44.406325568225853</v>
      </c>
      <c r="S145" s="197">
        <v>41.338156406276752</v>
      </c>
      <c r="T145" s="197">
        <v>39.252841604128079</v>
      </c>
      <c r="U145" s="197">
        <v>38.477692781957373</v>
      </c>
      <c r="V145" s="197">
        <v>38.010894714836795</v>
      </c>
      <c r="W145" s="197">
        <v>37.882926963303603</v>
      </c>
      <c r="X145" s="197">
        <v>37.121538581606515</v>
      </c>
      <c r="Y145" s="197">
        <v>35.934555984599953</v>
      </c>
      <c r="Z145" s="197">
        <v>34.124396210102951</v>
      </c>
      <c r="AA145" s="197">
        <v>32.999394923710845</v>
      </c>
      <c r="AB145" s="16">
        <f>AB144*(1+Assumptions!$L$13/12)</f>
        <v>0.75375292262606441</v>
      </c>
      <c r="AC145" s="16">
        <f t="shared" ref="AC145:AC154" si="60">AC144</f>
        <v>0</v>
      </c>
      <c r="AD145" s="18">
        <f t="shared" ref="AD145:AE154" si="61">AD144</f>
        <v>526.53218862643894</v>
      </c>
      <c r="AE145" s="18">
        <f t="shared" si="61"/>
        <v>1943.451158513079</v>
      </c>
      <c r="AF145" s="5">
        <f>IF(Assumptions!D$23=1,0,1)</f>
        <v>1</v>
      </c>
      <c r="AG145" s="73">
        <f t="shared" ref="AG145:AG154" si="62">AG144</f>
        <v>0</v>
      </c>
      <c r="AH145" s="16">
        <f>Assumptions!$E$23*Assumptions!H14</f>
        <v>3.7408279520608732</v>
      </c>
      <c r="AI145" s="16">
        <f>Assumptions!$F$23*Assumptions!I14</f>
        <v>3.7655882353067893</v>
      </c>
      <c r="AJ145" s="16">
        <f t="shared" ref="AJ145:AK154" si="63">AJ144</f>
        <v>0</v>
      </c>
      <c r="AK145" s="16">
        <f t="shared" si="63"/>
        <v>0</v>
      </c>
      <c r="AL145" s="4"/>
    </row>
    <row r="146" spans="1:38" x14ac:dyDescent="0.2">
      <c r="A146" s="1">
        <f t="shared" si="59"/>
        <v>40646.295000000173</v>
      </c>
      <c r="B146" s="16">
        <f t="shared" si="57"/>
        <v>3.5564209403395624</v>
      </c>
      <c r="C146" s="17">
        <f t="shared" si="54"/>
        <v>40.20443070817101</v>
      </c>
      <c r="D146" s="16">
        <f t="shared" si="58"/>
        <v>0.75500917749710783</v>
      </c>
      <c r="E146" s="16">
        <f t="shared" si="55"/>
        <v>0</v>
      </c>
      <c r="F146" s="16">
        <f t="shared" si="56"/>
        <v>0</v>
      </c>
      <c r="G146" s="19">
        <f>IF('Peak Revenue'!$A$1="BL","-",SUM(C146:F146))</f>
        <v>40.959439885668118</v>
      </c>
      <c r="H146" s="197">
        <v>80.476876650215118</v>
      </c>
      <c r="I146" s="197">
        <v>77.557688106336869</v>
      </c>
      <c r="J146" s="197">
        <v>72.823797338940537</v>
      </c>
      <c r="K146" s="197">
        <v>70.329338613199326</v>
      </c>
      <c r="L146" s="197">
        <v>70.152085276467616</v>
      </c>
      <c r="M146" s="197">
        <v>61.482809684593306</v>
      </c>
      <c r="N146" s="197">
        <v>48.928006001203087</v>
      </c>
      <c r="O146" s="197">
        <v>42.612778163804364</v>
      </c>
      <c r="P146" s="197">
        <v>39.842313927039648</v>
      </c>
      <c r="Q146" s="197">
        <v>39.433612340750457</v>
      </c>
      <c r="R146" s="197">
        <v>37.531868889709457</v>
      </c>
      <c r="S146" s="197">
        <v>36.402124046560587</v>
      </c>
      <c r="T146" s="197">
        <v>35.455859365724415</v>
      </c>
      <c r="U146" s="197">
        <v>34.750155172850157</v>
      </c>
      <c r="V146" s="197">
        <v>34.317842454204325</v>
      </c>
      <c r="W146" s="197">
        <v>34.276255055216637</v>
      </c>
      <c r="X146" s="197">
        <v>34.276255055216637</v>
      </c>
      <c r="Y146" s="197">
        <v>34.276255055216637</v>
      </c>
      <c r="Z146" s="197">
        <v>34.276255055216637</v>
      </c>
      <c r="AA146" s="197">
        <v>33.849071826408235</v>
      </c>
      <c r="AB146" s="16">
        <f>AB145*(1+Assumptions!$L$13/12)</f>
        <v>0.75500917749710783</v>
      </c>
      <c r="AC146" s="16">
        <f t="shared" si="60"/>
        <v>0</v>
      </c>
      <c r="AD146" s="18">
        <f t="shared" si="61"/>
        <v>526.53218862643894</v>
      </c>
      <c r="AE146" s="18">
        <f t="shared" si="61"/>
        <v>1943.451158513079</v>
      </c>
      <c r="AF146" s="5">
        <f>IF(Assumptions!D$23=1,0,1)</f>
        <v>1</v>
      </c>
      <c r="AG146" s="73">
        <f t="shared" si="62"/>
        <v>0</v>
      </c>
      <c r="AH146" s="16">
        <f>Assumptions!$E$23*Assumptions!H15</f>
        <v>3.5564209403395624</v>
      </c>
      <c r="AI146" s="16">
        <f>Assumptions!$F$23*Assumptions!I15</f>
        <v>3.6193517989841952</v>
      </c>
      <c r="AJ146" s="16">
        <f t="shared" si="63"/>
        <v>0</v>
      </c>
      <c r="AK146" s="16">
        <f t="shared" si="63"/>
        <v>0</v>
      </c>
      <c r="AL146" s="4"/>
    </row>
    <row r="147" spans="1:38" x14ac:dyDescent="0.2">
      <c r="A147" s="1">
        <f t="shared" si="59"/>
        <v>40676.712000000174</v>
      </c>
      <c r="B147" s="16">
        <f t="shared" si="57"/>
        <v>3.7445913604633487</v>
      </c>
      <c r="C147" s="17">
        <f t="shared" si="54"/>
        <v>42.331649264158884</v>
      </c>
      <c r="D147" s="16">
        <f t="shared" si="58"/>
        <v>0.75626752612626968</v>
      </c>
      <c r="E147" s="16">
        <f t="shared" si="55"/>
        <v>0</v>
      </c>
      <c r="F147" s="16">
        <f t="shared" si="56"/>
        <v>0</v>
      </c>
      <c r="G147" s="19">
        <f>IF('Peak Revenue'!$A$1="BL","-",SUM(C147:F147))</f>
        <v>43.087916790285156</v>
      </c>
      <c r="H147" s="197">
        <v>101.89636211594757</v>
      </c>
      <c r="I147" s="197">
        <v>79.526395444723192</v>
      </c>
      <c r="J147" s="197">
        <v>68.235862048869464</v>
      </c>
      <c r="K147" s="197">
        <v>64.850996088115977</v>
      </c>
      <c r="L147" s="197">
        <v>64.015441540186913</v>
      </c>
      <c r="M147" s="197">
        <v>60.631713504545608</v>
      </c>
      <c r="N147" s="197">
        <v>58.10004269835273</v>
      </c>
      <c r="O147" s="197">
        <v>45.403358235344633</v>
      </c>
      <c r="P147" s="197">
        <v>42.503860801297201</v>
      </c>
      <c r="Q147" s="197">
        <v>40.621087032964716</v>
      </c>
      <c r="R147" s="197">
        <v>38.254330183085486</v>
      </c>
      <c r="S147" s="197">
        <v>37.113603240666947</v>
      </c>
      <c r="T147" s="197">
        <v>36.079533555925309</v>
      </c>
      <c r="U147" s="197">
        <v>35.010215125207125</v>
      </c>
      <c r="V147" s="197">
        <v>34.217476645121266</v>
      </c>
      <c r="W147" s="197">
        <v>32.125489826401157</v>
      </c>
      <c r="X147" s="197">
        <v>30.394746599368602</v>
      </c>
      <c r="Y147" s="197">
        <v>30.088543003614401</v>
      </c>
      <c r="Z147" s="197">
        <v>29.956911132349401</v>
      </c>
      <c r="AA147" s="197">
        <v>29.941111074405338</v>
      </c>
      <c r="AB147" s="16">
        <f>AB146*(1+Assumptions!$L$13/12)</f>
        <v>0.75626752612626968</v>
      </c>
      <c r="AC147" s="16">
        <f t="shared" si="60"/>
        <v>0</v>
      </c>
      <c r="AD147" s="18">
        <f t="shared" si="61"/>
        <v>526.53218862643894</v>
      </c>
      <c r="AE147" s="18">
        <f t="shared" si="61"/>
        <v>1943.451158513079</v>
      </c>
      <c r="AF147" s="5">
        <v>1</v>
      </c>
      <c r="AG147" s="73">
        <f t="shared" si="62"/>
        <v>0</v>
      </c>
      <c r="AH147" s="16">
        <f>Assumptions!$E$23*Assumptions!H16</f>
        <v>3.7445913604633487</v>
      </c>
      <c r="AI147" s="16">
        <f>Assumptions!$F$23*Assumptions!I16</f>
        <v>3.4731153626616016</v>
      </c>
      <c r="AJ147" s="16">
        <f t="shared" si="63"/>
        <v>0</v>
      </c>
      <c r="AK147" s="16">
        <f t="shared" si="63"/>
        <v>0</v>
      </c>
      <c r="AL147" s="4"/>
    </row>
    <row r="148" spans="1:38" x14ac:dyDescent="0.2">
      <c r="A148" s="1">
        <f t="shared" si="59"/>
        <v>40707.129000000175</v>
      </c>
      <c r="B148" s="16">
        <f t="shared" si="57"/>
        <v>3.5677111655469895</v>
      </c>
      <c r="C148" s="17">
        <f t="shared" si="54"/>
        <v>40.332063821530276</v>
      </c>
      <c r="D148" s="16">
        <f t="shared" si="58"/>
        <v>0.75752797200314681</v>
      </c>
      <c r="E148" s="16">
        <f t="shared" si="55"/>
        <v>0</v>
      </c>
      <c r="F148" s="16">
        <f t="shared" si="56"/>
        <v>0</v>
      </c>
      <c r="G148" s="19">
        <f>IF('Peak Revenue'!$A$1="BL","-",SUM(C148:F148))</f>
        <v>41.089591793533423</v>
      </c>
      <c r="H148" s="197">
        <v>234.59405531764565</v>
      </c>
      <c r="I148" s="197">
        <v>207.93787188123702</v>
      </c>
      <c r="J148" s="197">
        <v>187.21581770523463</v>
      </c>
      <c r="K148" s="197">
        <v>163.56201400333723</v>
      </c>
      <c r="L148" s="197">
        <v>146.55180574253018</v>
      </c>
      <c r="M148" s="197">
        <v>81.528927733095955</v>
      </c>
      <c r="N148" s="197">
        <v>52.67597068377134</v>
      </c>
      <c r="O148" s="197">
        <v>46.978747489759755</v>
      </c>
      <c r="P148" s="197">
        <v>45.588303166584282</v>
      </c>
      <c r="Q148" s="197">
        <v>38.494006337312484</v>
      </c>
      <c r="R148" s="197">
        <v>33.415381557157787</v>
      </c>
      <c r="S148" s="197">
        <v>32.130255365246761</v>
      </c>
      <c r="T148" s="197">
        <v>31.120053424882048</v>
      </c>
      <c r="U148" s="197">
        <v>30.049401588429724</v>
      </c>
      <c r="V148" s="197">
        <v>28.767080111486411</v>
      </c>
      <c r="W148" s="197">
        <v>27.28325536959229</v>
      </c>
      <c r="X148" s="197">
        <v>26.844215424460948</v>
      </c>
      <c r="Y148" s="197">
        <v>26.454376341362</v>
      </c>
      <c r="Z148" s="197">
        <v>25.199966464237512</v>
      </c>
      <c r="AA148" s="197">
        <v>24.081192460446793</v>
      </c>
      <c r="AB148" s="16">
        <f>AB147*(1+Assumptions!$L$13/12)</f>
        <v>0.75752797200314681</v>
      </c>
      <c r="AC148" s="16">
        <f t="shared" si="60"/>
        <v>0</v>
      </c>
      <c r="AD148" s="18">
        <f t="shared" si="61"/>
        <v>526.53218862643894</v>
      </c>
      <c r="AE148" s="18">
        <f t="shared" si="61"/>
        <v>1943.451158513079</v>
      </c>
      <c r="AF148" s="5">
        <v>1</v>
      </c>
      <c r="AG148" s="73">
        <f t="shared" si="62"/>
        <v>0</v>
      </c>
      <c r="AH148" s="16">
        <f>Assumptions!$E$23*Assumptions!H17</f>
        <v>3.5677111655469895</v>
      </c>
      <c r="AI148" s="16">
        <f>Assumptions!$F$23*Assumptions!I17</f>
        <v>3.4731153626616016</v>
      </c>
      <c r="AJ148" s="16">
        <f t="shared" si="63"/>
        <v>0</v>
      </c>
      <c r="AK148" s="16">
        <f t="shared" si="63"/>
        <v>0</v>
      </c>
      <c r="AL148" s="4"/>
    </row>
    <row r="149" spans="1:38" x14ac:dyDescent="0.2">
      <c r="A149" s="1">
        <f t="shared" si="59"/>
        <v>40737.546000000177</v>
      </c>
      <c r="B149" s="16">
        <f t="shared" si="57"/>
        <v>3.5564209403395624</v>
      </c>
      <c r="C149" s="17">
        <f t="shared" si="54"/>
        <v>40.20443070817101</v>
      </c>
      <c r="D149" s="16">
        <f t="shared" si="58"/>
        <v>0.75879051862315205</v>
      </c>
      <c r="E149" s="16">
        <f t="shared" si="55"/>
        <v>0</v>
      </c>
      <c r="F149" s="16">
        <f t="shared" si="56"/>
        <v>0</v>
      </c>
      <c r="G149" s="19">
        <f>IF('Peak Revenue'!$A$1="BL","-",SUM(C149:F149))</f>
        <v>40.963221226794161</v>
      </c>
      <c r="H149" s="197">
        <v>230.27658285104758</v>
      </c>
      <c r="I149" s="197">
        <v>199.32503320900952</v>
      </c>
      <c r="J149" s="197">
        <v>178.12800297216648</v>
      </c>
      <c r="K149" s="197">
        <v>156.56442594048914</v>
      </c>
      <c r="L149" s="197">
        <v>131.55866241571033</v>
      </c>
      <c r="M149" s="197">
        <v>101.29015752785438</v>
      </c>
      <c r="N149" s="197">
        <v>94.883320611658689</v>
      </c>
      <c r="O149" s="197">
        <v>75.899390289559491</v>
      </c>
      <c r="P149" s="197">
        <v>58.123710684185276</v>
      </c>
      <c r="Q149" s="197">
        <v>51.868000612319207</v>
      </c>
      <c r="R149" s="197">
        <v>45.419988919890088</v>
      </c>
      <c r="S149" s="197">
        <v>45.243790416329588</v>
      </c>
      <c r="T149" s="197">
        <v>45.2435837418994</v>
      </c>
      <c r="U149" s="197">
        <v>44.525120456453564</v>
      </c>
      <c r="V149" s="197">
        <v>40.267016046992644</v>
      </c>
      <c r="W149" s="197">
        <v>38.070108633677364</v>
      </c>
      <c r="X149" s="197">
        <v>36.473638410222222</v>
      </c>
      <c r="Y149" s="197">
        <v>35.529340407522007</v>
      </c>
      <c r="Z149" s="197">
        <v>34.894175900572527</v>
      </c>
      <c r="AA149" s="197">
        <v>31.465020354819504</v>
      </c>
      <c r="AB149" s="16">
        <f>AB148*(1+Assumptions!$L$13/12)</f>
        <v>0.75879051862315205</v>
      </c>
      <c r="AC149" s="16">
        <f t="shared" si="60"/>
        <v>0</v>
      </c>
      <c r="AD149" s="18">
        <f t="shared" si="61"/>
        <v>526.53218862643894</v>
      </c>
      <c r="AE149" s="18">
        <f t="shared" si="61"/>
        <v>1943.451158513079</v>
      </c>
      <c r="AF149" s="5">
        <v>1</v>
      </c>
      <c r="AG149" s="73">
        <f t="shared" si="62"/>
        <v>0</v>
      </c>
      <c r="AH149" s="16">
        <f>Assumptions!$E$23*Assumptions!H18</f>
        <v>3.5564209403395624</v>
      </c>
      <c r="AI149" s="16">
        <f>Assumptions!$F$23*Assumptions!I18</f>
        <v>3.4731153626616016</v>
      </c>
      <c r="AJ149" s="16">
        <f t="shared" si="63"/>
        <v>0</v>
      </c>
      <c r="AK149" s="16">
        <f t="shared" si="63"/>
        <v>0</v>
      </c>
      <c r="AL149" s="4"/>
    </row>
    <row r="150" spans="1:38" x14ac:dyDescent="0.2">
      <c r="A150" s="1">
        <f t="shared" si="59"/>
        <v>40767.963000000178</v>
      </c>
      <c r="B150" s="16">
        <f t="shared" si="57"/>
        <v>3.372013928618252</v>
      </c>
      <c r="C150" s="17">
        <f t="shared" si="54"/>
        <v>38.119756523302883</v>
      </c>
      <c r="D150" s="16">
        <f t="shared" si="58"/>
        <v>0.76005516948752405</v>
      </c>
      <c r="E150" s="16">
        <f t="shared" si="55"/>
        <v>0</v>
      </c>
      <c r="F150" s="16">
        <f t="shared" si="56"/>
        <v>0</v>
      </c>
      <c r="G150" s="19">
        <f>IF('Peak Revenue'!$A$1="BL","-",SUM(C150:F150))</f>
        <v>38.879811692790405</v>
      </c>
      <c r="H150" s="197">
        <v>228.53908887598845</v>
      </c>
      <c r="I150" s="197">
        <v>196.06649134614173</v>
      </c>
      <c r="J150" s="197">
        <v>176.71225112673298</v>
      </c>
      <c r="K150" s="197">
        <v>156.53127822798803</v>
      </c>
      <c r="L150" s="197">
        <v>143.5610450764805</v>
      </c>
      <c r="M150" s="197">
        <v>128.05497300343123</v>
      </c>
      <c r="N150" s="197">
        <v>81.501960413169655</v>
      </c>
      <c r="O150" s="197">
        <v>66.765741107566328</v>
      </c>
      <c r="P150" s="197">
        <v>62.862866327445083</v>
      </c>
      <c r="Q150" s="197">
        <v>61.53456151181318</v>
      </c>
      <c r="R150" s="197">
        <v>61.22100189493775</v>
      </c>
      <c r="S150" s="197">
        <v>59.32205913387687</v>
      </c>
      <c r="T150" s="197">
        <v>46.751301266619848</v>
      </c>
      <c r="U150" s="197">
        <v>43.29353930370074</v>
      </c>
      <c r="V150" s="197">
        <v>41.506714009725286</v>
      </c>
      <c r="W150" s="197">
        <v>39.864390654304934</v>
      </c>
      <c r="X150" s="197">
        <v>39.028395374263063</v>
      </c>
      <c r="Y150" s="197">
        <v>36.757800312717237</v>
      </c>
      <c r="Z150" s="197">
        <v>33.830851772711895</v>
      </c>
      <c r="AA150" s="197">
        <v>31.116387845486585</v>
      </c>
      <c r="AB150" s="16">
        <f>AB149*(1+Assumptions!$L$13/12)</f>
        <v>0.76005516948752405</v>
      </c>
      <c r="AC150" s="16">
        <f t="shared" si="60"/>
        <v>0</v>
      </c>
      <c r="AD150" s="18">
        <f t="shared" si="61"/>
        <v>526.53218862643894</v>
      </c>
      <c r="AE150" s="18">
        <f t="shared" si="61"/>
        <v>1943.451158513079</v>
      </c>
      <c r="AF150" s="5">
        <v>1</v>
      </c>
      <c r="AG150" s="73">
        <f t="shared" si="62"/>
        <v>0</v>
      </c>
      <c r="AH150" s="16">
        <f>Assumptions!$E$23*Assumptions!H19</f>
        <v>3.372013928618252</v>
      </c>
      <c r="AI150" s="16">
        <f>Assumptions!$F$23*Assumptions!I19</f>
        <v>3.4731153626616016</v>
      </c>
      <c r="AJ150" s="16">
        <f t="shared" si="63"/>
        <v>0</v>
      </c>
      <c r="AK150" s="16">
        <f t="shared" si="63"/>
        <v>0</v>
      </c>
      <c r="AL150" s="4"/>
    </row>
    <row r="151" spans="1:38" x14ac:dyDescent="0.2">
      <c r="A151" s="1">
        <f t="shared" si="59"/>
        <v>40798.380000000179</v>
      </c>
      <c r="B151" s="16">
        <f t="shared" si="57"/>
        <v>3.3607237034108248</v>
      </c>
      <c r="C151" s="17">
        <f t="shared" si="54"/>
        <v>37.992123409943602</v>
      </c>
      <c r="D151" s="16">
        <f t="shared" si="58"/>
        <v>0.76132192810333665</v>
      </c>
      <c r="E151" s="16">
        <f t="shared" si="55"/>
        <v>0</v>
      </c>
      <c r="F151" s="16">
        <f t="shared" si="56"/>
        <v>0</v>
      </c>
      <c r="G151" s="19">
        <f>IF('Peak Revenue'!$A$1="BL","-",SUM(C151:F151))</f>
        <v>38.753445338046937</v>
      </c>
      <c r="H151" s="197">
        <v>153.40312088335128</v>
      </c>
      <c r="I151" s="197">
        <v>103.5362210905095</v>
      </c>
      <c r="J151" s="197">
        <v>80.808635558573627</v>
      </c>
      <c r="K151" s="197">
        <v>73.936099307268321</v>
      </c>
      <c r="L151" s="197">
        <v>68.583112043983888</v>
      </c>
      <c r="M151" s="197">
        <v>67.046242767902157</v>
      </c>
      <c r="N151" s="197">
        <v>54.844375171574079</v>
      </c>
      <c r="O151" s="197">
        <v>47.581302190240983</v>
      </c>
      <c r="P151" s="197">
        <v>44.888400432469382</v>
      </c>
      <c r="Q151" s="197">
        <v>42.315855051878216</v>
      </c>
      <c r="R151" s="197">
        <v>40.61476044694178</v>
      </c>
      <c r="S151" s="197">
        <v>39.140717780573745</v>
      </c>
      <c r="T151" s="197">
        <v>38.672670465339152</v>
      </c>
      <c r="U151" s="197">
        <v>37.366007989273115</v>
      </c>
      <c r="V151" s="197">
        <v>34.516407618380896</v>
      </c>
      <c r="W151" s="197">
        <v>33.792178782648577</v>
      </c>
      <c r="X151" s="197">
        <v>33.447465020477338</v>
      </c>
      <c r="Y151" s="197">
        <v>33.447465020477338</v>
      </c>
      <c r="Z151" s="197">
        <v>33.447465020477338</v>
      </c>
      <c r="AA151" s="197">
        <v>33.242324430087493</v>
      </c>
      <c r="AB151" s="16">
        <f>AB150*(1+Assumptions!$L$13/12)</f>
        <v>0.76132192810333665</v>
      </c>
      <c r="AC151" s="16">
        <f t="shared" si="60"/>
        <v>0</v>
      </c>
      <c r="AD151" s="18">
        <f t="shared" si="61"/>
        <v>526.53218862643894</v>
      </c>
      <c r="AE151" s="18">
        <f t="shared" si="61"/>
        <v>1943.451158513079</v>
      </c>
      <c r="AF151" s="5">
        <v>1</v>
      </c>
      <c r="AG151" s="73">
        <f t="shared" si="62"/>
        <v>0</v>
      </c>
      <c r="AH151" s="16">
        <f>Assumptions!$E$23*Assumptions!H20</f>
        <v>3.3607237034108248</v>
      </c>
      <c r="AI151" s="16">
        <f>Assumptions!$F$23*Assumptions!I20</f>
        <v>3.4731153626616016</v>
      </c>
      <c r="AJ151" s="16">
        <f t="shared" si="63"/>
        <v>0</v>
      </c>
      <c r="AK151" s="16">
        <f t="shared" si="63"/>
        <v>0</v>
      </c>
      <c r="AL151" s="4"/>
    </row>
    <row r="152" spans="1:38" x14ac:dyDescent="0.2">
      <c r="A152" s="1">
        <f t="shared" si="59"/>
        <v>40828.797000000181</v>
      </c>
      <c r="B152" s="16">
        <f t="shared" si="57"/>
        <v>3.7220109100484944</v>
      </c>
      <c r="C152" s="17">
        <f t="shared" si="54"/>
        <v>42.076383037440337</v>
      </c>
      <c r="D152" s="16">
        <f t="shared" si="58"/>
        <v>0.76259079798350893</v>
      </c>
      <c r="E152" s="16">
        <f t="shared" si="55"/>
        <v>0</v>
      </c>
      <c r="F152" s="16">
        <f t="shared" si="56"/>
        <v>0</v>
      </c>
      <c r="G152" s="19">
        <f>IF('Peak Revenue'!$A$1="BL","-",SUM(C152:F152))</f>
        <v>42.838973835423843</v>
      </c>
      <c r="H152" s="197">
        <v>80.989311061908126</v>
      </c>
      <c r="I152" s="197">
        <v>79.488146860457704</v>
      </c>
      <c r="J152" s="197">
        <v>77.572256743873794</v>
      </c>
      <c r="K152" s="197">
        <v>72.925292048971613</v>
      </c>
      <c r="L152" s="197">
        <v>70.449384126332717</v>
      </c>
      <c r="M152" s="197">
        <v>69.518771085264433</v>
      </c>
      <c r="N152" s="197">
        <v>52.55150398157808</v>
      </c>
      <c r="O152" s="197">
        <v>49.191819765339453</v>
      </c>
      <c r="P152" s="197">
        <v>44.603777219646311</v>
      </c>
      <c r="Q152" s="197">
        <v>37.829235033683567</v>
      </c>
      <c r="R152" s="197">
        <v>35.491747227024831</v>
      </c>
      <c r="S152" s="197">
        <v>35.018782541379544</v>
      </c>
      <c r="T152" s="197">
        <v>34.803447997878258</v>
      </c>
      <c r="U152" s="197">
        <v>34.581713581572721</v>
      </c>
      <c r="V152" s="197">
        <v>34.462394593547657</v>
      </c>
      <c r="W152" s="197">
        <v>34.190348024407257</v>
      </c>
      <c r="X152" s="197">
        <v>34.18805364118154</v>
      </c>
      <c r="Y152" s="197">
        <v>34.18805364118154</v>
      </c>
      <c r="Z152" s="197">
        <v>34.18805364118154</v>
      </c>
      <c r="AA152" s="197">
        <v>32.026606509992305</v>
      </c>
      <c r="AB152" s="16">
        <f>AB151*(1+Assumptions!$L$13/12)</f>
        <v>0.76259079798350893</v>
      </c>
      <c r="AC152" s="16">
        <f t="shared" si="60"/>
        <v>0</v>
      </c>
      <c r="AD152" s="18">
        <f t="shared" si="61"/>
        <v>526.53218862643894</v>
      </c>
      <c r="AE152" s="18">
        <f t="shared" si="61"/>
        <v>1943.451158513079</v>
      </c>
      <c r="AF152" s="5">
        <f>IF(Assumptions!D$23=1,0,1)</f>
        <v>1</v>
      </c>
      <c r="AG152" s="73">
        <f t="shared" si="62"/>
        <v>0</v>
      </c>
      <c r="AH152" s="16">
        <f>Assumptions!$E$23*Assumptions!H21</f>
        <v>3.7220109100484944</v>
      </c>
      <c r="AI152" s="16">
        <f>Assumptions!$F$23*Assumptions!I21</f>
        <v>3.4731153626616016</v>
      </c>
      <c r="AJ152" s="16">
        <f t="shared" si="63"/>
        <v>0</v>
      </c>
      <c r="AK152" s="16">
        <f t="shared" si="63"/>
        <v>0</v>
      </c>
      <c r="AL152" s="4"/>
    </row>
    <row r="153" spans="1:38" x14ac:dyDescent="0.2">
      <c r="A153" s="1">
        <f t="shared" si="59"/>
        <v>40859.214000000182</v>
      </c>
      <c r="B153" s="16">
        <f t="shared" si="57"/>
        <v>4.0757712998812128</v>
      </c>
      <c r="C153" s="17">
        <f t="shared" si="54"/>
        <v>46.075553922697559</v>
      </c>
      <c r="D153" s="16">
        <f t="shared" si="58"/>
        <v>0.76386178264681481</v>
      </c>
      <c r="E153" s="16">
        <f t="shared" si="55"/>
        <v>0</v>
      </c>
      <c r="F153" s="16">
        <f t="shared" si="56"/>
        <v>0</v>
      </c>
      <c r="G153" s="19">
        <f>IF('Peak Revenue'!$A$1="BL","-",SUM(C153:F153))</f>
        <v>46.839415705344372</v>
      </c>
      <c r="H153" s="197">
        <v>154.00667831236206</v>
      </c>
      <c r="I153" s="197">
        <v>149.11245405540186</v>
      </c>
      <c r="J153" s="197">
        <v>94.564231863608398</v>
      </c>
      <c r="K153" s="197">
        <v>81.046352283992505</v>
      </c>
      <c r="L153" s="197">
        <v>68.701238971475988</v>
      </c>
      <c r="M153" s="197">
        <v>64.94249024103874</v>
      </c>
      <c r="N153" s="197">
        <v>60.649022856667635</v>
      </c>
      <c r="O153" s="197">
        <v>59.063814341616244</v>
      </c>
      <c r="P153" s="197">
        <v>57.77525812124729</v>
      </c>
      <c r="Q153" s="197">
        <v>47.413062717840809</v>
      </c>
      <c r="R153" s="197">
        <v>42.139879532875156</v>
      </c>
      <c r="S153" s="197">
        <v>41.464693390018752</v>
      </c>
      <c r="T153" s="197">
        <v>41.129353314867991</v>
      </c>
      <c r="U153" s="197">
        <v>40.019052888653803</v>
      </c>
      <c r="V153" s="197">
        <v>38.680366244117671</v>
      </c>
      <c r="W153" s="197">
        <v>37.147888118214645</v>
      </c>
      <c r="X153" s="197">
        <v>35.063783593331316</v>
      </c>
      <c r="Y153" s="197">
        <v>32.024881136817825</v>
      </c>
      <c r="Z153" s="197">
        <v>30.137562726617048</v>
      </c>
      <c r="AA153" s="197">
        <v>29.440995642570378</v>
      </c>
      <c r="AB153" s="16">
        <f>AB152*(1+Assumptions!$L$13/12)</f>
        <v>0.76386178264681481</v>
      </c>
      <c r="AC153" s="16">
        <f t="shared" si="60"/>
        <v>0</v>
      </c>
      <c r="AD153" s="18">
        <f t="shared" si="61"/>
        <v>526.53218862643894</v>
      </c>
      <c r="AE153" s="18">
        <f t="shared" si="61"/>
        <v>1943.451158513079</v>
      </c>
      <c r="AF153" s="5">
        <f>IF(Assumptions!D$23=1,0,1)</f>
        <v>1</v>
      </c>
      <c r="AG153" s="73">
        <f t="shared" si="62"/>
        <v>0</v>
      </c>
      <c r="AH153" s="16">
        <f>Assumptions!$E$23*Assumptions!H22</f>
        <v>4.0757712998812128</v>
      </c>
      <c r="AI153" s="16">
        <f>Assumptions!$F$23*Assumptions!I22</f>
        <v>3.7655882353067893</v>
      </c>
      <c r="AJ153" s="16">
        <f t="shared" si="63"/>
        <v>0</v>
      </c>
      <c r="AK153" s="16">
        <f t="shared" si="63"/>
        <v>0</v>
      </c>
      <c r="AL153" s="4"/>
    </row>
    <row r="154" spans="1:38" x14ac:dyDescent="0.2">
      <c r="A154" s="1">
        <f t="shared" si="59"/>
        <v>40889.631000000183</v>
      </c>
      <c r="B154" s="16">
        <f t="shared" si="57"/>
        <v>4.4107146477015524</v>
      </c>
      <c r="C154" s="17">
        <f t="shared" si="54"/>
        <v>49.862002952355994</v>
      </c>
      <c r="D154" s="16">
        <f t="shared" si="58"/>
        <v>0.76513488561789289</v>
      </c>
      <c r="E154" s="16">
        <f t="shared" si="55"/>
        <v>0</v>
      </c>
      <c r="F154" s="16">
        <f t="shared" si="56"/>
        <v>0</v>
      </c>
      <c r="G154" s="19">
        <f>IF('Peak Revenue'!$A$1="BL","-",SUM(C154:F154))</f>
        <v>50.627137837973883</v>
      </c>
      <c r="H154" s="197">
        <v>100.69393339247577</v>
      </c>
      <c r="I154" s="197">
        <v>95.409868007824528</v>
      </c>
      <c r="J154" s="197">
        <v>92.265422456538985</v>
      </c>
      <c r="K154" s="197">
        <v>86.171448592757855</v>
      </c>
      <c r="L154" s="197">
        <v>84.621118789963447</v>
      </c>
      <c r="M154" s="197">
        <v>83.142099913272816</v>
      </c>
      <c r="N154" s="197">
        <v>67.282735250050592</v>
      </c>
      <c r="O154" s="197">
        <v>57.38750781694241</v>
      </c>
      <c r="P154" s="197">
        <v>48.670488815453062</v>
      </c>
      <c r="Q154" s="197">
        <v>47.46459668798051</v>
      </c>
      <c r="R154" s="197">
        <v>45.300532472887333</v>
      </c>
      <c r="S154" s="197">
        <v>41.947124432012814</v>
      </c>
      <c r="T154" s="197">
        <v>41.196983755251892</v>
      </c>
      <c r="U154" s="197">
        <v>41.050654306435852</v>
      </c>
      <c r="V154" s="197">
        <v>40.929050903642967</v>
      </c>
      <c r="W154" s="197">
        <v>40.591899809761969</v>
      </c>
      <c r="X154" s="197">
        <v>40.372912809125829</v>
      </c>
      <c r="Y154" s="197">
        <v>40.372912809125829</v>
      </c>
      <c r="Z154" s="197">
        <v>40.372912809125829</v>
      </c>
      <c r="AA154" s="197">
        <v>38.655372510866719</v>
      </c>
      <c r="AB154" s="16">
        <f>AB153*(1+Assumptions!$L$13/12)</f>
        <v>0.76513488561789289</v>
      </c>
      <c r="AC154" s="16">
        <f t="shared" si="60"/>
        <v>0</v>
      </c>
      <c r="AD154" s="18">
        <f t="shared" si="61"/>
        <v>526.53218862643894</v>
      </c>
      <c r="AE154" s="18">
        <f t="shared" si="61"/>
        <v>1943.451158513079</v>
      </c>
      <c r="AF154" s="5">
        <f>IF(Assumptions!D$23=1,0,1)</f>
        <v>1</v>
      </c>
      <c r="AG154" s="73">
        <f t="shared" si="62"/>
        <v>0</v>
      </c>
      <c r="AH154" s="16">
        <f>Assumptions!$E$23*Assumptions!H23</f>
        <v>4.4107146477015524</v>
      </c>
      <c r="AI154" s="16">
        <f>Assumptions!$F$23*Assumptions!I23</f>
        <v>3.9483837807100315</v>
      </c>
      <c r="AJ154" s="16">
        <f t="shared" si="63"/>
        <v>0</v>
      </c>
      <c r="AK154" s="16">
        <f t="shared" si="63"/>
        <v>0</v>
      </c>
      <c r="AL154" s="4"/>
    </row>
    <row r="155" spans="1:38" x14ac:dyDescent="0.2">
      <c r="A155" s="1">
        <f t="shared" si="59"/>
        <v>40920.048000000184</v>
      </c>
      <c r="B155" s="16">
        <f t="shared" si="57"/>
        <v>4.2352224987668006</v>
      </c>
      <c r="C155" s="17">
        <f t="shared" si="54"/>
        <v>47.878109015154742</v>
      </c>
      <c r="D155" s="16">
        <f t="shared" si="58"/>
        <v>0.76641011042725604</v>
      </c>
      <c r="E155" s="16">
        <f t="shared" si="55"/>
        <v>0</v>
      </c>
      <c r="F155" s="16">
        <f t="shared" si="56"/>
        <v>0</v>
      </c>
      <c r="G155" s="19">
        <f>IF('Peak Revenue'!$A$1="BL","-",SUM(C155:F155))</f>
        <v>48.644519125582001</v>
      </c>
      <c r="H155" s="197">
        <v>101.80138962797244</v>
      </c>
      <c r="I155" s="197">
        <v>98.892738075501796</v>
      </c>
      <c r="J155" s="197">
        <v>98.879241285826708</v>
      </c>
      <c r="K155" s="197">
        <v>96.614371800105843</v>
      </c>
      <c r="L155" s="197">
        <v>82.109662942181785</v>
      </c>
      <c r="M155" s="197">
        <v>64.158115594853101</v>
      </c>
      <c r="N155" s="197">
        <v>55.068928685774246</v>
      </c>
      <c r="O155" s="197">
        <v>49.903983359294507</v>
      </c>
      <c r="P155" s="197">
        <v>47.545760635636839</v>
      </c>
      <c r="Q155" s="197">
        <v>47.545760635636839</v>
      </c>
      <c r="R155" s="197">
        <v>47.545760635636839</v>
      </c>
      <c r="S155" s="197">
        <v>47.545760635636839</v>
      </c>
      <c r="T155" s="197">
        <v>47.368120370484448</v>
      </c>
      <c r="U155" s="197">
        <v>47.143600399945477</v>
      </c>
      <c r="V155" s="197">
        <v>47.143600399945477</v>
      </c>
      <c r="W155" s="197">
        <v>47.143600399945477</v>
      </c>
      <c r="X155" s="197">
        <v>47.083803592241992</v>
      </c>
      <c r="Y155" s="197">
        <v>42.439348900627905</v>
      </c>
      <c r="Z155" s="197">
        <v>38.439950950998274</v>
      </c>
      <c r="AA155" s="197">
        <v>35.392833109331299</v>
      </c>
      <c r="AB155" s="16">
        <f>AB154*(1+Assumptions!$L$13/12)</f>
        <v>0.76641011042725604</v>
      </c>
      <c r="AC155" s="16">
        <f>VLOOKUP($C$1,EnvVOM,15)</f>
        <v>0</v>
      </c>
      <c r="AD155" s="18">
        <f>Assumptions!B24</f>
        <v>583.38187908572775</v>
      </c>
      <c r="AE155" s="18">
        <f>Assumptions!C24</f>
        <v>1993.8465416709116</v>
      </c>
      <c r="AF155" s="5">
        <f>IF(Assumptions!D$24=1,0,1)</f>
        <v>1</v>
      </c>
      <c r="AG155" s="73">
        <f>VLOOKUP($C$1,Coal,15)</f>
        <v>0</v>
      </c>
      <c r="AH155" s="16">
        <f>Assumptions!$E$24*Assumptions!H12</f>
        <v>4.2352224987668006</v>
      </c>
      <c r="AI155" s="16">
        <f>Assumptions!$F$24*Assumptions!I12</f>
        <v>3.9414998675294424</v>
      </c>
      <c r="AJ155" s="16">
        <f>VLOOKUP($C$1,SO2Rate,15)</f>
        <v>0</v>
      </c>
      <c r="AK155" s="16">
        <f>VLOOKUP($C$1,NOxRate,15)</f>
        <v>0</v>
      </c>
      <c r="AL155" s="4"/>
    </row>
    <row r="156" spans="1:38" x14ac:dyDescent="0.2">
      <c r="A156" s="1">
        <f t="shared" si="59"/>
        <v>40950.465000000186</v>
      </c>
      <c r="B156" s="16">
        <f t="shared" si="57"/>
        <v>3.7959308034159887</v>
      </c>
      <c r="C156" s="17">
        <f t="shared" si="54"/>
        <v>42.912028558795598</v>
      </c>
      <c r="D156" s="16">
        <f t="shared" si="58"/>
        <v>0.76768746061130155</v>
      </c>
      <c r="E156" s="16">
        <f t="shared" si="55"/>
        <v>0</v>
      </c>
      <c r="F156" s="16">
        <f t="shared" si="56"/>
        <v>0</v>
      </c>
      <c r="G156" s="19">
        <f>IF('Peak Revenue'!$A$1="BL","-",SUM(C156:F156))</f>
        <v>43.679716019406897</v>
      </c>
      <c r="H156" s="197">
        <v>116.74726532738207</v>
      </c>
      <c r="I156" s="197">
        <v>102.54942948098486</v>
      </c>
      <c r="J156" s="197">
        <v>97.827781807842698</v>
      </c>
      <c r="K156" s="197">
        <v>91.101032161248256</v>
      </c>
      <c r="L156" s="197">
        <v>85.615726874316422</v>
      </c>
      <c r="M156" s="197">
        <v>84.948525306334744</v>
      </c>
      <c r="N156" s="197">
        <v>74.639995501293583</v>
      </c>
      <c r="O156" s="197">
        <v>57.879810484065409</v>
      </c>
      <c r="P156" s="197">
        <v>48.035070253966651</v>
      </c>
      <c r="Q156" s="197">
        <v>45.69337356780418</v>
      </c>
      <c r="R156" s="197">
        <v>41.766334932207343</v>
      </c>
      <c r="S156" s="197">
        <v>41.402223171628634</v>
      </c>
      <c r="T156" s="197">
        <v>41.204208203489188</v>
      </c>
      <c r="U156" s="197">
        <v>40.960747821406549</v>
      </c>
      <c r="V156" s="197">
        <v>40.861099538486002</v>
      </c>
      <c r="W156" s="197">
        <v>40.861031379715811</v>
      </c>
      <c r="X156" s="197">
        <v>38.748688359627543</v>
      </c>
      <c r="Y156" s="197">
        <v>35.140988079169134</v>
      </c>
      <c r="Z156" s="197">
        <v>33.430375397130838</v>
      </c>
      <c r="AA156" s="197">
        <v>31.076464030516775</v>
      </c>
      <c r="AB156" s="16">
        <f>AB155*(1+Assumptions!$L$13/12)</f>
        <v>0.76768746061130155</v>
      </c>
      <c r="AC156" s="16">
        <f>AC155</f>
        <v>0</v>
      </c>
      <c r="AD156" s="18">
        <f>AD155</f>
        <v>583.38187908572775</v>
      </c>
      <c r="AE156" s="18">
        <f>AE155</f>
        <v>1993.8465416709116</v>
      </c>
      <c r="AF156" s="5">
        <f>IF(Assumptions!D$24=1,0,1)</f>
        <v>1</v>
      </c>
      <c r="AG156" s="73">
        <f>AG155</f>
        <v>0</v>
      </c>
      <c r="AH156" s="16">
        <f>Assumptions!$E$24*Assumptions!H13</f>
        <v>3.7959308034159887</v>
      </c>
      <c r="AI156" s="16">
        <f>Assumptions!$F$24*Assumptions!I13</f>
        <v>3.9050044983856513</v>
      </c>
      <c r="AJ156" s="16">
        <f>AJ155</f>
        <v>0</v>
      </c>
      <c r="AK156" s="16">
        <f>AK155</f>
        <v>0</v>
      </c>
      <c r="AL156" s="4"/>
    </row>
    <row r="157" spans="1:38" x14ac:dyDescent="0.2">
      <c r="A157" s="1">
        <f t="shared" si="59"/>
        <v>40980.882000000187</v>
      </c>
      <c r="B157" s="16">
        <f t="shared" si="57"/>
        <v>3.7321020955445037</v>
      </c>
      <c r="C157" s="17">
        <f t="shared" si="54"/>
        <v>42.19046131299983</v>
      </c>
      <c r="D157" s="16">
        <f t="shared" si="58"/>
        <v>0.76896693971232044</v>
      </c>
      <c r="E157" s="16">
        <f t="shared" si="55"/>
        <v>0</v>
      </c>
      <c r="F157" s="16">
        <f t="shared" si="56"/>
        <v>0</v>
      </c>
      <c r="G157" s="19">
        <f>IF('Peak Revenue'!$A$1="BL","-",SUM(C157:F157))</f>
        <v>42.959428252712151</v>
      </c>
      <c r="H157" s="197">
        <v>106.08524223961545</v>
      </c>
      <c r="I157" s="197">
        <v>93.855913290547974</v>
      </c>
      <c r="J157" s="197">
        <v>89.538848825766891</v>
      </c>
      <c r="K157" s="197">
        <v>83.649045506607493</v>
      </c>
      <c r="L157" s="197">
        <v>78.462418109163778</v>
      </c>
      <c r="M157" s="197">
        <v>78.144786871768275</v>
      </c>
      <c r="N157" s="197">
        <v>67.265039771490876</v>
      </c>
      <c r="O157" s="197">
        <v>53.915614759077172</v>
      </c>
      <c r="P157" s="197">
        <v>44.474216495366093</v>
      </c>
      <c r="Q157" s="197">
        <v>44.062541496120708</v>
      </c>
      <c r="R157" s="197">
        <v>40.870214244876863</v>
      </c>
      <c r="S157" s="197">
        <v>38.5395007982005</v>
      </c>
      <c r="T157" s="197">
        <v>38.190640227854999</v>
      </c>
      <c r="U157" s="197">
        <v>37.823806687179015</v>
      </c>
      <c r="V157" s="197">
        <v>37.823806687179015</v>
      </c>
      <c r="W157" s="197">
        <v>37.823479065941108</v>
      </c>
      <c r="X157" s="197">
        <v>37.822697097807435</v>
      </c>
      <c r="Y157" s="197">
        <v>37.238169625337846</v>
      </c>
      <c r="Z157" s="197">
        <v>35.051473330062926</v>
      </c>
      <c r="AA157" s="197">
        <v>31.422966110598868</v>
      </c>
      <c r="AB157" s="16">
        <f>AB156*(1+Assumptions!$L$13/12)</f>
        <v>0.76896693971232044</v>
      </c>
      <c r="AC157" s="16">
        <f t="shared" ref="AC157:AC166" si="64">AC156</f>
        <v>0</v>
      </c>
      <c r="AD157" s="18">
        <f t="shared" ref="AD157:AE166" si="65">AD156</f>
        <v>583.38187908572775</v>
      </c>
      <c r="AE157" s="18">
        <f t="shared" si="65"/>
        <v>1993.8465416709116</v>
      </c>
      <c r="AF157" s="5">
        <f>IF(Assumptions!D$24=1,0,1)</f>
        <v>1</v>
      </c>
      <c r="AG157" s="73">
        <f t="shared" ref="AG157:AG166" si="66">AG156</f>
        <v>0</v>
      </c>
      <c r="AH157" s="16">
        <f>Assumptions!$E$24*Assumptions!H14</f>
        <v>3.7321020955445037</v>
      </c>
      <c r="AI157" s="16">
        <f>Assumptions!$F$24*Assumptions!I14</f>
        <v>3.7590230218104868</v>
      </c>
      <c r="AJ157" s="16">
        <f t="shared" ref="AJ157:AK166" si="67">AJ156</f>
        <v>0</v>
      </c>
      <c r="AK157" s="16">
        <f t="shared" si="67"/>
        <v>0</v>
      </c>
      <c r="AL157" s="4"/>
    </row>
    <row r="158" spans="1:38" x14ac:dyDescent="0.2">
      <c r="A158" s="1">
        <f t="shared" si="59"/>
        <v>41011.299000000188</v>
      </c>
      <c r="B158" s="16">
        <f t="shared" si="57"/>
        <v>3.5481252316796335</v>
      </c>
      <c r="C158" s="17">
        <f t="shared" si="54"/>
        <v>40.110649839823779</v>
      </c>
      <c r="D158" s="16">
        <f t="shared" si="58"/>
        <v>0.77024855127850766</v>
      </c>
      <c r="E158" s="16">
        <f t="shared" si="55"/>
        <v>0</v>
      </c>
      <c r="F158" s="16">
        <f t="shared" si="56"/>
        <v>0</v>
      </c>
      <c r="G158" s="19">
        <f>IF('Peak Revenue'!$A$1="BL","-",SUM(C158:F158))</f>
        <v>40.880898391102285</v>
      </c>
      <c r="H158" s="197">
        <v>79.499188281107266</v>
      </c>
      <c r="I158" s="197">
        <v>77.846372079782611</v>
      </c>
      <c r="J158" s="197">
        <v>77.846372079782611</v>
      </c>
      <c r="K158" s="197">
        <v>71.499352714787292</v>
      </c>
      <c r="L158" s="197">
        <v>54.227077896561269</v>
      </c>
      <c r="M158" s="197">
        <v>50.231505844310767</v>
      </c>
      <c r="N158" s="197">
        <v>43.913690053752688</v>
      </c>
      <c r="O158" s="197">
        <v>43.587721450948486</v>
      </c>
      <c r="P158" s="197">
        <v>40.556287058541244</v>
      </c>
      <c r="Q158" s="197">
        <v>39.028680173224444</v>
      </c>
      <c r="R158" s="197">
        <v>38.373600363940525</v>
      </c>
      <c r="S158" s="197">
        <v>37.967651696111027</v>
      </c>
      <c r="T158" s="197">
        <v>37.835878567046507</v>
      </c>
      <c r="U158" s="197">
        <v>37.835878567046507</v>
      </c>
      <c r="V158" s="197">
        <v>37.54751845808488</v>
      </c>
      <c r="W158" s="197">
        <v>37.525588353804373</v>
      </c>
      <c r="X158" s="197">
        <v>37.525588353804373</v>
      </c>
      <c r="Y158" s="197">
        <v>37.525588353804373</v>
      </c>
      <c r="Z158" s="197">
        <v>37.525508874649844</v>
      </c>
      <c r="AA158" s="197">
        <v>34.638516732444501</v>
      </c>
      <c r="AB158" s="16">
        <f>AB157*(1+Assumptions!$L$13/12)</f>
        <v>0.77024855127850766</v>
      </c>
      <c r="AC158" s="16">
        <f t="shared" si="64"/>
        <v>0</v>
      </c>
      <c r="AD158" s="18">
        <f t="shared" si="65"/>
        <v>583.38187908572775</v>
      </c>
      <c r="AE158" s="18">
        <f t="shared" si="65"/>
        <v>1993.8465416709116</v>
      </c>
      <c r="AF158" s="5">
        <f>IF(Assumptions!D$24=1,0,1)</f>
        <v>1</v>
      </c>
      <c r="AG158" s="73">
        <f t="shared" si="66"/>
        <v>0</v>
      </c>
      <c r="AH158" s="16">
        <f>Assumptions!$E$24*Assumptions!H15</f>
        <v>3.5481252316796335</v>
      </c>
      <c r="AI158" s="16">
        <f>Assumptions!$F$24*Assumptions!I15</f>
        <v>3.6130415452353222</v>
      </c>
      <c r="AJ158" s="16">
        <f t="shared" si="67"/>
        <v>0</v>
      </c>
      <c r="AK158" s="16">
        <f t="shared" si="67"/>
        <v>0</v>
      </c>
      <c r="AL158" s="4"/>
    </row>
    <row r="159" spans="1:38" x14ac:dyDescent="0.2">
      <c r="A159" s="1">
        <f t="shared" si="59"/>
        <v>41041.71600000019</v>
      </c>
      <c r="B159" s="16">
        <f t="shared" si="57"/>
        <v>3.7358567254192967</v>
      </c>
      <c r="C159" s="17">
        <f t="shared" si="54"/>
        <v>42.232906445105463</v>
      </c>
      <c r="D159" s="16">
        <f t="shared" si="58"/>
        <v>0.7715322988639719</v>
      </c>
      <c r="E159" s="16">
        <f t="shared" si="55"/>
        <v>0</v>
      </c>
      <c r="F159" s="16">
        <f t="shared" si="56"/>
        <v>0</v>
      </c>
      <c r="G159" s="19">
        <f>IF('Peak Revenue'!$A$1="BL","-",SUM(C159:F159))</f>
        <v>43.004438743969438</v>
      </c>
      <c r="H159" s="197">
        <v>155.15641540975386</v>
      </c>
      <c r="I159" s="197">
        <v>133.47859990904385</v>
      </c>
      <c r="J159" s="197">
        <v>83.364089370712364</v>
      </c>
      <c r="K159" s="197">
        <v>72.43039993990935</v>
      </c>
      <c r="L159" s="197">
        <v>68.463294593411234</v>
      </c>
      <c r="M159" s="197">
        <v>63.604487820680689</v>
      </c>
      <c r="N159" s="197">
        <v>62.247578814494872</v>
      </c>
      <c r="O159" s="197">
        <v>51.350398654423408</v>
      </c>
      <c r="P159" s="197">
        <v>43.536349881404142</v>
      </c>
      <c r="Q159" s="197">
        <v>36.8163202813247</v>
      </c>
      <c r="R159" s="197">
        <v>35.571787132394519</v>
      </c>
      <c r="S159" s="197">
        <v>34.877770894105957</v>
      </c>
      <c r="T159" s="197">
        <v>33.201570777894759</v>
      </c>
      <c r="U159" s="197">
        <v>32.130237995223034</v>
      </c>
      <c r="V159" s="197">
        <v>31.099168162975975</v>
      </c>
      <c r="W159" s="197">
        <v>30.927510894303246</v>
      </c>
      <c r="X159" s="197">
        <v>30.772766587156898</v>
      </c>
      <c r="Y159" s="197">
        <v>30.69830647161216</v>
      </c>
      <c r="Z159" s="197">
        <v>29.645588613872771</v>
      </c>
      <c r="AA159" s="197">
        <v>26.180342438013913</v>
      </c>
      <c r="AB159" s="16">
        <f>AB158*(1+Assumptions!$L$13/12)</f>
        <v>0.7715322988639719</v>
      </c>
      <c r="AC159" s="16">
        <f t="shared" si="64"/>
        <v>0</v>
      </c>
      <c r="AD159" s="18">
        <f t="shared" si="65"/>
        <v>583.38187908572775</v>
      </c>
      <c r="AE159" s="18">
        <f t="shared" si="65"/>
        <v>1993.8465416709116</v>
      </c>
      <c r="AF159" s="5">
        <v>1</v>
      </c>
      <c r="AG159" s="73">
        <f t="shared" si="66"/>
        <v>0</v>
      </c>
      <c r="AH159" s="16">
        <f>Assumptions!$E$24*Assumptions!H16</f>
        <v>3.7358567254192967</v>
      </c>
      <c r="AI159" s="16">
        <f>Assumptions!$F$24*Assumptions!I16</f>
        <v>3.4670600686601576</v>
      </c>
      <c r="AJ159" s="16">
        <f t="shared" si="67"/>
        <v>0</v>
      </c>
      <c r="AK159" s="16">
        <f t="shared" si="67"/>
        <v>0</v>
      </c>
      <c r="AL159" s="4"/>
    </row>
    <row r="160" spans="1:38" x14ac:dyDescent="0.2">
      <c r="A160" s="1">
        <f t="shared" si="59"/>
        <v>41072.133000000191</v>
      </c>
      <c r="B160" s="16">
        <f t="shared" si="57"/>
        <v>3.5593891213040134</v>
      </c>
      <c r="C160" s="17">
        <f t="shared" si="54"/>
        <v>40.237985236140688</v>
      </c>
      <c r="D160" s="16">
        <f t="shared" si="58"/>
        <v>0.77281818602874519</v>
      </c>
      <c r="E160" s="16">
        <f t="shared" si="55"/>
        <v>0</v>
      </c>
      <c r="F160" s="16">
        <f t="shared" si="56"/>
        <v>0</v>
      </c>
      <c r="G160" s="19">
        <f>IF('Peak Revenue'!$A$1="BL","-",SUM(C160:F160))</f>
        <v>41.010803422169431</v>
      </c>
      <c r="H160" s="197">
        <v>193.41396022699371</v>
      </c>
      <c r="I160" s="197">
        <v>175.45002272086407</v>
      </c>
      <c r="J160" s="197">
        <v>160.13783305695773</v>
      </c>
      <c r="K160" s="197">
        <v>134.013322525219</v>
      </c>
      <c r="L160" s="197">
        <v>89.996429713672441</v>
      </c>
      <c r="M160" s="197">
        <v>78.377258606598787</v>
      </c>
      <c r="N160" s="197">
        <v>52.780794870434114</v>
      </c>
      <c r="O160" s="197">
        <v>46.764066941035395</v>
      </c>
      <c r="P160" s="197">
        <v>41.936270770363059</v>
      </c>
      <c r="Q160" s="197">
        <v>41.308021736294535</v>
      </c>
      <c r="R160" s="197">
        <v>40.902587286563993</v>
      </c>
      <c r="S160" s="197">
        <v>40.154797172001366</v>
      </c>
      <c r="T160" s="197">
        <v>37.600475154500266</v>
      </c>
      <c r="U160" s="197">
        <v>36.06618054811743</v>
      </c>
      <c r="V160" s="197">
        <v>34.443721848577802</v>
      </c>
      <c r="W160" s="197">
        <v>33.598235725127381</v>
      </c>
      <c r="X160" s="197">
        <v>32.878663774958916</v>
      </c>
      <c r="Y160" s="197">
        <v>31.983337340474197</v>
      </c>
      <c r="Z160" s="197">
        <v>30.471569911889283</v>
      </c>
      <c r="AA160" s="197">
        <v>27.435421757011238</v>
      </c>
      <c r="AB160" s="16">
        <f>AB159*(1+Assumptions!$L$13/12)</f>
        <v>0.77281818602874519</v>
      </c>
      <c r="AC160" s="16">
        <f t="shared" si="64"/>
        <v>0</v>
      </c>
      <c r="AD160" s="18">
        <f t="shared" si="65"/>
        <v>583.38187908572775</v>
      </c>
      <c r="AE160" s="18">
        <f t="shared" si="65"/>
        <v>1993.8465416709116</v>
      </c>
      <c r="AF160" s="5">
        <v>1</v>
      </c>
      <c r="AG160" s="73">
        <f t="shared" si="66"/>
        <v>0</v>
      </c>
      <c r="AH160" s="16">
        <f>Assumptions!$E$24*Assumptions!H17</f>
        <v>3.5593891213040134</v>
      </c>
      <c r="AI160" s="16">
        <f>Assumptions!$F$24*Assumptions!I17</f>
        <v>3.4670600686601576</v>
      </c>
      <c r="AJ160" s="16">
        <f t="shared" si="67"/>
        <v>0</v>
      </c>
      <c r="AK160" s="16">
        <f t="shared" si="67"/>
        <v>0</v>
      </c>
      <c r="AL160" s="4"/>
    </row>
    <row r="161" spans="1:38" x14ac:dyDescent="0.2">
      <c r="A161" s="1">
        <f t="shared" si="59"/>
        <v>41102.550000000192</v>
      </c>
      <c r="B161" s="16">
        <f t="shared" si="57"/>
        <v>3.5481252316796335</v>
      </c>
      <c r="C161" s="17">
        <f t="shared" si="54"/>
        <v>40.110649839823779</v>
      </c>
      <c r="D161" s="16">
        <f t="shared" si="58"/>
        <v>0.77410621633879317</v>
      </c>
      <c r="E161" s="16">
        <f t="shared" si="55"/>
        <v>0</v>
      </c>
      <c r="F161" s="16">
        <f t="shared" si="56"/>
        <v>0</v>
      </c>
      <c r="G161" s="19">
        <f>IF('Peak Revenue'!$A$1="BL","-",SUM(C161:F161))</f>
        <v>40.884756056162573</v>
      </c>
      <c r="H161" s="197">
        <v>227.84862916884771</v>
      </c>
      <c r="I161" s="197">
        <v>200.27690175261336</v>
      </c>
      <c r="J161" s="197">
        <v>181.31802141756731</v>
      </c>
      <c r="K161" s="197">
        <v>160.22339857620062</v>
      </c>
      <c r="L161" s="197">
        <v>146.10840201860879</v>
      </c>
      <c r="M161" s="197">
        <v>99.780406367115887</v>
      </c>
      <c r="N161" s="197">
        <v>84.72791395108068</v>
      </c>
      <c r="O161" s="197">
        <v>80.682389194499834</v>
      </c>
      <c r="P161" s="197">
        <v>69.872720258240818</v>
      </c>
      <c r="Q161" s="197">
        <v>53.732029536383678</v>
      </c>
      <c r="R161" s="197">
        <v>45.610982419180246</v>
      </c>
      <c r="S161" s="197">
        <v>43.78033070851297</v>
      </c>
      <c r="T161" s="197">
        <v>40.555614081283736</v>
      </c>
      <c r="U161" s="197">
        <v>39.501525962796777</v>
      </c>
      <c r="V161" s="197">
        <v>39.277136673946949</v>
      </c>
      <c r="W161" s="197">
        <v>39.263103594550714</v>
      </c>
      <c r="X161" s="197">
        <v>38.958339167204549</v>
      </c>
      <c r="Y161" s="197">
        <v>38.913297276288056</v>
      </c>
      <c r="Z161" s="197">
        <v>38.634598376436251</v>
      </c>
      <c r="AA161" s="197">
        <v>34.873943583409869</v>
      </c>
      <c r="AB161" s="16">
        <f>AB160*(1+Assumptions!$L$13/12)</f>
        <v>0.77410621633879317</v>
      </c>
      <c r="AC161" s="16">
        <f t="shared" si="64"/>
        <v>0</v>
      </c>
      <c r="AD161" s="18">
        <f t="shared" si="65"/>
        <v>583.38187908572775</v>
      </c>
      <c r="AE161" s="18">
        <f t="shared" si="65"/>
        <v>1993.8465416709116</v>
      </c>
      <c r="AF161" s="5">
        <v>1</v>
      </c>
      <c r="AG161" s="73">
        <f t="shared" si="66"/>
        <v>0</v>
      </c>
      <c r="AH161" s="16">
        <f>Assumptions!$E$24*Assumptions!H18</f>
        <v>3.5481252316796335</v>
      </c>
      <c r="AI161" s="16">
        <f>Assumptions!$F$24*Assumptions!I18</f>
        <v>3.4670600686601576</v>
      </c>
      <c r="AJ161" s="16">
        <f t="shared" si="67"/>
        <v>0</v>
      </c>
      <c r="AK161" s="16">
        <f t="shared" si="67"/>
        <v>0</v>
      </c>
      <c r="AL161" s="4"/>
    </row>
    <row r="162" spans="1:38" x14ac:dyDescent="0.2">
      <c r="A162" s="1">
        <f t="shared" si="59"/>
        <v>41132.967000000193</v>
      </c>
      <c r="B162" s="16">
        <f t="shared" si="57"/>
        <v>3.3641483678147637</v>
      </c>
      <c r="C162" s="17">
        <f t="shared" si="54"/>
        <v>38.030838366647735</v>
      </c>
      <c r="D162" s="16">
        <f t="shared" si="58"/>
        <v>0.77539639336602451</v>
      </c>
      <c r="E162" s="16">
        <f t="shared" si="55"/>
        <v>0</v>
      </c>
      <c r="F162" s="16">
        <f t="shared" si="56"/>
        <v>0</v>
      </c>
      <c r="G162" s="19">
        <f>IF('Peak Revenue'!$A$1="BL","-",SUM(C162:F162))</f>
        <v>38.806234760013758</v>
      </c>
      <c r="H162" s="197">
        <v>454.14938756880395</v>
      </c>
      <c r="I162" s="197">
        <v>290.03607276374976</v>
      </c>
      <c r="J162" s="197">
        <v>242.26371480781131</v>
      </c>
      <c r="K162" s="197">
        <v>207.85361151623783</v>
      </c>
      <c r="L162" s="197">
        <v>180.5851462266821</v>
      </c>
      <c r="M162" s="197">
        <v>156.77382073319328</v>
      </c>
      <c r="N162" s="197">
        <v>104.49636490074205</v>
      </c>
      <c r="O162" s="197">
        <v>57.479641204128299</v>
      </c>
      <c r="P162" s="197">
        <v>49.125231532201255</v>
      </c>
      <c r="Q162" s="197">
        <v>45.077428574058985</v>
      </c>
      <c r="R162" s="197">
        <v>42.374763034030742</v>
      </c>
      <c r="S162" s="197">
        <v>38.904402211568815</v>
      </c>
      <c r="T162" s="197">
        <v>36.242303683143462</v>
      </c>
      <c r="U162" s="197">
        <v>34.606593865541996</v>
      </c>
      <c r="V162" s="197">
        <v>33.346134325633031</v>
      </c>
      <c r="W162" s="197">
        <v>32.482720559594043</v>
      </c>
      <c r="X162" s="197">
        <v>30.430315754955178</v>
      </c>
      <c r="Y162" s="197">
        <v>29.039001683511195</v>
      </c>
      <c r="Z162" s="197">
        <v>28.097863701336298</v>
      </c>
      <c r="AA162" s="197">
        <v>26.658583095990725</v>
      </c>
      <c r="AB162" s="16">
        <f>AB161*(1+Assumptions!$L$13/12)</f>
        <v>0.77539639336602451</v>
      </c>
      <c r="AC162" s="16">
        <f t="shared" si="64"/>
        <v>0</v>
      </c>
      <c r="AD162" s="18">
        <f t="shared" si="65"/>
        <v>583.38187908572775</v>
      </c>
      <c r="AE162" s="18">
        <f t="shared" si="65"/>
        <v>1993.8465416709116</v>
      </c>
      <c r="AF162" s="5">
        <v>1</v>
      </c>
      <c r="AG162" s="73">
        <f t="shared" si="66"/>
        <v>0</v>
      </c>
      <c r="AH162" s="16">
        <f>Assumptions!$E$24*Assumptions!H19</f>
        <v>3.3641483678147637</v>
      </c>
      <c r="AI162" s="16">
        <f>Assumptions!$F$24*Assumptions!I19</f>
        <v>3.4670600686601576</v>
      </c>
      <c r="AJ162" s="16">
        <f t="shared" si="67"/>
        <v>0</v>
      </c>
      <c r="AK162" s="16">
        <f t="shared" si="67"/>
        <v>0</v>
      </c>
      <c r="AL162" s="4"/>
    </row>
    <row r="163" spans="1:38" x14ac:dyDescent="0.2">
      <c r="A163" s="1">
        <f t="shared" si="59"/>
        <v>41163.384000000195</v>
      </c>
      <c r="B163" s="16">
        <f t="shared" si="57"/>
        <v>3.3528844781903842</v>
      </c>
      <c r="C163" s="17">
        <f t="shared" si="54"/>
        <v>37.903502970330841</v>
      </c>
      <c r="D163" s="16">
        <f t="shared" si="58"/>
        <v>0.77668872068830119</v>
      </c>
      <c r="E163" s="16">
        <f t="shared" si="55"/>
        <v>0</v>
      </c>
      <c r="F163" s="16">
        <f t="shared" si="56"/>
        <v>0</v>
      </c>
      <c r="G163" s="19">
        <f>IF('Peak Revenue'!$A$1="BL","-",SUM(C163:F163))</f>
        <v>38.680191691019139</v>
      </c>
      <c r="H163" s="197">
        <v>176.8019585806974</v>
      </c>
      <c r="I163" s="197">
        <v>159.7011453442756</v>
      </c>
      <c r="J163" s="197">
        <v>150.51259114802792</v>
      </c>
      <c r="K163" s="197">
        <v>90.947213013725744</v>
      </c>
      <c r="L163" s="197">
        <v>76.649718108444702</v>
      </c>
      <c r="M163" s="197">
        <v>73.550002279010158</v>
      </c>
      <c r="N163" s="197">
        <v>54.206323554958374</v>
      </c>
      <c r="O163" s="197">
        <v>47.745714881461666</v>
      </c>
      <c r="P163" s="197">
        <v>42.348218859640681</v>
      </c>
      <c r="Q163" s="197">
        <v>41.846944476147904</v>
      </c>
      <c r="R163" s="197">
        <v>40.344741109560928</v>
      </c>
      <c r="S163" s="197">
        <v>39.402590580135623</v>
      </c>
      <c r="T163" s="197">
        <v>37.683033767627286</v>
      </c>
      <c r="U163" s="197">
        <v>36.580858024611764</v>
      </c>
      <c r="V163" s="197">
        <v>36.421419927955455</v>
      </c>
      <c r="W163" s="197">
        <v>36.267432926496653</v>
      </c>
      <c r="X163" s="197">
        <v>36.125285667902652</v>
      </c>
      <c r="Y163" s="197">
        <v>36.125285667902652</v>
      </c>
      <c r="Z163" s="197">
        <v>36.125273990001951</v>
      </c>
      <c r="AA163" s="197">
        <v>34.554802150871957</v>
      </c>
      <c r="AB163" s="16">
        <f>AB162*(1+Assumptions!$L$13/12)</f>
        <v>0.77668872068830119</v>
      </c>
      <c r="AC163" s="16">
        <f t="shared" si="64"/>
        <v>0</v>
      </c>
      <c r="AD163" s="18">
        <f t="shared" si="65"/>
        <v>583.38187908572775</v>
      </c>
      <c r="AE163" s="18">
        <f t="shared" si="65"/>
        <v>1993.8465416709116</v>
      </c>
      <c r="AF163" s="5">
        <v>1</v>
      </c>
      <c r="AG163" s="73">
        <f t="shared" si="66"/>
        <v>0</v>
      </c>
      <c r="AH163" s="16">
        <f>Assumptions!$E$24*Assumptions!H20</f>
        <v>3.3528844781903842</v>
      </c>
      <c r="AI163" s="16">
        <f>Assumptions!$F$24*Assumptions!I20</f>
        <v>3.4670600686601576</v>
      </c>
      <c r="AJ163" s="16">
        <f t="shared" si="67"/>
        <v>0</v>
      </c>
      <c r="AK163" s="16">
        <f t="shared" si="67"/>
        <v>0</v>
      </c>
      <c r="AL163" s="4"/>
    </row>
    <row r="164" spans="1:38" x14ac:dyDescent="0.2">
      <c r="A164" s="1">
        <f t="shared" si="59"/>
        <v>41193.801000000196</v>
      </c>
      <c r="B164" s="16">
        <f t="shared" si="57"/>
        <v>3.7133289461705372</v>
      </c>
      <c r="C164" s="17">
        <f t="shared" si="54"/>
        <v>41.978235652471668</v>
      </c>
      <c r="D164" s="16">
        <f t="shared" si="58"/>
        <v>0.77798320188944836</v>
      </c>
      <c r="E164" s="16">
        <f t="shared" si="55"/>
        <v>0</v>
      </c>
      <c r="F164" s="16">
        <f t="shared" si="56"/>
        <v>0</v>
      </c>
      <c r="G164" s="19">
        <f>IF('Peak Revenue'!$A$1="BL","-",SUM(C164:F164))</f>
        <v>42.756218854361116</v>
      </c>
      <c r="H164" s="197">
        <v>113.9764424835931</v>
      </c>
      <c r="I164" s="197">
        <v>95.726348316431626</v>
      </c>
      <c r="J164" s="197">
        <v>90.032341758727085</v>
      </c>
      <c r="K164" s="197">
        <v>78.984540913025612</v>
      </c>
      <c r="L164" s="197">
        <v>69.387244219364135</v>
      </c>
      <c r="M164" s="197">
        <v>65.083929179109845</v>
      </c>
      <c r="N164" s="197">
        <v>60.304998210874793</v>
      </c>
      <c r="O164" s="197">
        <v>59.720263465376107</v>
      </c>
      <c r="P164" s="197">
        <v>49.597320012292073</v>
      </c>
      <c r="Q164" s="197">
        <v>45.397713357823399</v>
      </c>
      <c r="R164" s="197">
        <v>42.412746353039488</v>
      </c>
      <c r="S164" s="197">
        <v>37.899222099633661</v>
      </c>
      <c r="T164" s="197">
        <v>32.851892060740752</v>
      </c>
      <c r="U164" s="197">
        <v>31.486190284037967</v>
      </c>
      <c r="V164" s="197">
        <v>30.514435321612687</v>
      </c>
      <c r="W164" s="197">
        <v>30.472210713429458</v>
      </c>
      <c r="X164" s="197">
        <v>30.172685520183776</v>
      </c>
      <c r="Y164" s="197">
        <v>29.775148096785124</v>
      </c>
      <c r="Z164" s="197">
        <v>29.775148096785124</v>
      </c>
      <c r="AA164" s="197">
        <v>29.767154027057842</v>
      </c>
      <c r="AB164" s="16">
        <f>AB163*(1+Assumptions!$L$13/12)</f>
        <v>0.77798320188944836</v>
      </c>
      <c r="AC164" s="16">
        <f t="shared" si="64"/>
        <v>0</v>
      </c>
      <c r="AD164" s="18">
        <f t="shared" si="65"/>
        <v>583.38187908572775</v>
      </c>
      <c r="AE164" s="18">
        <f t="shared" si="65"/>
        <v>1993.8465416709116</v>
      </c>
      <c r="AF164" s="5">
        <f>IF(Assumptions!D$24=1,0,1)</f>
        <v>1</v>
      </c>
      <c r="AG164" s="73">
        <f t="shared" si="66"/>
        <v>0</v>
      </c>
      <c r="AH164" s="16">
        <f>Assumptions!$E$24*Assumptions!H21</f>
        <v>3.7133289461705372</v>
      </c>
      <c r="AI164" s="16">
        <f>Assumptions!$F$24*Assumptions!I21</f>
        <v>3.4670600686601576</v>
      </c>
      <c r="AJ164" s="16">
        <f t="shared" si="67"/>
        <v>0</v>
      </c>
      <c r="AK164" s="16">
        <f t="shared" si="67"/>
        <v>0</v>
      </c>
      <c r="AL164" s="4"/>
    </row>
    <row r="165" spans="1:38" x14ac:dyDescent="0.2">
      <c r="A165" s="1">
        <f t="shared" si="59"/>
        <v>41224.218000000197</v>
      </c>
      <c r="B165" s="16">
        <f t="shared" si="57"/>
        <v>4.0662641544011038</v>
      </c>
      <c r="C165" s="17">
        <f t="shared" si="54"/>
        <v>45.968078070401219</v>
      </c>
      <c r="D165" s="16">
        <f t="shared" si="58"/>
        <v>0.77927984055926414</v>
      </c>
      <c r="E165" s="16">
        <f t="shared" si="55"/>
        <v>0</v>
      </c>
      <c r="F165" s="16">
        <f t="shared" si="56"/>
        <v>0</v>
      </c>
      <c r="G165" s="19">
        <f>IF('Peak Revenue'!$A$1="BL","-",SUM(C165:F165))</f>
        <v>46.747357910960481</v>
      </c>
      <c r="H165" s="197">
        <v>150.94312074135209</v>
      </c>
      <c r="I165" s="197">
        <v>141.87364004814847</v>
      </c>
      <c r="J165" s="197">
        <v>117.83406294120584</v>
      </c>
      <c r="K165" s="197">
        <v>86.004926470161351</v>
      </c>
      <c r="L165" s="197">
        <v>76.644330463569943</v>
      </c>
      <c r="M165" s="197">
        <v>73.049881675657758</v>
      </c>
      <c r="N165" s="197">
        <v>66.029839536720885</v>
      </c>
      <c r="O165" s="197">
        <v>51.776036292460311</v>
      </c>
      <c r="P165" s="197">
        <v>51.389700393309155</v>
      </c>
      <c r="Q165" s="197">
        <v>50.223365628530118</v>
      </c>
      <c r="R165" s="197">
        <v>41.575141531708766</v>
      </c>
      <c r="S165" s="197">
        <v>40.706317905344122</v>
      </c>
      <c r="T165" s="197">
        <v>37.089893689292509</v>
      </c>
      <c r="U165" s="197">
        <v>36.100443176539784</v>
      </c>
      <c r="V165" s="197">
        <v>35.845602208937706</v>
      </c>
      <c r="W165" s="197">
        <v>35.796159189260322</v>
      </c>
      <c r="X165" s="197">
        <v>35.796159189260322</v>
      </c>
      <c r="Y165" s="197">
        <v>35.744139678765748</v>
      </c>
      <c r="Z165" s="197">
        <v>35.222548354049643</v>
      </c>
      <c r="AA165" s="197">
        <v>34.593899620999487</v>
      </c>
      <c r="AB165" s="16">
        <f>AB164*(1+Assumptions!$L$13/12)</f>
        <v>0.77927984055926414</v>
      </c>
      <c r="AC165" s="16">
        <f t="shared" si="64"/>
        <v>0</v>
      </c>
      <c r="AD165" s="18">
        <f t="shared" si="65"/>
        <v>583.38187908572775</v>
      </c>
      <c r="AE165" s="18">
        <f t="shared" si="65"/>
        <v>1993.8465416709116</v>
      </c>
      <c r="AF165" s="5">
        <f>IF(Assumptions!D$24=1,0,1)</f>
        <v>1</v>
      </c>
      <c r="AG165" s="73">
        <f t="shared" si="66"/>
        <v>0</v>
      </c>
      <c r="AH165" s="16">
        <f>Assumptions!$E$24*Assumptions!H22</f>
        <v>4.0662641544011038</v>
      </c>
      <c r="AI165" s="16">
        <f>Assumptions!$F$24*Assumptions!I22</f>
        <v>3.7590230218104868</v>
      </c>
      <c r="AJ165" s="16">
        <f t="shared" si="67"/>
        <v>0</v>
      </c>
      <c r="AK165" s="16">
        <f t="shared" si="67"/>
        <v>0</v>
      </c>
      <c r="AL165" s="4"/>
    </row>
    <row r="166" spans="1:38" x14ac:dyDescent="0.2">
      <c r="A166" s="1">
        <f t="shared" si="59"/>
        <v>41254.635000000198</v>
      </c>
      <c r="B166" s="16">
        <f t="shared" si="57"/>
        <v>4.4004262132577043</v>
      </c>
      <c r="C166" s="17">
        <f t="shared" si="54"/>
        <v>49.745694827802623</v>
      </c>
      <c r="D166" s="16">
        <f t="shared" si="58"/>
        <v>0.78057864029352964</v>
      </c>
      <c r="E166" s="16">
        <f t="shared" si="55"/>
        <v>0</v>
      </c>
      <c r="F166" s="16">
        <f t="shared" si="56"/>
        <v>0</v>
      </c>
      <c r="G166" s="19">
        <f>IF('Peak Revenue'!$A$1="BL","-",SUM(C166:F166))</f>
        <v>50.52627346809615</v>
      </c>
      <c r="H166" s="197">
        <v>151.55627780310641</v>
      </c>
      <c r="I166" s="197">
        <v>148.07690728240505</v>
      </c>
      <c r="J166" s="197">
        <v>102.49287749641624</v>
      </c>
      <c r="K166" s="197">
        <v>93.011128274355002</v>
      </c>
      <c r="L166" s="197">
        <v>87.067592105519381</v>
      </c>
      <c r="M166" s="197">
        <v>84.029523567702384</v>
      </c>
      <c r="N166" s="197">
        <v>82.463495726401447</v>
      </c>
      <c r="O166" s="197">
        <v>68.281487727704999</v>
      </c>
      <c r="P166" s="197">
        <v>57.14464164778186</v>
      </c>
      <c r="Q166" s="197">
        <v>47.686365273820833</v>
      </c>
      <c r="R166" s="197">
        <v>46.80022528618602</v>
      </c>
      <c r="S166" s="197">
        <v>41.645760666771153</v>
      </c>
      <c r="T166" s="197">
        <v>41.036742651639223</v>
      </c>
      <c r="U166" s="197">
        <v>41.036742651639223</v>
      </c>
      <c r="V166" s="197">
        <v>41.036742651639223</v>
      </c>
      <c r="W166" s="197">
        <v>41.036742651639223</v>
      </c>
      <c r="X166" s="197">
        <v>40.705390418143573</v>
      </c>
      <c r="Y166" s="197">
        <v>40.698734579925976</v>
      </c>
      <c r="Z166" s="197">
        <v>40.698734579925976</v>
      </c>
      <c r="AA166" s="197">
        <v>37.37936014422511</v>
      </c>
      <c r="AB166" s="16">
        <f>AB165*(1+Assumptions!$L$13/12)</f>
        <v>0.78057864029352964</v>
      </c>
      <c r="AC166" s="16">
        <f t="shared" si="64"/>
        <v>0</v>
      </c>
      <c r="AD166" s="18">
        <f t="shared" si="65"/>
        <v>583.38187908572775</v>
      </c>
      <c r="AE166" s="18">
        <f t="shared" si="65"/>
        <v>1993.8465416709116</v>
      </c>
      <c r="AF166" s="5">
        <f>IF(Assumptions!D$24=1,0,1)</f>
        <v>1</v>
      </c>
      <c r="AG166" s="73">
        <f t="shared" si="66"/>
        <v>0</v>
      </c>
      <c r="AH166" s="16">
        <f>Assumptions!$E$24*Assumptions!H23</f>
        <v>4.4004262132577043</v>
      </c>
      <c r="AI166" s="16">
        <f>Assumptions!$F$24*Assumptions!I23</f>
        <v>3.9414998675294424</v>
      </c>
      <c r="AJ166" s="16">
        <f t="shared" si="67"/>
        <v>0</v>
      </c>
      <c r="AK166" s="16">
        <f t="shared" si="67"/>
        <v>0</v>
      </c>
      <c r="AL166" s="4"/>
    </row>
    <row r="167" spans="1:38" x14ac:dyDescent="0.2">
      <c r="A167" s="1">
        <f t="shared" si="59"/>
        <v>41285.0520000002</v>
      </c>
      <c r="B167" s="16">
        <f t="shared" si="57"/>
        <v>4.4208538096916277</v>
      </c>
      <c r="C167" s="17">
        <f t="shared" si="54"/>
        <v>49.976623589931584</v>
      </c>
      <c r="D167" s="16">
        <f t="shared" si="58"/>
        <v>0.78187960469401885</v>
      </c>
      <c r="E167" s="16">
        <f t="shared" si="55"/>
        <v>0</v>
      </c>
      <c r="F167" s="16">
        <f t="shared" si="56"/>
        <v>0</v>
      </c>
      <c r="G167" s="19">
        <f>IF('Peak Revenue'!$A$1="BL","-",SUM(C167:F167))</f>
        <v>50.758503194625604</v>
      </c>
      <c r="H167" s="197">
        <v>106.12619029558753</v>
      </c>
      <c r="I167" s="197">
        <v>102.51069987331269</v>
      </c>
      <c r="J167" s="197">
        <v>98.122766843722871</v>
      </c>
      <c r="K167" s="197">
        <v>93.81794732113832</v>
      </c>
      <c r="L167" s="197">
        <v>93.600351090235961</v>
      </c>
      <c r="M167" s="197">
        <v>87.240003831409297</v>
      </c>
      <c r="N167" s="197">
        <v>63.624450731978321</v>
      </c>
      <c r="O167" s="197">
        <v>57.03791724863104</v>
      </c>
      <c r="P167" s="197">
        <v>52.29446650583639</v>
      </c>
      <c r="Q167" s="197">
        <v>44.884107361873056</v>
      </c>
      <c r="R167" s="197">
        <v>44.884107361873056</v>
      </c>
      <c r="S167" s="197">
        <v>44.884107361873056</v>
      </c>
      <c r="T167" s="197">
        <v>44.883975991450939</v>
      </c>
      <c r="U167" s="197">
        <v>44.506032806250929</v>
      </c>
      <c r="V167" s="197">
        <v>44.504710288822203</v>
      </c>
      <c r="W167" s="197">
        <v>44.504710288822203</v>
      </c>
      <c r="X167" s="197">
        <v>44.504710288822203</v>
      </c>
      <c r="Y167" s="197">
        <v>44.504688158917631</v>
      </c>
      <c r="Z167" s="197">
        <v>44.504550516071816</v>
      </c>
      <c r="AA167" s="197">
        <v>37.573813892644687</v>
      </c>
      <c r="AB167" s="16">
        <f>AB166*(1+Assumptions!$L$13/12)</f>
        <v>0.78187960469401885</v>
      </c>
      <c r="AC167" s="16">
        <f>VLOOKUP($C$1,EnvVOM,16)</f>
        <v>0</v>
      </c>
      <c r="AD167" s="18">
        <f>Assumptions!B25</f>
        <v>654.12455073352146</v>
      </c>
      <c r="AE167" s="18">
        <f>Assumptions!C25</f>
        <v>1780.92328465844</v>
      </c>
      <c r="AF167" s="5">
        <f>IF(Assumptions!D$25=1,0,1)</f>
        <v>1</v>
      </c>
      <c r="AG167" s="73">
        <f>VLOOKUP($C$1,Coal,16)</f>
        <v>0</v>
      </c>
      <c r="AH167" s="16">
        <f>Assumptions!$E$25*Assumptions!H12</f>
        <v>4.4208538096916277</v>
      </c>
      <c r="AI167" s="16">
        <f>Assumptions!$F$25*Assumptions!I12</f>
        <v>4.1231816791224452</v>
      </c>
      <c r="AJ167" s="16">
        <f>VLOOKUP($C$1,SO2Rate,16)</f>
        <v>0</v>
      </c>
      <c r="AK167" s="16">
        <f>VLOOKUP($C$1,NOxRate,16)</f>
        <v>0</v>
      </c>
      <c r="AL167" s="4"/>
    </row>
    <row r="168" spans="1:38" x14ac:dyDescent="0.2">
      <c r="A168" s="1">
        <f t="shared" si="59"/>
        <v>41315.469000000201</v>
      </c>
      <c r="B168" s="16">
        <f t="shared" si="57"/>
        <v>3.9623078028353156</v>
      </c>
      <c r="C168" s="17">
        <f t="shared" si="54"/>
        <v>44.7928780579972</v>
      </c>
      <c r="D168" s="16">
        <f t="shared" si="58"/>
        <v>0.78318273736850896</v>
      </c>
      <c r="E168" s="16">
        <f t="shared" si="55"/>
        <v>0</v>
      </c>
      <c r="F168" s="16">
        <f t="shared" si="56"/>
        <v>0</v>
      </c>
      <c r="G168" s="19">
        <f>IF('Peak Revenue'!$A$1="BL","-",SUM(C168:F168))</f>
        <v>45.576060795365706</v>
      </c>
      <c r="H168" s="197">
        <v>151.79412228291909</v>
      </c>
      <c r="I168" s="197">
        <v>133.19880500863957</v>
      </c>
      <c r="J168" s="197">
        <v>96.077602482325162</v>
      </c>
      <c r="K168" s="197">
        <v>80.664747690849907</v>
      </c>
      <c r="L168" s="197">
        <v>75.75716139465878</v>
      </c>
      <c r="M168" s="197">
        <v>70.545563342924353</v>
      </c>
      <c r="N168" s="197">
        <v>66.054733208214245</v>
      </c>
      <c r="O168" s="197">
        <v>65.723298501791106</v>
      </c>
      <c r="P168" s="197">
        <v>60.221955529800674</v>
      </c>
      <c r="Q168" s="197">
        <v>46.840869945777683</v>
      </c>
      <c r="R168" s="197">
        <v>45.156117074188117</v>
      </c>
      <c r="S168" s="197">
        <v>40.863585989495718</v>
      </c>
      <c r="T168" s="197">
        <v>38.725340015393087</v>
      </c>
      <c r="U168" s="197">
        <v>37.720555375358394</v>
      </c>
      <c r="V168" s="197">
        <v>37.457670360863801</v>
      </c>
      <c r="W168" s="197">
        <v>37.027424641575514</v>
      </c>
      <c r="X168" s="197">
        <v>36.0558100360089</v>
      </c>
      <c r="Y168" s="197">
        <v>35.219147083769741</v>
      </c>
      <c r="Z168" s="197">
        <v>33.701301137199707</v>
      </c>
      <c r="AA168" s="197">
        <v>32.672672087765861</v>
      </c>
      <c r="AB168" s="16">
        <f>AB167*(1+Assumptions!$L$13/12)</f>
        <v>0.78318273736850896</v>
      </c>
      <c r="AC168" s="16">
        <f>AC167</f>
        <v>0</v>
      </c>
      <c r="AD168" s="18">
        <f>AD167</f>
        <v>654.12455073352146</v>
      </c>
      <c r="AE168" s="18">
        <f>AE167</f>
        <v>1780.92328465844</v>
      </c>
      <c r="AF168" s="5">
        <f>IF(Assumptions!D$25=1,0,1)</f>
        <v>1</v>
      </c>
      <c r="AG168" s="73">
        <f>AG167</f>
        <v>0</v>
      </c>
      <c r="AH168" s="16">
        <f>Assumptions!$E$25*Assumptions!H13</f>
        <v>3.9623078028353156</v>
      </c>
      <c r="AI168" s="16">
        <f>Assumptions!$F$25*Assumptions!I13</f>
        <v>4.0850040709824222</v>
      </c>
      <c r="AJ168" s="16">
        <f>AJ167</f>
        <v>0</v>
      </c>
      <c r="AK168" s="16">
        <f>AK167</f>
        <v>0</v>
      </c>
      <c r="AL168" s="4"/>
    </row>
    <row r="169" spans="1:38" x14ac:dyDescent="0.2">
      <c r="A169" s="1">
        <f t="shared" si="59"/>
        <v>41345.886000000202</v>
      </c>
      <c r="B169" s="16">
        <f t="shared" si="57"/>
        <v>3.8956814599587575</v>
      </c>
      <c r="C169" s="17">
        <f t="shared" si="54"/>
        <v>44.039684262758875</v>
      </c>
      <c r="D169" s="16">
        <f t="shared" si="58"/>
        <v>0.7844880419307898</v>
      </c>
      <c r="E169" s="16">
        <f t="shared" si="55"/>
        <v>0</v>
      </c>
      <c r="F169" s="16">
        <f t="shared" si="56"/>
        <v>0</v>
      </c>
      <c r="G169" s="19">
        <f>IF('Peak Revenue'!$A$1="BL","-",SUM(C169:F169))</f>
        <v>44.824172304689668</v>
      </c>
      <c r="H169" s="197">
        <v>130.92490215329627</v>
      </c>
      <c r="I169" s="197">
        <v>87.001019970655065</v>
      </c>
      <c r="J169" s="197">
        <v>79.422978509404174</v>
      </c>
      <c r="K169" s="197">
        <v>74.163895660650496</v>
      </c>
      <c r="L169" s="197">
        <v>68.901190838586842</v>
      </c>
      <c r="M169" s="197">
        <v>68.407416647255786</v>
      </c>
      <c r="N169" s="197">
        <v>65.035602548860965</v>
      </c>
      <c r="O169" s="197">
        <v>52.668081081010861</v>
      </c>
      <c r="P169" s="197">
        <v>47.86419868144867</v>
      </c>
      <c r="Q169" s="197">
        <v>46.526266527805305</v>
      </c>
      <c r="R169" s="197">
        <v>43.466590296662119</v>
      </c>
      <c r="S169" s="197">
        <v>41.748134265386497</v>
      </c>
      <c r="T169" s="197">
        <v>40.240618087042641</v>
      </c>
      <c r="U169" s="197">
        <v>39.600190275219298</v>
      </c>
      <c r="V169" s="197">
        <v>38.982926102938997</v>
      </c>
      <c r="W169" s="197">
        <v>38.827860690597319</v>
      </c>
      <c r="X169" s="197">
        <v>38.106203689253043</v>
      </c>
      <c r="Y169" s="197">
        <v>37.05582737238695</v>
      </c>
      <c r="Z169" s="197">
        <v>36.184842411621361</v>
      </c>
      <c r="AA169" s="197">
        <v>33.824241385890879</v>
      </c>
      <c r="AB169" s="16">
        <f>AB168*(1+Assumptions!$L$13/12)</f>
        <v>0.7844880419307898</v>
      </c>
      <c r="AC169" s="16">
        <f t="shared" ref="AC169:AC178" si="68">AC168</f>
        <v>0</v>
      </c>
      <c r="AD169" s="18">
        <f t="shared" ref="AD169:AE178" si="69">AD168</f>
        <v>654.12455073352146</v>
      </c>
      <c r="AE169" s="18">
        <f t="shared" si="69"/>
        <v>1780.92328465844</v>
      </c>
      <c r="AF169" s="5">
        <f>IF(Assumptions!D$25=1,0,1)</f>
        <v>1</v>
      </c>
      <c r="AG169" s="73">
        <f t="shared" ref="AG169:AG178" si="70">AG168</f>
        <v>0</v>
      </c>
      <c r="AH169" s="16">
        <f>Assumptions!$E$25*Assumptions!H14</f>
        <v>3.8956814599587575</v>
      </c>
      <c r="AI169" s="16">
        <f>Assumptions!$F$25*Assumptions!I14</f>
        <v>3.9322936384223315</v>
      </c>
      <c r="AJ169" s="16">
        <f t="shared" ref="AJ169:AK178" si="71">AJ168</f>
        <v>0</v>
      </c>
      <c r="AK169" s="16">
        <f t="shared" si="71"/>
        <v>0</v>
      </c>
      <c r="AL169" s="4"/>
    </row>
    <row r="170" spans="1:38" x14ac:dyDescent="0.2">
      <c r="A170" s="1">
        <f t="shared" si="59"/>
        <v>41376.303000000204</v>
      </c>
      <c r="B170" s="16">
        <f t="shared" si="57"/>
        <v>3.7036408246086778</v>
      </c>
      <c r="C170" s="17">
        <f t="shared" si="54"/>
        <v>41.868713911777803</v>
      </c>
      <c r="D170" s="16">
        <f t="shared" si="58"/>
        <v>0.78579552200067448</v>
      </c>
      <c r="E170" s="16">
        <f t="shared" si="55"/>
        <v>0</v>
      </c>
      <c r="F170" s="16">
        <f t="shared" si="56"/>
        <v>0</v>
      </c>
      <c r="G170" s="19">
        <f>IF('Peak Revenue'!$A$1="BL","-",SUM(C170:F170))</f>
        <v>42.654509433778479</v>
      </c>
      <c r="H170" s="197">
        <v>75.291892039941132</v>
      </c>
      <c r="I170" s="197">
        <v>70.581250141746182</v>
      </c>
      <c r="J170" s="197">
        <v>68.31126073704695</v>
      </c>
      <c r="K170" s="197">
        <v>65.225737772520759</v>
      </c>
      <c r="L170" s="197">
        <v>61.404912834763252</v>
      </c>
      <c r="M170" s="197">
        <v>58.620357969240253</v>
      </c>
      <c r="N170" s="197">
        <v>58.361511152154229</v>
      </c>
      <c r="O170" s="197">
        <v>53.672410899136089</v>
      </c>
      <c r="P170" s="197">
        <v>45.608147886351745</v>
      </c>
      <c r="Q170" s="197">
        <v>41.769217538050952</v>
      </c>
      <c r="R170" s="197">
        <v>41.115368010847888</v>
      </c>
      <c r="S170" s="197">
        <v>39.39818458834656</v>
      </c>
      <c r="T170" s="197">
        <v>38.338946631017656</v>
      </c>
      <c r="U170" s="197">
        <v>37.379865102629466</v>
      </c>
      <c r="V170" s="197">
        <v>36.371999511171218</v>
      </c>
      <c r="W170" s="197">
        <v>35.456565317216636</v>
      </c>
      <c r="X170" s="197">
        <v>34.112064138170624</v>
      </c>
      <c r="Y170" s="197">
        <v>33.50577852834283</v>
      </c>
      <c r="Z170" s="197">
        <v>32.802783894527714</v>
      </c>
      <c r="AA170" s="197">
        <v>30.719553812868668</v>
      </c>
      <c r="AB170" s="16">
        <f>AB169*(1+Assumptions!$L$13/12)</f>
        <v>0.78579552200067448</v>
      </c>
      <c r="AC170" s="16">
        <f t="shared" si="68"/>
        <v>0</v>
      </c>
      <c r="AD170" s="18">
        <f t="shared" si="69"/>
        <v>654.12455073352146</v>
      </c>
      <c r="AE170" s="18">
        <f t="shared" si="69"/>
        <v>1780.92328465844</v>
      </c>
      <c r="AF170" s="5">
        <f>IF(Assumptions!D$25=1,0,1)</f>
        <v>1</v>
      </c>
      <c r="AG170" s="73">
        <f t="shared" si="70"/>
        <v>0</v>
      </c>
      <c r="AH170" s="16">
        <f>Assumptions!$E$25*Assumptions!H15</f>
        <v>3.7036408246086778</v>
      </c>
      <c r="AI170" s="16">
        <f>Assumptions!$F$25*Assumptions!I15</f>
        <v>3.7795832058622412</v>
      </c>
      <c r="AJ170" s="16">
        <f t="shared" si="71"/>
        <v>0</v>
      </c>
      <c r="AK170" s="16">
        <f t="shared" si="71"/>
        <v>0</v>
      </c>
      <c r="AL170" s="4"/>
    </row>
    <row r="171" spans="1:38" x14ac:dyDescent="0.2">
      <c r="A171" s="1">
        <f t="shared" si="59"/>
        <v>41406.720000000205</v>
      </c>
      <c r="B171" s="16">
        <f t="shared" si="57"/>
        <v>3.899600656598555</v>
      </c>
      <c r="C171" s="17">
        <f t="shared" si="54"/>
        <v>44.083989780125826</v>
      </c>
      <c r="D171" s="16">
        <f t="shared" si="58"/>
        <v>0.78710518120400896</v>
      </c>
      <c r="E171" s="16">
        <f t="shared" si="55"/>
        <v>0</v>
      </c>
      <c r="F171" s="16">
        <f t="shared" si="56"/>
        <v>0</v>
      </c>
      <c r="G171" s="19">
        <f>IF('Peak Revenue'!$A$1="BL","-",SUM(C171:F171))</f>
        <v>44.871094961329838</v>
      </c>
      <c r="H171" s="197">
        <v>132.28228071017253</v>
      </c>
      <c r="I171" s="197">
        <v>80.18925154711323</v>
      </c>
      <c r="J171" s="197">
        <v>66.638000116404868</v>
      </c>
      <c r="K171" s="197">
        <v>63.279614137145018</v>
      </c>
      <c r="L171" s="197">
        <v>55.732111064533548</v>
      </c>
      <c r="M171" s="197">
        <v>52.009475870491571</v>
      </c>
      <c r="N171" s="197">
        <v>49.268575495557343</v>
      </c>
      <c r="O171" s="197">
        <v>48.4844852037332</v>
      </c>
      <c r="P171" s="197">
        <v>45.571894278449413</v>
      </c>
      <c r="Q171" s="197">
        <v>43.995092651676458</v>
      </c>
      <c r="R171" s="197">
        <v>42.051786628095577</v>
      </c>
      <c r="S171" s="197">
        <v>40.851203685406084</v>
      </c>
      <c r="T171" s="197">
        <v>38.839610399867674</v>
      </c>
      <c r="U171" s="197">
        <v>36.112850101280848</v>
      </c>
      <c r="V171" s="197">
        <v>34.878241701971405</v>
      </c>
      <c r="W171" s="197">
        <v>33.387547805886221</v>
      </c>
      <c r="X171" s="197">
        <v>32.892617618123992</v>
      </c>
      <c r="Y171" s="197">
        <v>32.327800895859752</v>
      </c>
      <c r="Z171" s="197">
        <v>31.867461279521343</v>
      </c>
      <c r="AA171" s="197">
        <v>31.172742701152334</v>
      </c>
      <c r="AB171" s="16">
        <f>AB170*(1+Assumptions!$L$13/12)</f>
        <v>0.78710518120400896</v>
      </c>
      <c r="AC171" s="16">
        <f t="shared" si="68"/>
        <v>0</v>
      </c>
      <c r="AD171" s="18">
        <f t="shared" si="69"/>
        <v>654.12455073352146</v>
      </c>
      <c r="AE171" s="18">
        <f t="shared" si="69"/>
        <v>1780.92328465844</v>
      </c>
      <c r="AF171" s="5">
        <v>1</v>
      </c>
      <c r="AG171" s="73">
        <f t="shared" si="70"/>
        <v>0</v>
      </c>
      <c r="AH171" s="16">
        <f>Assumptions!$E$25*Assumptions!H16</f>
        <v>3.899600656598555</v>
      </c>
      <c r="AI171" s="16">
        <f>Assumptions!$F$25*Assumptions!I16</f>
        <v>3.6268727733021504</v>
      </c>
      <c r="AJ171" s="16">
        <f t="shared" si="71"/>
        <v>0</v>
      </c>
      <c r="AK171" s="16">
        <f t="shared" si="71"/>
        <v>0</v>
      </c>
      <c r="AL171" s="4"/>
    </row>
    <row r="172" spans="1:38" x14ac:dyDescent="0.2">
      <c r="A172" s="1">
        <f t="shared" si="59"/>
        <v>41437.137000000206</v>
      </c>
      <c r="B172" s="16">
        <f t="shared" si="57"/>
        <v>3.7153984145280705</v>
      </c>
      <c r="C172" s="17">
        <f t="shared" si="54"/>
        <v>42.001630463878676</v>
      </c>
      <c r="D172" s="16">
        <f t="shared" si="58"/>
        <v>0.78841702317268236</v>
      </c>
      <c r="E172" s="16">
        <f t="shared" si="55"/>
        <v>0</v>
      </c>
      <c r="F172" s="16">
        <f t="shared" si="56"/>
        <v>0</v>
      </c>
      <c r="G172" s="19">
        <f>IF('Peak Revenue'!$A$1="BL","-",SUM(C172:F172))</f>
        <v>42.790047487051361</v>
      </c>
      <c r="H172" s="197">
        <v>168.09606373165417</v>
      </c>
      <c r="I172" s="197">
        <v>154.25327328371779</v>
      </c>
      <c r="J172" s="197">
        <v>138.54527631722073</v>
      </c>
      <c r="K172" s="197">
        <v>102.56348084116306</v>
      </c>
      <c r="L172" s="197">
        <v>83.793337279215194</v>
      </c>
      <c r="M172" s="197">
        <v>75.589130310194093</v>
      </c>
      <c r="N172" s="197">
        <v>69.084408718717128</v>
      </c>
      <c r="O172" s="197">
        <v>55.660713317052632</v>
      </c>
      <c r="P172" s="197">
        <v>48.915293425598101</v>
      </c>
      <c r="Q172" s="197">
        <v>38.376569606544521</v>
      </c>
      <c r="R172" s="197">
        <v>36.130195808241524</v>
      </c>
      <c r="S172" s="197">
        <v>35.80654368949827</v>
      </c>
      <c r="T172" s="197">
        <v>35.806533408160618</v>
      </c>
      <c r="U172" s="197">
        <v>35.806533408160618</v>
      </c>
      <c r="V172" s="197">
        <v>35.806447837393513</v>
      </c>
      <c r="W172" s="197">
        <v>35.806124031889844</v>
      </c>
      <c r="X172" s="197">
        <v>35.806124031889844</v>
      </c>
      <c r="Y172" s="197">
        <v>35.799929648437782</v>
      </c>
      <c r="Z172" s="197">
        <v>34.661370336667538</v>
      </c>
      <c r="AA172" s="197">
        <v>30.61628090706964</v>
      </c>
      <c r="AB172" s="16">
        <f>AB171*(1+Assumptions!$L$13/12)</f>
        <v>0.78841702317268236</v>
      </c>
      <c r="AC172" s="16">
        <f t="shared" si="68"/>
        <v>0</v>
      </c>
      <c r="AD172" s="18">
        <f t="shared" si="69"/>
        <v>654.12455073352146</v>
      </c>
      <c r="AE172" s="18">
        <f t="shared" si="69"/>
        <v>1780.92328465844</v>
      </c>
      <c r="AF172" s="5">
        <v>1</v>
      </c>
      <c r="AG172" s="73">
        <f t="shared" si="70"/>
        <v>0</v>
      </c>
      <c r="AH172" s="16">
        <f>Assumptions!$E$25*Assumptions!H17</f>
        <v>3.7153984145280705</v>
      </c>
      <c r="AI172" s="16">
        <f>Assumptions!$F$25*Assumptions!I17</f>
        <v>3.6268727733021504</v>
      </c>
      <c r="AJ172" s="16">
        <f t="shared" si="71"/>
        <v>0</v>
      </c>
      <c r="AK172" s="16">
        <f t="shared" si="71"/>
        <v>0</v>
      </c>
      <c r="AL172" s="4"/>
    </row>
    <row r="173" spans="1:38" x14ac:dyDescent="0.2">
      <c r="A173" s="1">
        <f t="shared" si="59"/>
        <v>41467.554000000207</v>
      </c>
      <c r="B173" s="16">
        <f t="shared" si="57"/>
        <v>3.7036408246086778</v>
      </c>
      <c r="C173" s="17">
        <f t="shared" si="54"/>
        <v>41.868713911777803</v>
      </c>
      <c r="D173" s="16">
        <f t="shared" si="58"/>
        <v>0.78973105154463685</v>
      </c>
      <c r="E173" s="16">
        <f t="shared" si="55"/>
        <v>0</v>
      </c>
      <c r="F173" s="16">
        <f t="shared" si="56"/>
        <v>0</v>
      </c>
      <c r="G173" s="19">
        <f>IF('Peak Revenue'!$A$1="BL","-",SUM(C173:F173))</f>
        <v>42.658444963322438</v>
      </c>
      <c r="H173" s="197">
        <v>298.63661482082802</v>
      </c>
      <c r="I173" s="197">
        <v>237.3647255403433</v>
      </c>
      <c r="J173" s="197">
        <v>216.47180674722722</v>
      </c>
      <c r="K173" s="197">
        <v>192.95765691791664</v>
      </c>
      <c r="L173" s="197">
        <v>173.50174306456341</v>
      </c>
      <c r="M173" s="197">
        <v>155.96324396993808</v>
      </c>
      <c r="N173" s="197">
        <v>105.92085459967311</v>
      </c>
      <c r="O173" s="197">
        <v>59.739791665613723</v>
      </c>
      <c r="P173" s="197">
        <v>50.601360874670469</v>
      </c>
      <c r="Q173" s="197">
        <v>47.357554626350961</v>
      </c>
      <c r="R173" s="197">
        <v>43.902470740626875</v>
      </c>
      <c r="S173" s="197">
        <v>40.736164139721417</v>
      </c>
      <c r="T173" s="197">
        <v>36.7858350671236</v>
      </c>
      <c r="U173" s="197">
        <v>34.813319277347503</v>
      </c>
      <c r="V173" s="197">
        <v>34.448405095786448</v>
      </c>
      <c r="W173" s="197">
        <v>33.510514169990664</v>
      </c>
      <c r="X173" s="197">
        <v>32.069069954726736</v>
      </c>
      <c r="Y173" s="197">
        <v>30.273451704588176</v>
      </c>
      <c r="Z173" s="197">
        <v>28.537090388263181</v>
      </c>
      <c r="AA173" s="197">
        <v>26.411742303466482</v>
      </c>
      <c r="AB173" s="16">
        <f>AB172*(1+Assumptions!$L$13/12)</f>
        <v>0.78973105154463685</v>
      </c>
      <c r="AC173" s="16">
        <f t="shared" si="68"/>
        <v>0</v>
      </c>
      <c r="AD173" s="18">
        <f t="shared" si="69"/>
        <v>654.12455073352146</v>
      </c>
      <c r="AE173" s="18">
        <f t="shared" si="69"/>
        <v>1780.92328465844</v>
      </c>
      <c r="AF173" s="5">
        <v>1</v>
      </c>
      <c r="AG173" s="73">
        <f t="shared" si="70"/>
        <v>0</v>
      </c>
      <c r="AH173" s="16">
        <f>Assumptions!$E$25*Assumptions!H18</f>
        <v>3.7036408246086778</v>
      </c>
      <c r="AI173" s="16">
        <f>Assumptions!$F$25*Assumptions!I18</f>
        <v>3.6268727733021504</v>
      </c>
      <c r="AJ173" s="16">
        <f t="shared" si="71"/>
        <v>0</v>
      </c>
      <c r="AK173" s="16">
        <f t="shared" si="71"/>
        <v>0</v>
      </c>
      <c r="AL173" s="4"/>
    </row>
    <row r="174" spans="1:38" x14ac:dyDescent="0.2">
      <c r="A174" s="1">
        <f t="shared" si="59"/>
        <v>41497.971000000209</v>
      </c>
      <c r="B174" s="16">
        <f t="shared" si="57"/>
        <v>3.5116001892585986</v>
      </c>
      <c r="C174" s="17">
        <f t="shared" si="54"/>
        <v>39.697743560796731</v>
      </c>
      <c r="D174" s="16">
        <f t="shared" si="58"/>
        <v>0.79104726996387797</v>
      </c>
      <c r="E174" s="16">
        <f t="shared" si="55"/>
        <v>0</v>
      </c>
      <c r="F174" s="16">
        <f t="shared" si="56"/>
        <v>0</v>
      </c>
      <c r="G174" s="19">
        <f>IF('Peak Revenue'!$A$1="BL","-",SUM(C174:F174))</f>
        <v>40.488790830760607</v>
      </c>
      <c r="H174" s="197">
        <v>341.28113903947849</v>
      </c>
      <c r="I174" s="197">
        <v>241.3095177368422</v>
      </c>
      <c r="J174" s="197">
        <v>215.79056994617281</v>
      </c>
      <c r="K174" s="197">
        <v>187.89759172677657</v>
      </c>
      <c r="L174" s="197">
        <v>165.43996852887716</v>
      </c>
      <c r="M174" s="197">
        <v>140.65123220525521</v>
      </c>
      <c r="N174" s="197">
        <v>90.547253916649382</v>
      </c>
      <c r="O174" s="197">
        <v>74.404962587321734</v>
      </c>
      <c r="P174" s="197">
        <v>67.890385779976242</v>
      </c>
      <c r="Q174" s="197">
        <v>52.873303049155041</v>
      </c>
      <c r="R174" s="197">
        <v>45.251020360648653</v>
      </c>
      <c r="S174" s="197">
        <v>37.934796967229637</v>
      </c>
      <c r="T174" s="197">
        <v>35.762293025344732</v>
      </c>
      <c r="U174" s="197">
        <v>34.801937788912745</v>
      </c>
      <c r="V174" s="197">
        <v>34.58903599568589</v>
      </c>
      <c r="W174" s="197">
        <v>34.58903599568589</v>
      </c>
      <c r="X174" s="197">
        <v>34.58903599568589</v>
      </c>
      <c r="Y174" s="197">
        <v>34.58881150222421</v>
      </c>
      <c r="Z174" s="197">
        <v>34.588624897768895</v>
      </c>
      <c r="AA174" s="197">
        <v>31.887074446212232</v>
      </c>
      <c r="AB174" s="16">
        <f>AB173*(1+Assumptions!$L$13/12)</f>
        <v>0.79104726996387797</v>
      </c>
      <c r="AC174" s="16">
        <f t="shared" si="68"/>
        <v>0</v>
      </c>
      <c r="AD174" s="18">
        <f t="shared" si="69"/>
        <v>654.12455073352146</v>
      </c>
      <c r="AE174" s="18">
        <f t="shared" si="69"/>
        <v>1780.92328465844</v>
      </c>
      <c r="AF174" s="5">
        <v>1</v>
      </c>
      <c r="AG174" s="73">
        <f t="shared" si="70"/>
        <v>0</v>
      </c>
      <c r="AH174" s="16">
        <f>Assumptions!$E$25*Assumptions!H19</f>
        <v>3.5116001892585986</v>
      </c>
      <c r="AI174" s="16">
        <f>Assumptions!$F$25*Assumptions!I19</f>
        <v>3.6268727733021504</v>
      </c>
      <c r="AJ174" s="16">
        <f t="shared" si="71"/>
        <v>0</v>
      </c>
      <c r="AK174" s="16">
        <f t="shared" si="71"/>
        <v>0</v>
      </c>
      <c r="AL174" s="4"/>
    </row>
    <row r="175" spans="1:38" x14ac:dyDescent="0.2">
      <c r="A175" s="1">
        <f t="shared" si="59"/>
        <v>41528.38800000021</v>
      </c>
      <c r="B175" s="16">
        <f t="shared" si="57"/>
        <v>3.4998425993392059</v>
      </c>
      <c r="C175" s="17">
        <f t="shared" si="54"/>
        <v>39.564827008695843</v>
      </c>
      <c r="D175" s="16">
        <f t="shared" si="58"/>
        <v>0.79236568208048452</v>
      </c>
      <c r="E175" s="16">
        <f t="shared" si="55"/>
        <v>0</v>
      </c>
      <c r="F175" s="16">
        <f t="shared" si="56"/>
        <v>0</v>
      </c>
      <c r="G175" s="19">
        <f>IF('Peak Revenue'!$A$1="BL","-",SUM(C175:F175))</f>
        <v>40.35719269077633</v>
      </c>
      <c r="H175" s="197">
        <v>165.29192387135453</v>
      </c>
      <c r="I175" s="197">
        <v>152.62558254516222</v>
      </c>
      <c r="J175" s="197">
        <v>127.27208642200291</v>
      </c>
      <c r="K175" s="197">
        <v>92.37402080049192</v>
      </c>
      <c r="L175" s="197">
        <v>79.738950026255651</v>
      </c>
      <c r="M175" s="197">
        <v>73.896511230716229</v>
      </c>
      <c r="N175" s="197">
        <v>71.052869923052342</v>
      </c>
      <c r="O175" s="197">
        <v>51.148359208803654</v>
      </c>
      <c r="P175" s="197">
        <v>47.547184338088144</v>
      </c>
      <c r="Q175" s="197">
        <v>42.642986506523556</v>
      </c>
      <c r="R175" s="197">
        <v>37.14976886337832</v>
      </c>
      <c r="S175" s="197">
        <v>35.517309109508567</v>
      </c>
      <c r="T175" s="197">
        <v>35.456865361375577</v>
      </c>
      <c r="U175" s="197">
        <v>35.456849811220728</v>
      </c>
      <c r="V175" s="197">
        <v>35.456849811220728</v>
      </c>
      <c r="W175" s="197">
        <v>35.456849811220728</v>
      </c>
      <c r="X175" s="197">
        <v>35.456587918089824</v>
      </c>
      <c r="Y175" s="197">
        <v>35.456437849767354</v>
      </c>
      <c r="Z175" s="197">
        <v>35.456437849767354</v>
      </c>
      <c r="AA175" s="197">
        <v>33.499471519597883</v>
      </c>
      <c r="AB175" s="16">
        <f>AB174*(1+Assumptions!$L$13/12)</f>
        <v>0.79236568208048452</v>
      </c>
      <c r="AC175" s="16">
        <f t="shared" si="68"/>
        <v>0</v>
      </c>
      <c r="AD175" s="18">
        <f t="shared" si="69"/>
        <v>654.12455073352146</v>
      </c>
      <c r="AE175" s="18">
        <f t="shared" si="69"/>
        <v>1780.92328465844</v>
      </c>
      <c r="AF175" s="5">
        <v>1</v>
      </c>
      <c r="AG175" s="73">
        <f t="shared" si="70"/>
        <v>0</v>
      </c>
      <c r="AH175" s="16">
        <f>Assumptions!$E$25*Assumptions!H20</f>
        <v>3.4998425993392059</v>
      </c>
      <c r="AI175" s="16">
        <f>Assumptions!$F$25*Assumptions!I20</f>
        <v>3.6268727733021504</v>
      </c>
      <c r="AJ175" s="16">
        <f t="shared" si="71"/>
        <v>0</v>
      </c>
      <c r="AK175" s="16">
        <f t="shared" si="71"/>
        <v>0</v>
      </c>
      <c r="AL175" s="4"/>
    </row>
    <row r="176" spans="1:38" x14ac:dyDescent="0.2">
      <c r="A176" s="1">
        <f t="shared" si="59"/>
        <v>41558.805000000211</v>
      </c>
      <c r="B176" s="16">
        <f t="shared" si="57"/>
        <v>3.8760854767597697</v>
      </c>
      <c r="C176" s="17">
        <f t="shared" si="54"/>
        <v>43.818156675924065</v>
      </c>
      <c r="D176" s="16">
        <f t="shared" si="58"/>
        <v>0.79368629155061865</v>
      </c>
      <c r="E176" s="16">
        <f t="shared" si="55"/>
        <v>0</v>
      </c>
      <c r="F176" s="16">
        <f t="shared" si="56"/>
        <v>0</v>
      </c>
      <c r="G176" s="19">
        <f>IF('Peak Revenue'!$A$1="BL","-",SUM(C176:F176))</f>
        <v>44.611842967474686</v>
      </c>
      <c r="H176" s="197">
        <v>69.707755930463264</v>
      </c>
      <c r="I176" s="197">
        <v>67.379477696210571</v>
      </c>
      <c r="J176" s="197">
        <v>67.201604902022922</v>
      </c>
      <c r="K176" s="197">
        <v>67.017370820195964</v>
      </c>
      <c r="L176" s="197">
        <v>59.800665518553572</v>
      </c>
      <c r="M176" s="197">
        <v>51.156679375445066</v>
      </c>
      <c r="N176" s="197">
        <v>47.268389115259268</v>
      </c>
      <c r="O176" s="197">
        <v>46.633271929313544</v>
      </c>
      <c r="P176" s="197">
        <v>44.891850179937364</v>
      </c>
      <c r="Q176" s="197">
        <v>44.244981995692328</v>
      </c>
      <c r="R176" s="197">
        <v>43.655461967144852</v>
      </c>
      <c r="S176" s="197">
        <v>43.140512313031344</v>
      </c>
      <c r="T176" s="197">
        <v>42.38777402166869</v>
      </c>
      <c r="U176" s="197">
        <v>40.556111916073959</v>
      </c>
      <c r="V176" s="197">
        <v>38.426945019728265</v>
      </c>
      <c r="W176" s="197">
        <v>37.768700211907039</v>
      </c>
      <c r="X176" s="197">
        <v>35.470909991731773</v>
      </c>
      <c r="Y176" s="197">
        <v>35.05339076742203</v>
      </c>
      <c r="Z176" s="197">
        <v>34.345473747950088</v>
      </c>
      <c r="AA176" s="197">
        <v>33.409058290154995</v>
      </c>
      <c r="AB176" s="16">
        <f>AB175*(1+Assumptions!$L$13/12)</f>
        <v>0.79368629155061865</v>
      </c>
      <c r="AC176" s="16">
        <f t="shared" si="68"/>
        <v>0</v>
      </c>
      <c r="AD176" s="18">
        <f t="shared" si="69"/>
        <v>654.12455073352146</v>
      </c>
      <c r="AE176" s="18">
        <f t="shared" si="69"/>
        <v>1780.92328465844</v>
      </c>
      <c r="AF176" s="5">
        <f>IF(Assumptions!D$25=1,0,1)</f>
        <v>1</v>
      </c>
      <c r="AG176" s="73">
        <f t="shared" si="70"/>
        <v>0</v>
      </c>
      <c r="AH176" s="16">
        <f>Assumptions!$E$25*Assumptions!H21</f>
        <v>3.8760854767597697</v>
      </c>
      <c r="AI176" s="16">
        <f>Assumptions!$F$25*Assumptions!I21</f>
        <v>3.6268727733021504</v>
      </c>
      <c r="AJ176" s="16">
        <f t="shared" si="71"/>
        <v>0</v>
      </c>
      <c r="AK176" s="16">
        <f t="shared" si="71"/>
        <v>0</v>
      </c>
      <c r="AL176" s="4"/>
    </row>
    <row r="177" spans="1:38" x14ac:dyDescent="0.2">
      <c r="A177" s="1">
        <f t="shared" si="59"/>
        <v>41589.222000000213</v>
      </c>
      <c r="B177" s="16">
        <f t="shared" si="57"/>
        <v>4.2444899609007392</v>
      </c>
      <c r="C177" s="17">
        <f t="shared" si="54"/>
        <v>47.982875308418372</v>
      </c>
      <c r="D177" s="16">
        <f t="shared" si="58"/>
        <v>0.79500910203653641</v>
      </c>
      <c r="E177" s="16">
        <f t="shared" si="55"/>
        <v>0</v>
      </c>
      <c r="F177" s="16">
        <f t="shared" si="56"/>
        <v>0</v>
      </c>
      <c r="G177" s="19">
        <f>IF('Peak Revenue'!$A$1="BL","-",SUM(C177:F177))</f>
        <v>48.777884410454909</v>
      </c>
      <c r="H177" s="197">
        <v>164.42422053051379</v>
      </c>
      <c r="I177" s="197">
        <v>156.80530225642536</v>
      </c>
      <c r="J177" s="197">
        <v>151.61086447207882</v>
      </c>
      <c r="K177" s="197">
        <v>119.15215539230744</v>
      </c>
      <c r="L177" s="197">
        <v>82.62861827296247</v>
      </c>
      <c r="M177" s="197">
        <v>71.559210620776767</v>
      </c>
      <c r="N177" s="197">
        <v>65.679738875689594</v>
      </c>
      <c r="O177" s="197">
        <v>60.764943268267302</v>
      </c>
      <c r="P177" s="197">
        <v>59.918662506005511</v>
      </c>
      <c r="Q177" s="197">
        <v>57.351860476603825</v>
      </c>
      <c r="R177" s="197">
        <v>45.472976570209973</v>
      </c>
      <c r="S177" s="197">
        <v>41.96038133873833</v>
      </c>
      <c r="T177" s="197">
        <v>37.381988066413626</v>
      </c>
      <c r="U177" s="197">
        <v>34.483564536988276</v>
      </c>
      <c r="V177" s="197">
        <v>34.23392387733773</v>
      </c>
      <c r="W177" s="197">
        <v>33.355438151268878</v>
      </c>
      <c r="X177" s="197">
        <v>32.309416020112664</v>
      </c>
      <c r="Y177" s="197">
        <v>31.441069779236518</v>
      </c>
      <c r="Z177" s="197">
        <v>30.77961066860659</v>
      </c>
      <c r="AA177" s="197">
        <v>30.383954935699744</v>
      </c>
      <c r="AB177" s="16">
        <f>AB176*(1+Assumptions!$L$13/12)</f>
        <v>0.79500910203653641</v>
      </c>
      <c r="AC177" s="16">
        <f t="shared" si="68"/>
        <v>0</v>
      </c>
      <c r="AD177" s="18">
        <f t="shared" si="69"/>
        <v>654.12455073352146</v>
      </c>
      <c r="AE177" s="18">
        <f t="shared" si="69"/>
        <v>1780.92328465844</v>
      </c>
      <c r="AF177" s="5">
        <f>IF(Assumptions!D$25=1,0,1)</f>
        <v>1</v>
      </c>
      <c r="AG177" s="73">
        <f t="shared" si="70"/>
        <v>0</v>
      </c>
      <c r="AH177" s="16">
        <f>Assumptions!$E$25*Assumptions!H22</f>
        <v>4.2444899609007392</v>
      </c>
      <c r="AI177" s="16">
        <f>Assumptions!$F$25*Assumptions!I22</f>
        <v>3.9322936384223315</v>
      </c>
      <c r="AJ177" s="16">
        <f t="shared" si="71"/>
        <v>0</v>
      </c>
      <c r="AK177" s="16">
        <f t="shared" si="71"/>
        <v>0</v>
      </c>
      <c r="AL177" s="4"/>
    </row>
    <row r="178" spans="1:38" x14ac:dyDescent="0.2">
      <c r="A178" s="1">
        <f t="shared" si="59"/>
        <v>41619.639000000214</v>
      </c>
      <c r="B178" s="16">
        <f t="shared" si="57"/>
        <v>4.5932984618427195</v>
      </c>
      <c r="C178" s="17">
        <f t="shared" si="54"/>
        <v>51.926066354077854</v>
      </c>
      <c r="D178" s="16">
        <f t="shared" si="58"/>
        <v>0.7963341172065973</v>
      </c>
      <c r="E178" s="16">
        <f t="shared" si="55"/>
        <v>0</v>
      </c>
      <c r="F178" s="16">
        <f t="shared" si="56"/>
        <v>0</v>
      </c>
      <c r="G178" s="19">
        <f>IF('Peak Revenue'!$A$1="BL","-",SUM(C178:F178))</f>
        <v>52.722400471284452</v>
      </c>
      <c r="H178" s="197">
        <v>164.5969150961472</v>
      </c>
      <c r="I178" s="197">
        <v>157.440732637368</v>
      </c>
      <c r="J178" s="197">
        <v>152.39807989968685</v>
      </c>
      <c r="K178" s="197">
        <v>132.34605284718495</v>
      </c>
      <c r="L178" s="197">
        <v>92.971594203991302</v>
      </c>
      <c r="M178" s="197">
        <v>80.108800792317112</v>
      </c>
      <c r="N178" s="197">
        <v>74.478592059869044</v>
      </c>
      <c r="O178" s="197">
        <v>69.044299053463817</v>
      </c>
      <c r="P178" s="197">
        <v>67.220421680113006</v>
      </c>
      <c r="Q178" s="197">
        <v>66.541341363842875</v>
      </c>
      <c r="R178" s="197">
        <v>57.071778153213941</v>
      </c>
      <c r="S178" s="197">
        <v>46.932541836578842</v>
      </c>
      <c r="T178" s="197">
        <v>40.995905668131797</v>
      </c>
      <c r="U178" s="197">
        <v>38.184224896060272</v>
      </c>
      <c r="V178" s="197">
        <v>36.588651825876354</v>
      </c>
      <c r="W178" s="197">
        <v>34.152480555786255</v>
      </c>
      <c r="X178" s="197">
        <v>33.959912644761374</v>
      </c>
      <c r="Y178" s="197">
        <v>33.725476316269379</v>
      </c>
      <c r="Z178" s="197">
        <v>33.617276710837778</v>
      </c>
      <c r="AA178" s="197">
        <v>33.256738784879566</v>
      </c>
      <c r="AB178" s="16">
        <f>AB177*(1+Assumptions!$L$13/12)</f>
        <v>0.7963341172065973</v>
      </c>
      <c r="AC178" s="16">
        <f t="shared" si="68"/>
        <v>0</v>
      </c>
      <c r="AD178" s="18">
        <f t="shared" si="69"/>
        <v>654.12455073352146</v>
      </c>
      <c r="AE178" s="18">
        <f t="shared" si="69"/>
        <v>1780.92328465844</v>
      </c>
      <c r="AF178" s="5">
        <f>IF(Assumptions!D$25=1,0,1)</f>
        <v>1</v>
      </c>
      <c r="AG178" s="73">
        <f t="shared" si="70"/>
        <v>0</v>
      </c>
      <c r="AH178" s="16">
        <f>Assumptions!$E$25*Assumptions!H23</f>
        <v>4.5932984618427195</v>
      </c>
      <c r="AI178" s="16">
        <f>Assumptions!$F$25*Assumptions!I23</f>
        <v>4.1231816791224452</v>
      </c>
      <c r="AJ178" s="16">
        <f t="shared" si="71"/>
        <v>0</v>
      </c>
      <c r="AK178" s="16">
        <f t="shared" si="71"/>
        <v>0</v>
      </c>
      <c r="AL178" s="4"/>
    </row>
    <row r="179" spans="1:38" x14ac:dyDescent="0.2">
      <c r="A179" s="1">
        <f t="shared" si="59"/>
        <v>41650.056000000215</v>
      </c>
      <c r="B179" s="16">
        <f t="shared" si="57"/>
        <v>4.446069791556674</v>
      </c>
      <c r="C179" s="17">
        <f t="shared" si="54"/>
        <v>50.261683826792904</v>
      </c>
      <c r="D179" s="16">
        <f t="shared" si="58"/>
        <v>0.79766134073527495</v>
      </c>
      <c r="E179" s="16">
        <f t="shared" si="55"/>
        <v>0</v>
      </c>
      <c r="F179" s="16">
        <f t="shared" si="56"/>
        <v>0</v>
      </c>
      <c r="G179" s="19">
        <f>IF('Peak Revenue'!$A$1="BL","-",SUM(C179:F179))</f>
        <v>51.059345167528178</v>
      </c>
      <c r="H179" s="197">
        <v>109.82603319045629</v>
      </c>
      <c r="I179" s="197">
        <v>104.55585066025624</v>
      </c>
      <c r="J179" s="197">
        <v>99.49484997094109</v>
      </c>
      <c r="K179" s="197">
        <v>93.043531442572487</v>
      </c>
      <c r="L179" s="197">
        <v>90.634097334046174</v>
      </c>
      <c r="M179" s="197">
        <v>88.806111929192056</v>
      </c>
      <c r="N179" s="197">
        <v>70.772696620415374</v>
      </c>
      <c r="O179" s="197">
        <v>60.172064529039503</v>
      </c>
      <c r="P179" s="197">
        <v>51.362452309756996</v>
      </c>
      <c r="Q179" s="197">
        <v>50.570927112483119</v>
      </c>
      <c r="R179" s="197">
        <v>46.125902751911049</v>
      </c>
      <c r="S179" s="197">
        <v>43.438926051239505</v>
      </c>
      <c r="T179" s="197">
        <v>43.220903713790392</v>
      </c>
      <c r="U179" s="197">
        <v>43.22090028516353</v>
      </c>
      <c r="V179" s="197">
        <v>43.22090028516353</v>
      </c>
      <c r="W179" s="197">
        <v>43.220814300246765</v>
      </c>
      <c r="X179" s="197">
        <v>43.220774638469095</v>
      </c>
      <c r="Y179" s="197">
        <v>43.220576691474839</v>
      </c>
      <c r="Z179" s="197">
        <v>43.092740469522781</v>
      </c>
      <c r="AA179" s="197">
        <v>39.884316048370962</v>
      </c>
      <c r="AB179" s="16">
        <f>AB178*(1+Assumptions!$L$13/12)</f>
        <v>0.79766134073527495</v>
      </c>
      <c r="AC179" s="16">
        <f>VLOOKUP($C$1,EnvVOM,17)</f>
        <v>0</v>
      </c>
      <c r="AD179" s="18">
        <f>Assumptions!B26</f>
        <v>728.14269915212174</v>
      </c>
      <c r="AE179" s="18">
        <f>Assumptions!C26</f>
        <v>1844.5996241870525</v>
      </c>
      <c r="AF179" s="5">
        <f>IF(Assumptions!D$26=1,0,1)</f>
        <v>1</v>
      </c>
      <c r="AG179" s="73">
        <f>VLOOKUP($C$1,Coal,17)</f>
        <v>0</v>
      </c>
      <c r="AH179" s="16">
        <f>Assumptions!$E$26*Assumptions!H12</f>
        <v>4.446069791556674</v>
      </c>
      <c r="AI179" s="16">
        <f>Assumptions!$F$26*Assumptions!I12</f>
        <v>4.1170667682255786</v>
      </c>
      <c r="AJ179" s="16">
        <f>VLOOKUP($C$1,SO2Rate,17)</f>
        <v>0</v>
      </c>
      <c r="AK179" s="16">
        <f>VLOOKUP($C$1,NOxRate,17)</f>
        <v>0</v>
      </c>
      <c r="AL179" s="4"/>
    </row>
    <row r="180" spans="1:38" x14ac:dyDescent="0.2">
      <c r="A180" s="1">
        <f t="shared" si="59"/>
        <v>41680.473000000216</v>
      </c>
      <c r="B180" s="16">
        <f t="shared" si="57"/>
        <v>3.9849082972196785</v>
      </c>
      <c r="C180" s="17">
        <f t="shared" si="54"/>
        <v>45.048370876673431</v>
      </c>
      <c r="D180" s="16">
        <f t="shared" si="58"/>
        <v>0.79899077630316706</v>
      </c>
      <c r="E180" s="16">
        <f t="shared" si="55"/>
        <v>0</v>
      </c>
      <c r="F180" s="16">
        <f t="shared" si="56"/>
        <v>0</v>
      </c>
      <c r="G180" s="19">
        <f>IF('Peak Revenue'!$A$1="BL","-",SUM(C180:F180))</f>
        <v>45.847361652976595</v>
      </c>
      <c r="H180" s="197">
        <v>155.97591288110416</v>
      </c>
      <c r="I180" s="197">
        <v>150.63059767426657</v>
      </c>
      <c r="J180" s="197">
        <v>146.60912651878201</v>
      </c>
      <c r="K180" s="197">
        <v>115.78911540606396</v>
      </c>
      <c r="L180" s="197">
        <v>91.316282985969934</v>
      </c>
      <c r="M180" s="197">
        <v>83.743631408923036</v>
      </c>
      <c r="N180" s="197">
        <v>79.250971427648963</v>
      </c>
      <c r="O180" s="197">
        <v>77.489871835454224</v>
      </c>
      <c r="P180" s="197">
        <v>62.217889359486207</v>
      </c>
      <c r="Q180" s="197">
        <v>53.693400317281586</v>
      </c>
      <c r="R180" s="197">
        <v>45.866944944736034</v>
      </c>
      <c r="S180" s="197">
        <v>44.597726012365818</v>
      </c>
      <c r="T180" s="197">
        <v>42.017699872431947</v>
      </c>
      <c r="U180" s="197">
        <v>39.595811221774682</v>
      </c>
      <c r="V180" s="197">
        <v>39.025343732601563</v>
      </c>
      <c r="W180" s="197">
        <v>38.691477475644483</v>
      </c>
      <c r="X180" s="197">
        <v>38.604106601985123</v>
      </c>
      <c r="Y180" s="197">
        <v>38.317360727730978</v>
      </c>
      <c r="Z180" s="197">
        <v>38.2899914366552</v>
      </c>
      <c r="AA180" s="197">
        <v>36.819425087394443</v>
      </c>
      <c r="AB180" s="16">
        <f>AB179*(1+Assumptions!$L$13/12)</f>
        <v>0.79899077630316706</v>
      </c>
      <c r="AC180" s="16">
        <f>AC179</f>
        <v>0</v>
      </c>
      <c r="AD180" s="18">
        <f>AD179</f>
        <v>728.14269915212174</v>
      </c>
      <c r="AE180" s="18">
        <f>AE179</f>
        <v>1844.5996241870525</v>
      </c>
      <c r="AF180" s="5">
        <f>IF(Assumptions!D$26=1,0,1)</f>
        <v>1</v>
      </c>
      <c r="AG180" s="73">
        <f>AG179</f>
        <v>0</v>
      </c>
      <c r="AH180" s="16">
        <f>Assumptions!$E$26*Assumptions!H13</f>
        <v>3.9849082972196785</v>
      </c>
      <c r="AI180" s="16">
        <f>Assumptions!$F$26*Assumptions!I13</f>
        <v>4.0789457796308977</v>
      </c>
      <c r="AJ180" s="16">
        <f>AJ179</f>
        <v>0</v>
      </c>
      <c r="AK180" s="16">
        <f>AK179</f>
        <v>0</v>
      </c>
      <c r="AL180" s="4"/>
    </row>
    <row r="181" spans="1:38" x14ac:dyDescent="0.2">
      <c r="A181" s="1">
        <f t="shared" si="59"/>
        <v>41710.890000000218</v>
      </c>
      <c r="B181" s="16">
        <f t="shared" si="57"/>
        <v>3.9179019262476369</v>
      </c>
      <c r="C181" s="17">
        <f t="shared" si="54"/>
        <v>44.290880960844106</v>
      </c>
      <c r="D181" s="16">
        <f t="shared" si="58"/>
        <v>0.80032242759700567</v>
      </c>
      <c r="E181" s="16">
        <f t="shared" si="55"/>
        <v>0</v>
      </c>
      <c r="F181" s="16">
        <f t="shared" si="56"/>
        <v>0</v>
      </c>
      <c r="G181" s="19">
        <f>IF('Peak Revenue'!$A$1="BL","-",SUM(C181:F181))</f>
        <v>45.091203388441109</v>
      </c>
      <c r="H181" s="197">
        <v>100.7835717034397</v>
      </c>
      <c r="I181" s="197">
        <v>97.094478008528526</v>
      </c>
      <c r="J181" s="197">
        <v>89.832152978694111</v>
      </c>
      <c r="K181" s="197">
        <v>80.341722453617095</v>
      </c>
      <c r="L181" s="197">
        <v>76.885992287169131</v>
      </c>
      <c r="M181" s="197">
        <v>72.380059362528328</v>
      </c>
      <c r="N181" s="197">
        <v>70.66688585421565</v>
      </c>
      <c r="O181" s="197">
        <v>69.621927871848669</v>
      </c>
      <c r="P181" s="197">
        <v>53.169246310411403</v>
      </c>
      <c r="Q181" s="197">
        <v>48.562280484963694</v>
      </c>
      <c r="R181" s="197">
        <v>46.934293657209743</v>
      </c>
      <c r="S181" s="197">
        <v>44.260288718941133</v>
      </c>
      <c r="T181" s="197">
        <v>36.665910617272814</v>
      </c>
      <c r="U181" s="197">
        <v>34.681913205928495</v>
      </c>
      <c r="V181" s="197">
        <v>34.6075591352703</v>
      </c>
      <c r="W181" s="197">
        <v>34.6075591352703</v>
      </c>
      <c r="X181" s="197">
        <v>34.607361432596093</v>
      </c>
      <c r="Y181" s="197">
        <v>34.607294069303848</v>
      </c>
      <c r="Z181" s="197">
        <v>34.607174864594825</v>
      </c>
      <c r="AA181" s="197">
        <v>32.390098817633593</v>
      </c>
      <c r="AB181" s="16">
        <f>AB180*(1+Assumptions!$L$13/12)</f>
        <v>0.80032242759700567</v>
      </c>
      <c r="AC181" s="16">
        <f t="shared" ref="AC181:AC190" si="72">AC180</f>
        <v>0</v>
      </c>
      <c r="AD181" s="18">
        <f t="shared" ref="AD181:AE190" si="73">AD180</f>
        <v>728.14269915212174</v>
      </c>
      <c r="AE181" s="18">
        <f t="shared" si="73"/>
        <v>1844.5996241870525</v>
      </c>
      <c r="AF181" s="5">
        <f>IF(Assumptions!D$26=1,0,1)</f>
        <v>1</v>
      </c>
      <c r="AG181" s="73">
        <f t="shared" ref="AG181:AG190" si="74">AG180</f>
        <v>0</v>
      </c>
      <c r="AH181" s="16">
        <f>Assumptions!$E$26*Assumptions!H14</f>
        <v>3.9179019262476369</v>
      </c>
      <c r="AI181" s="16">
        <f>Assumptions!$F$26*Assumptions!I14</f>
        <v>3.9264618252521726</v>
      </c>
      <c r="AJ181" s="16">
        <f t="shared" ref="AJ181:AK190" si="75">AJ180</f>
        <v>0</v>
      </c>
      <c r="AK181" s="16">
        <f t="shared" si="75"/>
        <v>0</v>
      </c>
      <c r="AL181" s="4"/>
    </row>
    <row r="182" spans="1:38" x14ac:dyDescent="0.2">
      <c r="A182" s="1">
        <f t="shared" si="59"/>
        <v>41741.307000000219</v>
      </c>
      <c r="B182" s="16">
        <f t="shared" si="57"/>
        <v>3.7247659157988093</v>
      </c>
      <c r="C182" s="17">
        <f t="shared" si="54"/>
        <v>42.107527674041926</v>
      </c>
      <c r="D182" s="16">
        <f t="shared" si="58"/>
        <v>0.80165629830966734</v>
      </c>
      <c r="E182" s="16">
        <f t="shared" si="55"/>
        <v>0</v>
      </c>
      <c r="F182" s="16">
        <f t="shared" si="56"/>
        <v>0</v>
      </c>
      <c r="G182" s="19">
        <f>IF('Peak Revenue'!$A$1="BL","-",SUM(C182:F182))</f>
        <v>42.909183972351592</v>
      </c>
      <c r="H182" s="197">
        <v>142.07362676675203</v>
      </c>
      <c r="I182" s="197">
        <v>98.360975711699552</v>
      </c>
      <c r="J182" s="197">
        <v>70.319777232616971</v>
      </c>
      <c r="K182" s="197">
        <v>65.120243952977333</v>
      </c>
      <c r="L182" s="197">
        <v>60.935432836931</v>
      </c>
      <c r="M182" s="197">
        <v>58.364003051848201</v>
      </c>
      <c r="N182" s="197">
        <v>57.806650721974549</v>
      </c>
      <c r="O182" s="197">
        <v>52.101750353612672</v>
      </c>
      <c r="P182" s="197">
        <v>46.306505491459703</v>
      </c>
      <c r="Q182" s="197">
        <v>42.429278156940057</v>
      </c>
      <c r="R182" s="197">
        <v>41.491762913935474</v>
      </c>
      <c r="S182" s="197">
        <v>40.666747207619892</v>
      </c>
      <c r="T182" s="197">
        <v>39.005825485383738</v>
      </c>
      <c r="U182" s="197">
        <v>37.112368148867489</v>
      </c>
      <c r="V182" s="197">
        <v>35.502270096843382</v>
      </c>
      <c r="W182" s="197">
        <v>34.104720456199352</v>
      </c>
      <c r="X182" s="197">
        <v>33.407551026966267</v>
      </c>
      <c r="Y182" s="197">
        <v>32.608050830092438</v>
      </c>
      <c r="Z182" s="197">
        <v>31.403925888818058</v>
      </c>
      <c r="AA182" s="197">
        <v>30.403183131075785</v>
      </c>
      <c r="AB182" s="16">
        <f>AB181*(1+Assumptions!$L$13/12)</f>
        <v>0.80165629830966734</v>
      </c>
      <c r="AC182" s="16">
        <f t="shared" si="72"/>
        <v>0</v>
      </c>
      <c r="AD182" s="18">
        <f t="shared" si="73"/>
        <v>728.14269915212174</v>
      </c>
      <c r="AE182" s="18">
        <f t="shared" si="73"/>
        <v>1844.5996241870525</v>
      </c>
      <c r="AF182" s="5">
        <f>IF(Assumptions!D$26=1,0,1)</f>
        <v>1</v>
      </c>
      <c r="AG182" s="73">
        <f t="shared" si="74"/>
        <v>0</v>
      </c>
      <c r="AH182" s="16">
        <f>Assumptions!$E$26*Assumptions!H15</f>
        <v>3.7247659157988093</v>
      </c>
      <c r="AI182" s="16">
        <f>Assumptions!$F$26*Assumptions!I15</f>
        <v>3.773977870873447</v>
      </c>
      <c r="AJ182" s="16">
        <f t="shared" si="75"/>
        <v>0</v>
      </c>
      <c r="AK182" s="16">
        <f t="shared" si="75"/>
        <v>0</v>
      </c>
      <c r="AL182" s="4"/>
    </row>
    <row r="183" spans="1:38" x14ac:dyDescent="0.2">
      <c r="A183" s="1">
        <f t="shared" si="59"/>
        <v>41771.72400000022</v>
      </c>
      <c r="B183" s="16">
        <f t="shared" si="57"/>
        <v>3.9218434774812865</v>
      </c>
      <c r="C183" s="17">
        <f t="shared" si="54"/>
        <v>44.335439191187007</v>
      </c>
      <c r="D183" s="16">
        <f t="shared" si="58"/>
        <v>0.80299239214018348</v>
      </c>
      <c r="E183" s="16">
        <f t="shared" si="55"/>
        <v>0</v>
      </c>
      <c r="F183" s="16">
        <f t="shared" si="56"/>
        <v>0</v>
      </c>
      <c r="G183" s="19">
        <f>IF('Peak Revenue'!$A$1="BL","-",SUM(C183:F183))</f>
        <v>45.13843158332719</v>
      </c>
      <c r="H183" s="197">
        <v>116.391545867172</v>
      </c>
      <c r="I183" s="197">
        <v>88.586790578852842</v>
      </c>
      <c r="J183" s="197">
        <v>72.185090542950434</v>
      </c>
      <c r="K183" s="197">
        <v>65.911673362933627</v>
      </c>
      <c r="L183" s="197">
        <v>60.527687617362417</v>
      </c>
      <c r="M183" s="197">
        <v>59.566030937225534</v>
      </c>
      <c r="N183" s="197">
        <v>52.550818553457681</v>
      </c>
      <c r="O183" s="197">
        <v>46.518628896543298</v>
      </c>
      <c r="P183" s="197">
        <v>43.678376926315146</v>
      </c>
      <c r="Q183" s="197">
        <v>42.571403556606143</v>
      </c>
      <c r="R183" s="197">
        <v>41.96643088846092</v>
      </c>
      <c r="S183" s="197">
        <v>40.62919976256341</v>
      </c>
      <c r="T183" s="197">
        <v>38.472282050266692</v>
      </c>
      <c r="U183" s="197">
        <v>36.084595743072569</v>
      </c>
      <c r="V183" s="197">
        <v>34.677900700130586</v>
      </c>
      <c r="W183" s="197">
        <v>34.305942226550961</v>
      </c>
      <c r="X183" s="197">
        <v>34.095500406752549</v>
      </c>
      <c r="Y183" s="197">
        <v>33.581785556630081</v>
      </c>
      <c r="Z183" s="197">
        <v>33.159300431514325</v>
      </c>
      <c r="AA183" s="197">
        <v>32.339017426585848</v>
      </c>
      <c r="AB183" s="16">
        <f>AB182*(1+Assumptions!$L$13/12)</f>
        <v>0.80299239214018348</v>
      </c>
      <c r="AC183" s="16">
        <f t="shared" si="72"/>
        <v>0</v>
      </c>
      <c r="AD183" s="18">
        <f t="shared" si="73"/>
        <v>728.14269915212174</v>
      </c>
      <c r="AE183" s="18">
        <f t="shared" si="73"/>
        <v>1844.5996241870525</v>
      </c>
      <c r="AF183" s="5">
        <v>1</v>
      </c>
      <c r="AG183" s="73">
        <f t="shared" si="74"/>
        <v>0</v>
      </c>
      <c r="AH183" s="16">
        <f>Assumptions!$E$26*Assumptions!H16</f>
        <v>3.9218434774812865</v>
      </c>
      <c r="AI183" s="16">
        <f>Assumptions!$F$26*Assumptions!I16</f>
        <v>3.621493916494722</v>
      </c>
      <c r="AJ183" s="16">
        <f t="shared" si="75"/>
        <v>0</v>
      </c>
      <c r="AK183" s="16">
        <f t="shared" si="75"/>
        <v>0</v>
      </c>
      <c r="AL183" s="4"/>
    </row>
    <row r="184" spans="1:38" x14ac:dyDescent="0.2">
      <c r="A184" s="1">
        <f t="shared" si="59"/>
        <v>41802.141000000222</v>
      </c>
      <c r="B184" s="16">
        <f t="shared" si="57"/>
        <v>3.7365905694997581</v>
      </c>
      <c r="C184" s="17">
        <f t="shared" si="54"/>
        <v>42.241202365070635</v>
      </c>
      <c r="D184" s="16">
        <f t="shared" si="58"/>
        <v>0.80433071279375046</v>
      </c>
      <c r="E184" s="16">
        <f t="shared" si="55"/>
        <v>0</v>
      </c>
      <c r="F184" s="16">
        <f t="shared" si="56"/>
        <v>0</v>
      </c>
      <c r="G184" s="19">
        <f>IF('Peak Revenue'!$A$1="BL","-",SUM(C184:F184))</f>
        <v>43.045533077864384</v>
      </c>
      <c r="H184" s="197">
        <v>206.23707649838542</v>
      </c>
      <c r="I184" s="197">
        <v>188.85869398425933</v>
      </c>
      <c r="J184" s="197">
        <v>174.84067891896723</v>
      </c>
      <c r="K184" s="197">
        <v>158.31392023022937</v>
      </c>
      <c r="L184" s="197">
        <v>144.18539230917608</v>
      </c>
      <c r="M184" s="197">
        <v>77.003375088077604</v>
      </c>
      <c r="N184" s="197">
        <v>62.878192808756715</v>
      </c>
      <c r="O184" s="197">
        <v>59.130728188328121</v>
      </c>
      <c r="P184" s="197">
        <v>44.77314631049093</v>
      </c>
      <c r="Q184" s="197">
        <v>38.837745245494283</v>
      </c>
      <c r="R184" s="197">
        <v>35.336698911972483</v>
      </c>
      <c r="S184" s="197">
        <v>34.854694607791551</v>
      </c>
      <c r="T184" s="197">
        <v>33.764501059323095</v>
      </c>
      <c r="U184" s="197">
        <v>32.230903578979522</v>
      </c>
      <c r="V184" s="197">
        <v>30.876866273163035</v>
      </c>
      <c r="W184" s="197">
        <v>30.64384496909495</v>
      </c>
      <c r="X184" s="197">
        <v>30.643827954183006</v>
      </c>
      <c r="Y184" s="197">
        <v>30.643658471734796</v>
      </c>
      <c r="Z184" s="197">
        <v>30.643292591165704</v>
      </c>
      <c r="AA184" s="197">
        <v>29.934477062726177</v>
      </c>
      <c r="AB184" s="16">
        <f>AB183*(1+Assumptions!$L$13/12)</f>
        <v>0.80433071279375046</v>
      </c>
      <c r="AC184" s="16">
        <f t="shared" si="72"/>
        <v>0</v>
      </c>
      <c r="AD184" s="18">
        <f t="shared" si="73"/>
        <v>728.14269915212174</v>
      </c>
      <c r="AE184" s="18">
        <f t="shared" si="73"/>
        <v>1844.5996241870525</v>
      </c>
      <c r="AF184" s="5">
        <v>1</v>
      </c>
      <c r="AG184" s="73">
        <f t="shared" si="74"/>
        <v>0</v>
      </c>
      <c r="AH184" s="16">
        <f>Assumptions!$E$26*Assumptions!H17</f>
        <v>3.7365905694997581</v>
      </c>
      <c r="AI184" s="16">
        <f>Assumptions!$F$26*Assumptions!I17</f>
        <v>3.621493916494722</v>
      </c>
      <c r="AJ184" s="16">
        <f t="shared" si="75"/>
        <v>0</v>
      </c>
      <c r="AK184" s="16">
        <f t="shared" si="75"/>
        <v>0</v>
      </c>
      <c r="AL184" s="4"/>
    </row>
    <row r="185" spans="1:38" x14ac:dyDescent="0.2">
      <c r="A185" s="1">
        <f t="shared" si="59"/>
        <v>41832.558000000223</v>
      </c>
      <c r="B185" s="16">
        <f t="shared" si="57"/>
        <v>3.7247659157988093</v>
      </c>
      <c r="C185" s="17">
        <f t="shared" si="54"/>
        <v>42.107527674041926</v>
      </c>
      <c r="D185" s="16">
        <f t="shared" si="58"/>
        <v>0.80567126398174005</v>
      </c>
      <c r="E185" s="16">
        <f t="shared" si="55"/>
        <v>0</v>
      </c>
      <c r="F185" s="16">
        <f t="shared" si="56"/>
        <v>0</v>
      </c>
      <c r="G185" s="19">
        <f>IF('Peak Revenue'!$A$1="BL","-",SUM(C185:F185))</f>
        <v>42.913198938023669</v>
      </c>
      <c r="H185" s="197">
        <v>315.51242661623917</v>
      </c>
      <c r="I185" s="197">
        <v>235.67946877144249</v>
      </c>
      <c r="J185" s="197">
        <v>216.45438739760752</v>
      </c>
      <c r="K185" s="197">
        <v>195.04003375373162</v>
      </c>
      <c r="L185" s="197">
        <v>178.34605537547444</v>
      </c>
      <c r="M185" s="197">
        <v>161.3951677079678</v>
      </c>
      <c r="N185" s="197">
        <v>139.68141914734613</v>
      </c>
      <c r="O185" s="197">
        <v>52.648152712481235</v>
      </c>
      <c r="P185" s="197">
        <v>47.278212728380389</v>
      </c>
      <c r="Q185" s="197">
        <v>45.25248661023744</v>
      </c>
      <c r="R185" s="197">
        <v>42.54420223093377</v>
      </c>
      <c r="S185" s="197">
        <v>38.566379909972511</v>
      </c>
      <c r="T185" s="197">
        <v>35.773010827389207</v>
      </c>
      <c r="U185" s="197">
        <v>34.66203930699313</v>
      </c>
      <c r="V185" s="197">
        <v>33.562065261131934</v>
      </c>
      <c r="W185" s="197">
        <v>33.079838117527444</v>
      </c>
      <c r="X185" s="197">
        <v>32.361803539988387</v>
      </c>
      <c r="Y185" s="197">
        <v>31.833774404792109</v>
      </c>
      <c r="Z185" s="197">
        <v>30.497846655305089</v>
      </c>
      <c r="AA185" s="197">
        <v>27.821714105750882</v>
      </c>
      <c r="AB185" s="16">
        <f>AB184*(1+Assumptions!$L$13/12)</f>
        <v>0.80567126398174005</v>
      </c>
      <c r="AC185" s="16">
        <f t="shared" si="72"/>
        <v>0</v>
      </c>
      <c r="AD185" s="18">
        <f t="shared" si="73"/>
        <v>728.14269915212174</v>
      </c>
      <c r="AE185" s="18">
        <f t="shared" si="73"/>
        <v>1844.5996241870525</v>
      </c>
      <c r="AF185" s="5">
        <v>1</v>
      </c>
      <c r="AG185" s="73">
        <f t="shared" si="74"/>
        <v>0</v>
      </c>
      <c r="AH185" s="16">
        <f>Assumptions!$E$26*Assumptions!H18</f>
        <v>3.7247659157988093</v>
      </c>
      <c r="AI185" s="16">
        <f>Assumptions!$F$26*Assumptions!I18</f>
        <v>3.621493916494722</v>
      </c>
      <c r="AJ185" s="16">
        <f t="shared" si="75"/>
        <v>0</v>
      </c>
      <c r="AK185" s="16">
        <f t="shared" si="75"/>
        <v>0</v>
      </c>
      <c r="AL185" s="4"/>
    </row>
    <row r="186" spans="1:38" x14ac:dyDescent="0.2">
      <c r="A186" s="1">
        <f t="shared" si="59"/>
        <v>41862.975000000224</v>
      </c>
      <c r="B186" s="16">
        <f t="shared" si="57"/>
        <v>3.5316299053499827</v>
      </c>
      <c r="C186" s="17">
        <f t="shared" si="54"/>
        <v>39.924174387239752</v>
      </c>
      <c r="D186" s="16">
        <f t="shared" si="58"/>
        <v>0.80701404942170962</v>
      </c>
      <c r="E186" s="16">
        <f t="shared" si="55"/>
        <v>0</v>
      </c>
      <c r="F186" s="16">
        <f t="shared" si="56"/>
        <v>0</v>
      </c>
      <c r="G186" s="19">
        <f>IF('Peak Revenue'!$A$1="BL","-",SUM(C186:F186))</f>
        <v>40.731188436661462</v>
      </c>
      <c r="H186" s="197">
        <v>323.76121366185509</v>
      </c>
      <c r="I186" s="197">
        <v>230.99318060147033</v>
      </c>
      <c r="J186" s="197">
        <v>208.410855759459</v>
      </c>
      <c r="K186" s="197">
        <v>183.49002919269304</v>
      </c>
      <c r="L186" s="197">
        <v>163.19707216132599</v>
      </c>
      <c r="M186" s="197">
        <v>144.27141004904854</v>
      </c>
      <c r="N186" s="197">
        <v>103.14657448475775</v>
      </c>
      <c r="O186" s="197">
        <v>92.399356789436496</v>
      </c>
      <c r="P186" s="197">
        <v>76.761990104837309</v>
      </c>
      <c r="Q186" s="197">
        <v>60.844838826560512</v>
      </c>
      <c r="R186" s="197">
        <v>52.696028061181217</v>
      </c>
      <c r="S186" s="197">
        <v>45.459716862602008</v>
      </c>
      <c r="T186" s="197">
        <v>44.16641373474512</v>
      </c>
      <c r="U186" s="197">
        <v>41.169911833901459</v>
      </c>
      <c r="V186" s="197">
        <v>39.324026289178036</v>
      </c>
      <c r="W186" s="197">
        <v>36.891862742635269</v>
      </c>
      <c r="X186" s="197">
        <v>34.808236037764068</v>
      </c>
      <c r="Y186" s="197">
        <v>33.590155817733191</v>
      </c>
      <c r="Z186" s="197">
        <v>30.712421241896728</v>
      </c>
      <c r="AA186" s="197">
        <v>28.799231271978051</v>
      </c>
      <c r="AB186" s="16">
        <f>AB185*(1+Assumptions!$L$13/12)</f>
        <v>0.80701404942170962</v>
      </c>
      <c r="AC186" s="16">
        <f t="shared" si="72"/>
        <v>0</v>
      </c>
      <c r="AD186" s="18">
        <f t="shared" si="73"/>
        <v>728.14269915212174</v>
      </c>
      <c r="AE186" s="18">
        <f t="shared" si="73"/>
        <v>1844.5996241870525</v>
      </c>
      <c r="AF186" s="5">
        <v>1</v>
      </c>
      <c r="AG186" s="73">
        <f t="shared" si="74"/>
        <v>0</v>
      </c>
      <c r="AH186" s="16">
        <f>Assumptions!$E$26*Assumptions!H19</f>
        <v>3.5316299053499827</v>
      </c>
      <c r="AI186" s="16">
        <f>Assumptions!$F$26*Assumptions!I19</f>
        <v>3.621493916494722</v>
      </c>
      <c r="AJ186" s="16">
        <f t="shared" si="75"/>
        <v>0</v>
      </c>
      <c r="AK186" s="16">
        <f t="shared" si="75"/>
        <v>0</v>
      </c>
      <c r="AL186" s="4"/>
    </row>
    <row r="187" spans="1:38" x14ac:dyDescent="0.2">
      <c r="A187" s="1">
        <f t="shared" si="59"/>
        <v>41893.392000000225</v>
      </c>
      <c r="B187" s="16">
        <f t="shared" si="57"/>
        <v>3.5198052516490339</v>
      </c>
      <c r="C187" s="17">
        <f t="shared" si="54"/>
        <v>39.790499696211057</v>
      </c>
      <c r="D187" s="16">
        <f t="shared" si="58"/>
        <v>0.80835907283741248</v>
      </c>
      <c r="E187" s="16">
        <f t="shared" si="55"/>
        <v>0</v>
      </c>
      <c r="F187" s="16">
        <f t="shared" si="56"/>
        <v>0</v>
      </c>
      <c r="G187" s="19">
        <f>IF('Peak Revenue'!$A$1="BL","-",SUM(C187:F187))</f>
        <v>40.598858769048469</v>
      </c>
      <c r="H187" s="197">
        <v>199.59282375298287</v>
      </c>
      <c r="I187" s="197">
        <v>183.30873356705189</v>
      </c>
      <c r="J187" s="197">
        <v>170.29458219867857</v>
      </c>
      <c r="K187" s="197">
        <v>155.59726237203316</v>
      </c>
      <c r="L187" s="197">
        <v>123.12222295517969</v>
      </c>
      <c r="M187" s="197">
        <v>58.288024787661982</v>
      </c>
      <c r="N187" s="197">
        <v>51.0990133089145</v>
      </c>
      <c r="O187" s="197">
        <v>47.376652868345779</v>
      </c>
      <c r="P187" s="197">
        <v>46.329996515603938</v>
      </c>
      <c r="Q187" s="197">
        <v>42.10064764197061</v>
      </c>
      <c r="R187" s="197">
        <v>38.527135974224379</v>
      </c>
      <c r="S187" s="197">
        <v>36.300299201309166</v>
      </c>
      <c r="T187" s="197">
        <v>35.133626944028848</v>
      </c>
      <c r="U187" s="197">
        <v>34.440598363142861</v>
      </c>
      <c r="V187" s="197">
        <v>33.949663841587167</v>
      </c>
      <c r="W187" s="197">
        <v>33.54257332651072</v>
      </c>
      <c r="X187" s="197">
        <v>32.223809937946768</v>
      </c>
      <c r="Y187" s="197">
        <v>30.504174362945502</v>
      </c>
      <c r="Z187" s="197">
        <v>29.821875108395588</v>
      </c>
      <c r="AA187" s="197">
        <v>28.381901025716584</v>
      </c>
      <c r="AB187" s="16">
        <f>AB186*(1+Assumptions!$L$13/12)</f>
        <v>0.80835907283741248</v>
      </c>
      <c r="AC187" s="16">
        <f t="shared" si="72"/>
        <v>0</v>
      </c>
      <c r="AD187" s="18">
        <f t="shared" si="73"/>
        <v>728.14269915212174</v>
      </c>
      <c r="AE187" s="18">
        <f t="shared" si="73"/>
        <v>1844.5996241870525</v>
      </c>
      <c r="AF187" s="5">
        <v>1</v>
      </c>
      <c r="AG187" s="73">
        <f t="shared" si="74"/>
        <v>0</v>
      </c>
      <c r="AH187" s="16">
        <f>Assumptions!$E$26*Assumptions!H20</f>
        <v>3.5198052516490339</v>
      </c>
      <c r="AI187" s="16">
        <f>Assumptions!$F$26*Assumptions!I20</f>
        <v>3.621493916494722</v>
      </c>
      <c r="AJ187" s="16">
        <f t="shared" si="75"/>
        <v>0</v>
      </c>
      <c r="AK187" s="16">
        <f t="shared" si="75"/>
        <v>0</v>
      </c>
      <c r="AL187" s="4"/>
    </row>
    <row r="188" spans="1:38" x14ac:dyDescent="0.2">
      <c r="A188" s="1">
        <f t="shared" si="59"/>
        <v>41923.809000000227</v>
      </c>
      <c r="B188" s="16">
        <f t="shared" si="57"/>
        <v>3.898194170079389</v>
      </c>
      <c r="C188" s="17">
        <f t="shared" si="54"/>
        <v>44.068089809129596</v>
      </c>
      <c r="D188" s="16">
        <f t="shared" si="58"/>
        <v>0.8097063379588082</v>
      </c>
      <c r="E188" s="16">
        <f t="shared" si="55"/>
        <v>0</v>
      </c>
      <c r="F188" s="16">
        <f t="shared" si="56"/>
        <v>0</v>
      </c>
      <c r="G188" s="19">
        <f>IF('Peak Revenue'!$A$1="BL","-",SUM(C188:F188))</f>
        <v>44.877796147088404</v>
      </c>
      <c r="H188" s="197">
        <v>66.097959540897435</v>
      </c>
      <c r="I188" s="197">
        <v>64.501524253662026</v>
      </c>
      <c r="J188" s="197">
        <v>58.224930892862247</v>
      </c>
      <c r="K188" s="197">
        <v>52.100866737618787</v>
      </c>
      <c r="L188" s="197">
        <v>50.89369375042557</v>
      </c>
      <c r="M188" s="197">
        <v>50.297789790894129</v>
      </c>
      <c r="N188" s="197">
        <v>49.538384472079521</v>
      </c>
      <c r="O188" s="197">
        <v>49.029278986887235</v>
      </c>
      <c r="P188" s="197">
        <v>48.737829651845217</v>
      </c>
      <c r="Q188" s="197">
        <v>48.337233467308799</v>
      </c>
      <c r="R188" s="197">
        <v>47.832014745339983</v>
      </c>
      <c r="S188" s="197">
        <v>47.092275195138185</v>
      </c>
      <c r="T188" s="197">
        <v>46.38094283755246</v>
      </c>
      <c r="U188" s="197">
        <v>46.191581809250899</v>
      </c>
      <c r="V188" s="197">
        <v>45.430424678446236</v>
      </c>
      <c r="W188" s="197">
        <v>41.780645364639625</v>
      </c>
      <c r="X188" s="197">
        <v>40.090034923943492</v>
      </c>
      <c r="Y188" s="197">
        <v>38.321670068357925</v>
      </c>
      <c r="Z188" s="197">
        <v>37.599979893221835</v>
      </c>
      <c r="AA188" s="197">
        <v>35.998205883930424</v>
      </c>
      <c r="AB188" s="16">
        <f>AB187*(1+Assumptions!$L$13/12)</f>
        <v>0.8097063379588082</v>
      </c>
      <c r="AC188" s="16">
        <f t="shared" si="72"/>
        <v>0</v>
      </c>
      <c r="AD188" s="18">
        <f t="shared" si="73"/>
        <v>728.14269915212174</v>
      </c>
      <c r="AE188" s="18">
        <f t="shared" si="73"/>
        <v>1844.5996241870525</v>
      </c>
      <c r="AF188" s="5">
        <f>IF(Assumptions!D$26=1,0,1)</f>
        <v>1</v>
      </c>
      <c r="AG188" s="73">
        <f t="shared" si="74"/>
        <v>0</v>
      </c>
      <c r="AH188" s="16">
        <f>Assumptions!$E$26*Assumptions!H21</f>
        <v>3.898194170079389</v>
      </c>
      <c r="AI188" s="16">
        <f>Assumptions!$F$26*Assumptions!I21</f>
        <v>3.621493916494722</v>
      </c>
      <c r="AJ188" s="16">
        <f t="shared" si="75"/>
        <v>0</v>
      </c>
      <c r="AK188" s="16">
        <f t="shared" si="75"/>
        <v>0</v>
      </c>
      <c r="AL188" s="4"/>
    </row>
    <row r="189" spans="1:38" x14ac:dyDescent="0.2">
      <c r="A189" s="1">
        <f t="shared" si="59"/>
        <v>41954.226000000228</v>
      </c>
      <c r="B189" s="16">
        <f t="shared" si="57"/>
        <v>4.2686999860424448</v>
      </c>
      <c r="C189" s="17">
        <f t="shared" si="54"/>
        <v>48.256563461362333</v>
      </c>
      <c r="D189" s="16">
        <f t="shared" si="58"/>
        <v>0.81105584852207291</v>
      </c>
      <c r="E189" s="16">
        <f t="shared" si="55"/>
        <v>0</v>
      </c>
      <c r="F189" s="16">
        <f t="shared" si="56"/>
        <v>0</v>
      </c>
      <c r="G189" s="19">
        <f>IF('Peak Revenue'!$A$1="BL","-",SUM(C189:F189))</f>
        <v>49.067619309884407</v>
      </c>
      <c r="H189" s="197">
        <v>148.86482618779189</v>
      </c>
      <c r="I189" s="197">
        <v>107.41031634640714</v>
      </c>
      <c r="J189" s="197">
        <v>89.037798568724114</v>
      </c>
      <c r="K189" s="197">
        <v>83.522321273113079</v>
      </c>
      <c r="L189" s="197">
        <v>77.68287176932121</v>
      </c>
      <c r="M189" s="197">
        <v>76.974124471892509</v>
      </c>
      <c r="N189" s="197">
        <v>73.802860757210254</v>
      </c>
      <c r="O189" s="197">
        <v>57.069518133530337</v>
      </c>
      <c r="P189" s="197">
        <v>51.614765140679324</v>
      </c>
      <c r="Q189" s="197">
        <v>44.44642013183558</v>
      </c>
      <c r="R189" s="197">
        <v>43.398327195523891</v>
      </c>
      <c r="S189" s="197">
        <v>42.241388729854421</v>
      </c>
      <c r="T189" s="197">
        <v>40.006880263506901</v>
      </c>
      <c r="U189" s="197">
        <v>38.433057705058829</v>
      </c>
      <c r="V189" s="197">
        <v>37.959054208100554</v>
      </c>
      <c r="W189" s="197">
        <v>37.947208320081707</v>
      </c>
      <c r="X189" s="197">
        <v>37.67793678325593</v>
      </c>
      <c r="Y189" s="197">
        <v>37.332657264638115</v>
      </c>
      <c r="Z189" s="197">
        <v>37.332657264638115</v>
      </c>
      <c r="AA189" s="197">
        <v>34.2918368354987</v>
      </c>
      <c r="AB189" s="16">
        <f>AB188*(1+Assumptions!$L$13/12)</f>
        <v>0.81105584852207291</v>
      </c>
      <c r="AC189" s="16">
        <f t="shared" si="72"/>
        <v>0</v>
      </c>
      <c r="AD189" s="18">
        <f t="shared" si="73"/>
        <v>728.14269915212174</v>
      </c>
      <c r="AE189" s="18">
        <f t="shared" si="73"/>
        <v>1844.5996241870525</v>
      </c>
      <c r="AF189" s="5">
        <f>IF(Assumptions!D$26=1,0,1)</f>
        <v>1</v>
      </c>
      <c r="AG189" s="73">
        <f t="shared" si="74"/>
        <v>0</v>
      </c>
      <c r="AH189" s="16">
        <f>Assumptions!$E$26*Assumptions!H22</f>
        <v>4.2686999860424448</v>
      </c>
      <c r="AI189" s="16">
        <f>Assumptions!$F$26*Assumptions!I22</f>
        <v>3.9264618252521726</v>
      </c>
      <c r="AJ189" s="16">
        <f t="shared" si="75"/>
        <v>0</v>
      </c>
      <c r="AK189" s="16">
        <f t="shared" si="75"/>
        <v>0</v>
      </c>
      <c r="AL189" s="4"/>
    </row>
    <row r="190" spans="1:38" x14ac:dyDescent="0.2">
      <c r="A190" s="1">
        <f t="shared" si="59"/>
        <v>41984.643000000229</v>
      </c>
      <c r="B190" s="16">
        <f t="shared" si="57"/>
        <v>4.6194980458372532</v>
      </c>
      <c r="C190" s="17">
        <f t="shared" si="54"/>
        <v>52.222245961880567</v>
      </c>
      <c r="D190" s="16">
        <f t="shared" si="58"/>
        <v>0.81240760826960978</v>
      </c>
      <c r="E190" s="16">
        <f t="shared" si="55"/>
        <v>0</v>
      </c>
      <c r="F190" s="16">
        <f t="shared" si="56"/>
        <v>0</v>
      </c>
      <c r="G190" s="19">
        <f>IF('Peak Revenue'!$A$1="BL","-",SUM(C190:F190))</f>
        <v>53.034653570150176</v>
      </c>
      <c r="H190" s="197">
        <v>152.62290847950433</v>
      </c>
      <c r="I190" s="197">
        <v>149.21839596946182</v>
      </c>
      <c r="J190" s="197">
        <v>134.4230584151137</v>
      </c>
      <c r="K190" s="197">
        <v>101.76836705879228</v>
      </c>
      <c r="L190" s="197">
        <v>95.241261537934633</v>
      </c>
      <c r="M190" s="197">
        <v>88.262164633878996</v>
      </c>
      <c r="N190" s="197">
        <v>86.371807184600044</v>
      </c>
      <c r="O190" s="197">
        <v>79.883161172977836</v>
      </c>
      <c r="P190" s="197">
        <v>60.476465707758848</v>
      </c>
      <c r="Q190" s="197">
        <v>50.92610753477279</v>
      </c>
      <c r="R190" s="197">
        <v>47.318686837991216</v>
      </c>
      <c r="S190" s="197">
        <v>42.964530673870961</v>
      </c>
      <c r="T190" s="197">
        <v>42.964530673870961</v>
      </c>
      <c r="U190" s="197">
        <v>42.845842016519484</v>
      </c>
      <c r="V190" s="197">
        <v>42.615416512270542</v>
      </c>
      <c r="W190" s="197">
        <v>42.615416512270542</v>
      </c>
      <c r="X190" s="197">
        <v>42.615416512270542</v>
      </c>
      <c r="Y190" s="197">
        <v>42.414493944055614</v>
      </c>
      <c r="Z190" s="197">
        <v>41.79745192051216</v>
      </c>
      <c r="AA190" s="197">
        <v>41.435587346096796</v>
      </c>
      <c r="AB190" s="16">
        <f>AB189*(1+Assumptions!$L$13/12)</f>
        <v>0.81240760826960978</v>
      </c>
      <c r="AC190" s="16">
        <f t="shared" si="72"/>
        <v>0</v>
      </c>
      <c r="AD190" s="18">
        <f t="shared" si="73"/>
        <v>728.14269915212174</v>
      </c>
      <c r="AE190" s="18">
        <f t="shared" si="73"/>
        <v>1844.5996241870525</v>
      </c>
      <c r="AF190" s="5">
        <f>IF(Assumptions!D$26=1,0,1)</f>
        <v>1</v>
      </c>
      <c r="AG190" s="73">
        <f t="shared" si="74"/>
        <v>0</v>
      </c>
      <c r="AH190" s="16">
        <f>Assumptions!$E$26*Assumptions!H23</f>
        <v>4.6194980458372532</v>
      </c>
      <c r="AI190" s="16">
        <f>Assumptions!$F$26*Assumptions!I23</f>
        <v>4.1170667682255786</v>
      </c>
      <c r="AJ190" s="16">
        <f t="shared" si="75"/>
        <v>0</v>
      </c>
      <c r="AK190" s="16">
        <f t="shared" si="75"/>
        <v>0</v>
      </c>
      <c r="AL190" s="4"/>
    </row>
    <row r="191" spans="1:38" x14ac:dyDescent="0.2">
      <c r="A191" s="1">
        <f t="shared" si="59"/>
        <v>42015.060000000231</v>
      </c>
      <c r="B191" s="16">
        <f t="shared" si="57"/>
        <v>4.8568850063716944</v>
      </c>
      <c r="C191" s="17">
        <f t="shared" si="54"/>
        <v>54.905844941285693</v>
      </c>
      <c r="D191" s="16">
        <f t="shared" si="58"/>
        <v>0.81376162095005922</v>
      </c>
      <c r="E191" s="16">
        <f t="shared" si="55"/>
        <v>0</v>
      </c>
      <c r="F191" s="16">
        <f t="shared" si="56"/>
        <v>0</v>
      </c>
      <c r="G191" s="19">
        <f>IF('Peak Revenue'!$A$1="BL","-",SUM(C191:F191))</f>
        <v>55.719606562235754</v>
      </c>
      <c r="H191" s="197">
        <v>111.93226183302843</v>
      </c>
      <c r="I191" s="197">
        <v>103.21829734814199</v>
      </c>
      <c r="J191" s="197">
        <v>98.663601362089992</v>
      </c>
      <c r="K191" s="197">
        <v>91.423123935195662</v>
      </c>
      <c r="L191" s="197">
        <v>90.91208189617403</v>
      </c>
      <c r="M191" s="197">
        <v>83.095148002341517</v>
      </c>
      <c r="N191" s="197">
        <v>66.508355853374141</v>
      </c>
      <c r="O191" s="197">
        <v>65.840444119046197</v>
      </c>
      <c r="P191" s="197">
        <v>65.083069755351659</v>
      </c>
      <c r="Q191" s="197">
        <v>64.509972245371557</v>
      </c>
      <c r="R191" s="197">
        <v>62.596046650909578</v>
      </c>
      <c r="S191" s="197">
        <v>55.697796273847729</v>
      </c>
      <c r="T191" s="197">
        <v>49.175225281913413</v>
      </c>
      <c r="U191" s="197">
        <v>44.665963579169457</v>
      </c>
      <c r="V191" s="197">
        <v>44.347683628711934</v>
      </c>
      <c r="W191" s="197">
        <v>44.052457326105078</v>
      </c>
      <c r="X191" s="197">
        <v>43.608488764645323</v>
      </c>
      <c r="Y191" s="197">
        <v>43.608469046783092</v>
      </c>
      <c r="Z191" s="197">
        <v>43.608460187087651</v>
      </c>
      <c r="AA191" s="197">
        <v>43.581335497607277</v>
      </c>
      <c r="AB191" s="16">
        <f>AB190*(1+Assumptions!$L$13/12)</f>
        <v>0.81376162095005922</v>
      </c>
      <c r="AC191" s="16">
        <f>VLOOKUP($C$1,EnvVOM,18)</f>
        <v>0</v>
      </c>
      <c r="AD191" s="18">
        <f>Assumptions!B27</f>
        <v>806.55967593313017</v>
      </c>
      <c r="AE191" s="18">
        <f>Assumptions!C27</f>
        <v>1882.7189785852679</v>
      </c>
      <c r="AF191" s="5">
        <f>IF(Assumptions!D$27=1,0,1)</f>
        <v>1</v>
      </c>
      <c r="AG191" s="73">
        <f>VLOOKUP($C$1,Coal,18)</f>
        <v>0</v>
      </c>
      <c r="AH191" s="16">
        <f>Assumptions!$E$27*Assumptions!H12</f>
        <v>4.8568850063716944</v>
      </c>
      <c r="AI191" s="16">
        <f>Assumptions!$F$27*Assumptions!I12</f>
        <v>4.5531551926412224</v>
      </c>
      <c r="AJ191" s="16">
        <f>VLOOKUP($C$1,SO2Rate,18)</f>
        <v>0</v>
      </c>
      <c r="AK191" s="16">
        <f>VLOOKUP($C$1,NOxRate,18)</f>
        <v>0</v>
      </c>
      <c r="AL191" s="4"/>
    </row>
    <row r="192" spans="1:38" x14ac:dyDescent="0.2">
      <c r="A192" s="1">
        <f t="shared" si="59"/>
        <v>42045.477000000232</v>
      </c>
      <c r="B192" s="16">
        <f t="shared" si="57"/>
        <v>4.3531123594342045</v>
      </c>
      <c r="C192" s="17">
        <f t="shared" si="54"/>
        <v>49.21082379046085</v>
      </c>
      <c r="D192" s="16">
        <f t="shared" si="58"/>
        <v>0.81511789031830939</v>
      </c>
      <c r="E192" s="16">
        <f t="shared" si="55"/>
        <v>0</v>
      </c>
      <c r="F192" s="16">
        <f t="shared" si="56"/>
        <v>0</v>
      </c>
      <c r="G192" s="19">
        <f>IF('Peak Revenue'!$A$1="BL","-",SUM(C192:F192))</f>
        <v>50.025941680779162</v>
      </c>
      <c r="H192" s="197">
        <v>150.37436330333634</v>
      </c>
      <c r="I192" s="197">
        <v>145.53692115261202</v>
      </c>
      <c r="J192" s="197">
        <v>127.97560286855087</v>
      </c>
      <c r="K192" s="197">
        <v>103.83409686887225</v>
      </c>
      <c r="L192" s="197">
        <v>95.837569689838489</v>
      </c>
      <c r="M192" s="197">
        <v>89.625363919320776</v>
      </c>
      <c r="N192" s="197">
        <v>84.495793728076336</v>
      </c>
      <c r="O192" s="197">
        <v>62.951308286622599</v>
      </c>
      <c r="P192" s="197">
        <v>52.268332376339188</v>
      </c>
      <c r="Q192" s="197">
        <v>49.622013965961273</v>
      </c>
      <c r="R192" s="197">
        <v>45.058212119151854</v>
      </c>
      <c r="S192" s="197">
        <v>43.604270944545057</v>
      </c>
      <c r="T192" s="197">
        <v>43.604270944545057</v>
      </c>
      <c r="U192" s="197">
        <v>43.251413320611768</v>
      </c>
      <c r="V192" s="197">
        <v>43.113201744831386</v>
      </c>
      <c r="W192" s="197">
        <v>42.879775754796924</v>
      </c>
      <c r="X192" s="197">
        <v>42.879738822635034</v>
      </c>
      <c r="Y192" s="197">
        <v>42.879706794513268</v>
      </c>
      <c r="Z192" s="197">
        <v>42.879517281958115</v>
      </c>
      <c r="AA192" s="197">
        <v>42.857946473673607</v>
      </c>
      <c r="AB192" s="16">
        <f>AB191*(1+Assumptions!$L$13/12)</f>
        <v>0.81511789031830939</v>
      </c>
      <c r="AC192" s="16">
        <f>AC191</f>
        <v>0</v>
      </c>
      <c r="AD192" s="18">
        <f>AD191</f>
        <v>806.55967593313017</v>
      </c>
      <c r="AE192" s="18">
        <f>AE191</f>
        <v>1882.7189785852679</v>
      </c>
      <c r="AF192" s="5">
        <f>IF(Assumptions!D$27=1,0,1)</f>
        <v>1</v>
      </c>
      <c r="AG192" s="73">
        <f>AG191</f>
        <v>0</v>
      </c>
      <c r="AH192" s="16">
        <f>Assumptions!$E$27*Assumptions!H13</f>
        <v>4.3531123594342045</v>
      </c>
      <c r="AI192" s="16">
        <f>Assumptions!$F$27*Assumptions!I13</f>
        <v>4.5109963482649142</v>
      </c>
      <c r="AJ192" s="16">
        <f>AJ191</f>
        <v>0</v>
      </c>
      <c r="AK192" s="16">
        <f>AK191</f>
        <v>0</v>
      </c>
      <c r="AL192" s="4"/>
    </row>
    <row r="193" spans="1:38" x14ac:dyDescent="0.2">
      <c r="A193" s="1">
        <f t="shared" si="59"/>
        <v>42075.894000000233</v>
      </c>
      <c r="B193" s="16">
        <f t="shared" si="57"/>
        <v>4.2799146244091002</v>
      </c>
      <c r="C193" s="17">
        <f t="shared" si="54"/>
        <v>48.383342084785454</v>
      </c>
      <c r="D193" s="16">
        <f t="shared" si="58"/>
        <v>0.81647642013550659</v>
      </c>
      <c r="E193" s="16">
        <f t="shared" si="55"/>
        <v>0</v>
      </c>
      <c r="F193" s="16">
        <f t="shared" si="56"/>
        <v>0</v>
      </c>
      <c r="G193" s="19">
        <f>IF('Peak Revenue'!$A$1="BL","-",SUM(C193:F193))</f>
        <v>49.199818504920962</v>
      </c>
      <c r="H193" s="197">
        <v>100.13312426541765</v>
      </c>
      <c r="I193" s="197">
        <v>96.396474737934412</v>
      </c>
      <c r="J193" s="197">
        <v>96.231057988736922</v>
      </c>
      <c r="K193" s="197">
        <v>94.621359697733027</v>
      </c>
      <c r="L193" s="197">
        <v>82.818961603687185</v>
      </c>
      <c r="M193" s="197">
        <v>65.731077548411378</v>
      </c>
      <c r="N193" s="197">
        <v>57.149043022496905</v>
      </c>
      <c r="O193" s="197">
        <v>53.656564260659692</v>
      </c>
      <c r="P193" s="197">
        <v>53.008814765541416</v>
      </c>
      <c r="Q193" s="197">
        <v>49.217090334084354</v>
      </c>
      <c r="R193" s="197">
        <v>46.956449843711425</v>
      </c>
      <c r="S193" s="197">
        <v>46.616920404783635</v>
      </c>
      <c r="T193" s="197">
        <v>46.448431764303109</v>
      </c>
      <c r="U193" s="197">
        <v>46.448431764303109</v>
      </c>
      <c r="V193" s="197">
        <v>46.4202646873037</v>
      </c>
      <c r="W193" s="197">
        <v>45.73634919974667</v>
      </c>
      <c r="X193" s="197">
        <v>45.667408327752369</v>
      </c>
      <c r="Y193" s="197">
        <v>45.667408327752369</v>
      </c>
      <c r="Z193" s="197">
        <v>45.667408327752369</v>
      </c>
      <c r="AA193" s="197">
        <v>45.080243060620731</v>
      </c>
      <c r="AB193" s="16">
        <f>AB192*(1+Assumptions!$L$13/12)</f>
        <v>0.81647642013550659</v>
      </c>
      <c r="AC193" s="16">
        <f t="shared" ref="AC193:AC202" si="76">AC192</f>
        <v>0</v>
      </c>
      <c r="AD193" s="18">
        <f t="shared" ref="AD193:AE202" si="77">AD192</f>
        <v>806.55967593313017</v>
      </c>
      <c r="AE193" s="18">
        <f t="shared" si="77"/>
        <v>1882.7189785852679</v>
      </c>
      <c r="AF193" s="5">
        <f>IF(Assumptions!D$27=1,0,1)</f>
        <v>1</v>
      </c>
      <c r="AG193" s="73">
        <f t="shared" ref="AG193:AG202" si="78">AG192</f>
        <v>0</v>
      </c>
      <c r="AH193" s="16">
        <f>Assumptions!$E$27*Assumptions!H14</f>
        <v>4.2799146244091002</v>
      </c>
      <c r="AI193" s="16">
        <f>Assumptions!$F$27*Assumptions!I14</f>
        <v>4.3423609707596835</v>
      </c>
      <c r="AJ193" s="16">
        <f t="shared" ref="AJ193:AK202" si="79">AJ192</f>
        <v>0</v>
      </c>
      <c r="AK193" s="16">
        <f t="shared" si="79"/>
        <v>0</v>
      </c>
      <c r="AL193" s="4"/>
    </row>
    <row r="194" spans="1:38" x14ac:dyDescent="0.2">
      <c r="A194" s="1">
        <f t="shared" si="59"/>
        <v>42106.311000000234</v>
      </c>
      <c r="B194" s="16">
        <f t="shared" si="57"/>
        <v>4.068932917572031</v>
      </c>
      <c r="C194" s="17">
        <f t="shared" si="54"/>
        <v>45.998247756662217</v>
      </c>
      <c r="D194" s="16">
        <f t="shared" si="58"/>
        <v>0.81783721416906574</v>
      </c>
      <c r="E194" s="16">
        <f t="shared" si="55"/>
        <v>0</v>
      </c>
      <c r="F194" s="16">
        <f t="shared" si="56"/>
        <v>0</v>
      </c>
      <c r="G194" s="19">
        <f>IF('Peak Revenue'!$A$1="BL","-",SUM(C194:F194))</f>
        <v>46.816084970831284</v>
      </c>
      <c r="H194" s="197">
        <v>77.282340511171881</v>
      </c>
      <c r="I194" s="197">
        <v>74.454734963792703</v>
      </c>
      <c r="J194" s="197">
        <v>71.670802658602469</v>
      </c>
      <c r="K194" s="197">
        <v>68.332897018206154</v>
      </c>
      <c r="L194" s="197">
        <v>63.800930277221255</v>
      </c>
      <c r="M194" s="197">
        <v>63.256572785208064</v>
      </c>
      <c r="N194" s="197">
        <v>59.370724419975396</v>
      </c>
      <c r="O194" s="197">
        <v>53.775130510404907</v>
      </c>
      <c r="P194" s="197">
        <v>50.980523256100575</v>
      </c>
      <c r="Q194" s="197">
        <v>49.446639646811541</v>
      </c>
      <c r="R194" s="197">
        <v>48.110836664732062</v>
      </c>
      <c r="S194" s="197">
        <v>46.325308707262636</v>
      </c>
      <c r="T194" s="197">
        <v>44.769121856718712</v>
      </c>
      <c r="U194" s="197">
        <v>42.483061077832282</v>
      </c>
      <c r="V194" s="197">
        <v>38.544709759154145</v>
      </c>
      <c r="W194" s="197">
        <v>37.259995791033553</v>
      </c>
      <c r="X194" s="197">
        <v>36.331070075161378</v>
      </c>
      <c r="Y194" s="197">
        <v>36.09286206234647</v>
      </c>
      <c r="Z194" s="197">
        <v>35.805724894405706</v>
      </c>
      <c r="AA194" s="197">
        <v>34.606480964200884</v>
      </c>
      <c r="AB194" s="16">
        <f>AB193*(1+Assumptions!$L$13/12)</f>
        <v>0.81783721416906574</v>
      </c>
      <c r="AC194" s="16">
        <f t="shared" si="76"/>
        <v>0</v>
      </c>
      <c r="AD194" s="18">
        <f t="shared" si="77"/>
        <v>806.55967593313017</v>
      </c>
      <c r="AE194" s="18">
        <f t="shared" si="77"/>
        <v>1882.7189785852679</v>
      </c>
      <c r="AF194" s="5">
        <f>IF(Assumptions!D$27=1,0,1)</f>
        <v>1</v>
      </c>
      <c r="AG194" s="73">
        <f t="shared" si="78"/>
        <v>0</v>
      </c>
      <c r="AH194" s="16">
        <f>Assumptions!$E$27*Assumptions!H15</f>
        <v>4.068932917572031</v>
      </c>
      <c r="AI194" s="16">
        <f>Assumptions!$F$27*Assumptions!I15</f>
        <v>4.1737255932544537</v>
      </c>
      <c r="AJ194" s="16">
        <f t="shared" si="79"/>
        <v>0</v>
      </c>
      <c r="AK194" s="16">
        <f t="shared" si="79"/>
        <v>0</v>
      </c>
      <c r="AL194" s="4"/>
    </row>
    <row r="195" spans="1:38" x14ac:dyDescent="0.2">
      <c r="A195" s="1">
        <f t="shared" si="59"/>
        <v>42136.728000000236</v>
      </c>
      <c r="B195" s="16">
        <f t="shared" si="57"/>
        <v>4.2842203735282238</v>
      </c>
      <c r="C195" s="17">
        <f t="shared" si="54"/>
        <v>48.432017479236947</v>
      </c>
      <c r="D195" s="16">
        <f t="shared" si="58"/>
        <v>0.81920027619268088</v>
      </c>
      <c r="E195" s="16">
        <f t="shared" si="55"/>
        <v>0</v>
      </c>
      <c r="F195" s="16">
        <f t="shared" si="56"/>
        <v>0</v>
      </c>
      <c r="G195" s="19">
        <f>IF('Peak Revenue'!$A$1="BL","-",SUM(C195:F195))</f>
        <v>49.251217755429629</v>
      </c>
      <c r="H195" s="197">
        <v>166.16560831435271</v>
      </c>
      <c r="I195" s="197">
        <v>155.69376146428641</v>
      </c>
      <c r="J195" s="197">
        <v>149.55282637732628</v>
      </c>
      <c r="K195" s="197">
        <v>83.440217866533388</v>
      </c>
      <c r="L195" s="197">
        <v>68.663128732701949</v>
      </c>
      <c r="M195" s="197">
        <v>63.125265075641401</v>
      </c>
      <c r="N195" s="197">
        <v>62.145951210491617</v>
      </c>
      <c r="O195" s="197">
        <v>53.685672038528359</v>
      </c>
      <c r="P195" s="197">
        <v>44.985686473001081</v>
      </c>
      <c r="Q195" s="197">
        <v>44.031290076043263</v>
      </c>
      <c r="R195" s="197">
        <v>42.719384049103063</v>
      </c>
      <c r="S195" s="197">
        <v>41.537799661707417</v>
      </c>
      <c r="T195" s="197">
        <v>39.860414206811328</v>
      </c>
      <c r="U195" s="197">
        <v>37.669390218182166</v>
      </c>
      <c r="V195" s="197">
        <v>36.217853549707364</v>
      </c>
      <c r="W195" s="197">
        <v>35.61959600776764</v>
      </c>
      <c r="X195" s="197">
        <v>34.770195993720407</v>
      </c>
      <c r="Y195" s="197">
        <v>32.339520577679529</v>
      </c>
      <c r="Z195" s="197">
        <v>31.597715794391796</v>
      </c>
      <c r="AA195" s="197">
        <v>31.231141583091883</v>
      </c>
      <c r="AB195" s="16">
        <f>AB194*(1+Assumptions!$L$13/12)</f>
        <v>0.81920027619268088</v>
      </c>
      <c r="AC195" s="16">
        <f t="shared" si="76"/>
        <v>0</v>
      </c>
      <c r="AD195" s="18">
        <f t="shared" si="77"/>
        <v>806.55967593313017</v>
      </c>
      <c r="AE195" s="18">
        <f t="shared" si="77"/>
        <v>1882.7189785852679</v>
      </c>
      <c r="AF195" s="5">
        <v>1</v>
      </c>
      <c r="AG195" s="73">
        <f t="shared" si="78"/>
        <v>0</v>
      </c>
      <c r="AH195" s="16">
        <f>Assumptions!$E$27*Assumptions!H16</f>
        <v>4.2842203735282238</v>
      </c>
      <c r="AI195" s="16">
        <f>Assumptions!$F$27*Assumptions!I16</f>
        <v>4.005090215749223</v>
      </c>
      <c r="AJ195" s="16">
        <f t="shared" si="79"/>
        <v>0</v>
      </c>
      <c r="AK195" s="16">
        <f t="shared" si="79"/>
        <v>0</v>
      </c>
      <c r="AL195" s="4"/>
    </row>
    <row r="196" spans="1:38" x14ac:dyDescent="0.2">
      <c r="A196" s="1">
        <f t="shared" si="59"/>
        <v>42167.145000000237</v>
      </c>
      <c r="B196" s="16">
        <f t="shared" si="57"/>
        <v>4.0818501649294028</v>
      </c>
      <c r="C196" s="17">
        <f t="shared" si="54"/>
        <v>46.144273940016696</v>
      </c>
      <c r="D196" s="16">
        <f t="shared" si="58"/>
        <v>0.82056560998633543</v>
      </c>
      <c r="E196" s="16">
        <f t="shared" si="55"/>
        <v>0</v>
      </c>
      <c r="F196" s="16">
        <f t="shared" si="56"/>
        <v>0</v>
      </c>
      <c r="G196" s="19">
        <f>IF('Peak Revenue'!$A$1="BL","-",SUM(C196:F196))</f>
        <v>46.964839550003035</v>
      </c>
      <c r="H196" s="197">
        <v>193.03010379065501</v>
      </c>
      <c r="I196" s="197">
        <v>178.07227204157724</v>
      </c>
      <c r="J196" s="197">
        <v>165.43524610344434</v>
      </c>
      <c r="K196" s="197">
        <v>152.27326166666947</v>
      </c>
      <c r="L196" s="197">
        <v>122.32468874581056</v>
      </c>
      <c r="M196" s="197">
        <v>89.07991890029399</v>
      </c>
      <c r="N196" s="197">
        <v>68.451134976030048</v>
      </c>
      <c r="O196" s="197">
        <v>61.753004704110687</v>
      </c>
      <c r="P196" s="197">
        <v>59.894296205883151</v>
      </c>
      <c r="Q196" s="197">
        <v>51.822113400085108</v>
      </c>
      <c r="R196" s="197">
        <v>47.185244841887382</v>
      </c>
      <c r="S196" s="197">
        <v>41.979098347552402</v>
      </c>
      <c r="T196" s="197">
        <v>38.260560456471488</v>
      </c>
      <c r="U196" s="197">
        <v>36.538105232519897</v>
      </c>
      <c r="V196" s="197">
        <v>35.233740324737241</v>
      </c>
      <c r="W196" s="197">
        <v>33.9466905810513</v>
      </c>
      <c r="X196" s="197">
        <v>32.172879112619071</v>
      </c>
      <c r="Y196" s="197">
        <v>30.679252676788138</v>
      </c>
      <c r="Z196" s="197">
        <v>30.535058037067991</v>
      </c>
      <c r="AA196" s="197">
        <v>28.099223244744675</v>
      </c>
      <c r="AB196" s="16">
        <f>AB195*(1+Assumptions!$L$13/12)</f>
        <v>0.82056560998633543</v>
      </c>
      <c r="AC196" s="16">
        <f t="shared" si="76"/>
        <v>0</v>
      </c>
      <c r="AD196" s="18">
        <f t="shared" si="77"/>
        <v>806.55967593313017</v>
      </c>
      <c r="AE196" s="18">
        <f t="shared" si="77"/>
        <v>1882.7189785852679</v>
      </c>
      <c r="AF196" s="5">
        <v>1</v>
      </c>
      <c r="AG196" s="73">
        <f t="shared" si="78"/>
        <v>0</v>
      </c>
      <c r="AH196" s="16">
        <f>Assumptions!$E$27*Assumptions!H17</f>
        <v>4.0818501649294028</v>
      </c>
      <c r="AI196" s="16">
        <f>Assumptions!$F$27*Assumptions!I17</f>
        <v>4.005090215749223</v>
      </c>
      <c r="AJ196" s="16">
        <f t="shared" si="79"/>
        <v>0</v>
      </c>
      <c r="AK196" s="16">
        <f t="shared" si="79"/>
        <v>0</v>
      </c>
      <c r="AL196" s="4"/>
    </row>
    <row r="197" spans="1:38" x14ac:dyDescent="0.2">
      <c r="A197" s="1">
        <f t="shared" si="59"/>
        <v>42197.562000000238</v>
      </c>
      <c r="B197" s="16">
        <f t="shared" si="57"/>
        <v>4.068932917572031</v>
      </c>
      <c r="C197" s="17">
        <f t="shared" si="54"/>
        <v>45.998247756662217</v>
      </c>
      <c r="D197" s="16">
        <f t="shared" si="58"/>
        <v>0.82193321933631269</v>
      </c>
      <c r="E197" s="16">
        <f t="shared" si="55"/>
        <v>0</v>
      </c>
      <c r="F197" s="16">
        <f t="shared" si="56"/>
        <v>0</v>
      </c>
      <c r="G197" s="19">
        <f>IF('Peak Revenue'!$A$1="BL","-",SUM(C197:F197))</f>
        <v>46.820180975998532</v>
      </c>
      <c r="H197" s="197">
        <v>323.6976984259407</v>
      </c>
      <c r="I197" s="197">
        <v>237.36640972119503</v>
      </c>
      <c r="J197" s="197">
        <v>214.71537026531846</v>
      </c>
      <c r="K197" s="197">
        <v>195.01716422155536</v>
      </c>
      <c r="L197" s="197">
        <v>178.44034076288179</v>
      </c>
      <c r="M197" s="197">
        <v>161.91302356766391</v>
      </c>
      <c r="N197" s="197">
        <v>148.31225670055807</v>
      </c>
      <c r="O197" s="197">
        <v>76.185430812381952</v>
      </c>
      <c r="P197" s="197">
        <v>59.379773134017661</v>
      </c>
      <c r="Q197" s="197">
        <v>53.53335417493399</v>
      </c>
      <c r="R197" s="197">
        <v>49.2476547817257</v>
      </c>
      <c r="S197" s="197">
        <v>39.446744359708738</v>
      </c>
      <c r="T197" s="197">
        <v>38.398099830965549</v>
      </c>
      <c r="U197" s="197">
        <v>37.1386735758526</v>
      </c>
      <c r="V197" s="197">
        <v>35.83671533148754</v>
      </c>
      <c r="W197" s="197">
        <v>34.231179858786831</v>
      </c>
      <c r="X197" s="197">
        <v>32.260967616558446</v>
      </c>
      <c r="Y197" s="197">
        <v>30.956288166343295</v>
      </c>
      <c r="Z197" s="197">
        <v>28.620290117514035</v>
      </c>
      <c r="AA197" s="197">
        <v>27.11760291078766</v>
      </c>
      <c r="AB197" s="16">
        <f>AB196*(1+Assumptions!$L$13/12)</f>
        <v>0.82193321933631269</v>
      </c>
      <c r="AC197" s="16">
        <f t="shared" si="76"/>
        <v>0</v>
      </c>
      <c r="AD197" s="18">
        <f t="shared" si="77"/>
        <v>806.55967593313017</v>
      </c>
      <c r="AE197" s="18">
        <f t="shared" si="77"/>
        <v>1882.7189785852679</v>
      </c>
      <c r="AF197" s="5">
        <v>1</v>
      </c>
      <c r="AG197" s="73">
        <f t="shared" si="78"/>
        <v>0</v>
      </c>
      <c r="AH197" s="16">
        <f>Assumptions!$E$27*Assumptions!H18</f>
        <v>4.068932917572031</v>
      </c>
      <c r="AI197" s="16">
        <f>Assumptions!$F$27*Assumptions!I18</f>
        <v>4.005090215749223</v>
      </c>
      <c r="AJ197" s="16">
        <f t="shared" si="79"/>
        <v>0</v>
      </c>
      <c r="AK197" s="16">
        <f t="shared" si="79"/>
        <v>0</v>
      </c>
      <c r="AL197" s="4"/>
    </row>
    <row r="198" spans="1:38" x14ac:dyDescent="0.2">
      <c r="A198" s="1">
        <f t="shared" si="59"/>
        <v>42227.979000000239</v>
      </c>
      <c r="B198" s="16">
        <f t="shared" si="57"/>
        <v>3.8579512107349632</v>
      </c>
      <c r="C198" s="17">
        <f t="shared" si="54"/>
        <v>43.613153428538993</v>
      </c>
      <c r="D198" s="16">
        <f t="shared" si="58"/>
        <v>0.82330310803520657</v>
      </c>
      <c r="E198" s="16">
        <f t="shared" si="55"/>
        <v>0</v>
      </c>
      <c r="F198" s="16">
        <f t="shared" si="56"/>
        <v>0</v>
      </c>
      <c r="G198" s="19">
        <f>IF('Peak Revenue'!$A$1="BL","-",SUM(C198:F198))</f>
        <v>44.436456536574198</v>
      </c>
      <c r="H198" s="197">
        <v>329.42661047463639</v>
      </c>
      <c r="I198" s="197">
        <v>232.76734441193207</v>
      </c>
      <c r="J198" s="197">
        <v>210.0541900213193</v>
      </c>
      <c r="K198" s="197">
        <v>187.54203086288743</v>
      </c>
      <c r="L198" s="197">
        <v>169.23864604761667</v>
      </c>
      <c r="M198" s="197">
        <v>152.74266210307169</v>
      </c>
      <c r="N198" s="197">
        <v>100.29037812738979</v>
      </c>
      <c r="O198" s="197">
        <v>84.41564436222545</v>
      </c>
      <c r="P198" s="197">
        <v>57.773962297264916</v>
      </c>
      <c r="Q198" s="197">
        <v>49.317396925991019</v>
      </c>
      <c r="R198" s="197">
        <v>46.560379872813193</v>
      </c>
      <c r="S198" s="197">
        <v>43.713250152026923</v>
      </c>
      <c r="T198" s="197">
        <v>43.116857274179871</v>
      </c>
      <c r="U198" s="197">
        <v>42.844803271758451</v>
      </c>
      <c r="V198" s="197">
        <v>42.844803271758451</v>
      </c>
      <c r="W198" s="197">
        <v>42.844803271758451</v>
      </c>
      <c r="X198" s="197">
        <v>42.389851077235065</v>
      </c>
      <c r="Y198" s="197">
        <v>42.134941224464242</v>
      </c>
      <c r="Z198" s="197">
        <v>42.134882069788617</v>
      </c>
      <c r="AA198" s="197">
        <v>40.836320434434889</v>
      </c>
      <c r="AB198" s="16">
        <f>AB197*(1+Assumptions!$L$13/12)</f>
        <v>0.82330310803520657</v>
      </c>
      <c r="AC198" s="16">
        <f t="shared" si="76"/>
        <v>0</v>
      </c>
      <c r="AD198" s="18">
        <f t="shared" si="77"/>
        <v>806.55967593313017</v>
      </c>
      <c r="AE198" s="18">
        <f t="shared" si="77"/>
        <v>1882.7189785852679</v>
      </c>
      <c r="AF198" s="5">
        <v>1</v>
      </c>
      <c r="AG198" s="73">
        <f t="shared" si="78"/>
        <v>0</v>
      </c>
      <c r="AH198" s="16">
        <f>Assumptions!$E$27*Assumptions!H19</f>
        <v>3.8579512107349632</v>
      </c>
      <c r="AI198" s="16">
        <f>Assumptions!$F$27*Assumptions!I19</f>
        <v>4.005090215749223</v>
      </c>
      <c r="AJ198" s="16">
        <f t="shared" si="79"/>
        <v>0</v>
      </c>
      <c r="AK198" s="16">
        <f t="shared" si="79"/>
        <v>0</v>
      </c>
      <c r="AL198" s="4"/>
    </row>
    <row r="199" spans="1:38" x14ac:dyDescent="0.2">
      <c r="A199" s="1">
        <f t="shared" si="59"/>
        <v>42258.396000000241</v>
      </c>
      <c r="B199" s="16">
        <f t="shared" si="57"/>
        <v>3.8450339633775918</v>
      </c>
      <c r="C199" s="17">
        <f t="shared" si="54"/>
        <v>43.467127245184514</v>
      </c>
      <c r="D199" s="16">
        <f t="shared" si="58"/>
        <v>0.8246752798819319</v>
      </c>
      <c r="E199" s="16">
        <f t="shared" si="55"/>
        <v>0</v>
      </c>
      <c r="F199" s="16">
        <f t="shared" si="56"/>
        <v>0</v>
      </c>
      <c r="G199" s="19">
        <f>IF('Peak Revenue'!$A$1="BL","-",SUM(C199:F199))</f>
        <v>44.291802525066444</v>
      </c>
      <c r="H199" s="197">
        <v>152.87369570685161</v>
      </c>
      <c r="I199" s="197">
        <v>134.41131845920481</v>
      </c>
      <c r="J199" s="197">
        <v>103.51536629488585</v>
      </c>
      <c r="K199" s="197">
        <v>94.266992859290781</v>
      </c>
      <c r="L199" s="197">
        <v>82.978360950099841</v>
      </c>
      <c r="M199" s="197">
        <v>59.266426657879059</v>
      </c>
      <c r="N199" s="197">
        <v>52.104018716577805</v>
      </c>
      <c r="O199" s="197">
        <v>48.349487966188903</v>
      </c>
      <c r="P199" s="197">
        <v>46.147662764151278</v>
      </c>
      <c r="Q199" s="197">
        <v>45.796901492895415</v>
      </c>
      <c r="R199" s="197">
        <v>45.437859777275882</v>
      </c>
      <c r="S199" s="197">
        <v>45.437859777275882</v>
      </c>
      <c r="T199" s="197">
        <v>45.437859777275882</v>
      </c>
      <c r="U199" s="197">
        <v>45.399730037553134</v>
      </c>
      <c r="V199" s="197">
        <v>44.84182053649333</v>
      </c>
      <c r="W199" s="197">
        <v>44.67721668215485</v>
      </c>
      <c r="X199" s="197">
        <v>44.677211234074484</v>
      </c>
      <c r="Y199" s="197">
        <v>44.677072815745646</v>
      </c>
      <c r="Z199" s="197">
        <v>44.67706572896698</v>
      </c>
      <c r="AA199" s="197">
        <v>43.676048255595639</v>
      </c>
      <c r="AB199" s="16">
        <f>AB198*(1+Assumptions!$L$13/12)</f>
        <v>0.8246752798819319</v>
      </c>
      <c r="AC199" s="16">
        <f t="shared" si="76"/>
        <v>0</v>
      </c>
      <c r="AD199" s="18">
        <f t="shared" si="77"/>
        <v>806.55967593313017</v>
      </c>
      <c r="AE199" s="18">
        <f t="shared" si="77"/>
        <v>1882.7189785852679</v>
      </c>
      <c r="AF199" s="5">
        <v>1</v>
      </c>
      <c r="AG199" s="73">
        <f t="shared" si="78"/>
        <v>0</v>
      </c>
      <c r="AH199" s="16">
        <f>Assumptions!$E$27*Assumptions!H20</f>
        <v>3.8450339633775918</v>
      </c>
      <c r="AI199" s="16">
        <f>Assumptions!$F$27*Assumptions!I20</f>
        <v>4.005090215749223</v>
      </c>
      <c r="AJ199" s="16">
        <f t="shared" si="79"/>
        <v>0</v>
      </c>
      <c r="AK199" s="16">
        <f t="shared" si="79"/>
        <v>0</v>
      </c>
      <c r="AL199" s="4"/>
    </row>
    <row r="200" spans="1:38" x14ac:dyDescent="0.2">
      <c r="A200" s="1">
        <f t="shared" si="59"/>
        <v>42288.813000000242</v>
      </c>
      <c r="B200" s="16">
        <f t="shared" si="57"/>
        <v>4.2583858788134803</v>
      </c>
      <c r="C200" s="17">
        <f t="shared" si="54"/>
        <v>48.139965112527975</v>
      </c>
      <c r="D200" s="16">
        <f t="shared" si="58"/>
        <v>0.82604973868173515</v>
      </c>
      <c r="E200" s="16">
        <f t="shared" si="55"/>
        <v>0</v>
      </c>
      <c r="F200" s="16">
        <f t="shared" si="56"/>
        <v>0</v>
      </c>
      <c r="G200" s="19">
        <f>IF('Peak Revenue'!$A$1="BL","-",SUM(C200:F200))</f>
        <v>48.966014851209707</v>
      </c>
      <c r="H200" s="197">
        <v>149.27952951040905</v>
      </c>
      <c r="I200" s="197">
        <v>143.29374751230054</v>
      </c>
      <c r="J200" s="197">
        <v>105.95878367961009</v>
      </c>
      <c r="K200" s="197">
        <v>89.639348682929622</v>
      </c>
      <c r="L200" s="197">
        <v>82.561158906594429</v>
      </c>
      <c r="M200" s="197">
        <v>81.969222727745702</v>
      </c>
      <c r="N200" s="197">
        <v>69.913721166388001</v>
      </c>
      <c r="O200" s="197">
        <v>56.063895203936205</v>
      </c>
      <c r="P200" s="197">
        <v>46.578108668961796</v>
      </c>
      <c r="Q200" s="197">
        <v>46.032325906078093</v>
      </c>
      <c r="R200" s="197">
        <v>41.210914657702673</v>
      </c>
      <c r="S200" s="197">
        <v>39.639832010491816</v>
      </c>
      <c r="T200" s="197">
        <v>39.639832010491816</v>
      </c>
      <c r="U200" s="197">
        <v>39.639658351668267</v>
      </c>
      <c r="V200" s="197">
        <v>39.6390965972613</v>
      </c>
      <c r="W200" s="197">
        <v>39.6390965972613</v>
      </c>
      <c r="X200" s="197">
        <v>39.6390965972613</v>
      </c>
      <c r="Y200" s="197">
        <v>39.6390965972613</v>
      </c>
      <c r="Z200" s="197">
        <v>38.233324578063176</v>
      </c>
      <c r="AA200" s="197">
        <v>33.808184962603249</v>
      </c>
      <c r="AB200" s="16">
        <f>AB199*(1+Assumptions!$L$13/12)</f>
        <v>0.82604973868173515</v>
      </c>
      <c r="AC200" s="16">
        <f t="shared" si="76"/>
        <v>0</v>
      </c>
      <c r="AD200" s="18">
        <f t="shared" si="77"/>
        <v>806.55967593313017</v>
      </c>
      <c r="AE200" s="18">
        <f t="shared" si="77"/>
        <v>1882.7189785852679</v>
      </c>
      <c r="AF200" s="5">
        <f>IF(Assumptions!D$27=1,0,1)</f>
        <v>1</v>
      </c>
      <c r="AG200" s="73">
        <f t="shared" si="78"/>
        <v>0</v>
      </c>
      <c r="AH200" s="16">
        <f>Assumptions!$E$27*Assumptions!H21</f>
        <v>4.2583858788134803</v>
      </c>
      <c r="AI200" s="16">
        <f>Assumptions!$F$27*Assumptions!I21</f>
        <v>4.005090215749223</v>
      </c>
      <c r="AJ200" s="16">
        <f t="shared" si="79"/>
        <v>0</v>
      </c>
      <c r="AK200" s="16">
        <f t="shared" si="79"/>
        <v>0</v>
      </c>
      <c r="AL200" s="4"/>
    </row>
    <row r="201" spans="1:38" x14ac:dyDescent="0.2">
      <c r="A201" s="1">
        <f t="shared" si="59"/>
        <v>42319.230000000243</v>
      </c>
      <c r="B201" s="16">
        <f t="shared" si="57"/>
        <v>4.6631262960111215</v>
      </c>
      <c r="C201" s="17">
        <f t="shared" si="54"/>
        <v>52.715452190968449</v>
      </c>
      <c r="D201" s="16">
        <f t="shared" si="58"/>
        <v>0.82742648824620468</v>
      </c>
      <c r="E201" s="16">
        <f t="shared" si="55"/>
        <v>0</v>
      </c>
      <c r="F201" s="16">
        <f t="shared" si="56"/>
        <v>0</v>
      </c>
      <c r="G201" s="19">
        <f>IF('Peak Revenue'!$A$1="BL","-",SUM(C201:F201))</f>
        <v>53.542878679214652</v>
      </c>
      <c r="H201" s="197">
        <v>105.97240129332765</v>
      </c>
      <c r="I201" s="197">
        <v>101.36841584941581</v>
      </c>
      <c r="J201" s="197">
        <v>97.956555900083828</v>
      </c>
      <c r="K201" s="197">
        <v>92.677255139738719</v>
      </c>
      <c r="L201" s="197">
        <v>91.780293614065343</v>
      </c>
      <c r="M201" s="197">
        <v>89.414986671302671</v>
      </c>
      <c r="N201" s="197">
        <v>68.600338491839977</v>
      </c>
      <c r="O201" s="197">
        <v>61.741221777219607</v>
      </c>
      <c r="P201" s="197">
        <v>56.794869678319024</v>
      </c>
      <c r="Q201" s="197">
        <v>56.273511698761595</v>
      </c>
      <c r="R201" s="197">
        <v>51.581081049814244</v>
      </c>
      <c r="S201" s="197">
        <v>48.834461454869938</v>
      </c>
      <c r="T201" s="197">
        <v>47.298624555477595</v>
      </c>
      <c r="U201" s="197">
        <v>45.283488357582392</v>
      </c>
      <c r="V201" s="197">
        <v>44.617693334078261</v>
      </c>
      <c r="W201" s="197">
        <v>44.617693334078261</v>
      </c>
      <c r="X201" s="197">
        <v>44.617693334078261</v>
      </c>
      <c r="Y201" s="197">
        <v>44.617693334078261</v>
      </c>
      <c r="Z201" s="197">
        <v>44.617693334078261</v>
      </c>
      <c r="AA201" s="197">
        <v>44.172136887998576</v>
      </c>
      <c r="AB201" s="16">
        <f>AB200*(1+Assumptions!$L$13/12)</f>
        <v>0.82742648824620468</v>
      </c>
      <c r="AC201" s="16">
        <f t="shared" si="76"/>
        <v>0</v>
      </c>
      <c r="AD201" s="18">
        <f t="shared" si="77"/>
        <v>806.55967593313017</v>
      </c>
      <c r="AE201" s="18">
        <f t="shared" si="77"/>
        <v>1882.7189785852679</v>
      </c>
      <c r="AF201" s="5">
        <f>IF(Assumptions!D$27=1,0,1)</f>
        <v>1</v>
      </c>
      <c r="AG201" s="73">
        <f t="shared" si="78"/>
        <v>0</v>
      </c>
      <c r="AH201" s="16">
        <f>Assumptions!$E$27*Assumptions!H22</f>
        <v>4.6631262960111215</v>
      </c>
      <c r="AI201" s="16">
        <f>Assumptions!$F$27*Assumptions!I22</f>
        <v>4.3423609707596835</v>
      </c>
      <c r="AJ201" s="16">
        <f t="shared" si="79"/>
        <v>0</v>
      </c>
      <c r="AK201" s="16">
        <f t="shared" si="79"/>
        <v>0</v>
      </c>
      <c r="AL201" s="4"/>
    </row>
    <row r="202" spans="1:38" x14ac:dyDescent="0.2">
      <c r="A202" s="1">
        <f t="shared" si="59"/>
        <v>42349.647000000245</v>
      </c>
      <c r="B202" s="16">
        <f t="shared" si="57"/>
        <v>5.0463379676131437</v>
      </c>
      <c r="C202" s="17">
        <f t="shared" si="54"/>
        <v>57.047562297151451</v>
      </c>
      <c r="D202" s="16">
        <f t="shared" si="58"/>
        <v>0.8288055323932817</v>
      </c>
      <c r="E202" s="16">
        <f t="shared" si="55"/>
        <v>0</v>
      </c>
      <c r="F202" s="16">
        <f t="shared" si="56"/>
        <v>0</v>
      </c>
      <c r="G202" s="19">
        <f>IF('Peak Revenue'!$A$1="BL","-",SUM(C202:F202))</f>
        <v>57.876367829544733</v>
      </c>
      <c r="H202" s="197">
        <v>112.52244706353581</v>
      </c>
      <c r="I202" s="197">
        <v>105.84176122143603</v>
      </c>
      <c r="J202" s="197">
        <v>103.7438520677875</v>
      </c>
      <c r="K202" s="197">
        <v>97.673076524202799</v>
      </c>
      <c r="L202" s="197">
        <v>95.688659952352751</v>
      </c>
      <c r="M202" s="197">
        <v>95.061582515874278</v>
      </c>
      <c r="N202" s="197">
        <v>78.938638668910201</v>
      </c>
      <c r="O202" s="197">
        <v>65.29155915206006</v>
      </c>
      <c r="P202" s="197">
        <v>61.396313875134965</v>
      </c>
      <c r="Q202" s="197">
        <v>60.493981141644738</v>
      </c>
      <c r="R202" s="197">
        <v>56.325858430516313</v>
      </c>
      <c r="S202" s="197">
        <v>51.517172197587229</v>
      </c>
      <c r="T202" s="197">
        <v>49.650039648766864</v>
      </c>
      <c r="U202" s="197">
        <v>47.711657704620144</v>
      </c>
      <c r="V202" s="197">
        <v>46.341513755244307</v>
      </c>
      <c r="W202" s="197">
        <v>46.339391784963659</v>
      </c>
      <c r="X202" s="197">
        <v>46.339391784963659</v>
      </c>
      <c r="Y202" s="197">
        <v>46.339391784963659</v>
      </c>
      <c r="Z202" s="197">
        <v>46.339391784963659</v>
      </c>
      <c r="AA202" s="197">
        <v>46.034217144582982</v>
      </c>
      <c r="AB202" s="16">
        <f>AB201*(1+Assumptions!$L$13/12)</f>
        <v>0.8288055323932817</v>
      </c>
      <c r="AC202" s="16">
        <f t="shared" si="76"/>
        <v>0</v>
      </c>
      <c r="AD202" s="18">
        <f t="shared" si="77"/>
        <v>806.55967593313017</v>
      </c>
      <c r="AE202" s="18">
        <f t="shared" si="77"/>
        <v>1882.7189785852679</v>
      </c>
      <c r="AF202" s="5">
        <f>IF(Assumptions!D$27=1,0,1)</f>
        <v>1</v>
      </c>
      <c r="AG202" s="73">
        <f t="shared" si="78"/>
        <v>0</v>
      </c>
      <c r="AH202" s="16">
        <f>Assumptions!$E$27*Assumptions!H23</f>
        <v>5.0463379676131437</v>
      </c>
      <c r="AI202" s="16">
        <f>Assumptions!$F$27*Assumptions!I23</f>
        <v>4.5531551926412224</v>
      </c>
      <c r="AJ202" s="16">
        <f t="shared" si="79"/>
        <v>0</v>
      </c>
      <c r="AK202" s="16">
        <f t="shared" si="79"/>
        <v>0</v>
      </c>
      <c r="AL202" s="4"/>
    </row>
    <row r="203" spans="1:38" x14ac:dyDescent="0.2">
      <c r="A203" s="1">
        <f t="shared" si="59"/>
        <v>42380.064000000246</v>
      </c>
      <c r="B203" s="16">
        <f t="shared" si="57"/>
        <v>5.0755463401030143</v>
      </c>
      <c r="C203" s="17">
        <f t="shared" ref="C203:C250" si="80">(B203*$B$1*1000)/1000000</f>
        <v>57.377755490692628</v>
      </c>
      <c r="D203" s="16">
        <f t="shared" si="58"/>
        <v>0.8301868749472705</v>
      </c>
      <c r="E203" s="16">
        <f t="shared" ref="E203:E250" si="81">(($AJ203*$B$1*AD203*1000)/2000)/1000000</f>
        <v>0</v>
      </c>
      <c r="F203" s="16">
        <f t="shared" ref="F203:F250" si="82">AF203*(($AK203*$B$1*AE203*1000)/2000)/1000000</f>
        <v>0</v>
      </c>
      <c r="G203" s="19">
        <f>IF('Peak Revenue'!$A$1="BL","-",SUM(C203:F203))</f>
        <v>58.207942365639902</v>
      </c>
      <c r="H203" s="197">
        <v>113.70047050481307</v>
      </c>
      <c r="I203" s="197">
        <v>105.39802270195474</v>
      </c>
      <c r="J203" s="197">
        <v>98.710555397649188</v>
      </c>
      <c r="K203" s="197">
        <v>93.35890612354423</v>
      </c>
      <c r="L203" s="197">
        <v>89.023441644186931</v>
      </c>
      <c r="M203" s="197">
        <v>87.792218173406198</v>
      </c>
      <c r="N203" s="197">
        <v>72.767973991290091</v>
      </c>
      <c r="O203" s="197">
        <v>60.970968470645701</v>
      </c>
      <c r="P203" s="197">
        <v>57.76307902430284</v>
      </c>
      <c r="Q203" s="197">
        <v>54.583881624827477</v>
      </c>
      <c r="R203" s="197">
        <v>54.221387718349391</v>
      </c>
      <c r="S203" s="197">
        <v>53.026313912040322</v>
      </c>
      <c r="T203" s="197">
        <v>51.060722597472093</v>
      </c>
      <c r="U203" s="197">
        <v>48.686497378298824</v>
      </c>
      <c r="V203" s="197">
        <v>45.092517094221968</v>
      </c>
      <c r="W203" s="197">
        <v>43.347648603815387</v>
      </c>
      <c r="X203" s="197">
        <v>43.347648603815387</v>
      </c>
      <c r="Y203" s="197">
        <v>43.347648603815387</v>
      </c>
      <c r="Z203" s="197">
        <v>43.347648603815387</v>
      </c>
      <c r="AA203" s="197">
        <v>42.279134505508416</v>
      </c>
      <c r="AB203" s="16">
        <f>AB202*(1+Assumptions!$L$13/12)</f>
        <v>0.8301868749472705</v>
      </c>
      <c r="AC203" s="16">
        <f>VLOOKUP($C$1,EnvVOM,19)</f>
        <v>0</v>
      </c>
      <c r="AD203" s="18">
        <f>Assumptions!B28</f>
        <v>885.60153229928596</v>
      </c>
      <c r="AE203" s="18">
        <f>Assumptions!C28</f>
        <v>1999.3152787201918</v>
      </c>
      <c r="AF203" s="5">
        <f>IF(Assumptions!D$28=1,0,1)</f>
        <v>1</v>
      </c>
      <c r="AG203" s="73">
        <f>VLOOKUP($C$1,Coal,19)</f>
        <v>0</v>
      </c>
      <c r="AH203" s="16">
        <f>Assumptions!$E$28*Assumptions!H12</f>
        <v>5.0755463401030143</v>
      </c>
      <c r="AI203" s="16">
        <f>Assumptions!$F$28*Assumptions!I12</f>
        <v>4.7353537478480909</v>
      </c>
      <c r="AJ203" s="16">
        <f>VLOOKUP($C$1,SO2Rate,19)</f>
        <v>0</v>
      </c>
      <c r="AK203" s="16">
        <f>VLOOKUP($C$1,NOxRate,19)</f>
        <v>0</v>
      </c>
      <c r="AL203" s="4"/>
    </row>
    <row r="204" spans="1:38" x14ac:dyDescent="0.2">
      <c r="A204" s="1">
        <f t="shared" si="59"/>
        <v>42410.481000000247</v>
      </c>
      <c r="B204" s="16">
        <f t="shared" ref="B204:B250" si="83">IF($B$9="Coal",AG204,IF($B$9="Gas",AH204,IF($B$9="Oil",AI204,0)))</f>
        <v>4.5490933952519033</v>
      </c>
      <c r="C204" s="17">
        <f t="shared" si="80"/>
        <v>51.426339362668656</v>
      </c>
      <c r="D204" s="16">
        <f t="shared" ref="D204:D250" si="84">AB204+AC204</f>
        <v>0.83157051973884932</v>
      </c>
      <c r="E204" s="16">
        <f t="shared" si="81"/>
        <v>0</v>
      </c>
      <c r="F204" s="16">
        <f t="shared" si="82"/>
        <v>0</v>
      </c>
      <c r="G204" s="19">
        <f>IF('Peak Revenue'!$A$1="BL","-",SUM(C204:F204))</f>
        <v>52.257909882407503</v>
      </c>
      <c r="H204" s="197">
        <v>152.28454613479084</v>
      </c>
      <c r="I204" s="197">
        <v>147.99903550397974</v>
      </c>
      <c r="J204" s="197">
        <v>132.87633401601724</v>
      </c>
      <c r="K204" s="197">
        <v>105.20846299350377</v>
      </c>
      <c r="L204" s="197">
        <v>96.740177105018091</v>
      </c>
      <c r="M204" s="197">
        <v>89.500017447019545</v>
      </c>
      <c r="N204" s="197">
        <v>86.391956568653626</v>
      </c>
      <c r="O204" s="197">
        <v>82.972134581646174</v>
      </c>
      <c r="P204" s="197">
        <v>64.682912219099634</v>
      </c>
      <c r="Q204" s="197">
        <v>55.854235234662916</v>
      </c>
      <c r="R204" s="197">
        <v>48.409043503281929</v>
      </c>
      <c r="S204" s="197">
        <v>47.236566246562759</v>
      </c>
      <c r="T204" s="197">
        <v>43.0809250270135</v>
      </c>
      <c r="U204" s="197">
        <v>41.730593247665468</v>
      </c>
      <c r="V204" s="197">
        <v>41.53268768223829</v>
      </c>
      <c r="W204" s="197">
        <v>41.532684700111254</v>
      </c>
      <c r="X204" s="197">
        <v>41.532563783917404</v>
      </c>
      <c r="Y204" s="197">
        <v>41.532489671423669</v>
      </c>
      <c r="Z204" s="197">
        <v>41.433763298251989</v>
      </c>
      <c r="AA204" s="197">
        <v>38.742550572429558</v>
      </c>
      <c r="AB204" s="16">
        <f>AB203*(1+Assumptions!$L$13/12)</f>
        <v>0.83157051973884932</v>
      </c>
      <c r="AC204" s="16">
        <f>AC203</f>
        <v>0</v>
      </c>
      <c r="AD204" s="18">
        <f>AD203</f>
        <v>885.60153229928596</v>
      </c>
      <c r="AE204" s="18">
        <f>AE203</f>
        <v>1999.3152787201918</v>
      </c>
      <c r="AF204" s="5">
        <f>IF(Assumptions!D$28=1,0,1)</f>
        <v>1</v>
      </c>
      <c r="AG204" s="73">
        <f>AG203</f>
        <v>0</v>
      </c>
      <c r="AH204" s="16">
        <f>Assumptions!$E$28*Assumptions!H13</f>
        <v>4.5490933952519033</v>
      </c>
      <c r="AI204" s="16">
        <f>Assumptions!$F$28*Assumptions!I13</f>
        <v>4.6915078798124608</v>
      </c>
      <c r="AJ204" s="16">
        <f>AJ203</f>
        <v>0</v>
      </c>
      <c r="AK204" s="16">
        <f>AK203</f>
        <v>0</v>
      </c>
      <c r="AL204" s="4"/>
    </row>
    <row r="205" spans="1:38" x14ac:dyDescent="0.2">
      <c r="A205" s="1">
        <f t="shared" ref="A205:A250" si="85">A204+30.417</f>
        <v>42440.898000000248</v>
      </c>
      <c r="B205" s="16">
        <f t="shared" si="83"/>
        <v>4.4726002323248197</v>
      </c>
      <c r="C205" s="17">
        <f t="shared" si="80"/>
        <v>50.56160368594724</v>
      </c>
      <c r="D205" s="16">
        <f t="shared" si="84"/>
        <v>0.83295647060508082</v>
      </c>
      <c r="E205" s="16">
        <f t="shared" si="81"/>
        <v>0</v>
      </c>
      <c r="F205" s="16">
        <f t="shared" si="82"/>
        <v>0</v>
      </c>
      <c r="G205" s="19">
        <f>IF('Peak Revenue'!$A$1="BL","-",SUM(C205:F205))</f>
        <v>51.394560156552323</v>
      </c>
      <c r="H205" s="197">
        <v>94.44802124734916</v>
      </c>
      <c r="I205" s="197">
        <v>92.353844461455907</v>
      </c>
      <c r="J205" s="197">
        <v>88.049382591425797</v>
      </c>
      <c r="K205" s="197">
        <v>83.944331450780197</v>
      </c>
      <c r="L205" s="197">
        <v>83.444602745642698</v>
      </c>
      <c r="M205" s="197">
        <v>80.637140777172931</v>
      </c>
      <c r="N205" s="197">
        <v>67.474253173596793</v>
      </c>
      <c r="O205" s="197">
        <v>57.661153763531424</v>
      </c>
      <c r="P205" s="197">
        <v>56.001186214683869</v>
      </c>
      <c r="Q205" s="197">
        <v>52.77296013351117</v>
      </c>
      <c r="R205" s="197">
        <v>50.432960180243882</v>
      </c>
      <c r="S205" s="197">
        <v>48.607412740651114</v>
      </c>
      <c r="T205" s="197">
        <v>47.636779283283076</v>
      </c>
      <c r="U205" s="197">
        <v>47.445923013266452</v>
      </c>
      <c r="V205" s="197">
        <v>47.152651585905694</v>
      </c>
      <c r="W205" s="197">
        <v>45.668156051601422</v>
      </c>
      <c r="X205" s="197">
        <v>44.026720783147752</v>
      </c>
      <c r="Y205" s="197">
        <v>42.797004283430468</v>
      </c>
      <c r="Z205" s="197">
        <v>40.998628569330414</v>
      </c>
      <c r="AA205" s="197">
        <v>40.882363241619387</v>
      </c>
      <c r="AB205" s="16">
        <f>AB204*(1+Assumptions!$L$13/12)</f>
        <v>0.83295647060508082</v>
      </c>
      <c r="AC205" s="16">
        <f t="shared" ref="AC205:AC214" si="86">AC204</f>
        <v>0</v>
      </c>
      <c r="AD205" s="18">
        <f t="shared" ref="AD205:AE214" si="87">AD204</f>
        <v>885.60153229928596</v>
      </c>
      <c r="AE205" s="18">
        <f t="shared" si="87"/>
        <v>1999.3152787201918</v>
      </c>
      <c r="AF205" s="5">
        <f>IF(Assumptions!D$28=1,0,1)</f>
        <v>1</v>
      </c>
      <c r="AG205" s="73">
        <f t="shared" ref="AG205:AG214" si="88">AG204</f>
        <v>0</v>
      </c>
      <c r="AH205" s="16">
        <f>Assumptions!$E$28*Assumptions!H14</f>
        <v>4.4726002323248197</v>
      </c>
      <c r="AI205" s="16">
        <f>Assumptions!$F$28*Assumptions!I14</f>
        <v>4.5161244076699383</v>
      </c>
      <c r="AJ205" s="16">
        <f t="shared" ref="AJ205:AK214" si="89">AJ204</f>
        <v>0</v>
      </c>
      <c r="AK205" s="16">
        <f t="shared" si="89"/>
        <v>0</v>
      </c>
      <c r="AL205" s="4"/>
    </row>
    <row r="206" spans="1:38" x14ac:dyDescent="0.2">
      <c r="A206" s="1">
        <f t="shared" si="85"/>
        <v>42471.31500000025</v>
      </c>
      <c r="B206" s="16">
        <f t="shared" si="83"/>
        <v>4.2521199391820463</v>
      </c>
      <c r="C206" s="17">
        <f t="shared" si="80"/>
        <v>48.069130264808983</v>
      </c>
      <c r="D206" s="16">
        <f t="shared" si="84"/>
        <v>0.83434473138942267</v>
      </c>
      <c r="E206" s="16">
        <f t="shared" si="81"/>
        <v>0</v>
      </c>
      <c r="F206" s="16">
        <f t="shared" si="82"/>
        <v>0</v>
      </c>
      <c r="G206" s="19">
        <f>IF('Peak Revenue'!$A$1="BL","-",SUM(C206:F206))</f>
        <v>48.903474996198405</v>
      </c>
      <c r="H206" s="197">
        <v>123.44273432907684</v>
      </c>
      <c r="I206" s="197">
        <v>96.03420075860619</v>
      </c>
      <c r="J206" s="197">
        <v>89.391527026767704</v>
      </c>
      <c r="K206" s="197">
        <v>84.711135646892444</v>
      </c>
      <c r="L206" s="197">
        <v>84.41391471740323</v>
      </c>
      <c r="M206" s="197">
        <v>66.890024932942879</v>
      </c>
      <c r="N206" s="197">
        <v>53.583213353511539</v>
      </c>
      <c r="O206" s="197">
        <v>47.433039498465369</v>
      </c>
      <c r="P206" s="197">
        <v>45.740872927851719</v>
      </c>
      <c r="Q206" s="197">
        <v>40.934061221092506</v>
      </c>
      <c r="R206" s="197">
        <v>40.746312912266035</v>
      </c>
      <c r="S206" s="197">
        <v>40.746312912266035</v>
      </c>
      <c r="T206" s="197">
        <v>40.746294178599022</v>
      </c>
      <c r="U206" s="197">
        <v>40.745632701431425</v>
      </c>
      <c r="V206" s="197">
        <v>40.745568254168468</v>
      </c>
      <c r="W206" s="197">
        <v>40.745568254168468</v>
      </c>
      <c r="X206" s="197">
        <v>40.745568254168468</v>
      </c>
      <c r="Y206" s="197">
        <v>40.278733675441977</v>
      </c>
      <c r="Z206" s="197">
        <v>38.379382438319517</v>
      </c>
      <c r="AA206" s="197">
        <v>36.104342652063011</v>
      </c>
      <c r="AB206" s="16">
        <f>AB205*(1+Assumptions!$L$13/12)</f>
        <v>0.83434473138942267</v>
      </c>
      <c r="AC206" s="16">
        <f t="shared" si="86"/>
        <v>0</v>
      </c>
      <c r="AD206" s="18">
        <f t="shared" si="87"/>
        <v>885.60153229928596</v>
      </c>
      <c r="AE206" s="18">
        <f t="shared" si="87"/>
        <v>1999.3152787201918</v>
      </c>
      <c r="AF206" s="5">
        <f>IF(Assumptions!D$28=1,0,1)</f>
        <v>1</v>
      </c>
      <c r="AG206" s="73">
        <f t="shared" si="88"/>
        <v>0</v>
      </c>
      <c r="AH206" s="16">
        <f>Assumptions!$E$28*Assumptions!H15</f>
        <v>4.2521199391820463</v>
      </c>
      <c r="AI206" s="16">
        <f>Assumptions!$F$28*Assumptions!I15</f>
        <v>4.3407409355274167</v>
      </c>
      <c r="AJ206" s="16">
        <f t="shared" si="89"/>
        <v>0</v>
      </c>
      <c r="AK206" s="16">
        <f t="shared" si="89"/>
        <v>0</v>
      </c>
      <c r="AL206" s="4"/>
    </row>
    <row r="207" spans="1:38" x14ac:dyDescent="0.2">
      <c r="A207" s="1">
        <f t="shared" si="85"/>
        <v>42501.732000000251</v>
      </c>
      <c r="B207" s="16">
        <f t="shared" si="83"/>
        <v>4.4770998301440601</v>
      </c>
      <c r="C207" s="17">
        <f t="shared" si="80"/>
        <v>50.612470490460261</v>
      </c>
      <c r="D207" s="16">
        <f t="shared" si="84"/>
        <v>0.83573530594173839</v>
      </c>
      <c r="E207" s="16">
        <f t="shared" si="81"/>
        <v>0</v>
      </c>
      <c r="F207" s="16">
        <f t="shared" si="82"/>
        <v>0</v>
      </c>
      <c r="G207" s="19">
        <f>IF('Peak Revenue'!$A$1="BL","-",SUM(C207:F207))</f>
        <v>51.448205796402</v>
      </c>
      <c r="H207" s="197">
        <v>84.467094938003484</v>
      </c>
      <c r="I207" s="197">
        <v>67.64437311357915</v>
      </c>
      <c r="J207" s="197">
        <v>61.509477530528258</v>
      </c>
      <c r="K207" s="197">
        <v>59.069595519817497</v>
      </c>
      <c r="L207" s="197">
        <v>57.368812229621867</v>
      </c>
      <c r="M207" s="197">
        <v>57.060892032964411</v>
      </c>
      <c r="N207" s="197">
        <v>55.569428792421448</v>
      </c>
      <c r="O207" s="197">
        <v>53.631566502423809</v>
      </c>
      <c r="P207" s="197">
        <v>52.320861274459496</v>
      </c>
      <c r="Q207" s="197">
        <v>51.928020428016659</v>
      </c>
      <c r="R207" s="197">
        <v>50.59117755508705</v>
      </c>
      <c r="S207" s="197">
        <v>48.570593993420331</v>
      </c>
      <c r="T207" s="197">
        <v>44.732396942612873</v>
      </c>
      <c r="U207" s="197">
        <v>41.952939514945385</v>
      </c>
      <c r="V207" s="197">
        <v>41.116290286231347</v>
      </c>
      <c r="W207" s="197">
        <v>38.398184683607255</v>
      </c>
      <c r="X207" s="197">
        <v>37.36101871278585</v>
      </c>
      <c r="Y207" s="197">
        <v>36.84837611472674</v>
      </c>
      <c r="Z207" s="197">
        <v>36.091258426722007</v>
      </c>
      <c r="AA207" s="197">
        <v>35.095027930219068</v>
      </c>
      <c r="AB207" s="16">
        <f>AB206*(1+Assumptions!$L$13/12)</f>
        <v>0.83573530594173839</v>
      </c>
      <c r="AC207" s="16">
        <f t="shared" si="86"/>
        <v>0</v>
      </c>
      <c r="AD207" s="18">
        <f t="shared" si="87"/>
        <v>885.60153229928596</v>
      </c>
      <c r="AE207" s="18">
        <f t="shared" si="87"/>
        <v>1999.3152787201918</v>
      </c>
      <c r="AF207" s="5">
        <v>1</v>
      </c>
      <c r="AG207" s="73">
        <f t="shared" si="88"/>
        <v>0</v>
      </c>
      <c r="AH207" s="16">
        <f>Assumptions!$E$28*Assumptions!H16</f>
        <v>4.4770998301440601</v>
      </c>
      <c r="AI207" s="16">
        <f>Assumptions!$F$28*Assumptions!I16</f>
        <v>4.1653574633848942</v>
      </c>
      <c r="AJ207" s="16">
        <f t="shared" si="89"/>
        <v>0</v>
      </c>
      <c r="AK207" s="16">
        <f t="shared" si="89"/>
        <v>0</v>
      </c>
      <c r="AL207" s="4"/>
    </row>
    <row r="208" spans="1:38" x14ac:dyDescent="0.2">
      <c r="A208" s="1">
        <f t="shared" si="85"/>
        <v>42532.149000000252</v>
      </c>
      <c r="B208" s="16">
        <f t="shared" si="83"/>
        <v>4.2656187326397674</v>
      </c>
      <c r="C208" s="17">
        <f t="shared" si="80"/>
        <v>48.221730678348067</v>
      </c>
      <c r="D208" s="16">
        <f t="shared" si="84"/>
        <v>0.83712819811830796</v>
      </c>
      <c r="E208" s="16">
        <f t="shared" si="81"/>
        <v>0</v>
      </c>
      <c r="F208" s="16">
        <f t="shared" si="82"/>
        <v>0</v>
      </c>
      <c r="G208" s="19">
        <f>IF('Peak Revenue'!$A$1="BL","-",SUM(C208:F208))</f>
        <v>49.058858876466374</v>
      </c>
      <c r="H208" s="197">
        <v>193.3874371834182</v>
      </c>
      <c r="I208" s="197">
        <v>179.98139439160084</v>
      </c>
      <c r="J208" s="197">
        <v>168.45653011533076</v>
      </c>
      <c r="K208" s="197">
        <v>155.28112888546079</v>
      </c>
      <c r="L208" s="197">
        <v>146.7828247506873</v>
      </c>
      <c r="M208" s="197">
        <v>84.764339473702634</v>
      </c>
      <c r="N208" s="197">
        <v>75.678646876914144</v>
      </c>
      <c r="O208" s="197">
        <v>55.584233009887676</v>
      </c>
      <c r="P208" s="197">
        <v>45.216871881507942</v>
      </c>
      <c r="Q208" s="197">
        <v>42.298825534210614</v>
      </c>
      <c r="R208" s="197">
        <v>38.663149410710759</v>
      </c>
      <c r="S208" s="197">
        <v>37.137158145592601</v>
      </c>
      <c r="T208" s="197">
        <v>37.009594336396248</v>
      </c>
      <c r="U208" s="197">
        <v>37.009575652626069</v>
      </c>
      <c r="V208" s="197">
        <v>37.008864401844349</v>
      </c>
      <c r="W208" s="197">
        <v>37.00884655876677</v>
      </c>
      <c r="X208" s="197">
        <v>37.00884655876677</v>
      </c>
      <c r="Y208" s="197">
        <v>36.966435273418107</v>
      </c>
      <c r="Z208" s="197">
        <v>36.521779955664059</v>
      </c>
      <c r="AA208" s="197">
        <v>33.000921403300659</v>
      </c>
      <c r="AB208" s="16">
        <f>AB207*(1+Assumptions!$L$13/12)</f>
        <v>0.83712819811830796</v>
      </c>
      <c r="AC208" s="16">
        <f t="shared" si="86"/>
        <v>0</v>
      </c>
      <c r="AD208" s="18">
        <f t="shared" si="87"/>
        <v>885.60153229928596</v>
      </c>
      <c r="AE208" s="18">
        <f t="shared" si="87"/>
        <v>1999.3152787201918</v>
      </c>
      <c r="AF208" s="5">
        <v>1</v>
      </c>
      <c r="AG208" s="73">
        <f t="shared" si="88"/>
        <v>0</v>
      </c>
      <c r="AH208" s="16">
        <f>Assumptions!$E$28*Assumptions!H17</f>
        <v>4.2656187326397674</v>
      </c>
      <c r="AI208" s="16">
        <f>Assumptions!$F$28*Assumptions!I17</f>
        <v>4.1653574633848942</v>
      </c>
      <c r="AJ208" s="16">
        <f t="shared" si="89"/>
        <v>0</v>
      </c>
      <c r="AK208" s="16">
        <f t="shared" si="89"/>
        <v>0</v>
      </c>
      <c r="AL208" s="4"/>
    </row>
    <row r="209" spans="1:38" x14ac:dyDescent="0.2">
      <c r="A209" s="1">
        <f t="shared" si="85"/>
        <v>42562.566000000254</v>
      </c>
      <c r="B209" s="16">
        <f t="shared" si="83"/>
        <v>4.2521199391820463</v>
      </c>
      <c r="C209" s="17">
        <f t="shared" si="80"/>
        <v>48.069130264808983</v>
      </c>
      <c r="D209" s="16">
        <f t="shared" si="84"/>
        <v>0.83852341178183853</v>
      </c>
      <c r="E209" s="16">
        <f t="shared" si="81"/>
        <v>0</v>
      </c>
      <c r="F209" s="16">
        <f t="shared" si="82"/>
        <v>0</v>
      </c>
      <c r="G209" s="19">
        <f>IF('Peak Revenue'!$A$1="BL","-",SUM(C209:F209))</f>
        <v>48.907653676590819</v>
      </c>
      <c r="H209" s="197">
        <v>202.90387912423154</v>
      </c>
      <c r="I209" s="197">
        <v>185.9026303095236</v>
      </c>
      <c r="J209" s="197">
        <v>173.4731472272579</v>
      </c>
      <c r="K209" s="197">
        <v>158.78780434260236</v>
      </c>
      <c r="L209" s="197">
        <v>149.27202004922205</v>
      </c>
      <c r="M209" s="197">
        <v>107.17567601626351</v>
      </c>
      <c r="N209" s="197">
        <v>80.065201526539511</v>
      </c>
      <c r="O209" s="197">
        <v>76.38851890787771</v>
      </c>
      <c r="P209" s="197">
        <v>61.373795207843088</v>
      </c>
      <c r="Q209" s="197">
        <v>57.662877713580109</v>
      </c>
      <c r="R209" s="197">
        <v>56.136502930412995</v>
      </c>
      <c r="S209" s="197">
        <v>55.66246003386793</v>
      </c>
      <c r="T209" s="197">
        <v>54.888702262151085</v>
      </c>
      <c r="U209" s="197">
        <v>54.298460722294635</v>
      </c>
      <c r="V209" s="197">
        <v>53.786024192391785</v>
      </c>
      <c r="W209" s="197">
        <v>51.449719217971236</v>
      </c>
      <c r="X209" s="197">
        <v>46.889188602804936</v>
      </c>
      <c r="Y209" s="197">
        <v>43.88093022503336</v>
      </c>
      <c r="Z209" s="197">
        <v>41.73397562411553</v>
      </c>
      <c r="AA209" s="197">
        <v>38.237024630181878</v>
      </c>
      <c r="AB209" s="16">
        <f>AB208*(1+Assumptions!$L$13/12)</f>
        <v>0.83852341178183853</v>
      </c>
      <c r="AC209" s="16">
        <f t="shared" si="86"/>
        <v>0</v>
      </c>
      <c r="AD209" s="18">
        <f t="shared" si="87"/>
        <v>885.60153229928596</v>
      </c>
      <c r="AE209" s="18">
        <f t="shared" si="87"/>
        <v>1999.3152787201918</v>
      </c>
      <c r="AF209" s="5">
        <v>1</v>
      </c>
      <c r="AG209" s="73">
        <f t="shared" si="88"/>
        <v>0</v>
      </c>
      <c r="AH209" s="16">
        <f>Assumptions!$E$28*Assumptions!H18</f>
        <v>4.2521199391820463</v>
      </c>
      <c r="AI209" s="16">
        <f>Assumptions!$F$28*Assumptions!I18</f>
        <v>4.1653574633848942</v>
      </c>
      <c r="AJ209" s="16">
        <f t="shared" si="89"/>
        <v>0</v>
      </c>
      <c r="AK209" s="16">
        <f t="shared" si="89"/>
        <v>0</v>
      </c>
      <c r="AL209" s="4"/>
    </row>
    <row r="210" spans="1:38" x14ac:dyDescent="0.2">
      <c r="A210" s="1">
        <f t="shared" si="85"/>
        <v>42592.983000000255</v>
      </c>
      <c r="B210" s="16">
        <f t="shared" si="83"/>
        <v>4.0316396460392738</v>
      </c>
      <c r="C210" s="17">
        <f t="shared" si="80"/>
        <v>45.576656843670747</v>
      </c>
      <c r="D210" s="16">
        <f t="shared" si="84"/>
        <v>0.839920950801475</v>
      </c>
      <c r="E210" s="16">
        <f t="shared" si="81"/>
        <v>0</v>
      </c>
      <c r="F210" s="16">
        <f t="shared" si="82"/>
        <v>0</v>
      </c>
      <c r="G210" s="19">
        <f>IF('Peak Revenue'!$A$1="BL","-",SUM(C210:F210))</f>
        <v>46.416577794472225</v>
      </c>
      <c r="H210" s="197">
        <v>284.65740683805501</v>
      </c>
      <c r="I210" s="197">
        <v>214.06775853797294</v>
      </c>
      <c r="J210" s="197">
        <v>196.55168836945757</v>
      </c>
      <c r="K210" s="197">
        <v>177.22503286472829</v>
      </c>
      <c r="L210" s="197">
        <v>161.78142948217436</v>
      </c>
      <c r="M210" s="197">
        <v>147.78284842281295</v>
      </c>
      <c r="N210" s="197">
        <v>106.03941597526499</v>
      </c>
      <c r="O210" s="197">
        <v>89.621825917146978</v>
      </c>
      <c r="P210" s="197">
        <v>74.77332315740891</v>
      </c>
      <c r="Q210" s="197">
        <v>52.858398648004126</v>
      </c>
      <c r="R210" s="197">
        <v>44.097886670443785</v>
      </c>
      <c r="S210" s="197">
        <v>42.761098913264199</v>
      </c>
      <c r="T210" s="197">
        <v>42.761051179555395</v>
      </c>
      <c r="U210" s="197">
        <v>42.761031984846731</v>
      </c>
      <c r="V210" s="197">
        <v>42.760839841932068</v>
      </c>
      <c r="W210" s="197">
        <v>42.76074251545262</v>
      </c>
      <c r="X210" s="197">
        <v>42.506239279150208</v>
      </c>
      <c r="Y210" s="197">
        <v>38.88934832358553</v>
      </c>
      <c r="Z210" s="197">
        <v>36.856552065140093</v>
      </c>
      <c r="AA210" s="197">
        <v>30.950707130364695</v>
      </c>
      <c r="AB210" s="16">
        <f>AB209*(1+Assumptions!$L$13/12)</f>
        <v>0.839920950801475</v>
      </c>
      <c r="AC210" s="16">
        <f t="shared" si="86"/>
        <v>0</v>
      </c>
      <c r="AD210" s="18">
        <f t="shared" si="87"/>
        <v>885.60153229928596</v>
      </c>
      <c r="AE210" s="18">
        <f t="shared" si="87"/>
        <v>1999.3152787201918</v>
      </c>
      <c r="AF210" s="5">
        <v>1</v>
      </c>
      <c r="AG210" s="73">
        <f t="shared" si="88"/>
        <v>0</v>
      </c>
      <c r="AH210" s="16">
        <f>Assumptions!$E$28*Assumptions!H19</f>
        <v>4.0316396460392738</v>
      </c>
      <c r="AI210" s="16">
        <f>Assumptions!$F$28*Assumptions!I19</f>
        <v>4.1653574633848942</v>
      </c>
      <c r="AJ210" s="16">
        <f t="shared" si="89"/>
        <v>0</v>
      </c>
      <c r="AK210" s="16">
        <f t="shared" si="89"/>
        <v>0</v>
      </c>
      <c r="AL210" s="4"/>
    </row>
    <row r="211" spans="1:38" x14ac:dyDescent="0.2">
      <c r="A211" s="1">
        <f t="shared" si="85"/>
        <v>42623.400000000256</v>
      </c>
      <c r="B211" s="16">
        <f t="shared" si="83"/>
        <v>4.0181408525815527</v>
      </c>
      <c r="C211" s="17">
        <f t="shared" si="80"/>
        <v>45.424056430131657</v>
      </c>
      <c r="D211" s="16">
        <f t="shared" si="84"/>
        <v>0.84132081905281086</v>
      </c>
      <c r="E211" s="16">
        <f t="shared" si="81"/>
        <v>0</v>
      </c>
      <c r="F211" s="16">
        <f t="shared" si="82"/>
        <v>0</v>
      </c>
      <c r="G211" s="19">
        <f>IF('Peak Revenue'!$A$1="BL","-",SUM(C211:F211))</f>
        <v>46.265377249184468</v>
      </c>
      <c r="H211" s="197">
        <v>177.14419420706861</v>
      </c>
      <c r="I211" s="197">
        <v>165.02974701208271</v>
      </c>
      <c r="J211" s="197">
        <v>155.57787401245974</v>
      </c>
      <c r="K211" s="197">
        <v>147.34889888989949</v>
      </c>
      <c r="L211" s="197">
        <v>106.05099428469259</v>
      </c>
      <c r="M211" s="197">
        <v>70.33227042379076</v>
      </c>
      <c r="N211" s="197">
        <v>62.058979135768695</v>
      </c>
      <c r="O211" s="197">
        <v>60.422995023075586</v>
      </c>
      <c r="P211" s="197">
        <v>51.520577322739506</v>
      </c>
      <c r="Q211" s="197">
        <v>45.283234897351882</v>
      </c>
      <c r="R211" s="197">
        <v>43.443843808952607</v>
      </c>
      <c r="S211" s="197">
        <v>42.2580336422266</v>
      </c>
      <c r="T211" s="197">
        <v>39.959679207244626</v>
      </c>
      <c r="U211" s="197">
        <v>37.878889445876077</v>
      </c>
      <c r="V211" s="197">
        <v>35.172461383167288</v>
      </c>
      <c r="W211" s="197">
        <v>33.554483265456788</v>
      </c>
      <c r="X211" s="197">
        <v>31.883138827797779</v>
      </c>
      <c r="Y211" s="197">
        <v>31.307175970279935</v>
      </c>
      <c r="Z211" s="197">
        <v>30.664691455479755</v>
      </c>
      <c r="AA211" s="197">
        <v>30.468923252001385</v>
      </c>
      <c r="AB211" s="16">
        <f>AB210*(1+Assumptions!$L$13/12)</f>
        <v>0.84132081905281086</v>
      </c>
      <c r="AC211" s="16">
        <f t="shared" si="86"/>
        <v>0</v>
      </c>
      <c r="AD211" s="18">
        <f t="shared" si="87"/>
        <v>885.60153229928596</v>
      </c>
      <c r="AE211" s="18">
        <f t="shared" si="87"/>
        <v>1999.3152787201918</v>
      </c>
      <c r="AF211" s="5">
        <v>1</v>
      </c>
      <c r="AG211" s="73">
        <f t="shared" si="88"/>
        <v>0</v>
      </c>
      <c r="AH211" s="16">
        <f>Assumptions!$E$28*Assumptions!H20</f>
        <v>4.0181408525815527</v>
      </c>
      <c r="AI211" s="16">
        <f>Assumptions!$F$28*Assumptions!I20</f>
        <v>4.1653574633848942</v>
      </c>
      <c r="AJ211" s="16">
        <f t="shared" si="89"/>
        <v>0</v>
      </c>
      <c r="AK211" s="16">
        <f t="shared" si="89"/>
        <v>0</v>
      </c>
      <c r="AL211" s="4"/>
    </row>
    <row r="212" spans="1:38" x14ac:dyDescent="0.2">
      <c r="A212" s="1">
        <f t="shared" si="85"/>
        <v>42653.817000000257</v>
      </c>
      <c r="B212" s="16">
        <f t="shared" si="83"/>
        <v>4.4501022432286179</v>
      </c>
      <c r="C212" s="17">
        <f t="shared" si="80"/>
        <v>50.307269663382108</v>
      </c>
      <c r="D212" s="16">
        <f t="shared" si="84"/>
        <v>0.84272302041789893</v>
      </c>
      <c r="E212" s="16">
        <f t="shared" si="81"/>
        <v>0</v>
      </c>
      <c r="F212" s="16">
        <f t="shared" si="82"/>
        <v>0</v>
      </c>
      <c r="G212" s="19">
        <f>IF('Peak Revenue'!$A$1="BL","-",SUM(C212:F212))</f>
        <v>51.149992683800008</v>
      </c>
      <c r="H212" s="197">
        <v>90.092792266445599</v>
      </c>
      <c r="I212" s="197">
        <v>84.754453706076987</v>
      </c>
      <c r="J212" s="197">
        <v>82.022860740087324</v>
      </c>
      <c r="K212" s="197">
        <v>76.853914996445297</v>
      </c>
      <c r="L212" s="197">
        <v>74.489457410685006</v>
      </c>
      <c r="M212" s="197">
        <v>74.06689906203016</v>
      </c>
      <c r="N212" s="197">
        <v>64.911728566047444</v>
      </c>
      <c r="O212" s="197">
        <v>52.586002389529078</v>
      </c>
      <c r="P212" s="197">
        <v>50.987781038934379</v>
      </c>
      <c r="Q212" s="197">
        <v>46.403075512006339</v>
      </c>
      <c r="R212" s="197">
        <v>45.17332313548431</v>
      </c>
      <c r="S212" s="197">
        <v>44.047918164275998</v>
      </c>
      <c r="T212" s="197">
        <v>42.827968477798052</v>
      </c>
      <c r="U212" s="197">
        <v>42.061043952365338</v>
      </c>
      <c r="V212" s="197">
        <v>41.546881045990702</v>
      </c>
      <c r="W212" s="197">
        <v>39.554824943584535</v>
      </c>
      <c r="X212" s="197">
        <v>37.439453940563908</v>
      </c>
      <c r="Y212" s="197">
        <v>36.908840901310256</v>
      </c>
      <c r="Z212" s="197">
        <v>36.859159897036683</v>
      </c>
      <c r="AA212" s="197">
        <v>36.109642206274522</v>
      </c>
      <c r="AB212" s="16">
        <f>AB211*(1+Assumptions!$L$13/12)</f>
        <v>0.84272302041789893</v>
      </c>
      <c r="AC212" s="16">
        <f t="shared" si="86"/>
        <v>0</v>
      </c>
      <c r="AD212" s="18">
        <f t="shared" si="87"/>
        <v>885.60153229928596</v>
      </c>
      <c r="AE212" s="18">
        <f t="shared" si="87"/>
        <v>1999.3152787201918</v>
      </c>
      <c r="AF212" s="5">
        <f>IF(Assumptions!D$28=1,0,1)</f>
        <v>1</v>
      </c>
      <c r="AG212" s="73">
        <f t="shared" si="88"/>
        <v>0</v>
      </c>
      <c r="AH212" s="16">
        <f>Assumptions!$E$28*Assumptions!H21</f>
        <v>4.4501022432286179</v>
      </c>
      <c r="AI212" s="16">
        <f>Assumptions!$F$28*Assumptions!I21</f>
        <v>4.1653574633848942</v>
      </c>
      <c r="AJ212" s="16">
        <f t="shared" si="89"/>
        <v>0</v>
      </c>
      <c r="AK212" s="16">
        <f t="shared" si="89"/>
        <v>0</v>
      </c>
      <c r="AL212" s="4"/>
    </row>
    <row r="213" spans="1:38" x14ac:dyDescent="0.2">
      <c r="A213" s="1">
        <f t="shared" si="85"/>
        <v>42684.234000000259</v>
      </c>
      <c r="B213" s="16">
        <f t="shared" si="83"/>
        <v>4.8730644382372024</v>
      </c>
      <c r="C213" s="17">
        <f t="shared" si="80"/>
        <v>55.088749287606483</v>
      </c>
      <c r="D213" s="16">
        <f t="shared" si="84"/>
        <v>0.84412755878526213</v>
      </c>
      <c r="E213" s="16">
        <f t="shared" si="81"/>
        <v>0</v>
      </c>
      <c r="F213" s="16">
        <f t="shared" si="82"/>
        <v>0</v>
      </c>
      <c r="G213" s="19">
        <f>IF('Peak Revenue'!$A$1="BL","-",SUM(C213:F213))</f>
        <v>55.932876846391743</v>
      </c>
      <c r="H213" s="197">
        <v>154.08395727901848</v>
      </c>
      <c r="I213" s="197">
        <v>150.28955743883816</v>
      </c>
      <c r="J213" s="197">
        <v>145.11927631452286</v>
      </c>
      <c r="K213" s="197">
        <v>100.44735109318991</v>
      </c>
      <c r="L213" s="197">
        <v>90.7158749985322</v>
      </c>
      <c r="M213" s="197">
        <v>88.827923713628905</v>
      </c>
      <c r="N213" s="197">
        <v>76.856791458551683</v>
      </c>
      <c r="O213" s="197">
        <v>59.937946768740645</v>
      </c>
      <c r="P213" s="197">
        <v>49.762070392021073</v>
      </c>
      <c r="Q213" s="197">
        <v>48.868718214022962</v>
      </c>
      <c r="R213" s="197">
        <v>42.935252560628015</v>
      </c>
      <c r="S213" s="197">
        <v>42.645925400386197</v>
      </c>
      <c r="T213" s="197">
        <v>42.645925400386197</v>
      </c>
      <c r="U213" s="197">
        <v>42.645878313152402</v>
      </c>
      <c r="V213" s="197">
        <v>42.645169766632904</v>
      </c>
      <c r="W213" s="197">
        <v>42.645169766632904</v>
      </c>
      <c r="X213" s="197">
        <v>42.645169766632904</v>
      </c>
      <c r="Y213" s="197">
        <v>42.645169766632904</v>
      </c>
      <c r="Z213" s="197">
        <v>39.641064148749294</v>
      </c>
      <c r="AA213" s="197">
        <v>35.610161650957068</v>
      </c>
      <c r="AB213" s="16">
        <f>AB212*(1+Assumptions!$L$13/12)</f>
        <v>0.84412755878526213</v>
      </c>
      <c r="AC213" s="16">
        <f t="shared" si="86"/>
        <v>0</v>
      </c>
      <c r="AD213" s="18">
        <f t="shared" si="87"/>
        <v>885.60153229928596</v>
      </c>
      <c r="AE213" s="18">
        <f t="shared" si="87"/>
        <v>1999.3152787201918</v>
      </c>
      <c r="AF213" s="5">
        <f>IF(Assumptions!D$28=1,0,1)</f>
        <v>1</v>
      </c>
      <c r="AG213" s="73">
        <f t="shared" si="88"/>
        <v>0</v>
      </c>
      <c r="AH213" s="16">
        <f>Assumptions!$E$28*Assumptions!H22</f>
        <v>4.8730644382372024</v>
      </c>
      <c r="AI213" s="16">
        <f>Assumptions!$F$28*Assumptions!I22</f>
        <v>4.5161244076699383</v>
      </c>
      <c r="AJ213" s="16">
        <f t="shared" si="89"/>
        <v>0</v>
      </c>
      <c r="AK213" s="16">
        <f t="shared" si="89"/>
        <v>0</v>
      </c>
      <c r="AL213" s="4"/>
    </row>
    <row r="214" spans="1:38" x14ac:dyDescent="0.2">
      <c r="A214" s="1">
        <f t="shared" si="85"/>
        <v>42714.65100000026</v>
      </c>
      <c r="B214" s="16">
        <f t="shared" si="83"/>
        <v>5.2735286441495859</v>
      </c>
      <c r="C214" s="17">
        <f t="shared" si="80"/>
        <v>59.615894889265753</v>
      </c>
      <c r="D214" s="16">
        <f t="shared" si="84"/>
        <v>0.84553443804990425</v>
      </c>
      <c r="E214" s="16">
        <f t="shared" si="81"/>
        <v>0</v>
      </c>
      <c r="F214" s="16">
        <f t="shared" si="82"/>
        <v>0</v>
      </c>
      <c r="G214" s="19">
        <f>IF('Peak Revenue'!$A$1="BL","-",SUM(C214:F214))</f>
        <v>60.461429327315656</v>
      </c>
      <c r="H214" s="197">
        <v>123.91791628360446</v>
      </c>
      <c r="I214" s="197">
        <v>119.48810100937283</v>
      </c>
      <c r="J214" s="197">
        <v>112.32089165398376</v>
      </c>
      <c r="K214" s="197">
        <v>110.805351646527</v>
      </c>
      <c r="L214" s="197">
        <v>109.34038570838879</v>
      </c>
      <c r="M214" s="197">
        <v>93.191074417714077</v>
      </c>
      <c r="N214" s="197">
        <v>73.4935904049063</v>
      </c>
      <c r="O214" s="197">
        <v>61.477581052389326</v>
      </c>
      <c r="P214" s="197">
        <v>60.49308318011127</v>
      </c>
      <c r="Q214" s="197">
        <v>53.311293841879667</v>
      </c>
      <c r="R214" s="197">
        <v>52.149828903672379</v>
      </c>
      <c r="S214" s="197">
        <v>52.149828903672379</v>
      </c>
      <c r="T214" s="197">
        <v>52.149828903672379</v>
      </c>
      <c r="U214" s="197">
        <v>52.149828903672379</v>
      </c>
      <c r="V214" s="197">
        <v>52.149828903672379</v>
      </c>
      <c r="W214" s="197">
        <v>52.149780680674354</v>
      </c>
      <c r="X214" s="197">
        <v>52.149223663447074</v>
      </c>
      <c r="Y214" s="197">
        <v>52.148459707063616</v>
      </c>
      <c r="Z214" s="197">
        <v>52.148459707063616</v>
      </c>
      <c r="AA214" s="197">
        <v>47.304983566361777</v>
      </c>
      <c r="AB214" s="16">
        <f>AB213*(1+Assumptions!$L$13/12)</f>
        <v>0.84553443804990425</v>
      </c>
      <c r="AC214" s="16">
        <f t="shared" si="86"/>
        <v>0</v>
      </c>
      <c r="AD214" s="18">
        <f t="shared" si="87"/>
        <v>885.60153229928596</v>
      </c>
      <c r="AE214" s="18">
        <f t="shared" si="87"/>
        <v>1999.3152787201918</v>
      </c>
      <c r="AF214" s="5">
        <f>IF(Assumptions!D$28=1,0,1)</f>
        <v>1</v>
      </c>
      <c r="AG214" s="73">
        <f t="shared" si="88"/>
        <v>0</v>
      </c>
      <c r="AH214" s="16">
        <f>Assumptions!$E$28*Assumptions!H23</f>
        <v>5.2735286441495859</v>
      </c>
      <c r="AI214" s="16">
        <f>Assumptions!$F$28*Assumptions!I23</f>
        <v>4.7353537478480909</v>
      </c>
      <c r="AJ214" s="16">
        <f t="shared" si="89"/>
        <v>0</v>
      </c>
      <c r="AK214" s="16">
        <f t="shared" si="89"/>
        <v>0</v>
      </c>
      <c r="AL214" s="4"/>
    </row>
    <row r="215" spans="1:38" x14ac:dyDescent="0.2">
      <c r="A215" s="1">
        <f t="shared" si="85"/>
        <v>42745.068000000261</v>
      </c>
      <c r="B215" s="16">
        <f t="shared" si="83"/>
        <v>5.2427545426260203</v>
      </c>
      <c r="C215" s="17">
        <f t="shared" si="80"/>
        <v>59.268001528759257</v>
      </c>
      <c r="D215" s="16">
        <f t="shared" si="84"/>
        <v>0.84694366211332084</v>
      </c>
      <c r="E215" s="16">
        <f t="shared" si="81"/>
        <v>0</v>
      </c>
      <c r="F215" s="16">
        <f t="shared" si="82"/>
        <v>0</v>
      </c>
      <c r="G215" s="19">
        <f>IF('Peak Revenue'!$A$1="BL","-",SUM(C215:F215))</f>
        <v>60.114945190872575</v>
      </c>
      <c r="H215" s="197">
        <v>122.40409161104397</v>
      </c>
      <c r="I215" s="197">
        <v>115.92685277401458</v>
      </c>
      <c r="J215" s="197">
        <v>111.68854002796596</v>
      </c>
      <c r="K215" s="197">
        <v>104.40821548528888</v>
      </c>
      <c r="L215" s="197">
        <v>103.89649194148869</v>
      </c>
      <c r="M215" s="197">
        <v>95.994488245823234</v>
      </c>
      <c r="N215" s="197">
        <v>71.002632388235227</v>
      </c>
      <c r="O215" s="197">
        <v>58.468764117268073</v>
      </c>
      <c r="P215" s="197">
        <v>55.83853634011556</v>
      </c>
      <c r="Q215" s="197">
        <v>49.904919722192879</v>
      </c>
      <c r="R215" s="197">
        <v>49.904919722192879</v>
      </c>
      <c r="S215" s="197">
        <v>49.904919722192879</v>
      </c>
      <c r="T215" s="197">
        <v>49.772056585918506</v>
      </c>
      <c r="U215" s="197">
        <v>49.105480623066995</v>
      </c>
      <c r="V215" s="197">
        <v>49.057675550260043</v>
      </c>
      <c r="W215" s="197">
        <v>49.057675550260043</v>
      </c>
      <c r="X215" s="197">
        <v>49.057407616315814</v>
      </c>
      <c r="Y215" s="197">
        <v>49.05727450121524</v>
      </c>
      <c r="Z215" s="197">
        <v>48.96525684742339</v>
      </c>
      <c r="AA215" s="197">
        <v>40.058696300019903</v>
      </c>
      <c r="AB215" s="16">
        <f>AB214*(1+Assumptions!$L$13/12)</f>
        <v>0.84694366211332084</v>
      </c>
      <c r="AC215" s="16">
        <f>VLOOKUP($C$1,EnvVOM,20)</f>
        <v>0</v>
      </c>
      <c r="AD215" s="18">
        <f>Assumptions!B29</f>
        <v>870.0603303281033</v>
      </c>
      <c r="AE215" s="18">
        <f>Assumptions!C29</f>
        <v>1879.5637242099006</v>
      </c>
      <c r="AF215" s="5">
        <f>IF(Assumptions!D$29=1,0,1)</f>
        <v>1</v>
      </c>
      <c r="AG215" s="73">
        <f>VLOOKUP($C$1,Coal,20)</f>
        <v>0</v>
      </c>
      <c r="AH215" s="16">
        <f>Assumptions!$E$29*Assumptions!H12</f>
        <v>5.2427545426260203</v>
      </c>
      <c r="AI215" s="16">
        <f>Assumptions!$F$29*Assumptions!I12</f>
        <v>4.8829106839621765</v>
      </c>
      <c r="AJ215" s="16">
        <f>VLOOKUP($C$1,SO2Rate,20)</f>
        <v>0</v>
      </c>
      <c r="AK215" s="16">
        <f>VLOOKUP($C$1,NOxRate,20)</f>
        <v>0</v>
      </c>
      <c r="AL215" s="4"/>
    </row>
    <row r="216" spans="1:38" x14ac:dyDescent="0.2">
      <c r="A216" s="1">
        <f t="shared" si="85"/>
        <v>42775.485000000263</v>
      </c>
      <c r="B216" s="16">
        <f t="shared" si="83"/>
        <v>4.6989581937898111</v>
      </c>
      <c r="C216" s="17">
        <f t="shared" si="80"/>
        <v>53.120522646786881</v>
      </c>
      <c r="D216" s="16">
        <f t="shared" si="84"/>
        <v>0.84835523488350972</v>
      </c>
      <c r="E216" s="16">
        <f t="shared" si="81"/>
        <v>0</v>
      </c>
      <c r="F216" s="16">
        <f t="shared" si="82"/>
        <v>0</v>
      </c>
      <c r="G216" s="19">
        <f>IF('Peak Revenue'!$A$1="BL","-",SUM(C216:F216))</f>
        <v>53.968877881670394</v>
      </c>
      <c r="H216" s="197">
        <v>146.84494019442008</v>
      </c>
      <c r="I216" s="197">
        <v>137.11560418693233</v>
      </c>
      <c r="J216" s="197">
        <v>119.92042322785156</v>
      </c>
      <c r="K216" s="197">
        <v>107.58711849285291</v>
      </c>
      <c r="L216" s="197">
        <v>100.39561704195141</v>
      </c>
      <c r="M216" s="197">
        <v>99.442256695480097</v>
      </c>
      <c r="N216" s="197">
        <v>85.498573232630889</v>
      </c>
      <c r="O216" s="197">
        <v>77.782578739588899</v>
      </c>
      <c r="P216" s="197">
        <v>66.704721998454289</v>
      </c>
      <c r="Q216" s="197">
        <v>50.831284192794975</v>
      </c>
      <c r="R216" s="197">
        <v>47.299935998982946</v>
      </c>
      <c r="S216" s="197">
        <v>47.291275842623797</v>
      </c>
      <c r="T216" s="197">
        <v>47.291275124289463</v>
      </c>
      <c r="U216" s="197">
        <v>47.291270363438336</v>
      </c>
      <c r="V216" s="197">
        <v>47.291261581020848</v>
      </c>
      <c r="W216" s="197">
        <v>47.291260780782068</v>
      </c>
      <c r="X216" s="197">
        <v>47.291248036541347</v>
      </c>
      <c r="Y216" s="197">
        <v>47.291248036541347</v>
      </c>
      <c r="Z216" s="197">
        <v>45.412558850865153</v>
      </c>
      <c r="AA216" s="197">
        <v>41.612991514335235</v>
      </c>
      <c r="AB216" s="16">
        <f>AB215*(1+Assumptions!$L$13/12)</f>
        <v>0.84835523488350972</v>
      </c>
      <c r="AC216" s="16">
        <f>AC215</f>
        <v>0</v>
      </c>
      <c r="AD216" s="18">
        <f>AD215</f>
        <v>870.0603303281033</v>
      </c>
      <c r="AE216" s="18">
        <f>AE215</f>
        <v>1879.5637242099006</v>
      </c>
      <c r="AF216" s="5">
        <f>IF(Assumptions!D$29=1,0,1)</f>
        <v>1</v>
      </c>
      <c r="AG216" s="73">
        <f>AG215</f>
        <v>0</v>
      </c>
      <c r="AH216" s="16">
        <f>Assumptions!$E$29*Assumptions!H13</f>
        <v>4.6989581937898111</v>
      </c>
      <c r="AI216" s="16">
        <f>Assumptions!$F$29*Assumptions!I13</f>
        <v>4.8376985479995636</v>
      </c>
      <c r="AJ216" s="16">
        <f>AJ215</f>
        <v>0</v>
      </c>
      <c r="AK216" s="16">
        <f>AK215</f>
        <v>0</v>
      </c>
      <c r="AL216" s="4"/>
    </row>
    <row r="217" spans="1:38" x14ac:dyDescent="0.2">
      <c r="A217" s="1">
        <f t="shared" si="85"/>
        <v>42805.902000000264</v>
      </c>
      <c r="B217" s="16">
        <f t="shared" si="83"/>
        <v>4.6199450490871143</v>
      </c>
      <c r="C217" s="17">
        <f t="shared" si="80"/>
        <v>52.227299219491755</v>
      </c>
      <c r="D217" s="16">
        <f t="shared" si="84"/>
        <v>0.84976916027498228</v>
      </c>
      <c r="E217" s="16">
        <f t="shared" si="81"/>
        <v>0</v>
      </c>
      <c r="F217" s="16">
        <f t="shared" si="82"/>
        <v>0</v>
      </c>
      <c r="G217" s="19">
        <f>IF('Peak Revenue'!$A$1="BL","-",SUM(C217:F217))</f>
        <v>53.077068379766736</v>
      </c>
      <c r="H217" s="197">
        <v>106.54765768351039</v>
      </c>
      <c r="I217" s="197">
        <v>98.902465115547983</v>
      </c>
      <c r="J217" s="197">
        <v>94.50663087833324</v>
      </c>
      <c r="K217" s="197">
        <v>88.72485977696941</v>
      </c>
      <c r="L217" s="197">
        <v>88.360121581082467</v>
      </c>
      <c r="M217" s="197">
        <v>81.374679432161642</v>
      </c>
      <c r="N217" s="197">
        <v>61.986865912623216</v>
      </c>
      <c r="O217" s="197">
        <v>57.355037032676549</v>
      </c>
      <c r="P217" s="197">
        <v>50.628071478304705</v>
      </c>
      <c r="Q217" s="197">
        <v>49.523403309093311</v>
      </c>
      <c r="R217" s="197">
        <v>48.688301745874156</v>
      </c>
      <c r="S217" s="197">
        <v>47.052279237427598</v>
      </c>
      <c r="T217" s="197">
        <v>45.369751476594715</v>
      </c>
      <c r="U217" s="197">
        <v>43.727879301771353</v>
      </c>
      <c r="V217" s="197">
        <v>42.67973958511449</v>
      </c>
      <c r="W217" s="197">
        <v>42.444275175162204</v>
      </c>
      <c r="X217" s="197">
        <v>42.44422435235623</v>
      </c>
      <c r="Y217" s="197">
        <v>42.444139830265861</v>
      </c>
      <c r="Z217" s="197">
        <v>42.444005010398158</v>
      </c>
      <c r="AA217" s="197">
        <v>42.116612531981495</v>
      </c>
      <c r="AB217" s="16">
        <f>AB216*(1+Assumptions!$L$13/12)</f>
        <v>0.84976916027498228</v>
      </c>
      <c r="AC217" s="16">
        <f t="shared" ref="AC217:AC226" si="90">AC216</f>
        <v>0</v>
      </c>
      <c r="AD217" s="18">
        <f t="shared" ref="AD217:AE226" si="91">AD216</f>
        <v>870.0603303281033</v>
      </c>
      <c r="AE217" s="18">
        <f t="shared" si="91"/>
        <v>1879.5637242099006</v>
      </c>
      <c r="AF217" s="5">
        <f>IF(Assumptions!D$29=1,0,1)</f>
        <v>1</v>
      </c>
      <c r="AG217" s="73">
        <f t="shared" ref="AG217:AG226" si="92">AG216</f>
        <v>0</v>
      </c>
      <c r="AH217" s="16">
        <f>Assumptions!$E$29*Assumptions!H14</f>
        <v>4.6199450490871143</v>
      </c>
      <c r="AI217" s="16">
        <f>Assumptions!$F$29*Assumptions!I14</f>
        <v>4.6568500041491125</v>
      </c>
      <c r="AJ217" s="16">
        <f t="shared" ref="AJ217:AK226" si="93">AJ216</f>
        <v>0</v>
      </c>
      <c r="AK217" s="16">
        <f t="shared" si="93"/>
        <v>0</v>
      </c>
      <c r="AL217" s="4"/>
    </row>
    <row r="218" spans="1:38" x14ac:dyDescent="0.2">
      <c r="A218" s="1">
        <f t="shared" si="85"/>
        <v>42836.319000000265</v>
      </c>
      <c r="B218" s="16">
        <f t="shared" si="83"/>
        <v>4.3922012790616929</v>
      </c>
      <c r="C218" s="17">
        <f t="shared" si="80"/>
        <v>49.652714046699913</v>
      </c>
      <c r="D218" s="16">
        <f t="shared" si="84"/>
        <v>0.8511854422087739</v>
      </c>
      <c r="E218" s="16">
        <f t="shared" si="81"/>
        <v>0</v>
      </c>
      <c r="F218" s="16">
        <f t="shared" si="82"/>
        <v>0</v>
      </c>
      <c r="G218" s="19">
        <f>IF('Peak Revenue'!$A$1="BL","-",SUM(C218:F218))</f>
        <v>50.503899488908687</v>
      </c>
      <c r="H218" s="197">
        <v>106.83512527222308</v>
      </c>
      <c r="I218" s="197">
        <v>93.06570106218949</v>
      </c>
      <c r="J218" s="197">
        <v>86.935972670100242</v>
      </c>
      <c r="K218" s="197">
        <v>84.332997704193531</v>
      </c>
      <c r="L218" s="197">
        <v>83.740267794722882</v>
      </c>
      <c r="M218" s="197">
        <v>62.424727507939679</v>
      </c>
      <c r="N218" s="197">
        <v>50.56232893513458</v>
      </c>
      <c r="O218" s="197">
        <v>47.310932108903216</v>
      </c>
      <c r="P218" s="197">
        <v>43.249868772901223</v>
      </c>
      <c r="Q218" s="197">
        <v>40.742446100753966</v>
      </c>
      <c r="R218" s="197">
        <v>40.742446100753966</v>
      </c>
      <c r="S218" s="197">
        <v>40.742446100753966</v>
      </c>
      <c r="T218" s="197">
        <v>40.742260591689273</v>
      </c>
      <c r="U218" s="197">
        <v>40.741682602817427</v>
      </c>
      <c r="V218" s="197">
        <v>40.741682602817427</v>
      </c>
      <c r="W218" s="197">
        <v>40.741682602817427</v>
      </c>
      <c r="X218" s="197">
        <v>40.741682602817427</v>
      </c>
      <c r="Y218" s="197">
        <v>39.669440739872748</v>
      </c>
      <c r="Z218" s="197">
        <v>37.221854930481449</v>
      </c>
      <c r="AA218" s="197">
        <v>33.488757736133095</v>
      </c>
      <c r="AB218" s="16">
        <f>AB217*(1+Assumptions!$L$13/12)</f>
        <v>0.8511854422087739</v>
      </c>
      <c r="AC218" s="16">
        <f t="shared" si="90"/>
        <v>0</v>
      </c>
      <c r="AD218" s="18">
        <f t="shared" si="91"/>
        <v>870.0603303281033</v>
      </c>
      <c r="AE218" s="18">
        <f t="shared" si="91"/>
        <v>1879.5637242099006</v>
      </c>
      <c r="AF218" s="5">
        <f>IF(Assumptions!D$29=1,0,1)</f>
        <v>1</v>
      </c>
      <c r="AG218" s="73">
        <f t="shared" si="92"/>
        <v>0</v>
      </c>
      <c r="AH218" s="16">
        <f>Assumptions!$E$29*Assumptions!H15</f>
        <v>4.3922012790616929</v>
      </c>
      <c r="AI218" s="16">
        <f>Assumptions!$F$29*Assumptions!I15</f>
        <v>4.4760014602986615</v>
      </c>
      <c r="AJ218" s="16">
        <f t="shared" si="93"/>
        <v>0</v>
      </c>
      <c r="AK218" s="16">
        <f t="shared" si="93"/>
        <v>0</v>
      </c>
      <c r="AL218" s="4"/>
    </row>
    <row r="219" spans="1:38" x14ac:dyDescent="0.2">
      <c r="A219" s="1">
        <f t="shared" si="85"/>
        <v>42866.736000000266</v>
      </c>
      <c r="B219" s="16">
        <f t="shared" si="83"/>
        <v>4.6245928811284491</v>
      </c>
      <c r="C219" s="17">
        <f t="shared" si="80"/>
        <v>52.279841774038523</v>
      </c>
      <c r="D219" s="16">
        <f t="shared" si="84"/>
        <v>0.85260408461245518</v>
      </c>
      <c r="E219" s="16">
        <f t="shared" si="81"/>
        <v>0</v>
      </c>
      <c r="F219" s="16">
        <f t="shared" si="82"/>
        <v>0</v>
      </c>
      <c r="G219" s="19">
        <f>IF('Peak Revenue'!$A$1="BL","-",SUM(C219:F219))</f>
        <v>53.132445858650982</v>
      </c>
      <c r="H219" s="197">
        <v>143.61212491007498</v>
      </c>
      <c r="I219" s="197">
        <v>112.11515177041331</v>
      </c>
      <c r="J219" s="197">
        <v>94.133299321609471</v>
      </c>
      <c r="K219" s="197">
        <v>83.480119004208632</v>
      </c>
      <c r="L219" s="197">
        <v>75.982190825246917</v>
      </c>
      <c r="M219" s="197">
        <v>73.474137218015287</v>
      </c>
      <c r="N219" s="197">
        <v>56.581894735994183</v>
      </c>
      <c r="O219" s="197">
        <v>48.25408727734434</v>
      </c>
      <c r="P219" s="197">
        <v>42.550164945295101</v>
      </c>
      <c r="Q219" s="197">
        <v>41.604506955558449</v>
      </c>
      <c r="R219" s="197">
        <v>41.071065442119639</v>
      </c>
      <c r="S219" s="197">
        <v>39.490600082270412</v>
      </c>
      <c r="T219" s="197">
        <v>38.471859772856206</v>
      </c>
      <c r="U219" s="197">
        <v>36.628836586009918</v>
      </c>
      <c r="V219" s="197">
        <v>36.252146557026983</v>
      </c>
      <c r="W219" s="197">
        <v>35.982025942566011</v>
      </c>
      <c r="X219" s="197">
        <v>35.981712983095036</v>
      </c>
      <c r="Y219" s="197">
        <v>35.981687786574724</v>
      </c>
      <c r="Z219" s="197">
        <v>35.981687786574732</v>
      </c>
      <c r="AA219" s="197">
        <v>35.202382417315526</v>
      </c>
      <c r="AB219" s="16">
        <f>AB218*(1+Assumptions!$L$13/12)</f>
        <v>0.85260408461245518</v>
      </c>
      <c r="AC219" s="16">
        <f t="shared" si="90"/>
        <v>0</v>
      </c>
      <c r="AD219" s="18">
        <f t="shared" si="91"/>
        <v>870.0603303281033</v>
      </c>
      <c r="AE219" s="18">
        <f t="shared" si="91"/>
        <v>1879.5637242099006</v>
      </c>
      <c r="AF219" s="5">
        <v>1</v>
      </c>
      <c r="AG219" s="73">
        <f t="shared" si="92"/>
        <v>0</v>
      </c>
      <c r="AH219" s="16">
        <f>Assumptions!$E$29*Assumptions!H16</f>
        <v>4.6245928811284491</v>
      </c>
      <c r="AI219" s="16">
        <f>Assumptions!$F$29*Assumptions!I16</f>
        <v>4.2951529164482105</v>
      </c>
      <c r="AJ219" s="16">
        <f t="shared" si="93"/>
        <v>0</v>
      </c>
      <c r="AK219" s="16">
        <f t="shared" si="93"/>
        <v>0</v>
      </c>
      <c r="AL219" s="4"/>
    </row>
    <row r="220" spans="1:38" x14ac:dyDescent="0.2">
      <c r="A220" s="1">
        <f t="shared" si="85"/>
        <v>42897.153000000268</v>
      </c>
      <c r="B220" s="16">
        <f t="shared" si="83"/>
        <v>4.4061447751856981</v>
      </c>
      <c r="C220" s="17">
        <f t="shared" si="80"/>
        <v>49.810341710340225</v>
      </c>
      <c r="D220" s="16">
        <f t="shared" si="84"/>
        <v>0.8540250914201426</v>
      </c>
      <c r="E220" s="16">
        <f t="shared" si="81"/>
        <v>0</v>
      </c>
      <c r="F220" s="16">
        <f t="shared" si="82"/>
        <v>0</v>
      </c>
      <c r="G220" s="19">
        <f>IF('Peak Revenue'!$A$1="BL","-",SUM(C220:F220))</f>
        <v>50.664366801760366</v>
      </c>
      <c r="H220" s="197">
        <v>154.23637346489789</v>
      </c>
      <c r="I220" s="197">
        <v>148.51302241087308</v>
      </c>
      <c r="J220" s="197">
        <v>101.46909808161431</v>
      </c>
      <c r="K220" s="197">
        <v>80.075012295327397</v>
      </c>
      <c r="L220" s="197">
        <v>77.581098681797954</v>
      </c>
      <c r="M220" s="197">
        <v>72.698838987937577</v>
      </c>
      <c r="N220" s="197">
        <v>70.12371630130113</v>
      </c>
      <c r="O220" s="197">
        <v>64.61159505180477</v>
      </c>
      <c r="P220" s="197">
        <v>59.063536060621189</v>
      </c>
      <c r="Q220" s="197">
        <v>55.308458031195983</v>
      </c>
      <c r="R220" s="197">
        <v>51.091402892334337</v>
      </c>
      <c r="S220" s="197">
        <v>46.284963325944076</v>
      </c>
      <c r="T220" s="197">
        <v>40.993410907864799</v>
      </c>
      <c r="U220" s="197">
        <v>39.917272762118564</v>
      </c>
      <c r="V220" s="197">
        <v>39.332181600860117</v>
      </c>
      <c r="W220" s="197">
        <v>38.921832642542213</v>
      </c>
      <c r="X220" s="197">
        <v>38.644697601530432</v>
      </c>
      <c r="Y220" s="197">
        <v>38.147314073980773</v>
      </c>
      <c r="Z220" s="197">
        <v>37.490900259089898</v>
      </c>
      <c r="AA220" s="197">
        <v>36.255922022251411</v>
      </c>
      <c r="AB220" s="16">
        <f>AB219*(1+Assumptions!$L$13/12)</f>
        <v>0.8540250914201426</v>
      </c>
      <c r="AC220" s="16">
        <f t="shared" si="90"/>
        <v>0</v>
      </c>
      <c r="AD220" s="18">
        <f t="shared" si="91"/>
        <v>870.0603303281033</v>
      </c>
      <c r="AE220" s="18">
        <f t="shared" si="91"/>
        <v>1879.5637242099006</v>
      </c>
      <c r="AF220" s="5">
        <v>1</v>
      </c>
      <c r="AG220" s="73">
        <f t="shared" si="92"/>
        <v>0</v>
      </c>
      <c r="AH220" s="16">
        <f>Assumptions!$E$29*Assumptions!H17</f>
        <v>4.4061447751856981</v>
      </c>
      <c r="AI220" s="16">
        <f>Assumptions!$F$29*Assumptions!I17</f>
        <v>4.2951529164482105</v>
      </c>
      <c r="AJ220" s="16">
        <f t="shared" si="93"/>
        <v>0</v>
      </c>
      <c r="AK220" s="16">
        <f t="shared" si="93"/>
        <v>0</v>
      </c>
      <c r="AL220" s="4"/>
    </row>
    <row r="221" spans="1:38" x14ac:dyDescent="0.2">
      <c r="A221" s="1">
        <f t="shared" si="85"/>
        <v>42927.570000000269</v>
      </c>
      <c r="B221" s="16">
        <f t="shared" si="83"/>
        <v>4.3922012790616929</v>
      </c>
      <c r="C221" s="17">
        <f t="shared" si="80"/>
        <v>49.652714046699913</v>
      </c>
      <c r="D221" s="16">
        <f t="shared" si="84"/>
        <v>0.8554484665725095</v>
      </c>
      <c r="E221" s="16">
        <f t="shared" si="81"/>
        <v>0</v>
      </c>
      <c r="F221" s="16">
        <f t="shared" si="82"/>
        <v>0</v>
      </c>
      <c r="G221" s="19">
        <f>IF('Peak Revenue'!$A$1="BL","-",SUM(C221:F221))</f>
        <v>50.508162513272424</v>
      </c>
      <c r="H221" s="197">
        <v>303.20553745222827</v>
      </c>
      <c r="I221" s="197">
        <v>228.1508617983709</v>
      </c>
      <c r="J221" s="197">
        <v>205.27969233316432</v>
      </c>
      <c r="K221" s="197">
        <v>188.87218876912021</v>
      </c>
      <c r="L221" s="197">
        <v>174.85330163370594</v>
      </c>
      <c r="M221" s="197">
        <v>161.00730628427058</v>
      </c>
      <c r="N221" s="197">
        <v>149.51627426233802</v>
      </c>
      <c r="O221" s="197">
        <v>76.118642471708</v>
      </c>
      <c r="P221" s="197">
        <v>49.374430914916331</v>
      </c>
      <c r="Q221" s="197">
        <v>46.038776818473487</v>
      </c>
      <c r="R221" s="197">
        <v>43.153986425800227</v>
      </c>
      <c r="S221" s="197">
        <v>41.815576958819925</v>
      </c>
      <c r="T221" s="197">
        <v>40.860359378936309</v>
      </c>
      <c r="U221" s="197">
        <v>40.438105822345051</v>
      </c>
      <c r="V221" s="197">
        <v>39.227204146215897</v>
      </c>
      <c r="W221" s="197">
        <v>37.536743175701808</v>
      </c>
      <c r="X221" s="197">
        <v>35.897401983009118</v>
      </c>
      <c r="Y221" s="197">
        <v>34.96437699284607</v>
      </c>
      <c r="Z221" s="197">
        <v>32.718542422465376</v>
      </c>
      <c r="AA221" s="197">
        <v>30.510381026595578</v>
      </c>
      <c r="AB221" s="16">
        <f>AB220*(1+Assumptions!$L$13/12)</f>
        <v>0.8554484665725095</v>
      </c>
      <c r="AC221" s="16">
        <f t="shared" si="90"/>
        <v>0</v>
      </c>
      <c r="AD221" s="18">
        <f t="shared" si="91"/>
        <v>870.0603303281033</v>
      </c>
      <c r="AE221" s="18">
        <f t="shared" si="91"/>
        <v>1879.5637242099006</v>
      </c>
      <c r="AF221" s="5">
        <v>1</v>
      </c>
      <c r="AG221" s="73">
        <f t="shared" si="92"/>
        <v>0</v>
      </c>
      <c r="AH221" s="16">
        <f>Assumptions!$E$29*Assumptions!H18</f>
        <v>4.3922012790616929</v>
      </c>
      <c r="AI221" s="16">
        <f>Assumptions!$F$29*Assumptions!I18</f>
        <v>4.2951529164482105</v>
      </c>
      <c r="AJ221" s="16">
        <f t="shared" si="93"/>
        <v>0</v>
      </c>
      <c r="AK221" s="16">
        <f t="shared" si="93"/>
        <v>0</v>
      </c>
      <c r="AL221" s="4"/>
    </row>
    <row r="222" spans="1:38" x14ac:dyDescent="0.2">
      <c r="A222" s="1">
        <f t="shared" si="85"/>
        <v>42957.98700000027</v>
      </c>
      <c r="B222" s="16">
        <f t="shared" si="83"/>
        <v>4.1644575090362723</v>
      </c>
      <c r="C222" s="17">
        <f t="shared" si="80"/>
        <v>47.078128873908071</v>
      </c>
      <c r="D222" s="16">
        <f t="shared" si="84"/>
        <v>0.85687421401679709</v>
      </c>
      <c r="E222" s="16">
        <f t="shared" si="81"/>
        <v>0</v>
      </c>
      <c r="F222" s="16">
        <f t="shared" si="82"/>
        <v>0</v>
      </c>
      <c r="G222" s="19">
        <f>IF('Peak Revenue'!$A$1="BL","-",SUM(C222:F222))</f>
        <v>47.935003087924869</v>
      </c>
      <c r="H222" s="197">
        <v>375.18709453406075</v>
      </c>
      <c r="I222" s="197">
        <v>266.26899374787848</v>
      </c>
      <c r="J222" s="197">
        <v>212.62789341828534</v>
      </c>
      <c r="K222" s="197">
        <v>192.28570573345041</v>
      </c>
      <c r="L222" s="197">
        <v>175.49093347658882</v>
      </c>
      <c r="M222" s="197">
        <v>158.64022118584529</v>
      </c>
      <c r="N222" s="197">
        <v>128.49289627969875</v>
      </c>
      <c r="O222" s="197">
        <v>78.263453268919136</v>
      </c>
      <c r="P222" s="197">
        <v>72.592900321517362</v>
      </c>
      <c r="Q222" s="197">
        <v>54.464858771194862</v>
      </c>
      <c r="R222" s="197">
        <v>43.977896885726622</v>
      </c>
      <c r="S222" s="197">
        <v>41.734880155201026</v>
      </c>
      <c r="T222" s="197">
        <v>40.644447518612381</v>
      </c>
      <c r="U222" s="197">
        <v>38.018927964753992</v>
      </c>
      <c r="V222" s="197">
        <v>36.642395465071793</v>
      </c>
      <c r="W222" s="197">
        <v>36.57617240111378</v>
      </c>
      <c r="X222" s="197">
        <v>36.44138435785343</v>
      </c>
      <c r="Y222" s="197">
        <v>35.990758535055292</v>
      </c>
      <c r="Z222" s="197">
        <v>35.990758535055292</v>
      </c>
      <c r="AA222" s="197">
        <v>32.500159018463521</v>
      </c>
      <c r="AB222" s="16">
        <f>AB221*(1+Assumptions!$L$13/12)</f>
        <v>0.85687421401679709</v>
      </c>
      <c r="AC222" s="16">
        <f t="shared" si="90"/>
        <v>0</v>
      </c>
      <c r="AD222" s="18">
        <f t="shared" si="91"/>
        <v>870.0603303281033</v>
      </c>
      <c r="AE222" s="18">
        <f t="shared" si="91"/>
        <v>1879.5637242099006</v>
      </c>
      <c r="AF222" s="5">
        <v>1</v>
      </c>
      <c r="AG222" s="73">
        <f t="shared" si="92"/>
        <v>0</v>
      </c>
      <c r="AH222" s="16">
        <f>Assumptions!$E$29*Assumptions!H19</f>
        <v>4.1644575090362723</v>
      </c>
      <c r="AI222" s="16">
        <f>Assumptions!$F$29*Assumptions!I19</f>
        <v>4.2951529164482105</v>
      </c>
      <c r="AJ222" s="16">
        <f t="shared" si="93"/>
        <v>0</v>
      </c>
      <c r="AK222" s="16">
        <f t="shared" si="93"/>
        <v>0</v>
      </c>
      <c r="AL222" s="4"/>
    </row>
    <row r="223" spans="1:38" x14ac:dyDescent="0.2">
      <c r="A223" s="1">
        <f t="shared" si="85"/>
        <v>42988.404000000271</v>
      </c>
      <c r="B223" s="16">
        <f t="shared" si="83"/>
        <v>4.1505140129122662</v>
      </c>
      <c r="C223" s="17">
        <f t="shared" si="80"/>
        <v>46.920501210267744</v>
      </c>
      <c r="D223" s="16">
        <f t="shared" si="84"/>
        <v>0.85830233770682507</v>
      </c>
      <c r="E223" s="16">
        <f t="shared" si="81"/>
        <v>0</v>
      </c>
      <c r="F223" s="16">
        <f t="shared" si="82"/>
        <v>0</v>
      </c>
      <c r="G223" s="19">
        <f>IF('Peak Revenue'!$A$1="BL","-",SUM(C223:F223))</f>
        <v>47.778803547974569</v>
      </c>
      <c r="H223" s="197">
        <v>181.42181192692868</v>
      </c>
      <c r="I223" s="197">
        <v>170.42621905238803</v>
      </c>
      <c r="J223" s="197">
        <v>160.69532674081137</v>
      </c>
      <c r="K223" s="197">
        <v>150.65683723499851</v>
      </c>
      <c r="L223" s="197">
        <v>112.9276336392481</v>
      </c>
      <c r="M223" s="197">
        <v>81.32196192746099</v>
      </c>
      <c r="N223" s="197">
        <v>76.285548390879427</v>
      </c>
      <c r="O223" s="197">
        <v>54.570667059886667</v>
      </c>
      <c r="P223" s="197">
        <v>44.772365696622437</v>
      </c>
      <c r="Q223" s="197">
        <v>42.72474907839964</v>
      </c>
      <c r="R223" s="197">
        <v>38.57342587099955</v>
      </c>
      <c r="S223" s="197">
        <v>38.155862354031889</v>
      </c>
      <c r="T223" s="197">
        <v>38.155862354031889</v>
      </c>
      <c r="U223" s="197">
        <v>38.155617205302228</v>
      </c>
      <c r="V223" s="197">
        <v>38.155090960230204</v>
      </c>
      <c r="W223" s="197">
        <v>38.155090960230204</v>
      </c>
      <c r="X223" s="197">
        <v>38.155090960230204</v>
      </c>
      <c r="Y223" s="197">
        <v>38.022787000646389</v>
      </c>
      <c r="Z223" s="197">
        <v>35.685652527276844</v>
      </c>
      <c r="AA223" s="197">
        <v>31.77616190198674</v>
      </c>
      <c r="AB223" s="16">
        <f>AB222*(1+Assumptions!$L$13/12)</f>
        <v>0.85830233770682507</v>
      </c>
      <c r="AC223" s="16">
        <f t="shared" si="90"/>
        <v>0</v>
      </c>
      <c r="AD223" s="18">
        <f t="shared" si="91"/>
        <v>870.0603303281033</v>
      </c>
      <c r="AE223" s="18">
        <f t="shared" si="91"/>
        <v>1879.5637242099006</v>
      </c>
      <c r="AF223" s="5">
        <v>1</v>
      </c>
      <c r="AG223" s="73">
        <f t="shared" si="92"/>
        <v>0</v>
      </c>
      <c r="AH223" s="16">
        <f>Assumptions!$E$29*Assumptions!H20</f>
        <v>4.1505140129122662</v>
      </c>
      <c r="AI223" s="16">
        <f>Assumptions!$F$29*Assumptions!I20</f>
        <v>4.2951529164482105</v>
      </c>
      <c r="AJ223" s="16">
        <f t="shared" si="93"/>
        <v>0</v>
      </c>
      <c r="AK223" s="16">
        <f t="shared" si="93"/>
        <v>0</v>
      </c>
      <c r="AL223" s="4"/>
    </row>
    <row r="224" spans="1:38" x14ac:dyDescent="0.2">
      <c r="A224" s="1">
        <f t="shared" si="85"/>
        <v>43018.821000000273</v>
      </c>
      <c r="B224" s="16">
        <f t="shared" si="83"/>
        <v>4.5967058888804386</v>
      </c>
      <c r="C224" s="17">
        <f t="shared" si="80"/>
        <v>51.964586446757899</v>
      </c>
      <c r="D224" s="16">
        <f t="shared" si="84"/>
        <v>0.85973284160300312</v>
      </c>
      <c r="E224" s="16">
        <f t="shared" si="81"/>
        <v>0</v>
      </c>
      <c r="F224" s="16">
        <f t="shared" si="82"/>
        <v>0</v>
      </c>
      <c r="G224" s="19">
        <f>IF('Peak Revenue'!$A$1="BL","-",SUM(C224:F224))</f>
        <v>52.824319288360904</v>
      </c>
      <c r="H224" s="197">
        <v>108.45012809152263</v>
      </c>
      <c r="I224" s="197">
        <v>86.631152751516865</v>
      </c>
      <c r="J224" s="197">
        <v>80.661777414273814</v>
      </c>
      <c r="K224" s="197">
        <v>75.437072388041287</v>
      </c>
      <c r="L224" s="197">
        <v>70.941278374996443</v>
      </c>
      <c r="M224" s="197">
        <v>67.467352146939518</v>
      </c>
      <c r="N224" s="197">
        <v>66.996452808747307</v>
      </c>
      <c r="O224" s="197">
        <v>61.37303575220907</v>
      </c>
      <c r="P224" s="197">
        <v>54.415576956513704</v>
      </c>
      <c r="Q224" s="197">
        <v>50.77373816109602</v>
      </c>
      <c r="R224" s="197">
        <v>49.018132608026683</v>
      </c>
      <c r="S224" s="197">
        <v>47.782967530887454</v>
      </c>
      <c r="T224" s="197">
        <v>47.377223195107455</v>
      </c>
      <c r="U224" s="197">
        <v>46.349289479213091</v>
      </c>
      <c r="V224" s="197">
        <v>43.523422745106437</v>
      </c>
      <c r="W224" s="197">
        <v>38.695214514524586</v>
      </c>
      <c r="X224" s="197">
        <v>37.199581328396974</v>
      </c>
      <c r="Y224" s="197">
        <v>34.463018368431293</v>
      </c>
      <c r="Z224" s="197">
        <v>33.228812300963028</v>
      </c>
      <c r="AA224" s="197">
        <v>33.14090686575166</v>
      </c>
      <c r="AB224" s="16">
        <f>AB223*(1+Assumptions!$L$13/12)</f>
        <v>0.85973284160300312</v>
      </c>
      <c r="AC224" s="16">
        <f t="shared" si="90"/>
        <v>0</v>
      </c>
      <c r="AD224" s="18">
        <f t="shared" si="91"/>
        <v>870.0603303281033</v>
      </c>
      <c r="AE224" s="18">
        <f t="shared" si="91"/>
        <v>1879.5637242099006</v>
      </c>
      <c r="AF224" s="5">
        <f>IF(Assumptions!D$29=1,0,1)</f>
        <v>1</v>
      </c>
      <c r="AG224" s="73">
        <f t="shared" si="92"/>
        <v>0</v>
      </c>
      <c r="AH224" s="16">
        <f>Assumptions!$E$29*Assumptions!H21</f>
        <v>4.5967058888804386</v>
      </c>
      <c r="AI224" s="16">
        <f>Assumptions!$F$29*Assumptions!I21</f>
        <v>4.2951529164482105</v>
      </c>
      <c r="AJ224" s="16">
        <f t="shared" si="93"/>
        <v>0</v>
      </c>
      <c r="AK224" s="16">
        <f t="shared" si="93"/>
        <v>0</v>
      </c>
      <c r="AL224" s="4"/>
    </row>
    <row r="225" spans="1:38" x14ac:dyDescent="0.2">
      <c r="A225" s="1">
        <f t="shared" si="85"/>
        <v>43049.238000000274</v>
      </c>
      <c r="B225" s="16">
        <f t="shared" si="83"/>
        <v>5.0336021007659397</v>
      </c>
      <c r="C225" s="17">
        <f t="shared" si="80"/>
        <v>56.903586574154488</v>
      </c>
      <c r="D225" s="16">
        <f t="shared" si="84"/>
        <v>0.86116572967234151</v>
      </c>
      <c r="E225" s="16">
        <f t="shared" si="81"/>
        <v>0</v>
      </c>
      <c r="F225" s="16">
        <f t="shared" si="82"/>
        <v>0</v>
      </c>
      <c r="G225" s="19">
        <f>IF('Peak Revenue'!$A$1="BL","-",SUM(C225:F225))</f>
        <v>57.764752303826832</v>
      </c>
      <c r="H225" s="197">
        <v>153.08412541559318</v>
      </c>
      <c r="I225" s="197">
        <v>149.68598177030674</v>
      </c>
      <c r="J225" s="197">
        <v>141.10301337423564</v>
      </c>
      <c r="K225" s="197">
        <v>95.288870347275477</v>
      </c>
      <c r="L225" s="197">
        <v>86.678284823176824</v>
      </c>
      <c r="M225" s="197">
        <v>82.797094058183973</v>
      </c>
      <c r="N225" s="197">
        <v>78.336811764041755</v>
      </c>
      <c r="O225" s="197">
        <v>60.136150895001705</v>
      </c>
      <c r="P225" s="197">
        <v>55.902950064329623</v>
      </c>
      <c r="Q225" s="197">
        <v>49.237494496554859</v>
      </c>
      <c r="R225" s="197">
        <v>46.58298495547777</v>
      </c>
      <c r="S225" s="197">
        <v>46.202671821169538</v>
      </c>
      <c r="T225" s="197">
        <v>44.659791386540959</v>
      </c>
      <c r="U225" s="197">
        <v>43.46287086066436</v>
      </c>
      <c r="V225" s="197">
        <v>42.33085220042198</v>
      </c>
      <c r="W225" s="197">
        <v>41.215456851100335</v>
      </c>
      <c r="X225" s="197">
        <v>40.134473787114658</v>
      </c>
      <c r="Y225" s="197">
        <v>39.989228465102698</v>
      </c>
      <c r="Z225" s="197">
        <v>39.989147801098873</v>
      </c>
      <c r="AA225" s="197">
        <v>39.97964834772381</v>
      </c>
      <c r="AB225" s="16">
        <f>AB224*(1+Assumptions!$L$13/12)</f>
        <v>0.86116572967234151</v>
      </c>
      <c r="AC225" s="16">
        <f t="shared" si="90"/>
        <v>0</v>
      </c>
      <c r="AD225" s="18">
        <f t="shared" si="91"/>
        <v>870.0603303281033</v>
      </c>
      <c r="AE225" s="18">
        <f t="shared" si="91"/>
        <v>1879.5637242099006</v>
      </c>
      <c r="AF225" s="5">
        <f>IF(Assumptions!D$29=1,0,1)</f>
        <v>1</v>
      </c>
      <c r="AG225" s="73">
        <f t="shared" si="92"/>
        <v>0</v>
      </c>
      <c r="AH225" s="16">
        <f>Assumptions!$E$29*Assumptions!H22</f>
        <v>5.0336021007659397</v>
      </c>
      <c r="AI225" s="16">
        <f>Assumptions!$F$29*Assumptions!I22</f>
        <v>4.6568500041491125</v>
      </c>
      <c r="AJ225" s="16">
        <f t="shared" si="93"/>
        <v>0</v>
      </c>
      <c r="AK225" s="16">
        <f t="shared" si="93"/>
        <v>0</v>
      </c>
      <c r="AL225" s="4"/>
    </row>
    <row r="226" spans="1:38" x14ac:dyDescent="0.2">
      <c r="A226" s="1">
        <f t="shared" si="85"/>
        <v>43079.655000000275</v>
      </c>
      <c r="B226" s="16">
        <f t="shared" si="83"/>
        <v>5.447259152444766</v>
      </c>
      <c r="C226" s="17">
        <f t="shared" si="80"/>
        <v>61.579873928817236</v>
      </c>
      <c r="D226" s="16">
        <f t="shared" si="84"/>
        <v>0.86260100588846211</v>
      </c>
      <c r="E226" s="16">
        <f t="shared" si="81"/>
        <v>0</v>
      </c>
      <c r="F226" s="16">
        <f t="shared" si="82"/>
        <v>0</v>
      </c>
      <c r="G226" s="19">
        <f>IF('Peak Revenue'!$A$1="BL","-",SUM(C226:F226))</f>
        <v>62.4424749347057</v>
      </c>
      <c r="H226" s="197">
        <v>103.00940111835831</v>
      </c>
      <c r="I226" s="197">
        <v>102.82162016511715</v>
      </c>
      <c r="J226" s="197">
        <v>92.788730921699013</v>
      </c>
      <c r="K226" s="197">
        <v>79.888556999072804</v>
      </c>
      <c r="L226" s="197">
        <v>77.568431029238425</v>
      </c>
      <c r="M226" s="197">
        <v>75.543936443386016</v>
      </c>
      <c r="N226" s="197">
        <v>74.370359724652346</v>
      </c>
      <c r="O226" s="197">
        <v>73.593989963812476</v>
      </c>
      <c r="P226" s="197">
        <v>73.214790002275734</v>
      </c>
      <c r="Q226" s="197">
        <v>72.469952596933211</v>
      </c>
      <c r="R226" s="197">
        <v>70.775734757599579</v>
      </c>
      <c r="S226" s="197">
        <v>70.521868063935699</v>
      </c>
      <c r="T226" s="197">
        <v>70.064721980497623</v>
      </c>
      <c r="U226" s="197">
        <v>63.762943913794402</v>
      </c>
      <c r="V226" s="197">
        <v>58.193340641400233</v>
      </c>
      <c r="W226" s="197">
        <v>55.595183175992752</v>
      </c>
      <c r="X226" s="197">
        <v>51.573278155202281</v>
      </c>
      <c r="Y226" s="197">
        <v>48.645373007414499</v>
      </c>
      <c r="Z226" s="197">
        <v>48.64534268971375</v>
      </c>
      <c r="AA226" s="197">
        <v>48.643960202848433</v>
      </c>
      <c r="AB226" s="16">
        <f>AB225*(1+Assumptions!$L$13/12)</f>
        <v>0.86260100588846211</v>
      </c>
      <c r="AC226" s="16">
        <f t="shared" si="90"/>
        <v>0</v>
      </c>
      <c r="AD226" s="18">
        <f t="shared" si="91"/>
        <v>870.0603303281033</v>
      </c>
      <c r="AE226" s="18">
        <f t="shared" si="91"/>
        <v>1879.5637242099006</v>
      </c>
      <c r="AF226" s="5">
        <f>IF(Assumptions!D$29=1,0,1)</f>
        <v>1</v>
      </c>
      <c r="AG226" s="73">
        <f t="shared" si="92"/>
        <v>0</v>
      </c>
      <c r="AH226" s="16">
        <f>Assumptions!$E$29*Assumptions!H23</f>
        <v>5.447259152444766</v>
      </c>
      <c r="AI226" s="16">
        <f>Assumptions!$F$29*Assumptions!I23</f>
        <v>4.8829106839621765</v>
      </c>
      <c r="AJ226" s="16">
        <f t="shared" si="93"/>
        <v>0</v>
      </c>
      <c r="AK226" s="16">
        <f t="shared" si="93"/>
        <v>0</v>
      </c>
      <c r="AL226" s="4"/>
    </row>
    <row r="227" spans="1:38" x14ac:dyDescent="0.2">
      <c r="A227" s="1">
        <f t="shared" si="85"/>
        <v>43110.072000000277</v>
      </c>
      <c r="B227" s="16">
        <f t="shared" si="83"/>
        <v>5.5373744438241399</v>
      </c>
      <c r="C227" s="17">
        <f t="shared" si="80"/>
        <v>62.598604289701555</v>
      </c>
      <c r="D227" s="16">
        <f t="shared" si="84"/>
        <v>0.86403867423160963</v>
      </c>
      <c r="E227" s="16">
        <f t="shared" si="81"/>
        <v>0</v>
      </c>
      <c r="F227" s="16">
        <f t="shared" si="82"/>
        <v>0</v>
      </c>
      <c r="G227" s="19">
        <f>IF('Peak Revenue'!$A$1="BL","-",SUM(C227:F227))</f>
        <v>63.462642963933163</v>
      </c>
      <c r="H227" s="197">
        <v>130.35656114131973</v>
      </c>
      <c r="I227" s="197">
        <v>121.5530334095738</v>
      </c>
      <c r="J227" s="197">
        <v>116.66528564389148</v>
      </c>
      <c r="K227" s="197">
        <v>109.03251171718107</v>
      </c>
      <c r="L227" s="197">
        <v>108.10743917823686</v>
      </c>
      <c r="M227" s="197">
        <v>100.21137662075088</v>
      </c>
      <c r="N227" s="197">
        <v>73.995369374017628</v>
      </c>
      <c r="O227" s="197">
        <v>61.900050827962239</v>
      </c>
      <c r="P227" s="197">
        <v>59.842441155095358</v>
      </c>
      <c r="Q227" s="197">
        <v>53.693719146082671</v>
      </c>
      <c r="R227" s="197">
        <v>51.984473133182043</v>
      </c>
      <c r="S227" s="197">
        <v>51.515736874612131</v>
      </c>
      <c r="T227" s="197">
        <v>51.369267643509438</v>
      </c>
      <c r="U227" s="197">
        <v>50.942775419508926</v>
      </c>
      <c r="V227" s="197">
        <v>50.92879987982765</v>
      </c>
      <c r="W227" s="197">
        <v>50.92879987982765</v>
      </c>
      <c r="X227" s="197">
        <v>50.92879987982765</v>
      </c>
      <c r="Y227" s="197">
        <v>50.92879987982765</v>
      </c>
      <c r="Z227" s="197">
        <v>50.928543088512114</v>
      </c>
      <c r="AA227" s="197">
        <v>49.233168121070776</v>
      </c>
      <c r="AB227" s="16">
        <f>AB226*(1+Assumptions!$L$13/12)</f>
        <v>0.86403867423160963</v>
      </c>
      <c r="AC227" s="16">
        <f>VLOOKUP($C$1,EnvVOM,21)</f>
        <v>0</v>
      </c>
      <c r="AD227" s="18">
        <f>Assumptions!B30</f>
        <v>744.38367199801439</v>
      </c>
      <c r="AE227" s="18">
        <f>Assumptions!C30</f>
        <v>2070.1083333808137</v>
      </c>
      <c r="AF227" s="5">
        <f>IF(Assumptions!D$30=1,0,1)</f>
        <v>1</v>
      </c>
      <c r="AG227" s="73">
        <f>VLOOKUP($C$1,Coal,21)</f>
        <v>0</v>
      </c>
      <c r="AH227" s="16">
        <f>Assumptions!$E$30*Assumptions!H12</f>
        <v>5.5373744438241399</v>
      </c>
      <c r="AI227" s="16">
        <f>Assumptions!$F$30*Assumptions!I12</f>
        <v>5.1779571431111169</v>
      </c>
      <c r="AJ227" s="16">
        <f>VLOOKUP($C$1,SO2Rate,21)</f>
        <v>0</v>
      </c>
      <c r="AK227" s="16">
        <f>VLOOKUP($C$1,NOxRate,21)</f>
        <v>0</v>
      </c>
      <c r="AL227" s="4"/>
    </row>
    <row r="228" spans="1:38" x14ac:dyDescent="0.2">
      <c r="A228" s="1">
        <f t="shared" si="85"/>
        <v>43140.489000000278</v>
      </c>
      <c r="B228" s="16">
        <f t="shared" si="83"/>
        <v>4.963019115874296</v>
      </c>
      <c r="C228" s="17">
        <f t="shared" si="80"/>
        <v>56.105663951142098</v>
      </c>
      <c r="D228" s="16">
        <f t="shared" si="84"/>
        <v>0.86547873868866232</v>
      </c>
      <c r="E228" s="16">
        <f t="shared" si="81"/>
        <v>0</v>
      </c>
      <c r="F228" s="16">
        <f t="shared" si="82"/>
        <v>0</v>
      </c>
      <c r="G228" s="19">
        <f>IF('Peak Revenue'!$A$1="BL","-",SUM(C228:F228))</f>
        <v>56.971142689830764</v>
      </c>
      <c r="H228" s="197">
        <v>144.50432345261297</v>
      </c>
      <c r="I228" s="197">
        <v>125.59741738669693</v>
      </c>
      <c r="J228" s="197">
        <v>120.74234753308158</v>
      </c>
      <c r="K228" s="197">
        <v>113.08175712643848</v>
      </c>
      <c r="L228" s="197">
        <v>111.92764613250827</v>
      </c>
      <c r="M228" s="197">
        <v>90.177866618439296</v>
      </c>
      <c r="N228" s="197">
        <v>79.040248706073655</v>
      </c>
      <c r="O228" s="197">
        <v>72.600116339637594</v>
      </c>
      <c r="P228" s="197">
        <v>63.304648068282731</v>
      </c>
      <c r="Q228" s="197">
        <v>59.065346478922208</v>
      </c>
      <c r="R228" s="197">
        <v>56.570497908014964</v>
      </c>
      <c r="S228" s="197">
        <v>54.553383536597515</v>
      </c>
      <c r="T228" s="197">
        <v>53.594412445186968</v>
      </c>
      <c r="U228" s="197">
        <v>52.98615567227953</v>
      </c>
      <c r="V228" s="197">
        <v>52.98615567227953</v>
      </c>
      <c r="W228" s="197">
        <v>52.98615567227953</v>
      </c>
      <c r="X228" s="197">
        <v>52.98615567227953</v>
      </c>
      <c r="Y228" s="197">
        <v>52.98615567227953</v>
      </c>
      <c r="Z228" s="197">
        <v>52.906842163594575</v>
      </c>
      <c r="AA228" s="197">
        <v>52.501397953054074</v>
      </c>
      <c r="AB228" s="16">
        <f>AB227*(1+Assumptions!$L$13/12)</f>
        <v>0.86547873868866232</v>
      </c>
      <c r="AC228" s="16">
        <f>AC227</f>
        <v>0</v>
      </c>
      <c r="AD228" s="18">
        <f>AD227</f>
        <v>744.38367199801439</v>
      </c>
      <c r="AE228" s="18">
        <f>AE227</f>
        <v>2070.1083333808137</v>
      </c>
      <c r="AF228" s="5">
        <f>IF(Assumptions!D$30=1,0,1)</f>
        <v>1</v>
      </c>
      <c r="AG228" s="73">
        <f>AG227</f>
        <v>0</v>
      </c>
      <c r="AH228" s="16">
        <f>Assumptions!$E$30*Assumptions!H13</f>
        <v>4.963019115874296</v>
      </c>
      <c r="AI228" s="16">
        <f>Assumptions!$F$30*Assumptions!I13</f>
        <v>5.1300130954897174</v>
      </c>
      <c r="AJ228" s="16">
        <f>AJ227</f>
        <v>0</v>
      </c>
      <c r="AK228" s="16">
        <f>AK227</f>
        <v>0</v>
      </c>
      <c r="AL228" s="4"/>
    </row>
    <row r="229" spans="1:38" x14ac:dyDescent="0.2">
      <c r="A229" s="1">
        <f t="shared" si="85"/>
        <v>43170.906000000279</v>
      </c>
      <c r="B229" s="16">
        <f t="shared" si="83"/>
        <v>4.8795657776251735</v>
      </c>
      <c r="C229" s="17">
        <f t="shared" si="80"/>
        <v>55.162245269471057</v>
      </c>
      <c r="D229" s="16">
        <f t="shared" si="84"/>
        <v>0.86692120325314348</v>
      </c>
      <c r="E229" s="16">
        <f t="shared" si="81"/>
        <v>0</v>
      </c>
      <c r="F229" s="16">
        <f t="shared" si="82"/>
        <v>0</v>
      </c>
      <c r="G229" s="19">
        <f>IF('Peak Revenue'!$A$1="BL","-",SUM(C229:F229))</f>
        <v>56.029166472724199</v>
      </c>
      <c r="H229" s="197">
        <v>128.60171094760108</v>
      </c>
      <c r="I229" s="197">
        <v>97.628269069113841</v>
      </c>
      <c r="J229" s="197">
        <v>93.023777674966283</v>
      </c>
      <c r="K229" s="197">
        <v>87.275619703019728</v>
      </c>
      <c r="L229" s="197">
        <v>81.74660030528743</v>
      </c>
      <c r="M229" s="197">
        <v>81.129085739380827</v>
      </c>
      <c r="N229" s="197">
        <v>73.774999730889334</v>
      </c>
      <c r="O229" s="197">
        <v>60.554466892047387</v>
      </c>
      <c r="P229" s="197">
        <v>56.495420795432395</v>
      </c>
      <c r="Q229" s="197">
        <v>55.09987672355664</v>
      </c>
      <c r="R229" s="197">
        <v>51.662405018479895</v>
      </c>
      <c r="S229" s="197">
        <v>49.91754320613763</v>
      </c>
      <c r="T229" s="197">
        <v>48.77082232276608</v>
      </c>
      <c r="U229" s="197">
        <v>47.641003965067412</v>
      </c>
      <c r="V229" s="197">
        <v>45.902878051504686</v>
      </c>
      <c r="W229" s="197">
        <v>45.460009359827765</v>
      </c>
      <c r="X229" s="197">
        <v>44.027111739349849</v>
      </c>
      <c r="Y229" s="197">
        <v>42.676719392487932</v>
      </c>
      <c r="Z229" s="197">
        <v>40.257283972439929</v>
      </c>
      <c r="AA229" s="197">
        <v>39.426995057586439</v>
      </c>
      <c r="AB229" s="16">
        <f>AB228*(1+Assumptions!$L$13/12)</f>
        <v>0.86692120325314348</v>
      </c>
      <c r="AC229" s="16">
        <f t="shared" ref="AC229:AC238" si="94">AC228</f>
        <v>0</v>
      </c>
      <c r="AD229" s="18">
        <f t="shared" ref="AD229:AE238" si="95">AD228</f>
        <v>744.38367199801439</v>
      </c>
      <c r="AE229" s="18">
        <f t="shared" si="95"/>
        <v>2070.1083333808137</v>
      </c>
      <c r="AF229" s="5">
        <f>IF(Assumptions!D$30=1,0,1)</f>
        <v>1</v>
      </c>
      <c r="AG229" s="73">
        <f t="shared" ref="AG229:AG238" si="96">AG228</f>
        <v>0</v>
      </c>
      <c r="AH229" s="16">
        <f>Assumptions!$E$30*Assumptions!H14</f>
        <v>4.8795657776251735</v>
      </c>
      <c r="AI229" s="16">
        <f>Assumptions!$F$30*Assumptions!I14</f>
        <v>4.9382369050041204</v>
      </c>
      <c r="AJ229" s="16">
        <f t="shared" ref="AJ229:AK238" si="97">AJ228</f>
        <v>0</v>
      </c>
      <c r="AK229" s="16">
        <f t="shared" si="97"/>
        <v>0</v>
      </c>
      <c r="AL229" s="4"/>
    </row>
    <row r="230" spans="1:38" x14ac:dyDescent="0.2">
      <c r="A230" s="1">
        <f t="shared" si="85"/>
        <v>43201.32300000028</v>
      </c>
      <c r="B230" s="16">
        <f t="shared" si="83"/>
        <v>4.6390238026718196</v>
      </c>
      <c r="C230" s="17">
        <f t="shared" si="80"/>
        <v>52.442979657595721</v>
      </c>
      <c r="D230" s="16">
        <f t="shared" si="84"/>
        <v>0.86836607192523207</v>
      </c>
      <c r="E230" s="16">
        <f t="shared" si="81"/>
        <v>0</v>
      </c>
      <c r="F230" s="16">
        <f t="shared" si="82"/>
        <v>0</v>
      </c>
      <c r="G230" s="19">
        <f>IF('Peak Revenue'!$A$1="BL","-",SUM(C230:F230))</f>
        <v>53.311345729520951</v>
      </c>
      <c r="H230" s="197">
        <v>97.960233746275236</v>
      </c>
      <c r="I230" s="197">
        <v>90.54709123813015</v>
      </c>
      <c r="J230" s="197">
        <v>85.615596326749852</v>
      </c>
      <c r="K230" s="197">
        <v>80.599721304619138</v>
      </c>
      <c r="L230" s="197">
        <v>75.326331313684975</v>
      </c>
      <c r="M230" s="197">
        <v>74.836439065917787</v>
      </c>
      <c r="N230" s="197">
        <v>66.937295472114769</v>
      </c>
      <c r="O230" s="197">
        <v>52.386871426625618</v>
      </c>
      <c r="P230" s="197">
        <v>48.082348560916429</v>
      </c>
      <c r="Q230" s="197">
        <v>42.866281578156659</v>
      </c>
      <c r="R230" s="197">
        <v>42.325759852220649</v>
      </c>
      <c r="S230" s="197">
        <v>41.288406426513532</v>
      </c>
      <c r="T230" s="197">
        <v>39.793103378439184</v>
      </c>
      <c r="U230" s="197">
        <v>38.397904891873743</v>
      </c>
      <c r="V230" s="197">
        <v>37.159338582638206</v>
      </c>
      <c r="W230" s="197">
        <v>36.665409608793375</v>
      </c>
      <c r="X230" s="197">
        <v>36.665394172349281</v>
      </c>
      <c r="Y230" s="197">
        <v>36.665394172349281</v>
      </c>
      <c r="Z230" s="197">
        <v>36.665394172349281</v>
      </c>
      <c r="AA230" s="197">
        <v>36.362149778937479</v>
      </c>
      <c r="AB230" s="16">
        <f>AB229*(1+Assumptions!$L$13/12)</f>
        <v>0.86836607192523207</v>
      </c>
      <c r="AC230" s="16">
        <f t="shared" si="94"/>
        <v>0</v>
      </c>
      <c r="AD230" s="18">
        <f t="shared" si="95"/>
        <v>744.38367199801439</v>
      </c>
      <c r="AE230" s="18">
        <f t="shared" si="95"/>
        <v>2070.1083333808137</v>
      </c>
      <c r="AF230" s="5">
        <f>IF(Assumptions!D$30=1,0,1)</f>
        <v>1</v>
      </c>
      <c r="AG230" s="73">
        <f t="shared" si="96"/>
        <v>0</v>
      </c>
      <c r="AH230" s="16">
        <f>Assumptions!$E$30*Assumptions!H15</f>
        <v>4.6390238026718196</v>
      </c>
      <c r="AI230" s="16">
        <f>Assumptions!$F$30*Assumptions!I15</f>
        <v>4.7464607145185234</v>
      </c>
      <c r="AJ230" s="16">
        <f t="shared" si="97"/>
        <v>0</v>
      </c>
      <c r="AK230" s="16">
        <f t="shared" si="97"/>
        <v>0</v>
      </c>
      <c r="AL230" s="4"/>
    </row>
    <row r="231" spans="1:38" x14ac:dyDescent="0.2">
      <c r="A231" s="1">
        <f t="shared" si="85"/>
        <v>43231.740000000282</v>
      </c>
      <c r="B231" s="16">
        <f t="shared" si="83"/>
        <v>4.8844747975221807</v>
      </c>
      <c r="C231" s="17">
        <f t="shared" si="80"/>
        <v>55.217740486039943</v>
      </c>
      <c r="D231" s="16">
        <f t="shared" si="84"/>
        <v>0.86981334871177418</v>
      </c>
      <c r="E231" s="16">
        <f t="shared" si="81"/>
        <v>0</v>
      </c>
      <c r="F231" s="16">
        <f t="shared" si="82"/>
        <v>0</v>
      </c>
      <c r="G231" s="19">
        <f>IF('Peak Revenue'!$A$1="BL","-",SUM(C231:F231))</f>
        <v>56.087553834751716</v>
      </c>
      <c r="H231" s="197">
        <v>154.56093433585573</v>
      </c>
      <c r="I231" s="197">
        <v>149.18759056089729</v>
      </c>
      <c r="J231" s="197">
        <v>106.03582558519319</v>
      </c>
      <c r="K231" s="197">
        <v>74.69590358251186</v>
      </c>
      <c r="L231" s="197">
        <v>69.183640193392023</v>
      </c>
      <c r="M231" s="197">
        <v>66.252638801749683</v>
      </c>
      <c r="N231" s="197">
        <v>52.735050764470301</v>
      </c>
      <c r="O231" s="197">
        <v>48.636679102029305</v>
      </c>
      <c r="P231" s="197">
        <v>46.668364415867309</v>
      </c>
      <c r="Q231" s="197">
        <v>45.103517656885515</v>
      </c>
      <c r="R231" s="197">
        <v>43.585097226980992</v>
      </c>
      <c r="S231" s="197">
        <v>42.44351474728137</v>
      </c>
      <c r="T231" s="197">
        <v>40.635173192298986</v>
      </c>
      <c r="U231" s="197">
        <v>39.248369931466357</v>
      </c>
      <c r="V231" s="197">
        <v>38.43080553220021</v>
      </c>
      <c r="W231" s="197">
        <v>34.393882871442628</v>
      </c>
      <c r="X231" s="197">
        <v>34.021417253986648</v>
      </c>
      <c r="Y231" s="197">
        <v>34.021382128488057</v>
      </c>
      <c r="Z231" s="197">
        <v>34.021332849830586</v>
      </c>
      <c r="AA231" s="197">
        <v>34.007861441706062</v>
      </c>
      <c r="AB231" s="16">
        <f>AB230*(1+Assumptions!$L$13/12)</f>
        <v>0.86981334871177418</v>
      </c>
      <c r="AC231" s="16">
        <f t="shared" si="94"/>
        <v>0</v>
      </c>
      <c r="AD231" s="18">
        <f t="shared" si="95"/>
        <v>744.38367199801439</v>
      </c>
      <c r="AE231" s="18">
        <f t="shared" si="95"/>
        <v>2070.1083333808137</v>
      </c>
      <c r="AF231" s="5">
        <v>1</v>
      </c>
      <c r="AG231" s="73">
        <f t="shared" si="96"/>
        <v>0</v>
      </c>
      <c r="AH231" s="16">
        <f>Assumptions!$E$30*Assumptions!H16</f>
        <v>4.8844747975221807</v>
      </c>
      <c r="AI231" s="16">
        <f>Assumptions!$F$30*Assumptions!I16</f>
        <v>4.5546845240329263</v>
      </c>
      <c r="AJ231" s="16">
        <f t="shared" si="97"/>
        <v>0</v>
      </c>
      <c r="AK231" s="16">
        <f t="shared" si="97"/>
        <v>0</v>
      </c>
      <c r="AL231" s="4"/>
    </row>
    <row r="232" spans="1:38" x14ac:dyDescent="0.2">
      <c r="A232" s="1">
        <f t="shared" si="85"/>
        <v>43262.157000000283</v>
      </c>
      <c r="B232" s="16">
        <f t="shared" si="83"/>
        <v>4.6537508623628412</v>
      </c>
      <c r="C232" s="17">
        <f t="shared" si="80"/>
        <v>52.609465307302379</v>
      </c>
      <c r="D232" s="16">
        <f t="shared" si="84"/>
        <v>0.87126303762629387</v>
      </c>
      <c r="E232" s="16">
        <f t="shared" si="81"/>
        <v>0</v>
      </c>
      <c r="F232" s="16">
        <f t="shared" si="82"/>
        <v>0</v>
      </c>
      <c r="G232" s="19">
        <f>IF('Peak Revenue'!$A$1="BL","-",SUM(C232:F232))</f>
        <v>53.480728344928671</v>
      </c>
      <c r="H232" s="197">
        <v>190.46198003428688</v>
      </c>
      <c r="I232" s="197">
        <v>177.83699198381677</v>
      </c>
      <c r="J232" s="197">
        <v>167.24340409845644</v>
      </c>
      <c r="K232" s="197">
        <v>154.70297433033258</v>
      </c>
      <c r="L232" s="197">
        <v>141.37115098973882</v>
      </c>
      <c r="M232" s="197">
        <v>85.496495612273904</v>
      </c>
      <c r="N232" s="197">
        <v>72.538374986835137</v>
      </c>
      <c r="O232" s="197">
        <v>68.782232775994132</v>
      </c>
      <c r="P232" s="197">
        <v>58.094403671225407</v>
      </c>
      <c r="Q232" s="197">
        <v>47.493830379356083</v>
      </c>
      <c r="R232" s="197">
        <v>42.100642599643351</v>
      </c>
      <c r="S232" s="197">
        <v>39.739012337480943</v>
      </c>
      <c r="T232" s="197">
        <v>39.027195051274013</v>
      </c>
      <c r="U232" s="197">
        <v>38.181501214035094</v>
      </c>
      <c r="V232" s="197">
        <v>36.736913936445887</v>
      </c>
      <c r="W232" s="197">
        <v>35.023584865069246</v>
      </c>
      <c r="X232" s="197">
        <v>34.022726554882873</v>
      </c>
      <c r="Y232" s="197">
        <v>34.022715741854825</v>
      </c>
      <c r="Z232" s="197">
        <v>34.022715741854825</v>
      </c>
      <c r="AA232" s="197">
        <v>32.760380817471372</v>
      </c>
      <c r="AB232" s="16">
        <f>AB231*(1+Assumptions!$L$13/12)</f>
        <v>0.87126303762629387</v>
      </c>
      <c r="AC232" s="16">
        <f t="shared" si="94"/>
        <v>0</v>
      </c>
      <c r="AD232" s="18">
        <f t="shared" si="95"/>
        <v>744.38367199801439</v>
      </c>
      <c r="AE232" s="18">
        <f t="shared" si="95"/>
        <v>2070.1083333808137</v>
      </c>
      <c r="AF232" s="5">
        <v>1</v>
      </c>
      <c r="AG232" s="73">
        <f t="shared" si="96"/>
        <v>0</v>
      </c>
      <c r="AH232" s="16">
        <f>Assumptions!$E$30*Assumptions!H17</f>
        <v>4.6537508623628412</v>
      </c>
      <c r="AI232" s="16">
        <f>Assumptions!$F$30*Assumptions!I17</f>
        <v>4.5546845240329263</v>
      </c>
      <c r="AJ232" s="16">
        <f t="shared" si="97"/>
        <v>0</v>
      </c>
      <c r="AK232" s="16">
        <f t="shared" si="97"/>
        <v>0</v>
      </c>
      <c r="AL232" s="4"/>
    </row>
    <row r="233" spans="1:38" x14ac:dyDescent="0.2">
      <c r="A233" s="1">
        <f t="shared" si="85"/>
        <v>43292.574000000284</v>
      </c>
      <c r="B233" s="16">
        <f t="shared" si="83"/>
        <v>4.6390238026718196</v>
      </c>
      <c r="C233" s="17">
        <f t="shared" si="80"/>
        <v>52.442979657595721</v>
      </c>
      <c r="D233" s="16">
        <f t="shared" si="84"/>
        <v>0.87271514268900441</v>
      </c>
      <c r="E233" s="16">
        <f t="shared" si="81"/>
        <v>0</v>
      </c>
      <c r="F233" s="16">
        <f t="shared" si="82"/>
        <v>0</v>
      </c>
      <c r="G233" s="19">
        <f>IF('Peak Revenue'!$A$1="BL","-",SUM(C233:F233))</f>
        <v>53.315694800284724</v>
      </c>
      <c r="H233" s="197">
        <v>251.26508011419332</v>
      </c>
      <c r="I233" s="197">
        <v>209.30475650784865</v>
      </c>
      <c r="J233" s="197">
        <v>196.3422979121525</v>
      </c>
      <c r="K233" s="197">
        <v>180.6848766668582</v>
      </c>
      <c r="L233" s="197">
        <v>167.63420880393898</v>
      </c>
      <c r="M233" s="197">
        <v>154.82789138519922</v>
      </c>
      <c r="N233" s="197">
        <v>129.19188048558595</v>
      </c>
      <c r="O233" s="197">
        <v>85.64993706708141</v>
      </c>
      <c r="P233" s="197">
        <v>81.346949238966573</v>
      </c>
      <c r="Q233" s="197">
        <v>58.452824199238179</v>
      </c>
      <c r="R233" s="197">
        <v>46.714263027828665</v>
      </c>
      <c r="S233" s="197">
        <v>43.326003847645673</v>
      </c>
      <c r="T233" s="197">
        <v>39.785248786288413</v>
      </c>
      <c r="U233" s="197">
        <v>39.748755215903593</v>
      </c>
      <c r="V233" s="197">
        <v>39.748588480575407</v>
      </c>
      <c r="W233" s="197">
        <v>39.74796774614682</v>
      </c>
      <c r="X233" s="197">
        <v>39.74796774614682</v>
      </c>
      <c r="Y233" s="197">
        <v>39.74796774614682</v>
      </c>
      <c r="Z233" s="197">
        <v>38.180135730350131</v>
      </c>
      <c r="AA233" s="197">
        <v>32.703231041532987</v>
      </c>
      <c r="AB233" s="16">
        <f>AB232*(1+Assumptions!$L$13/12)</f>
        <v>0.87271514268900441</v>
      </c>
      <c r="AC233" s="16">
        <f t="shared" si="94"/>
        <v>0</v>
      </c>
      <c r="AD233" s="18">
        <f t="shared" si="95"/>
        <v>744.38367199801439</v>
      </c>
      <c r="AE233" s="18">
        <f t="shared" si="95"/>
        <v>2070.1083333808137</v>
      </c>
      <c r="AF233" s="5">
        <v>1</v>
      </c>
      <c r="AG233" s="73">
        <f t="shared" si="96"/>
        <v>0</v>
      </c>
      <c r="AH233" s="16">
        <f>Assumptions!$E$30*Assumptions!H18</f>
        <v>4.6390238026718196</v>
      </c>
      <c r="AI233" s="16">
        <f>Assumptions!$F$30*Assumptions!I18</f>
        <v>4.5546845240329263</v>
      </c>
      <c r="AJ233" s="16">
        <f t="shared" si="97"/>
        <v>0</v>
      </c>
      <c r="AK233" s="16">
        <f t="shared" si="97"/>
        <v>0</v>
      </c>
      <c r="AL233" s="4"/>
    </row>
    <row r="234" spans="1:38" x14ac:dyDescent="0.2">
      <c r="A234" s="1">
        <f t="shared" si="85"/>
        <v>43322.991000000286</v>
      </c>
      <c r="B234" s="16">
        <f t="shared" si="83"/>
        <v>4.3984818277184665</v>
      </c>
      <c r="C234" s="17">
        <f t="shared" si="80"/>
        <v>49.723714045720392</v>
      </c>
      <c r="D234" s="16">
        <f t="shared" si="84"/>
        <v>0.87416966792681949</v>
      </c>
      <c r="E234" s="16">
        <f t="shared" si="81"/>
        <v>0</v>
      </c>
      <c r="F234" s="16">
        <f t="shared" si="82"/>
        <v>0</v>
      </c>
      <c r="G234" s="19">
        <f>IF('Peak Revenue'!$A$1="BL","-",SUM(C234:F234))</f>
        <v>50.597883713647214</v>
      </c>
      <c r="H234" s="197">
        <v>547.35455166888539</v>
      </c>
      <c r="I234" s="197">
        <v>381.97770419914502</v>
      </c>
      <c r="J234" s="197">
        <v>289.47110844986298</v>
      </c>
      <c r="K234" s="197">
        <v>216.15376409313103</v>
      </c>
      <c r="L234" s="197">
        <v>193.57001334159119</v>
      </c>
      <c r="M234" s="197">
        <v>175.16247052196644</v>
      </c>
      <c r="N234" s="197">
        <v>157.15753261665199</v>
      </c>
      <c r="O234" s="197">
        <v>123.07482372412896</v>
      </c>
      <c r="P234" s="197">
        <v>44.236942097775241</v>
      </c>
      <c r="Q234" s="197">
        <v>37.562344685455876</v>
      </c>
      <c r="R234" s="197">
        <v>35.531901036221186</v>
      </c>
      <c r="S234" s="197">
        <v>33.746190028274981</v>
      </c>
      <c r="T234" s="197">
        <v>31.951550786376902</v>
      </c>
      <c r="U234" s="197">
        <v>30.808757824634522</v>
      </c>
      <c r="V234" s="197">
        <v>28.738036480199497</v>
      </c>
      <c r="W234" s="197">
        <v>27.528394400798351</v>
      </c>
      <c r="X234" s="197">
        <v>26.884455691578815</v>
      </c>
      <c r="Y234" s="197">
        <v>24.851814282259717</v>
      </c>
      <c r="Z234" s="197">
        <v>23.678729371136164</v>
      </c>
      <c r="AA234" s="197">
        <v>21.991557648317038</v>
      </c>
      <c r="AB234" s="16">
        <f>AB233*(1+Assumptions!$L$13/12)</f>
        <v>0.87416966792681949</v>
      </c>
      <c r="AC234" s="16">
        <f t="shared" si="94"/>
        <v>0</v>
      </c>
      <c r="AD234" s="18">
        <f t="shared" si="95"/>
        <v>744.38367199801439</v>
      </c>
      <c r="AE234" s="18">
        <f t="shared" si="95"/>
        <v>2070.1083333808137</v>
      </c>
      <c r="AF234" s="5">
        <v>1</v>
      </c>
      <c r="AG234" s="73">
        <f t="shared" si="96"/>
        <v>0</v>
      </c>
      <c r="AH234" s="16">
        <f>Assumptions!$E$30*Assumptions!H19</f>
        <v>4.3984818277184665</v>
      </c>
      <c r="AI234" s="16">
        <f>Assumptions!$F$30*Assumptions!I19</f>
        <v>4.5546845240329263</v>
      </c>
      <c r="AJ234" s="16">
        <f t="shared" si="97"/>
        <v>0</v>
      </c>
      <c r="AK234" s="16">
        <f t="shared" si="97"/>
        <v>0</v>
      </c>
      <c r="AL234" s="4"/>
    </row>
    <row r="235" spans="1:38" x14ac:dyDescent="0.2">
      <c r="A235" s="1">
        <f t="shared" si="85"/>
        <v>43353.408000000287</v>
      </c>
      <c r="B235" s="16">
        <f t="shared" si="83"/>
        <v>4.3837547680274449</v>
      </c>
      <c r="C235" s="17">
        <f t="shared" si="80"/>
        <v>49.557228396013741</v>
      </c>
      <c r="D235" s="16">
        <f t="shared" si="84"/>
        <v>0.87562661737336422</v>
      </c>
      <c r="E235" s="16">
        <f t="shared" si="81"/>
        <v>0</v>
      </c>
      <c r="F235" s="16">
        <f t="shared" si="82"/>
        <v>0</v>
      </c>
      <c r="G235" s="19">
        <f>IF('Peak Revenue'!$A$1="BL","-",SUM(C235:F235))</f>
        <v>50.432855013387105</v>
      </c>
      <c r="H235" s="197">
        <v>153.44154943465892</v>
      </c>
      <c r="I235" s="197">
        <v>144.3905465998433</v>
      </c>
      <c r="J235" s="197">
        <v>114.16558908449875</v>
      </c>
      <c r="K235" s="197">
        <v>103.02093811740077</v>
      </c>
      <c r="L235" s="197">
        <v>89.113499450232368</v>
      </c>
      <c r="M235" s="197">
        <v>63.119894899924326</v>
      </c>
      <c r="N235" s="197">
        <v>53.743510316799572</v>
      </c>
      <c r="O235" s="197">
        <v>49.883395373602418</v>
      </c>
      <c r="P235" s="197">
        <v>48.861147620190643</v>
      </c>
      <c r="Q235" s="197">
        <v>48.773340888398508</v>
      </c>
      <c r="R235" s="197">
        <v>48.773340888398508</v>
      </c>
      <c r="S235" s="197">
        <v>48.773192467472803</v>
      </c>
      <c r="T235" s="197">
        <v>48.77295676295455</v>
      </c>
      <c r="U235" s="197">
        <v>48.77286563137703</v>
      </c>
      <c r="V235" s="197">
        <v>48.77269395877569</v>
      </c>
      <c r="W235" s="197">
        <v>48.772605149956874</v>
      </c>
      <c r="X235" s="197">
        <v>48.115962479463334</v>
      </c>
      <c r="Y235" s="197">
        <v>45.336979592267639</v>
      </c>
      <c r="Z235" s="197">
        <v>42.28479159142163</v>
      </c>
      <c r="AA235" s="197">
        <v>35.599574802588208</v>
      </c>
      <c r="AB235" s="16">
        <f>AB234*(1+Assumptions!$L$13/12)</f>
        <v>0.87562661737336422</v>
      </c>
      <c r="AC235" s="16">
        <f t="shared" si="94"/>
        <v>0</v>
      </c>
      <c r="AD235" s="18">
        <f t="shared" si="95"/>
        <v>744.38367199801439</v>
      </c>
      <c r="AE235" s="18">
        <f t="shared" si="95"/>
        <v>2070.1083333808137</v>
      </c>
      <c r="AF235" s="5">
        <v>1</v>
      </c>
      <c r="AG235" s="73">
        <f t="shared" si="96"/>
        <v>0</v>
      </c>
      <c r="AH235" s="16">
        <f>Assumptions!$E$30*Assumptions!H20</f>
        <v>4.3837547680274449</v>
      </c>
      <c r="AI235" s="16">
        <f>Assumptions!$F$30*Assumptions!I20</f>
        <v>4.5546845240329263</v>
      </c>
      <c r="AJ235" s="16">
        <f t="shared" si="97"/>
        <v>0</v>
      </c>
      <c r="AK235" s="16">
        <f t="shared" si="97"/>
        <v>0</v>
      </c>
      <c r="AL235" s="4"/>
    </row>
    <row r="236" spans="1:38" x14ac:dyDescent="0.2">
      <c r="A236" s="1">
        <f t="shared" si="85"/>
        <v>43383.825000000288</v>
      </c>
      <c r="B236" s="16">
        <f t="shared" si="83"/>
        <v>4.8550206781401375</v>
      </c>
      <c r="C236" s="17">
        <f t="shared" si="80"/>
        <v>54.884769186626642</v>
      </c>
      <c r="D236" s="16">
        <f t="shared" si="84"/>
        <v>0.87708599506898655</v>
      </c>
      <c r="E236" s="16">
        <f t="shared" si="81"/>
        <v>0</v>
      </c>
      <c r="F236" s="16">
        <f t="shared" si="82"/>
        <v>0</v>
      </c>
      <c r="G236" s="19">
        <f>IF('Peak Revenue'!$A$1="BL","-",SUM(C236:F236))</f>
        <v>55.76185518169563</v>
      </c>
      <c r="H236" s="197">
        <v>95.496885599087932</v>
      </c>
      <c r="I236" s="197">
        <v>92.529313925096233</v>
      </c>
      <c r="J236" s="197">
        <v>88.688158207560761</v>
      </c>
      <c r="K236" s="197">
        <v>83.177712668994175</v>
      </c>
      <c r="L236" s="197">
        <v>79.281761933101507</v>
      </c>
      <c r="M236" s="197">
        <v>78.695910123974599</v>
      </c>
      <c r="N236" s="197">
        <v>67.571734712735775</v>
      </c>
      <c r="O236" s="197">
        <v>55.413179826784429</v>
      </c>
      <c r="P236" s="197">
        <v>53.427749066973753</v>
      </c>
      <c r="Q236" s="197">
        <v>49.224554927868581</v>
      </c>
      <c r="R236" s="197">
        <v>46.489333474023326</v>
      </c>
      <c r="S236" s="197">
        <v>45.246922922934104</v>
      </c>
      <c r="T236" s="197">
        <v>44.617389702107133</v>
      </c>
      <c r="U236" s="197">
        <v>43.964421968303739</v>
      </c>
      <c r="V236" s="197">
        <v>41.967099018420683</v>
      </c>
      <c r="W236" s="197">
        <v>39.844855112648801</v>
      </c>
      <c r="X236" s="197">
        <v>38.628831710601901</v>
      </c>
      <c r="Y236" s="197">
        <v>38.540975894365232</v>
      </c>
      <c r="Z236" s="197">
        <v>38.540975894365232</v>
      </c>
      <c r="AA236" s="197">
        <v>38.531199810056826</v>
      </c>
      <c r="AB236" s="16">
        <f>AB235*(1+Assumptions!$L$13/12)</f>
        <v>0.87708599506898655</v>
      </c>
      <c r="AC236" s="16">
        <f t="shared" si="94"/>
        <v>0</v>
      </c>
      <c r="AD236" s="18">
        <f t="shared" si="95"/>
        <v>744.38367199801439</v>
      </c>
      <c r="AE236" s="18">
        <f t="shared" si="95"/>
        <v>2070.1083333808137</v>
      </c>
      <c r="AF236" s="5">
        <f>IF(Assumptions!D$30=1,0,1)</f>
        <v>1</v>
      </c>
      <c r="AG236" s="73">
        <f t="shared" si="96"/>
        <v>0</v>
      </c>
      <c r="AH236" s="16">
        <f>Assumptions!$E$30*Assumptions!H21</f>
        <v>4.8550206781401375</v>
      </c>
      <c r="AI236" s="16">
        <f>Assumptions!$F$30*Assumptions!I21</f>
        <v>4.5546845240329263</v>
      </c>
      <c r="AJ236" s="16">
        <f t="shared" si="97"/>
        <v>0</v>
      </c>
      <c r="AK236" s="16">
        <f t="shared" si="97"/>
        <v>0</v>
      </c>
      <c r="AL236" s="4"/>
    </row>
    <row r="237" spans="1:38" x14ac:dyDescent="0.2">
      <c r="A237" s="1">
        <f t="shared" si="85"/>
        <v>43414.242000000289</v>
      </c>
      <c r="B237" s="16">
        <f t="shared" si="83"/>
        <v>5.3164685484588157</v>
      </c>
      <c r="C237" s="17">
        <f t="shared" si="80"/>
        <v>60.10131954410177</v>
      </c>
      <c r="D237" s="16">
        <f t="shared" si="84"/>
        <v>0.87854780506076824</v>
      </c>
      <c r="E237" s="16">
        <f t="shared" si="81"/>
        <v>0</v>
      </c>
      <c r="F237" s="16">
        <f t="shared" si="82"/>
        <v>0</v>
      </c>
      <c r="G237" s="19">
        <f>IF('Peak Revenue'!$A$1="BL","-",SUM(C237:F237))</f>
        <v>60.979867349162539</v>
      </c>
      <c r="H237" s="197">
        <v>166.23681335783019</v>
      </c>
      <c r="I237" s="197">
        <v>160.55945288990023</v>
      </c>
      <c r="J237" s="197">
        <v>154.48151256924922</v>
      </c>
      <c r="K237" s="197">
        <v>149.40157264949744</v>
      </c>
      <c r="L237" s="197">
        <v>120.89130668629343</v>
      </c>
      <c r="M237" s="197">
        <v>83.544438884465961</v>
      </c>
      <c r="N237" s="197">
        <v>77.888916902585407</v>
      </c>
      <c r="O237" s="197">
        <v>70.535529547722177</v>
      </c>
      <c r="P237" s="197">
        <v>65.689290021591901</v>
      </c>
      <c r="Q237" s="197">
        <v>64.033439952728827</v>
      </c>
      <c r="R237" s="197">
        <v>62.428851612203708</v>
      </c>
      <c r="S237" s="197">
        <v>53.474914834361172</v>
      </c>
      <c r="T237" s="197">
        <v>49.757070990605669</v>
      </c>
      <c r="U237" s="197">
        <v>47.536163375601447</v>
      </c>
      <c r="V237" s="197">
        <v>45.609768589057595</v>
      </c>
      <c r="W237" s="197">
        <v>45.023786217793081</v>
      </c>
      <c r="X237" s="197">
        <v>42.159621814912825</v>
      </c>
      <c r="Y237" s="197">
        <v>36.99435646400709</v>
      </c>
      <c r="Z237" s="197">
        <v>31.81281346866076</v>
      </c>
      <c r="AA237" s="197">
        <v>31.807323143124815</v>
      </c>
      <c r="AB237" s="16">
        <f>AB236*(1+Assumptions!$L$13/12)</f>
        <v>0.87854780506076824</v>
      </c>
      <c r="AC237" s="16">
        <f t="shared" si="94"/>
        <v>0</v>
      </c>
      <c r="AD237" s="18">
        <f t="shared" si="95"/>
        <v>744.38367199801439</v>
      </c>
      <c r="AE237" s="18">
        <f t="shared" si="95"/>
        <v>2070.1083333808137</v>
      </c>
      <c r="AF237" s="5">
        <f>IF(Assumptions!D$30=1,0,1)</f>
        <v>1</v>
      </c>
      <c r="AG237" s="73">
        <f t="shared" si="96"/>
        <v>0</v>
      </c>
      <c r="AH237" s="16">
        <f>Assumptions!$E$30*Assumptions!H22</f>
        <v>5.3164685484588157</v>
      </c>
      <c r="AI237" s="16">
        <f>Assumptions!$F$30*Assumptions!I22</f>
        <v>4.9382369050041204</v>
      </c>
      <c r="AJ237" s="16">
        <f t="shared" si="97"/>
        <v>0</v>
      </c>
      <c r="AK237" s="16">
        <f t="shared" si="97"/>
        <v>0</v>
      </c>
      <c r="AL237" s="4"/>
    </row>
    <row r="238" spans="1:38" x14ac:dyDescent="0.2">
      <c r="A238" s="1">
        <f t="shared" si="85"/>
        <v>43444.659000000291</v>
      </c>
      <c r="B238" s="16">
        <f t="shared" si="83"/>
        <v>5.7533713192924578</v>
      </c>
      <c r="C238" s="17">
        <f t="shared" si="80"/>
        <v>65.040393818732483</v>
      </c>
      <c r="D238" s="16">
        <f t="shared" si="84"/>
        <v>0.88001205140253624</v>
      </c>
      <c r="E238" s="16">
        <f t="shared" si="81"/>
        <v>0</v>
      </c>
      <c r="F238" s="16">
        <f t="shared" si="82"/>
        <v>0</v>
      </c>
      <c r="G238" s="19">
        <f>IF('Peak Revenue'!$A$1="BL","-",SUM(C238:F238))</f>
        <v>65.920405870135014</v>
      </c>
      <c r="H238" s="197">
        <v>151.04369132112106</v>
      </c>
      <c r="I238" s="197">
        <v>148.5812975547116</v>
      </c>
      <c r="J238" s="197">
        <v>144.27390571682957</v>
      </c>
      <c r="K238" s="197">
        <v>120.91213586290553</v>
      </c>
      <c r="L238" s="197">
        <v>111.12941825695933</v>
      </c>
      <c r="M238" s="197">
        <v>102.28291601237146</v>
      </c>
      <c r="N238" s="197">
        <v>100.5060107060596</v>
      </c>
      <c r="O238" s="197">
        <v>92.35387902350196</v>
      </c>
      <c r="P238" s="197">
        <v>69.675134247295034</v>
      </c>
      <c r="Q238" s="197">
        <v>59.260474325009</v>
      </c>
      <c r="R238" s="197">
        <v>55.758368039816766</v>
      </c>
      <c r="S238" s="197">
        <v>48.219645209232084</v>
      </c>
      <c r="T238" s="197">
        <v>47.860773652621994</v>
      </c>
      <c r="U238" s="197">
        <v>47.860747803638574</v>
      </c>
      <c r="V238" s="197">
        <v>47.860716942902229</v>
      </c>
      <c r="W238" s="197">
        <v>47.860716942902229</v>
      </c>
      <c r="X238" s="197">
        <v>47.860672942377832</v>
      </c>
      <c r="Y238" s="197">
        <v>47.860646027209526</v>
      </c>
      <c r="Z238" s="197">
        <v>47.860622649443847</v>
      </c>
      <c r="AA238" s="197">
        <v>46.637786154712472</v>
      </c>
      <c r="AB238" s="16">
        <f>AB237*(1+Assumptions!$L$13/12)</f>
        <v>0.88001205140253624</v>
      </c>
      <c r="AC238" s="16">
        <f t="shared" si="94"/>
        <v>0</v>
      </c>
      <c r="AD238" s="18">
        <f t="shared" si="95"/>
        <v>744.38367199801439</v>
      </c>
      <c r="AE238" s="18">
        <f t="shared" si="95"/>
        <v>2070.1083333808137</v>
      </c>
      <c r="AF238" s="5">
        <f>IF(Assumptions!D$30=1,0,1)</f>
        <v>1</v>
      </c>
      <c r="AG238" s="73">
        <f t="shared" si="96"/>
        <v>0</v>
      </c>
      <c r="AH238" s="16">
        <f>Assumptions!$E$30*Assumptions!H23</f>
        <v>5.7533713192924578</v>
      </c>
      <c r="AI238" s="16">
        <f>Assumptions!$F$30*Assumptions!I23</f>
        <v>5.1779571431111169</v>
      </c>
      <c r="AJ238" s="16">
        <f t="shared" si="97"/>
        <v>0</v>
      </c>
      <c r="AK238" s="16">
        <f t="shared" si="97"/>
        <v>0</v>
      </c>
      <c r="AL238" s="4"/>
    </row>
    <row r="239" spans="1:38" x14ac:dyDescent="0.2">
      <c r="A239" s="1">
        <f t="shared" si="85"/>
        <v>43475.076000000292</v>
      </c>
      <c r="B239" s="16">
        <f t="shared" si="83"/>
        <v>5.587976144885058</v>
      </c>
      <c r="C239" s="17">
        <f t="shared" si="80"/>
        <v>63.170643600611989</v>
      </c>
      <c r="D239" s="16">
        <f t="shared" si="84"/>
        <v>0.88147873815487388</v>
      </c>
      <c r="E239" s="16">
        <f t="shared" si="81"/>
        <v>0</v>
      </c>
      <c r="F239" s="16">
        <f t="shared" si="82"/>
        <v>0</v>
      </c>
      <c r="G239" s="19">
        <f>IF('Peak Revenue'!$A$1="BL","-",SUM(C239:F239))</f>
        <v>64.052122338766864</v>
      </c>
      <c r="H239" s="197">
        <v>137.48007501945068</v>
      </c>
      <c r="I239" s="197">
        <v>130.65223220901746</v>
      </c>
      <c r="J239" s="197">
        <v>124.51407791382694</v>
      </c>
      <c r="K239" s="197">
        <v>116.14200761440092</v>
      </c>
      <c r="L239" s="197">
        <v>114.9234947725854</v>
      </c>
      <c r="M239" s="197">
        <v>105.03443554248383</v>
      </c>
      <c r="N239" s="197">
        <v>76.523757736492996</v>
      </c>
      <c r="O239" s="197">
        <v>63.625863878712209</v>
      </c>
      <c r="P239" s="197">
        <v>57.685027782976796</v>
      </c>
      <c r="Q239" s="197">
        <v>54.210654473474726</v>
      </c>
      <c r="R239" s="197">
        <v>54.210654473474726</v>
      </c>
      <c r="S239" s="197">
        <v>54.210654473474726</v>
      </c>
      <c r="T239" s="197">
        <v>54.210654473474726</v>
      </c>
      <c r="U239" s="197">
        <v>54.210654473474726</v>
      </c>
      <c r="V239" s="197">
        <v>54.210654473474726</v>
      </c>
      <c r="W239" s="197">
        <v>54.210633084894596</v>
      </c>
      <c r="X239" s="197">
        <v>54.210599340452724</v>
      </c>
      <c r="Y239" s="197">
        <v>54.210412904687082</v>
      </c>
      <c r="Z239" s="197">
        <v>54.209980291793656</v>
      </c>
      <c r="AA239" s="197">
        <v>49.774685118622486</v>
      </c>
      <c r="AB239" s="16">
        <f>AB238*(1+Assumptions!$L$13/12)</f>
        <v>0.88147873815487388</v>
      </c>
      <c r="AC239" s="16">
        <f>VLOOKUP($C$1,EnvVOM,22)</f>
        <v>0</v>
      </c>
      <c r="AD239" s="18">
        <f>Assumptions!B31</f>
        <v>771.78853165204816</v>
      </c>
      <c r="AE239" s="18">
        <f>Assumptions!C31</f>
        <v>1127.0716297512272</v>
      </c>
      <c r="AF239" s="5">
        <f>IF(Assumptions!D$31=1,0,1)</f>
        <v>1</v>
      </c>
      <c r="AG239" s="73">
        <f>VLOOKUP($C$1,Coal,22)</f>
        <v>0</v>
      </c>
      <c r="AH239" s="16">
        <f>Assumptions!$E$31*Assumptions!H12</f>
        <v>5.587976144885058</v>
      </c>
      <c r="AI239" s="16">
        <f>Assumptions!$F$31*Assumptions!I12</f>
        <v>5.2508532996416486</v>
      </c>
      <c r="AJ239" s="16">
        <f>VLOOKUP($C$1,SO2Rate,22)</f>
        <v>0</v>
      </c>
      <c r="AK239" s="16">
        <f>VLOOKUP($C$1,NOxRate,22)</f>
        <v>0</v>
      </c>
      <c r="AL239" s="4"/>
    </row>
    <row r="240" spans="1:38" x14ac:dyDescent="0.2">
      <c r="A240" s="1">
        <f t="shared" si="85"/>
        <v>43505.493000000293</v>
      </c>
      <c r="B240" s="16">
        <f t="shared" si="83"/>
        <v>5.0083722362400653</v>
      </c>
      <c r="C240" s="17">
        <f t="shared" si="80"/>
        <v>56.618369397357021</v>
      </c>
      <c r="D240" s="16">
        <f t="shared" si="84"/>
        <v>0.88294786938513203</v>
      </c>
      <c r="E240" s="16">
        <f t="shared" si="81"/>
        <v>0</v>
      </c>
      <c r="F240" s="16">
        <f t="shared" si="82"/>
        <v>0</v>
      </c>
      <c r="G240" s="19">
        <f>IF('Peak Revenue'!$A$1="BL","-",SUM(C240:F240))</f>
        <v>57.501317266742156</v>
      </c>
      <c r="H240" s="197">
        <v>156.12832920678761</v>
      </c>
      <c r="I240" s="197">
        <v>150.95206229097647</v>
      </c>
      <c r="J240" s="197">
        <v>147.53833205828712</v>
      </c>
      <c r="K240" s="197">
        <v>122.40270524195691</v>
      </c>
      <c r="L240" s="197">
        <v>112.19288682794236</v>
      </c>
      <c r="M240" s="197">
        <v>105.4579153826638</v>
      </c>
      <c r="N240" s="197">
        <v>101.58376702167581</v>
      </c>
      <c r="O240" s="197">
        <v>78.430458132173243</v>
      </c>
      <c r="P240" s="197">
        <v>65.445326513214724</v>
      </c>
      <c r="Q240" s="197">
        <v>58.531521959164721</v>
      </c>
      <c r="R240" s="197">
        <v>55.85766013302559</v>
      </c>
      <c r="S240" s="197">
        <v>50.529702706200887</v>
      </c>
      <c r="T240" s="197">
        <v>50.052066491333612</v>
      </c>
      <c r="U240" s="197">
        <v>50.052066491333612</v>
      </c>
      <c r="V240" s="197">
        <v>50.052066491333612</v>
      </c>
      <c r="W240" s="197">
        <v>50.052066491333612</v>
      </c>
      <c r="X240" s="197">
        <v>50.051990813240117</v>
      </c>
      <c r="Y240" s="197">
        <v>50.050990043506154</v>
      </c>
      <c r="Z240" s="197">
        <v>50.050621858952475</v>
      </c>
      <c r="AA240" s="197">
        <v>48.62597920878698</v>
      </c>
      <c r="AB240" s="16">
        <f>AB239*(1+Assumptions!$L$13/12)</f>
        <v>0.88294786938513203</v>
      </c>
      <c r="AC240" s="16">
        <f>AC239</f>
        <v>0</v>
      </c>
      <c r="AD240" s="18">
        <f>AD239</f>
        <v>771.78853165204816</v>
      </c>
      <c r="AE240" s="18">
        <f>AE239</f>
        <v>1127.0716297512272</v>
      </c>
      <c r="AF240" s="5">
        <f>IF(Assumptions!D$31=1,0,1)</f>
        <v>1</v>
      </c>
      <c r="AG240" s="73">
        <f>AG239</f>
        <v>0</v>
      </c>
      <c r="AH240" s="16">
        <f>Assumptions!$E$31*Assumptions!H13</f>
        <v>5.0083722362400653</v>
      </c>
      <c r="AI240" s="16">
        <f>Assumptions!$F$31*Assumptions!I13</f>
        <v>5.2022342876079302</v>
      </c>
      <c r="AJ240" s="16">
        <f>AJ239</f>
        <v>0</v>
      </c>
      <c r="AK240" s="16">
        <f>AK239</f>
        <v>0</v>
      </c>
      <c r="AL240" s="4"/>
    </row>
    <row r="241" spans="1:38" x14ac:dyDescent="0.2">
      <c r="A241" s="1">
        <f t="shared" si="85"/>
        <v>43535.910000000295</v>
      </c>
      <c r="B241" s="16">
        <f t="shared" si="83"/>
        <v>4.9241562837019046</v>
      </c>
      <c r="C241" s="17">
        <f t="shared" si="80"/>
        <v>55.666329555858439</v>
      </c>
      <c r="D241" s="16">
        <f t="shared" si="84"/>
        <v>0.88441944916744064</v>
      </c>
      <c r="E241" s="16">
        <f t="shared" si="81"/>
        <v>0</v>
      </c>
      <c r="F241" s="16">
        <f t="shared" si="82"/>
        <v>0</v>
      </c>
      <c r="G241" s="19">
        <f>IF('Peak Revenue'!$A$1="BL","-",SUM(C241:F241))</f>
        <v>56.550749005025878</v>
      </c>
      <c r="H241" s="197">
        <v>96.005147487974583</v>
      </c>
      <c r="I241" s="197">
        <v>92.965213391514382</v>
      </c>
      <c r="J241" s="197">
        <v>92.913888305059686</v>
      </c>
      <c r="K241" s="197">
        <v>92.376859891509952</v>
      </c>
      <c r="L241" s="197">
        <v>92.155424950353932</v>
      </c>
      <c r="M241" s="197">
        <v>83.272522074718935</v>
      </c>
      <c r="N241" s="197">
        <v>74.087319680632049</v>
      </c>
      <c r="O241" s="197">
        <v>69.801459024033392</v>
      </c>
      <c r="P241" s="197">
        <v>66.192570303711506</v>
      </c>
      <c r="Q241" s="197">
        <v>63.791828506592744</v>
      </c>
      <c r="R241" s="197">
        <v>60.759614986982356</v>
      </c>
      <c r="S241" s="197">
        <v>52.01111739733836</v>
      </c>
      <c r="T241" s="197">
        <v>47.174444262956165</v>
      </c>
      <c r="U241" s="197">
        <v>44.534463871293823</v>
      </c>
      <c r="V241" s="197">
        <v>43.969068915549734</v>
      </c>
      <c r="W241" s="197">
        <v>43.969068915549734</v>
      </c>
      <c r="X241" s="197">
        <v>43.969068915549734</v>
      </c>
      <c r="Y241" s="197">
        <v>43.96903147650923</v>
      </c>
      <c r="Z241" s="197">
        <v>43.969026136759005</v>
      </c>
      <c r="AA241" s="197">
        <v>43.967873584197932</v>
      </c>
      <c r="AB241" s="16">
        <f>AB240*(1+Assumptions!$L$13/12)</f>
        <v>0.88441944916744064</v>
      </c>
      <c r="AC241" s="16">
        <f t="shared" ref="AC241:AC250" si="98">AC240</f>
        <v>0</v>
      </c>
      <c r="AD241" s="18">
        <f t="shared" ref="AD241:AE250" si="99">AD240</f>
        <v>771.78853165204816</v>
      </c>
      <c r="AE241" s="18">
        <f t="shared" si="99"/>
        <v>1127.0716297512272</v>
      </c>
      <c r="AF241" s="5">
        <f>IF(Assumptions!D$31=1,0,1)</f>
        <v>1</v>
      </c>
      <c r="AG241" s="73">
        <f t="shared" ref="AG241:AG250" si="100">AG240</f>
        <v>0</v>
      </c>
      <c r="AH241" s="16">
        <f>Assumptions!$E$31*Assumptions!H14</f>
        <v>4.9241562837019046</v>
      </c>
      <c r="AI241" s="16">
        <f>Assumptions!$F$31*Assumptions!I14</f>
        <v>5.0077582394730538</v>
      </c>
      <c r="AJ241" s="16">
        <f t="shared" ref="AJ241:AK250" si="101">AJ240</f>
        <v>0</v>
      </c>
      <c r="AK241" s="16">
        <f t="shared" si="101"/>
        <v>0</v>
      </c>
      <c r="AL241" s="4"/>
    </row>
    <row r="242" spans="1:38" x14ac:dyDescent="0.2">
      <c r="A242" s="1">
        <f t="shared" si="85"/>
        <v>43566.327000000296</v>
      </c>
      <c r="B242" s="16">
        <f t="shared" si="83"/>
        <v>4.6814161852095566</v>
      </c>
      <c r="C242" s="17">
        <f t="shared" si="80"/>
        <v>52.922214718597807</v>
      </c>
      <c r="D242" s="16">
        <f t="shared" si="84"/>
        <v>0.88589348158271974</v>
      </c>
      <c r="E242" s="16">
        <f t="shared" si="81"/>
        <v>0</v>
      </c>
      <c r="F242" s="16">
        <f t="shared" si="82"/>
        <v>0</v>
      </c>
      <c r="G242" s="19">
        <f>IF('Peak Revenue'!$A$1="BL","-",SUM(C242:F242))</f>
        <v>53.808108200180527</v>
      </c>
      <c r="H242" s="197">
        <v>152.65151441529184</v>
      </c>
      <c r="I242" s="197">
        <v>149.33531242019586</v>
      </c>
      <c r="J242" s="197">
        <v>133.1300796544013</v>
      </c>
      <c r="K242" s="197">
        <v>109.80369603495345</v>
      </c>
      <c r="L242" s="197">
        <v>88.509517580272231</v>
      </c>
      <c r="M242" s="197">
        <v>67.093983242367088</v>
      </c>
      <c r="N242" s="197">
        <v>62.292566491595345</v>
      </c>
      <c r="O242" s="197">
        <v>59.57805284686269</v>
      </c>
      <c r="P242" s="197">
        <v>59.312766174952209</v>
      </c>
      <c r="Q242" s="197">
        <v>54.052132081022918</v>
      </c>
      <c r="R242" s="197">
        <v>49.417010625461437</v>
      </c>
      <c r="S242" s="197">
        <v>46.745304940842921</v>
      </c>
      <c r="T242" s="197">
        <v>44.875432217551186</v>
      </c>
      <c r="U242" s="197">
        <v>42.887952034704306</v>
      </c>
      <c r="V242" s="197">
        <v>42.27907123702569</v>
      </c>
      <c r="W242" s="197">
        <v>40.284743805692237</v>
      </c>
      <c r="X242" s="197">
        <v>35.166417761755419</v>
      </c>
      <c r="Y242" s="197">
        <v>30.434435664484294</v>
      </c>
      <c r="Z242" s="197">
        <v>30.0351802498495</v>
      </c>
      <c r="AA242" s="197">
        <v>30.029437349840965</v>
      </c>
      <c r="AB242" s="16">
        <f>AB241*(1+Assumptions!$L$13/12)</f>
        <v>0.88589348158271974</v>
      </c>
      <c r="AC242" s="16">
        <f t="shared" si="98"/>
        <v>0</v>
      </c>
      <c r="AD242" s="18">
        <f t="shared" si="99"/>
        <v>771.78853165204816</v>
      </c>
      <c r="AE242" s="18">
        <f t="shared" si="99"/>
        <v>1127.0716297512272</v>
      </c>
      <c r="AF242" s="5">
        <f>IF(Assumptions!D$31=1,0,1)</f>
        <v>1</v>
      </c>
      <c r="AG242" s="73">
        <f t="shared" si="100"/>
        <v>0</v>
      </c>
      <c r="AH242" s="16">
        <f>Assumptions!$E$31*Assumptions!H15</f>
        <v>4.6814161852095566</v>
      </c>
      <c r="AI242" s="16">
        <f>Assumptions!$F$31*Assumptions!I15</f>
        <v>4.8132821913381774</v>
      </c>
      <c r="AJ242" s="16">
        <f t="shared" si="101"/>
        <v>0</v>
      </c>
      <c r="AK242" s="16">
        <f t="shared" si="101"/>
        <v>0</v>
      </c>
      <c r="AL242" s="4"/>
    </row>
    <row r="243" spans="1:38" x14ac:dyDescent="0.2">
      <c r="A243" s="1">
        <f t="shared" si="85"/>
        <v>43596.744000000297</v>
      </c>
      <c r="B243" s="16">
        <f t="shared" si="83"/>
        <v>4.9291101632629726</v>
      </c>
      <c r="C243" s="17">
        <f t="shared" si="80"/>
        <v>55.722331899476004</v>
      </c>
      <c r="D243" s="16">
        <f t="shared" si="84"/>
        <v>0.88736997071869095</v>
      </c>
      <c r="E243" s="16">
        <f t="shared" si="81"/>
        <v>0</v>
      </c>
      <c r="F243" s="16">
        <f t="shared" si="82"/>
        <v>0</v>
      </c>
      <c r="G243" s="19">
        <f>IF('Peak Revenue'!$A$1="BL","-",SUM(C243:F243))</f>
        <v>56.609701870194698</v>
      </c>
      <c r="H243" s="197">
        <v>89.722873273484112</v>
      </c>
      <c r="I243" s="197">
        <v>83.453561867762602</v>
      </c>
      <c r="J243" s="197">
        <v>82.699011082607583</v>
      </c>
      <c r="K243" s="197">
        <v>78.093990767871134</v>
      </c>
      <c r="L243" s="197">
        <v>67.038374575983681</v>
      </c>
      <c r="M243" s="197">
        <v>59.777231699215086</v>
      </c>
      <c r="N243" s="197">
        <v>57.224085889836843</v>
      </c>
      <c r="O243" s="197">
        <v>55.807645881681594</v>
      </c>
      <c r="P243" s="197">
        <v>54.14660420714479</v>
      </c>
      <c r="Q243" s="197">
        <v>52.201597844644134</v>
      </c>
      <c r="R243" s="197">
        <v>49.986535224176365</v>
      </c>
      <c r="S243" s="197">
        <v>46.80773740881628</v>
      </c>
      <c r="T243" s="197">
        <v>46.451939456707393</v>
      </c>
      <c r="U243" s="197">
        <v>44.343300393932637</v>
      </c>
      <c r="V243" s="197">
        <v>41.516630714157458</v>
      </c>
      <c r="W243" s="197">
        <v>40.57070794854527</v>
      </c>
      <c r="X243" s="197">
        <v>40.29987449409127</v>
      </c>
      <c r="Y243" s="197">
        <v>40.171790880366892</v>
      </c>
      <c r="Z243" s="197">
        <v>40.171790880366892</v>
      </c>
      <c r="AA243" s="197">
        <v>40.16375245225889</v>
      </c>
      <c r="AB243" s="16">
        <f>AB242*(1+Assumptions!$L$13/12)</f>
        <v>0.88736997071869095</v>
      </c>
      <c r="AC243" s="16">
        <f t="shared" si="98"/>
        <v>0</v>
      </c>
      <c r="AD243" s="18">
        <f t="shared" si="99"/>
        <v>771.78853165204816</v>
      </c>
      <c r="AE243" s="18">
        <f t="shared" si="99"/>
        <v>1127.0716297512272</v>
      </c>
      <c r="AF243" s="5">
        <v>1</v>
      </c>
      <c r="AG243" s="73">
        <f t="shared" si="100"/>
        <v>0</v>
      </c>
      <c r="AH243" s="16">
        <f>Assumptions!$E$31*Assumptions!H16</f>
        <v>4.9291101632629726</v>
      </c>
      <c r="AI243" s="16">
        <f>Assumptions!$F$31*Assumptions!I16</f>
        <v>4.6188061432033019</v>
      </c>
      <c r="AJ243" s="16">
        <f t="shared" si="101"/>
        <v>0</v>
      </c>
      <c r="AK243" s="16">
        <f t="shared" si="101"/>
        <v>0</v>
      </c>
      <c r="AL243" s="4"/>
    </row>
    <row r="244" spans="1:38" x14ac:dyDescent="0.2">
      <c r="A244" s="1">
        <f t="shared" si="85"/>
        <v>43627.161000000298</v>
      </c>
      <c r="B244" s="16">
        <f t="shared" si="83"/>
        <v>4.6962778238927614</v>
      </c>
      <c r="C244" s="17">
        <f t="shared" si="80"/>
        <v>53.090221749450507</v>
      </c>
      <c r="D244" s="16">
        <f t="shared" si="84"/>
        <v>0.88884892066988885</v>
      </c>
      <c r="E244" s="16">
        <f t="shared" si="81"/>
        <v>0</v>
      </c>
      <c r="F244" s="16">
        <f t="shared" si="82"/>
        <v>0</v>
      </c>
      <c r="G244" s="19">
        <f>IF('Peak Revenue'!$A$1="BL","-",SUM(C244:F244))</f>
        <v>53.979070670120393</v>
      </c>
      <c r="H244" s="197">
        <v>177.42149864509923</v>
      </c>
      <c r="I244" s="197">
        <v>165.94495242045633</v>
      </c>
      <c r="J244" s="197">
        <v>156.1955955047442</v>
      </c>
      <c r="K244" s="197">
        <v>141.61392138128627</v>
      </c>
      <c r="L244" s="197">
        <v>89.243634437871947</v>
      </c>
      <c r="M244" s="197">
        <v>84.151932916179987</v>
      </c>
      <c r="N244" s="197">
        <v>77.266142445846</v>
      </c>
      <c r="O244" s="197">
        <v>73.345045263803144</v>
      </c>
      <c r="P244" s="197">
        <v>67.417380584849013</v>
      </c>
      <c r="Q244" s="197">
        <v>60.026125212760959</v>
      </c>
      <c r="R244" s="197">
        <v>53.154236218168442</v>
      </c>
      <c r="S244" s="197">
        <v>46.145140144797821</v>
      </c>
      <c r="T244" s="197">
        <v>42.928271786537472</v>
      </c>
      <c r="U244" s="197">
        <v>41.781555615435991</v>
      </c>
      <c r="V244" s="197">
        <v>41.160460215243326</v>
      </c>
      <c r="W244" s="197">
        <v>40.612865513796564</v>
      </c>
      <c r="X244" s="197">
        <v>40.276236519560356</v>
      </c>
      <c r="Y244" s="197">
        <v>39.84848235820867</v>
      </c>
      <c r="Z244" s="197">
        <v>39.492529962457027</v>
      </c>
      <c r="AA244" s="197">
        <v>38.440511016249289</v>
      </c>
      <c r="AB244" s="16">
        <f>AB243*(1+Assumptions!$L$13/12)</f>
        <v>0.88884892066988885</v>
      </c>
      <c r="AC244" s="16">
        <f t="shared" si="98"/>
        <v>0</v>
      </c>
      <c r="AD244" s="18">
        <f t="shared" si="99"/>
        <v>771.78853165204816</v>
      </c>
      <c r="AE244" s="18">
        <f t="shared" si="99"/>
        <v>1127.0716297512272</v>
      </c>
      <c r="AF244" s="5">
        <v>1</v>
      </c>
      <c r="AG244" s="73">
        <f t="shared" si="100"/>
        <v>0</v>
      </c>
      <c r="AH244" s="16">
        <f>Assumptions!$E$31*Assumptions!H17</f>
        <v>4.6962778238927614</v>
      </c>
      <c r="AI244" s="16">
        <f>Assumptions!$F$31*Assumptions!I17</f>
        <v>4.6188061432033019</v>
      </c>
      <c r="AJ244" s="16">
        <f t="shared" si="101"/>
        <v>0</v>
      </c>
      <c r="AK244" s="16">
        <f t="shared" si="101"/>
        <v>0</v>
      </c>
      <c r="AL244" s="4"/>
    </row>
    <row r="245" spans="1:38" x14ac:dyDescent="0.2">
      <c r="A245" s="1">
        <f t="shared" si="85"/>
        <v>43657.5780000003</v>
      </c>
      <c r="B245" s="16">
        <f t="shared" si="83"/>
        <v>4.6814161852095566</v>
      </c>
      <c r="C245" s="17">
        <f t="shared" si="80"/>
        <v>52.922214718597807</v>
      </c>
      <c r="D245" s="16">
        <f t="shared" si="84"/>
        <v>0.89033033553767205</v>
      </c>
      <c r="E245" s="16">
        <f t="shared" si="81"/>
        <v>0</v>
      </c>
      <c r="F245" s="16">
        <f t="shared" si="82"/>
        <v>0</v>
      </c>
      <c r="G245" s="19">
        <f>IF('Peak Revenue'!$A$1="BL","-",SUM(C245:F245))</f>
        <v>53.812545054135477</v>
      </c>
      <c r="H245" s="197">
        <v>291.20815794885021</v>
      </c>
      <c r="I245" s="197">
        <v>219.11837943984582</v>
      </c>
      <c r="J245" s="197">
        <v>202.55112622194957</v>
      </c>
      <c r="K245" s="197">
        <v>186.45655927112952</v>
      </c>
      <c r="L245" s="197">
        <v>172.73045948922046</v>
      </c>
      <c r="M245" s="197">
        <v>158.94780560374622</v>
      </c>
      <c r="N245" s="197">
        <v>146.94670180902426</v>
      </c>
      <c r="O245" s="197">
        <v>95.09740127266663</v>
      </c>
      <c r="P245" s="197">
        <v>81.082160637327007</v>
      </c>
      <c r="Q245" s="197">
        <v>73.184356333703505</v>
      </c>
      <c r="R245" s="197">
        <v>64.540800816084158</v>
      </c>
      <c r="S245" s="197">
        <v>48.9959220763091</v>
      </c>
      <c r="T245" s="197">
        <v>41.986302793920238</v>
      </c>
      <c r="U245" s="197">
        <v>41.018016198778241</v>
      </c>
      <c r="V245" s="197">
        <v>39.739763527119365</v>
      </c>
      <c r="W245" s="197">
        <v>37.92162234517577</v>
      </c>
      <c r="X245" s="197">
        <v>36.584895408344259</v>
      </c>
      <c r="Y245" s="197">
        <v>36.061607850512829</v>
      </c>
      <c r="Z245" s="197">
        <v>35.923370535701331</v>
      </c>
      <c r="AA245" s="197">
        <v>35.665653833632646</v>
      </c>
      <c r="AB245" s="16">
        <f>AB244*(1+Assumptions!$L$13/12)</f>
        <v>0.89033033553767205</v>
      </c>
      <c r="AC245" s="16">
        <f t="shared" si="98"/>
        <v>0</v>
      </c>
      <c r="AD245" s="18">
        <f t="shared" si="99"/>
        <v>771.78853165204816</v>
      </c>
      <c r="AE245" s="18">
        <f t="shared" si="99"/>
        <v>1127.0716297512272</v>
      </c>
      <c r="AF245" s="5">
        <v>1</v>
      </c>
      <c r="AG245" s="73">
        <f t="shared" si="100"/>
        <v>0</v>
      </c>
      <c r="AH245" s="16">
        <f>Assumptions!$E$31*Assumptions!H18</f>
        <v>4.6814161852095566</v>
      </c>
      <c r="AI245" s="16">
        <f>Assumptions!$F$31*Assumptions!I18</f>
        <v>4.6188061432033019</v>
      </c>
      <c r="AJ245" s="16">
        <f t="shared" si="101"/>
        <v>0</v>
      </c>
      <c r="AK245" s="16">
        <f t="shared" si="101"/>
        <v>0</v>
      </c>
      <c r="AL245" s="4"/>
    </row>
    <row r="246" spans="1:38" x14ac:dyDescent="0.2">
      <c r="A246" s="1">
        <f t="shared" si="85"/>
        <v>43687.995000000301</v>
      </c>
      <c r="B246" s="16">
        <f t="shared" si="83"/>
        <v>4.4386760867172095</v>
      </c>
      <c r="C246" s="17">
        <f t="shared" si="80"/>
        <v>50.178099881337182</v>
      </c>
      <c r="D246" s="16">
        <f t="shared" si="84"/>
        <v>0.89181421943023487</v>
      </c>
      <c r="E246" s="16">
        <f t="shared" si="81"/>
        <v>0</v>
      </c>
      <c r="F246" s="16">
        <f t="shared" si="82"/>
        <v>0</v>
      </c>
      <c r="G246" s="19">
        <f>IF('Peak Revenue'!$A$1="BL","-",SUM(C246:F246))</f>
        <v>51.06991410076742</v>
      </c>
      <c r="H246" s="197">
        <v>290.54329184832949</v>
      </c>
      <c r="I246" s="197">
        <v>211.70225101992577</v>
      </c>
      <c r="J246" s="197">
        <v>195.40835581143116</v>
      </c>
      <c r="K246" s="197">
        <v>176.94090533883349</v>
      </c>
      <c r="L246" s="197">
        <v>162.38243440232893</v>
      </c>
      <c r="M246" s="197">
        <v>149.75522206175418</v>
      </c>
      <c r="N246" s="197">
        <v>116.22598476522433</v>
      </c>
      <c r="O246" s="197">
        <v>100.41785928853767</v>
      </c>
      <c r="P246" s="197">
        <v>89.356263133984442</v>
      </c>
      <c r="Q246" s="197">
        <v>64.571914377159388</v>
      </c>
      <c r="R246" s="197">
        <v>55.162264325413176</v>
      </c>
      <c r="S246" s="197">
        <v>51.208871968441215</v>
      </c>
      <c r="T246" s="197">
        <v>48.708806774000138</v>
      </c>
      <c r="U246" s="197">
        <v>48.367449167776918</v>
      </c>
      <c r="V246" s="197">
        <v>48.367449167776918</v>
      </c>
      <c r="W246" s="197">
        <v>47.520324230988862</v>
      </c>
      <c r="X246" s="197">
        <v>47.157382531424858</v>
      </c>
      <c r="Y246" s="197">
        <v>47.157302175642016</v>
      </c>
      <c r="Z246" s="197">
        <v>47.157282962078334</v>
      </c>
      <c r="AA246" s="197">
        <v>38.711454953507911</v>
      </c>
      <c r="AB246" s="16">
        <f>AB245*(1+Assumptions!$L$13/12)</f>
        <v>0.89181421943023487</v>
      </c>
      <c r="AC246" s="16">
        <f t="shared" si="98"/>
        <v>0</v>
      </c>
      <c r="AD246" s="18">
        <f t="shared" si="99"/>
        <v>771.78853165204816</v>
      </c>
      <c r="AE246" s="18">
        <f t="shared" si="99"/>
        <v>1127.0716297512272</v>
      </c>
      <c r="AF246" s="5">
        <v>1</v>
      </c>
      <c r="AG246" s="73">
        <f t="shared" si="100"/>
        <v>0</v>
      </c>
      <c r="AH246" s="16">
        <f>Assumptions!$E$31*Assumptions!H19</f>
        <v>4.4386760867172095</v>
      </c>
      <c r="AI246" s="16">
        <f>Assumptions!$F$31*Assumptions!I19</f>
        <v>4.6188061432033019</v>
      </c>
      <c r="AJ246" s="16">
        <f t="shared" si="101"/>
        <v>0</v>
      </c>
      <c r="AK246" s="16">
        <f t="shared" si="101"/>
        <v>0</v>
      </c>
      <c r="AL246" s="4"/>
    </row>
    <row r="247" spans="1:38" x14ac:dyDescent="0.2">
      <c r="A247" s="1">
        <f t="shared" si="85"/>
        <v>43718.412000000302</v>
      </c>
      <c r="B247" s="16">
        <f t="shared" si="83"/>
        <v>4.4238144480340047</v>
      </c>
      <c r="C247" s="17">
        <f t="shared" si="80"/>
        <v>50.010092850484497</v>
      </c>
      <c r="D247" s="16">
        <f t="shared" si="84"/>
        <v>0.89330057646261862</v>
      </c>
      <c r="E247" s="16">
        <f t="shared" si="81"/>
        <v>0</v>
      </c>
      <c r="F247" s="16">
        <f t="shared" si="82"/>
        <v>0</v>
      </c>
      <c r="G247" s="19">
        <f>IF('Peak Revenue'!$A$1="BL","-",SUM(C247:F247))</f>
        <v>50.903393426947119</v>
      </c>
      <c r="H247" s="197">
        <v>165.1543008163159</v>
      </c>
      <c r="I247" s="197">
        <v>154.49925736954691</v>
      </c>
      <c r="J247" s="197">
        <v>148.63714327578472</v>
      </c>
      <c r="K247" s="197">
        <v>115.80203521973215</v>
      </c>
      <c r="L247" s="197">
        <v>95.511635432012412</v>
      </c>
      <c r="M247" s="197">
        <v>88.113104405066409</v>
      </c>
      <c r="N247" s="197">
        <v>75.348463473319981</v>
      </c>
      <c r="O247" s="197">
        <v>58.06334983048847</v>
      </c>
      <c r="P247" s="197">
        <v>53.628522074507501</v>
      </c>
      <c r="Q247" s="197">
        <v>49.156357369937226</v>
      </c>
      <c r="R247" s="197">
        <v>44.801889106886954</v>
      </c>
      <c r="S247" s="197">
        <v>43.495009673221141</v>
      </c>
      <c r="T247" s="197">
        <v>42.742895098736106</v>
      </c>
      <c r="U247" s="197">
        <v>42.408359309111503</v>
      </c>
      <c r="V247" s="197">
        <v>42.335614935221145</v>
      </c>
      <c r="W247" s="197">
        <v>42.335606339853847</v>
      </c>
      <c r="X247" s="197">
        <v>42.335606339853847</v>
      </c>
      <c r="Y247" s="197">
        <v>42.335309125754712</v>
      </c>
      <c r="Z247" s="197">
        <v>42.335244936486333</v>
      </c>
      <c r="AA247" s="197">
        <v>40.163551675968165</v>
      </c>
      <c r="AB247" s="16">
        <f>AB246*(1+Assumptions!$L$13/12)</f>
        <v>0.89330057646261862</v>
      </c>
      <c r="AC247" s="16">
        <f t="shared" si="98"/>
        <v>0</v>
      </c>
      <c r="AD247" s="18">
        <f t="shared" si="99"/>
        <v>771.78853165204816</v>
      </c>
      <c r="AE247" s="18">
        <f t="shared" si="99"/>
        <v>1127.0716297512272</v>
      </c>
      <c r="AF247" s="5">
        <v>1</v>
      </c>
      <c r="AG247" s="73">
        <f t="shared" si="100"/>
        <v>0</v>
      </c>
      <c r="AH247" s="16">
        <f>Assumptions!$E$31*Assumptions!H20</f>
        <v>4.4238144480340047</v>
      </c>
      <c r="AI247" s="16">
        <f>Assumptions!$F$31*Assumptions!I20</f>
        <v>4.6188061432033019</v>
      </c>
      <c r="AJ247" s="16">
        <f t="shared" si="101"/>
        <v>0</v>
      </c>
      <c r="AK247" s="16">
        <f t="shared" si="101"/>
        <v>0</v>
      </c>
      <c r="AL247" s="4"/>
    </row>
    <row r="248" spans="1:38" x14ac:dyDescent="0.2">
      <c r="A248" s="1">
        <f t="shared" si="85"/>
        <v>43748.829000000303</v>
      </c>
      <c r="B248" s="16">
        <f t="shared" si="83"/>
        <v>4.899386885896563</v>
      </c>
      <c r="C248" s="17">
        <f t="shared" si="80"/>
        <v>55.386317837770626</v>
      </c>
      <c r="D248" s="16">
        <f t="shared" si="84"/>
        <v>0.89478941075672302</v>
      </c>
      <c r="E248" s="16">
        <f t="shared" si="81"/>
        <v>0</v>
      </c>
      <c r="F248" s="16">
        <f t="shared" si="82"/>
        <v>0</v>
      </c>
      <c r="G248" s="19">
        <f>IF('Peak Revenue'!$A$1="BL","-",SUM(C248:F248))</f>
        <v>56.281107248527348</v>
      </c>
      <c r="H248" s="197">
        <v>129.0285531767841</v>
      </c>
      <c r="I248" s="197">
        <v>106.28808225961535</v>
      </c>
      <c r="J248" s="197">
        <v>100.31453045313569</v>
      </c>
      <c r="K248" s="197">
        <v>93.34793520849874</v>
      </c>
      <c r="L248" s="197">
        <v>89.631933326847715</v>
      </c>
      <c r="M248" s="197">
        <v>89.334118702428327</v>
      </c>
      <c r="N248" s="197">
        <v>70.835629073069043</v>
      </c>
      <c r="O248" s="197">
        <v>60.73081858497229</v>
      </c>
      <c r="P248" s="197">
        <v>50.798566753100275</v>
      </c>
      <c r="Q248" s="197">
        <v>50.137031107652113</v>
      </c>
      <c r="R248" s="197">
        <v>47.983376013797837</v>
      </c>
      <c r="S248" s="197">
        <v>44.349616509217974</v>
      </c>
      <c r="T248" s="197">
        <v>44.349518929684322</v>
      </c>
      <c r="U248" s="197">
        <v>44.349518929684322</v>
      </c>
      <c r="V248" s="197">
        <v>44.349518929684322</v>
      </c>
      <c r="W248" s="197">
        <v>44.349518929684322</v>
      </c>
      <c r="X248" s="197">
        <v>42.500022870280034</v>
      </c>
      <c r="Y248" s="197">
        <v>40.380173057319283</v>
      </c>
      <c r="Z248" s="197">
        <v>38.86843045053898</v>
      </c>
      <c r="AA248" s="197">
        <v>34.17423087644103</v>
      </c>
      <c r="AB248" s="16">
        <f>AB247*(1+Assumptions!$L$13/12)</f>
        <v>0.89478941075672302</v>
      </c>
      <c r="AC248" s="16">
        <f t="shared" si="98"/>
        <v>0</v>
      </c>
      <c r="AD248" s="18">
        <f t="shared" si="99"/>
        <v>771.78853165204816</v>
      </c>
      <c r="AE248" s="18">
        <f t="shared" si="99"/>
        <v>1127.0716297512272</v>
      </c>
      <c r="AF248" s="5">
        <f>IF(Assumptions!D$31=1,0,1)</f>
        <v>1</v>
      </c>
      <c r="AG248" s="73">
        <f t="shared" si="100"/>
        <v>0</v>
      </c>
      <c r="AH248" s="16">
        <f>Assumptions!$E$31*Assumptions!H21</f>
        <v>4.899386885896563</v>
      </c>
      <c r="AI248" s="16">
        <f>Assumptions!$F$31*Assumptions!I21</f>
        <v>4.6188061432033019</v>
      </c>
      <c r="AJ248" s="16">
        <f t="shared" si="101"/>
        <v>0</v>
      </c>
      <c r="AK248" s="16">
        <f t="shared" si="101"/>
        <v>0</v>
      </c>
      <c r="AL248" s="4"/>
    </row>
    <row r="249" spans="1:38" x14ac:dyDescent="0.2">
      <c r="A249" s="1">
        <f t="shared" si="85"/>
        <v>43779.246000000305</v>
      </c>
      <c r="B249" s="16">
        <f t="shared" si="83"/>
        <v>5.3650515646369836</v>
      </c>
      <c r="C249" s="17">
        <f t="shared" si="80"/>
        <v>60.650538137821613</v>
      </c>
      <c r="D249" s="16">
        <f t="shared" si="84"/>
        <v>0.89628072644131762</v>
      </c>
      <c r="E249" s="16">
        <f t="shared" si="81"/>
        <v>0</v>
      </c>
      <c r="F249" s="16">
        <f t="shared" si="82"/>
        <v>0</v>
      </c>
      <c r="G249" s="19">
        <f>IF('Peak Revenue'!$A$1="BL","-",SUM(C249:F249))</f>
        <v>61.546818864262931</v>
      </c>
      <c r="H249" s="197">
        <v>122.97138042716911</v>
      </c>
      <c r="I249" s="197">
        <v>108.2254063033826</v>
      </c>
      <c r="J249" s="197">
        <v>104.41867889940234</v>
      </c>
      <c r="K249" s="197">
        <v>97.786459048206297</v>
      </c>
      <c r="L249" s="197">
        <v>97.134568734071649</v>
      </c>
      <c r="M249" s="197">
        <v>86.733857627457084</v>
      </c>
      <c r="N249" s="197">
        <v>71.272252074300255</v>
      </c>
      <c r="O249" s="197">
        <v>67.202703218923901</v>
      </c>
      <c r="P249" s="197">
        <v>60.822195630833917</v>
      </c>
      <c r="Q249" s="197">
        <v>50.492920469078406</v>
      </c>
      <c r="R249" s="197">
        <v>47.259942705656883</v>
      </c>
      <c r="S249" s="197">
        <v>46.80341979697441</v>
      </c>
      <c r="T249" s="197">
        <v>46.42032181968024</v>
      </c>
      <c r="U249" s="197">
        <v>46.416780709259228</v>
      </c>
      <c r="V249" s="197">
        <v>46.416773383165285</v>
      </c>
      <c r="W249" s="197">
        <v>46.416773383165285</v>
      </c>
      <c r="X249" s="197">
        <v>46.416499931437663</v>
      </c>
      <c r="Y249" s="197">
        <v>46.416410489400839</v>
      </c>
      <c r="Z249" s="197">
        <v>46.416410489400839</v>
      </c>
      <c r="AA249" s="197">
        <v>44.340616272354879</v>
      </c>
      <c r="AB249" s="16">
        <f>AB248*(1+Assumptions!$L$13/12)</f>
        <v>0.89628072644131762</v>
      </c>
      <c r="AC249" s="16">
        <f t="shared" si="98"/>
        <v>0</v>
      </c>
      <c r="AD249" s="18">
        <f t="shared" si="99"/>
        <v>771.78853165204816</v>
      </c>
      <c r="AE249" s="18">
        <f t="shared" si="99"/>
        <v>1127.0716297512272</v>
      </c>
      <c r="AF249" s="5">
        <f>IF(Assumptions!D$31=1,0,1)</f>
        <v>1</v>
      </c>
      <c r="AG249" s="73">
        <f t="shared" si="100"/>
        <v>0</v>
      </c>
      <c r="AH249" s="16">
        <f>Assumptions!$E$31*Assumptions!H22</f>
        <v>5.3650515646369836</v>
      </c>
      <c r="AI249" s="16">
        <f>Assumptions!$F$31*Assumptions!I22</f>
        <v>5.0077582394730538</v>
      </c>
      <c r="AJ249" s="16">
        <f t="shared" si="101"/>
        <v>0</v>
      </c>
      <c r="AK249" s="16">
        <f t="shared" si="101"/>
        <v>0</v>
      </c>
      <c r="AL249" s="4"/>
    </row>
    <row r="250" spans="1:38" x14ac:dyDescent="0.2">
      <c r="A250" s="1">
        <f t="shared" si="85"/>
        <v>43809.663000000306</v>
      </c>
      <c r="B250" s="16">
        <f t="shared" si="83"/>
        <v>5.8059468455720635</v>
      </c>
      <c r="C250" s="17">
        <f t="shared" si="80"/>
        <v>65.634746719784786</v>
      </c>
      <c r="D250" s="16">
        <f t="shared" si="84"/>
        <v>0.89777452765205323</v>
      </c>
      <c r="E250" s="16">
        <f t="shared" si="81"/>
        <v>0</v>
      </c>
      <c r="F250" s="16">
        <f t="shared" si="82"/>
        <v>0</v>
      </c>
      <c r="G250" s="19">
        <f>IF('Peak Revenue'!$A$1="BL","-",SUM(C250:F250))</f>
        <v>66.532521247436833</v>
      </c>
      <c r="H250" s="197">
        <v>138.83704668642693</v>
      </c>
      <c r="I250" s="197">
        <v>124.76332264847295</v>
      </c>
      <c r="J250" s="197">
        <v>121.11902735291233</v>
      </c>
      <c r="K250" s="197">
        <v>112.99283766398025</v>
      </c>
      <c r="L250" s="197">
        <v>111.98641992437314</v>
      </c>
      <c r="M250" s="197">
        <v>105.23187550746306</v>
      </c>
      <c r="N250" s="197">
        <v>75.84299420046186</v>
      </c>
      <c r="O250" s="197">
        <v>70.053927444621664</v>
      </c>
      <c r="P250" s="197">
        <v>68.054370224126544</v>
      </c>
      <c r="Q250" s="197">
        <v>54.253223215833216</v>
      </c>
      <c r="R250" s="197">
        <v>53.29239564850694</v>
      </c>
      <c r="S250" s="197">
        <v>52.856396033679879</v>
      </c>
      <c r="T250" s="197">
        <v>52.856392717201359</v>
      </c>
      <c r="U250" s="197">
        <v>52.856381504944785</v>
      </c>
      <c r="V250" s="197">
        <v>52.856381504944785</v>
      </c>
      <c r="W250" s="197">
        <v>52.856345776586537</v>
      </c>
      <c r="X250" s="197">
        <v>52.856017863678595</v>
      </c>
      <c r="Y250" s="197">
        <v>52.856017863678595</v>
      </c>
      <c r="Z250" s="197">
        <v>52.856017863678595</v>
      </c>
      <c r="AA250" s="197">
        <v>48.631135961362496</v>
      </c>
      <c r="AB250" s="16">
        <f>AB249*(1+Assumptions!$L$13/12)</f>
        <v>0.89777452765205323</v>
      </c>
      <c r="AC250" s="16">
        <f t="shared" si="98"/>
        <v>0</v>
      </c>
      <c r="AD250" s="18">
        <f t="shared" si="99"/>
        <v>771.78853165204816</v>
      </c>
      <c r="AE250" s="18">
        <f t="shared" si="99"/>
        <v>1127.0716297512272</v>
      </c>
      <c r="AF250" s="5">
        <f>IF(Assumptions!D$31=1,0,1)</f>
        <v>1</v>
      </c>
      <c r="AG250" s="73">
        <f t="shared" si="100"/>
        <v>0</v>
      </c>
      <c r="AH250" s="16">
        <f>Assumptions!$E$31*Assumptions!H23</f>
        <v>5.8059468455720635</v>
      </c>
      <c r="AI250" s="16">
        <f>Assumptions!$F$31*Assumptions!I23</f>
        <v>5.2508532996416486</v>
      </c>
      <c r="AJ250" s="16">
        <f t="shared" si="101"/>
        <v>0</v>
      </c>
      <c r="AK250" s="16">
        <f t="shared" si="101"/>
        <v>0</v>
      </c>
      <c r="AL250" s="4"/>
    </row>
  </sheetData>
  <mergeCells count="2">
    <mergeCell ref="AL8:AP8"/>
    <mergeCell ref="AL14:AP14"/>
  </mergeCell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249"/>
  <sheetViews>
    <sheetView workbookViewId="0">
      <pane xSplit="1" ySplit="8" topLeftCell="O59" activePane="bottomRight" state="frozen"/>
      <selection activeCell="I28" sqref="I28"/>
      <selection pane="topRight" activeCell="I28" sqref="I28"/>
      <selection pane="bottomLeft" activeCell="I28" sqref="I28"/>
      <selection pane="bottomRight" activeCell="X83" sqref="X83"/>
    </sheetView>
  </sheetViews>
  <sheetFormatPr defaultRowHeight="12.75" x14ac:dyDescent="0.2"/>
  <cols>
    <col min="1" max="1" width="8.140625" bestFit="1" customWidth="1"/>
    <col min="2" max="2" width="10.140625" bestFit="1" customWidth="1"/>
    <col min="3" max="3" width="12.5703125" bestFit="1" customWidth="1"/>
    <col min="4" max="4" width="12" bestFit="1" customWidth="1"/>
    <col min="5" max="5" width="11.42578125" bestFit="1" customWidth="1"/>
    <col min="6" max="6" width="10.140625" bestFit="1" customWidth="1"/>
    <col min="7" max="9" width="11.42578125" bestFit="1" customWidth="1"/>
    <col min="10" max="10" width="10.140625" bestFit="1" customWidth="1"/>
    <col min="11" max="20" width="10.7109375" bestFit="1" customWidth="1"/>
    <col min="21" max="21" width="11.42578125" bestFit="1" customWidth="1"/>
    <col min="22" max="24" width="12" bestFit="1" customWidth="1"/>
    <col min="25" max="25" width="14.85546875" bestFit="1" customWidth="1"/>
    <col min="26" max="26" width="13.42578125" style="209" bestFit="1" customWidth="1"/>
    <col min="27" max="27" width="14.42578125" style="102" bestFit="1" customWidth="1"/>
    <col min="28" max="28" width="11.85546875" style="102" bestFit="1" customWidth="1"/>
    <col min="29" max="30" width="13.42578125" style="102" bestFit="1" customWidth="1"/>
    <col min="31" max="31" width="14.42578125" style="102" bestFit="1" customWidth="1"/>
    <col min="32" max="32" width="11.85546875" style="102" bestFit="1" customWidth="1"/>
    <col min="33" max="33" width="13.42578125" style="102" bestFit="1" customWidth="1"/>
  </cols>
  <sheetData>
    <row r="1" spans="1:33" x14ac:dyDescent="0.2">
      <c r="A1" s="13" t="str">
        <f>IS!$C$2</f>
        <v>Peak</v>
      </c>
    </row>
    <row r="2" spans="1:33" x14ac:dyDescent="0.2">
      <c r="A2" s="13"/>
    </row>
    <row r="3" spans="1:33" x14ac:dyDescent="0.2">
      <c r="A3" s="13"/>
    </row>
    <row r="4" spans="1:33" x14ac:dyDescent="0.2">
      <c r="A4" s="13"/>
    </row>
    <row r="5" spans="1:33" x14ac:dyDescent="0.2">
      <c r="A5" s="13"/>
    </row>
    <row r="6" spans="1:33" x14ac:dyDescent="0.2">
      <c r="Y6" s="3" t="s">
        <v>46</v>
      </c>
      <c r="Z6" s="103" t="s">
        <v>20</v>
      </c>
      <c r="AA6" s="103" t="s">
        <v>46</v>
      </c>
      <c r="AB6" s="103" t="s">
        <v>21</v>
      </c>
      <c r="AC6" s="103" t="s">
        <v>46</v>
      </c>
      <c r="AD6" s="103" t="s">
        <v>22</v>
      </c>
      <c r="AE6" s="103" t="s">
        <v>46</v>
      </c>
      <c r="AF6" s="103" t="s">
        <v>23</v>
      </c>
      <c r="AG6" s="103" t="s">
        <v>46</v>
      </c>
    </row>
    <row r="7" spans="1:33" x14ac:dyDescent="0.2">
      <c r="Y7" s="3"/>
      <c r="Z7" s="103"/>
      <c r="AA7" s="103"/>
      <c r="AB7" s="103"/>
      <c r="AC7" s="103"/>
      <c r="AD7" s="103"/>
      <c r="AE7" s="103"/>
      <c r="AF7" s="103"/>
      <c r="AG7" s="103"/>
    </row>
    <row r="8" spans="1:33" x14ac:dyDescent="0.2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184</v>
      </c>
      <c r="W8" s="3" t="s">
        <v>185</v>
      </c>
      <c r="X8" s="3" t="s">
        <v>186</v>
      </c>
      <c r="Y8" s="3" t="s">
        <v>27</v>
      </c>
      <c r="Z8" s="103" t="s">
        <v>25</v>
      </c>
      <c r="AA8" s="103" t="s">
        <v>20</v>
      </c>
      <c r="AB8" s="103" t="s">
        <v>25</v>
      </c>
      <c r="AC8" s="103" t="s">
        <v>21</v>
      </c>
      <c r="AD8" s="103" t="s">
        <v>25</v>
      </c>
      <c r="AE8" s="103" t="s">
        <v>22</v>
      </c>
      <c r="AF8" s="103" t="s">
        <v>25</v>
      </c>
      <c r="AG8" s="103" t="s">
        <v>23</v>
      </c>
    </row>
    <row r="9" spans="1:33" x14ac:dyDescent="0.2">
      <c r="W9" s="3" t="s">
        <v>27</v>
      </c>
      <c r="X9" s="3" t="s">
        <v>27</v>
      </c>
    </row>
    <row r="10" spans="1:33" x14ac:dyDescent="0.2">
      <c r="A10" s="1">
        <v>36540</v>
      </c>
      <c r="B10" s="238" t="str">
        <f>IF($A$1="Peak","-",'Base Hours'!B10*BaseLoad!H9*'Base Hours'!$AA10)</f>
        <v>-</v>
      </c>
      <c r="C10" s="238" t="str">
        <f>IF($A$1="Peak","-",'Base Hours'!C10*BaseLoad!I9*'Base Hours'!$AA10)</f>
        <v>-</v>
      </c>
      <c r="D10" s="238" t="str">
        <f>IF($A$1="Peak","-",'Base Hours'!D10*BaseLoad!J9*'Base Hours'!$AA10)</f>
        <v>-</v>
      </c>
      <c r="E10" s="238" t="str">
        <f>IF($A$1="Peak","-",'Base Hours'!E10*BaseLoad!K9*'Base Hours'!$AA10)</f>
        <v>-</v>
      </c>
      <c r="F10" s="238" t="str">
        <f>IF($A$1="Peak","-",'Base Hours'!F10*BaseLoad!L9*'Base Hours'!$AA10)</f>
        <v>-</v>
      </c>
      <c r="G10" s="238" t="str">
        <f>IF($A$1="Peak","-",'Base Hours'!G10*BaseLoad!M9*'Base Hours'!$AA10)</f>
        <v>-</v>
      </c>
      <c r="H10" s="238" t="str">
        <f>IF($A$1="Peak","-",'Base Hours'!H10*BaseLoad!N9*'Base Hours'!$AA10)</f>
        <v>-</v>
      </c>
      <c r="I10" s="238" t="str">
        <f>IF($A$1="Peak","-",'Base Hours'!I10*BaseLoad!O9*'Base Hours'!$AA10)</f>
        <v>-</v>
      </c>
      <c r="J10" s="238" t="str">
        <f>IF($A$1="Peak","-",'Base Hours'!J10*BaseLoad!P9*'Base Hours'!$AA10)</f>
        <v>-</v>
      </c>
      <c r="K10" s="238" t="str">
        <f>IF($A$1="Peak","-",'Base Hours'!K10*BaseLoad!Q9*'Base Hours'!$AA10)</f>
        <v>-</v>
      </c>
      <c r="L10" s="238" t="str">
        <f>IF($A$1="Peak","-",'Base Hours'!L10*BaseLoad!R9*'Base Hours'!$AA10)</f>
        <v>-</v>
      </c>
      <c r="M10" s="238" t="str">
        <f>IF($A$1="Peak","-",'Base Hours'!M10*BaseLoad!S9*'Base Hours'!$AA10)</f>
        <v>-</v>
      </c>
      <c r="N10" s="238" t="str">
        <f>IF($A$1="Peak","-",'Base Hours'!N10*BaseLoad!T9*'Base Hours'!$AA10)</f>
        <v>-</v>
      </c>
      <c r="O10" s="238" t="str">
        <f>IF($A$1="Peak","-",'Base Hours'!O10*BaseLoad!U9*'Base Hours'!$AA10)</f>
        <v>-</v>
      </c>
      <c r="P10" s="238" t="str">
        <f>IF($A$1="Peak","-",'Base Hours'!P10*BaseLoad!V9*'Base Hours'!$AA10)</f>
        <v>-</v>
      </c>
      <c r="Q10" s="238" t="str">
        <f>IF($A$1="Peak","-",'Base Hours'!Q10*BaseLoad!W9*'Base Hours'!$AA10)</f>
        <v>-</v>
      </c>
      <c r="R10" s="238" t="str">
        <f>IF($A$1="Peak","-",'Base Hours'!R10*BaseLoad!X9*'Base Hours'!$AA10)</f>
        <v>-</v>
      </c>
      <c r="S10" s="238" t="str">
        <f>IF($A$1="Peak","-",'Base Hours'!S10*BaseLoad!Y9*'Base Hours'!$AA10)</f>
        <v>-</v>
      </c>
      <c r="T10" s="238" t="str">
        <f>IF($A$1="Peak","-",'Base Hours'!T10*BaseLoad!Z9*'Base Hours'!$AA10)</f>
        <v>-</v>
      </c>
      <c r="U10" s="238" t="str">
        <f>IF($A$1="Peak","-",'Base Hours'!U10*BaseLoad!AA9*'Base Hours'!$AA10)</f>
        <v>-</v>
      </c>
      <c r="V10" s="238">
        <f t="shared" ref="V10:V21" si="0">SUM(B10:U10)</f>
        <v>0</v>
      </c>
      <c r="W10" s="238"/>
      <c r="X10" s="238"/>
      <c r="Y10" s="239"/>
      <c r="Z10" s="239">
        <f>(BaseLoad!C9*'Base Hours'!X10*'Base Hours'!$AA10)*-1</f>
        <v>0</v>
      </c>
      <c r="AA10" s="239"/>
      <c r="AB10" s="239">
        <f>(BaseLoad!D9*'Base Hours'!X10*'Base Hours'!$AA10)*-1</f>
        <v>0</v>
      </c>
      <c r="AC10" s="239"/>
      <c r="AD10" s="239">
        <f>(BaseLoad!E9*'Base Hours'!X10*'Base Hours'!$AA10)*-1</f>
        <v>0</v>
      </c>
      <c r="AE10" s="239"/>
      <c r="AF10" s="239">
        <f>(BaseLoad!F9*'Base Hours'!X10*'Base Hours'!$AA10)*-1</f>
        <v>0</v>
      </c>
      <c r="AG10" s="239"/>
    </row>
    <row r="11" spans="1:33" x14ac:dyDescent="0.2">
      <c r="A11" s="1">
        <f>A10+30.417</f>
        <v>36570.417000000001</v>
      </c>
      <c r="B11" s="238" t="str">
        <f>IF($A$1="Peak","-",'Base Hours'!B11*BaseLoad!H10*'Base Hours'!$AA11)</f>
        <v>-</v>
      </c>
      <c r="C11" s="238" t="str">
        <f>IF($A$1="Peak","-",'Base Hours'!C11*BaseLoad!I10*'Base Hours'!$AA11)</f>
        <v>-</v>
      </c>
      <c r="D11" s="238" t="str">
        <f>IF($A$1="Peak","-",'Base Hours'!D11*BaseLoad!J10*'Base Hours'!$AA11)</f>
        <v>-</v>
      </c>
      <c r="E11" s="238" t="str">
        <f>IF($A$1="Peak","-",'Base Hours'!E11*BaseLoad!K10*'Base Hours'!$AA11)</f>
        <v>-</v>
      </c>
      <c r="F11" s="238" t="str">
        <f>IF($A$1="Peak","-",'Base Hours'!F11*BaseLoad!L10*'Base Hours'!$AA11)</f>
        <v>-</v>
      </c>
      <c r="G11" s="238" t="str">
        <f>IF($A$1="Peak","-",'Base Hours'!G11*BaseLoad!M10*'Base Hours'!$AA11)</f>
        <v>-</v>
      </c>
      <c r="H11" s="238" t="str">
        <f>IF($A$1="Peak","-",'Base Hours'!H11*BaseLoad!N10*'Base Hours'!$AA11)</f>
        <v>-</v>
      </c>
      <c r="I11" s="238" t="str">
        <f>IF($A$1="Peak","-",'Base Hours'!I11*BaseLoad!O10*'Base Hours'!$AA11)</f>
        <v>-</v>
      </c>
      <c r="J11" s="238" t="str">
        <f>IF($A$1="Peak","-",'Base Hours'!J11*BaseLoad!P10*'Base Hours'!$AA11)</f>
        <v>-</v>
      </c>
      <c r="K11" s="238" t="str">
        <f>IF($A$1="Peak","-",'Base Hours'!K11*BaseLoad!Q10*'Base Hours'!$AA11)</f>
        <v>-</v>
      </c>
      <c r="L11" s="238" t="str">
        <f>IF($A$1="Peak","-",'Base Hours'!L11*BaseLoad!R10*'Base Hours'!$AA11)</f>
        <v>-</v>
      </c>
      <c r="M11" s="238" t="str">
        <f>IF($A$1="Peak","-",'Base Hours'!M11*BaseLoad!S10*'Base Hours'!$AA11)</f>
        <v>-</v>
      </c>
      <c r="N11" s="238" t="str">
        <f>IF($A$1="Peak","-",'Base Hours'!N11*BaseLoad!T10*'Base Hours'!$AA11)</f>
        <v>-</v>
      </c>
      <c r="O11" s="238" t="str">
        <f>IF($A$1="Peak","-",'Base Hours'!O11*BaseLoad!U10*'Base Hours'!$AA11)</f>
        <v>-</v>
      </c>
      <c r="P11" s="238" t="str">
        <f>IF($A$1="Peak","-",'Base Hours'!P11*BaseLoad!V10*'Base Hours'!$AA11)</f>
        <v>-</v>
      </c>
      <c r="Q11" s="238" t="str">
        <f>IF($A$1="Peak","-",'Base Hours'!Q11*BaseLoad!W10*'Base Hours'!$AA11)</f>
        <v>-</v>
      </c>
      <c r="R11" s="238" t="str">
        <f>IF($A$1="Peak","-",'Base Hours'!R11*BaseLoad!X10*'Base Hours'!$AA11)</f>
        <v>-</v>
      </c>
      <c r="S11" s="238" t="str">
        <f>IF($A$1="Peak","-",'Base Hours'!S11*BaseLoad!Y10*'Base Hours'!$AA11)</f>
        <v>-</v>
      </c>
      <c r="T11" s="238" t="str">
        <f>IF($A$1="Peak","-",'Base Hours'!T11*BaseLoad!Z10*'Base Hours'!$AA11)</f>
        <v>-</v>
      </c>
      <c r="U11" s="238" t="str">
        <f>IF($A$1="Peak","-",'Base Hours'!U11*BaseLoad!AA10*'Base Hours'!$AA11)</f>
        <v>-</v>
      </c>
      <c r="V11" s="238">
        <f t="shared" si="0"/>
        <v>0</v>
      </c>
      <c r="W11" s="238"/>
      <c r="X11" s="238"/>
      <c r="Y11" s="239"/>
      <c r="Z11" s="239">
        <f>(BaseLoad!C10*'Base Hours'!X11*'Base Hours'!$AA11)*-1</f>
        <v>0</v>
      </c>
      <c r="AA11" s="239"/>
      <c r="AB11" s="239">
        <f>(BaseLoad!D10*'Base Hours'!X11*'Base Hours'!$AA11)*-1</f>
        <v>0</v>
      </c>
      <c r="AC11" s="239"/>
      <c r="AD11" s="239">
        <f>(BaseLoad!E10*'Base Hours'!X11*'Base Hours'!$AA11)*-1</f>
        <v>0</v>
      </c>
      <c r="AE11" s="239"/>
      <c r="AF11" s="239">
        <f>(BaseLoad!F10*'Base Hours'!X11*'Base Hours'!$AA11)*-1</f>
        <v>0</v>
      </c>
      <c r="AG11" s="239"/>
    </row>
    <row r="12" spans="1:33" x14ac:dyDescent="0.2">
      <c r="A12" s="1">
        <f t="shared" ref="A12:A75" si="1">A11+30.417</f>
        <v>36600.834000000003</v>
      </c>
      <c r="B12" s="238" t="str">
        <f>IF($A$1="Peak","-",'Base Hours'!B12*BaseLoad!H11*'Base Hours'!$AA12)</f>
        <v>-</v>
      </c>
      <c r="C12" s="238" t="str">
        <f>IF($A$1="Peak","-",'Base Hours'!C12*BaseLoad!I11*'Base Hours'!$AA12)</f>
        <v>-</v>
      </c>
      <c r="D12" s="238" t="str">
        <f>IF($A$1="Peak","-",'Base Hours'!D12*BaseLoad!J11*'Base Hours'!$AA12)</f>
        <v>-</v>
      </c>
      <c r="E12" s="238" t="str">
        <f>IF($A$1="Peak","-",'Base Hours'!E12*BaseLoad!K11*'Base Hours'!$AA12)</f>
        <v>-</v>
      </c>
      <c r="F12" s="238" t="str">
        <f>IF($A$1="Peak","-",'Base Hours'!F12*BaseLoad!L11*'Base Hours'!$AA12)</f>
        <v>-</v>
      </c>
      <c r="G12" s="238" t="str">
        <f>IF($A$1="Peak","-",'Base Hours'!G12*BaseLoad!M11*'Base Hours'!$AA12)</f>
        <v>-</v>
      </c>
      <c r="H12" s="238" t="str">
        <f>IF($A$1="Peak","-",'Base Hours'!H12*BaseLoad!N11*'Base Hours'!$AA12)</f>
        <v>-</v>
      </c>
      <c r="I12" s="238" t="str">
        <f>IF($A$1="Peak","-",'Base Hours'!I12*BaseLoad!O11*'Base Hours'!$AA12)</f>
        <v>-</v>
      </c>
      <c r="J12" s="238" t="str">
        <f>IF($A$1="Peak","-",'Base Hours'!J12*BaseLoad!P11*'Base Hours'!$AA12)</f>
        <v>-</v>
      </c>
      <c r="K12" s="238" t="str">
        <f>IF($A$1="Peak","-",'Base Hours'!K12*BaseLoad!Q11*'Base Hours'!$AA12)</f>
        <v>-</v>
      </c>
      <c r="L12" s="238" t="str">
        <f>IF($A$1="Peak","-",'Base Hours'!L12*BaseLoad!R11*'Base Hours'!$AA12)</f>
        <v>-</v>
      </c>
      <c r="M12" s="238" t="str">
        <f>IF($A$1="Peak","-",'Base Hours'!M12*BaseLoad!S11*'Base Hours'!$AA12)</f>
        <v>-</v>
      </c>
      <c r="N12" s="238" t="str">
        <f>IF($A$1="Peak","-",'Base Hours'!N12*BaseLoad!T11*'Base Hours'!$AA12)</f>
        <v>-</v>
      </c>
      <c r="O12" s="238" t="str">
        <f>IF($A$1="Peak","-",'Base Hours'!O12*BaseLoad!U11*'Base Hours'!$AA12)</f>
        <v>-</v>
      </c>
      <c r="P12" s="238" t="str">
        <f>IF($A$1="Peak","-",'Base Hours'!P12*BaseLoad!V11*'Base Hours'!$AA12)</f>
        <v>-</v>
      </c>
      <c r="Q12" s="238" t="str">
        <f>IF($A$1="Peak","-",'Base Hours'!Q12*BaseLoad!W11*'Base Hours'!$AA12)</f>
        <v>-</v>
      </c>
      <c r="R12" s="238" t="str">
        <f>IF($A$1="Peak","-",'Base Hours'!R12*BaseLoad!X11*'Base Hours'!$AA12)</f>
        <v>-</v>
      </c>
      <c r="S12" s="238" t="str">
        <f>IF($A$1="Peak","-",'Base Hours'!S12*BaseLoad!Y11*'Base Hours'!$AA12)</f>
        <v>-</v>
      </c>
      <c r="T12" s="238" t="str">
        <f>IF($A$1="Peak","-",'Base Hours'!T12*BaseLoad!Z11*'Base Hours'!$AA12)</f>
        <v>-</v>
      </c>
      <c r="U12" s="238" t="str">
        <f>IF($A$1="Peak","-",'Base Hours'!U12*BaseLoad!AA11*'Base Hours'!$AA12)</f>
        <v>-</v>
      </c>
      <c r="V12" s="238">
        <f t="shared" si="0"/>
        <v>0</v>
      </c>
      <c r="W12" s="238"/>
      <c r="X12" s="238"/>
      <c r="Y12" s="239"/>
      <c r="Z12" s="239">
        <f>(BaseLoad!C11*'Base Hours'!X12*'Base Hours'!$AA12)*-1</f>
        <v>0</v>
      </c>
      <c r="AA12" s="239"/>
      <c r="AB12" s="239">
        <f>(BaseLoad!D11*'Base Hours'!X12*'Base Hours'!$AA12)*-1</f>
        <v>0</v>
      </c>
      <c r="AC12" s="239"/>
      <c r="AD12" s="239">
        <f>(BaseLoad!E11*'Base Hours'!X12*'Base Hours'!$AA12)*-1</f>
        <v>0</v>
      </c>
      <c r="AE12" s="239"/>
      <c r="AF12" s="239">
        <f>(BaseLoad!F11*'Base Hours'!X12*'Base Hours'!$AA12)*-1</f>
        <v>0</v>
      </c>
      <c r="AG12" s="239"/>
    </row>
    <row r="13" spans="1:33" x14ac:dyDescent="0.2">
      <c r="A13" s="1">
        <f t="shared" si="1"/>
        <v>36631.251000000004</v>
      </c>
      <c r="B13" s="238" t="str">
        <f>IF($A$1="Peak","-",'Base Hours'!B13*BaseLoad!H12*'Base Hours'!$AA13)</f>
        <v>-</v>
      </c>
      <c r="C13" s="238" t="str">
        <f>IF($A$1="Peak","-",'Base Hours'!C13*BaseLoad!I12*'Base Hours'!$AA13)</f>
        <v>-</v>
      </c>
      <c r="D13" s="238" t="str">
        <f>IF($A$1="Peak","-",'Base Hours'!D13*BaseLoad!J12*'Base Hours'!$AA13)</f>
        <v>-</v>
      </c>
      <c r="E13" s="238" t="str">
        <f>IF($A$1="Peak","-",'Base Hours'!E13*BaseLoad!K12*'Base Hours'!$AA13)</f>
        <v>-</v>
      </c>
      <c r="F13" s="238" t="str">
        <f>IF($A$1="Peak","-",'Base Hours'!F13*BaseLoad!L12*'Base Hours'!$AA13)</f>
        <v>-</v>
      </c>
      <c r="G13" s="238" t="str">
        <f>IF($A$1="Peak","-",'Base Hours'!G13*BaseLoad!M12*'Base Hours'!$AA13)</f>
        <v>-</v>
      </c>
      <c r="H13" s="238" t="str">
        <f>IF($A$1="Peak","-",'Base Hours'!H13*BaseLoad!N12*'Base Hours'!$AA13)</f>
        <v>-</v>
      </c>
      <c r="I13" s="238" t="str">
        <f>IF($A$1="Peak","-",'Base Hours'!I13*BaseLoad!O12*'Base Hours'!$AA13)</f>
        <v>-</v>
      </c>
      <c r="J13" s="238" t="str">
        <f>IF($A$1="Peak","-",'Base Hours'!J13*BaseLoad!P12*'Base Hours'!$AA13)</f>
        <v>-</v>
      </c>
      <c r="K13" s="238" t="str">
        <f>IF($A$1="Peak","-",'Base Hours'!K13*BaseLoad!Q12*'Base Hours'!$AA13)</f>
        <v>-</v>
      </c>
      <c r="L13" s="238" t="str">
        <f>IF($A$1="Peak","-",'Base Hours'!L13*BaseLoad!R12*'Base Hours'!$AA13)</f>
        <v>-</v>
      </c>
      <c r="M13" s="238" t="str">
        <f>IF($A$1="Peak","-",'Base Hours'!M13*BaseLoad!S12*'Base Hours'!$AA13)</f>
        <v>-</v>
      </c>
      <c r="N13" s="238" t="str">
        <f>IF($A$1="Peak","-",'Base Hours'!N13*BaseLoad!T12*'Base Hours'!$AA13)</f>
        <v>-</v>
      </c>
      <c r="O13" s="238" t="str">
        <f>IF($A$1="Peak","-",'Base Hours'!O13*BaseLoad!U12*'Base Hours'!$AA13)</f>
        <v>-</v>
      </c>
      <c r="P13" s="238" t="str">
        <f>IF($A$1="Peak","-",'Base Hours'!P13*BaseLoad!V12*'Base Hours'!$AA13)</f>
        <v>-</v>
      </c>
      <c r="Q13" s="238" t="str">
        <f>IF($A$1="Peak","-",'Base Hours'!Q13*BaseLoad!W12*'Base Hours'!$AA13)</f>
        <v>-</v>
      </c>
      <c r="R13" s="238" t="str">
        <f>IF($A$1="Peak","-",'Base Hours'!R13*BaseLoad!X12*'Base Hours'!$AA13)</f>
        <v>-</v>
      </c>
      <c r="S13" s="238" t="str">
        <f>IF($A$1="Peak","-",'Base Hours'!S13*BaseLoad!Y12*'Base Hours'!$AA13)</f>
        <v>-</v>
      </c>
      <c r="T13" s="238" t="str">
        <f>IF($A$1="Peak","-",'Base Hours'!T13*BaseLoad!Z12*'Base Hours'!$AA13)</f>
        <v>-</v>
      </c>
      <c r="U13" s="238" t="str">
        <f>IF($A$1="Peak","-",'Base Hours'!U13*BaseLoad!AA12*'Base Hours'!$AA13)</f>
        <v>-</v>
      </c>
      <c r="V13" s="238">
        <f t="shared" si="0"/>
        <v>0</v>
      </c>
      <c r="W13" s="238"/>
      <c r="X13" s="238"/>
      <c r="Y13" s="239"/>
      <c r="Z13" s="239">
        <f>(BaseLoad!C12*'Base Hours'!X13*'Base Hours'!$AA13)*-1</f>
        <v>0</v>
      </c>
      <c r="AA13" s="239"/>
      <c r="AB13" s="239">
        <f>(BaseLoad!D12*'Base Hours'!X13*'Base Hours'!$AA13)*-1</f>
        <v>0</v>
      </c>
      <c r="AC13" s="239"/>
      <c r="AD13" s="239">
        <f>(BaseLoad!E12*'Base Hours'!X13*'Base Hours'!$AA13)*-1</f>
        <v>0</v>
      </c>
      <c r="AE13" s="239"/>
      <c r="AF13" s="239">
        <f>(BaseLoad!F12*'Base Hours'!X13*'Base Hours'!$AA13)*-1</f>
        <v>0</v>
      </c>
      <c r="AG13" s="239"/>
    </row>
    <row r="14" spans="1:33" x14ac:dyDescent="0.2">
      <c r="A14" s="1">
        <f t="shared" si="1"/>
        <v>36661.668000000005</v>
      </c>
      <c r="B14" s="238" t="str">
        <f>IF($A$1="Peak","-",'Base Hours'!B14*BaseLoad!H13*'Base Hours'!$AA14)</f>
        <v>-</v>
      </c>
      <c r="C14" s="238" t="str">
        <f>IF($A$1="Peak","-",'Base Hours'!C14*BaseLoad!I13*'Base Hours'!$AA14)</f>
        <v>-</v>
      </c>
      <c r="D14" s="238" t="str">
        <f>IF($A$1="Peak","-",'Base Hours'!D14*BaseLoad!J13*'Base Hours'!$AA14)</f>
        <v>-</v>
      </c>
      <c r="E14" s="238" t="str">
        <f>IF($A$1="Peak","-",'Base Hours'!E14*BaseLoad!K13*'Base Hours'!$AA14)</f>
        <v>-</v>
      </c>
      <c r="F14" s="238" t="str">
        <f>IF($A$1="Peak","-",'Base Hours'!F14*BaseLoad!L13*'Base Hours'!$AA14)</f>
        <v>-</v>
      </c>
      <c r="G14" s="238" t="str">
        <f>IF($A$1="Peak","-",'Base Hours'!G14*BaseLoad!M13*'Base Hours'!$AA14)</f>
        <v>-</v>
      </c>
      <c r="H14" s="238" t="str">
        <f>IF($A$1="Peak","-",'Base Hours'!H14*BaseLoad!N13*'Base Hours'!$AA14)</f>
        <v>-</v>
      </c>
      <c r="I14" s="238" t="str">
        <f>IF($A$1="Peak","-",'Base Hours'!I14*BaseLoad!O13*'Base Hours'!$AA14)</f>
        <v>-</v>
      </c>
      <c r="J14" s="238" t="str">
        <f>IF($A$1="Peak","-",'Base Hours'!J14*BaseLoad!P13*'Base Hours'!$AA14)</f>
        <v>-</v>
      </c>
      <c r="K14" s="238" t="str">
        <f>IF($A$1="Peak","-",'Base Hours'!K14*BaseLoad!Q13*'Base Hours'!$AA14)</f>
        <v>-</v>
      </c>
      <c r="L14" s="238" t="str">
        <f>IF($A$1="Peak","-",'Base Hours'!L14*BaseLoad!R13*'Base Hours'!$AA14)</f>
        <v>-</v>
      </c>
      <c r="M14" s="238" t="str">
        <f>IF($A$1="Peak","-",'Base Hours'!M14*BaseLoad!S13*'Base Hours'!$AA14)</f>
        <v>-</v>
      </c>
      <c r="N14" s="238" t="str">
        <f>IF($A$1="Peak","-",'Base Hours'!N14*BaseLoad!T13*'Base Hours'!$AA14)</f>
        <v>-</v>
      </c>
      <c r="O14" s="238" t="str">
        <f>IF($A$1="Peak","-",'Base Hours'!O14*BaseLoad!U13*'Base Hours'!$AA14)</f>
        <v>-</v>
      </c>
      <c r="P14" s="238" t="str">
        <f>IF($A$1="Peak","-",'Base Hours'!P14*BaseLoad!V13*'Base Hours'!$AA14)</f>
        <v>-</v>
      </c>
      <c r="Q14" s="238" t="str">
        <f>IF($A$1="Peak","-",'Base Hours'!Q14*BaseLoad!W13*'Base Hours'!$AA14)</f>
        <v>-</v>
      </c>
      <c r="R14" s="238" t="str">
        <f>IF($A$1="Peak","-",'Base Hours'!R14*BaseLoad!X13*'Base Hours'!$AA14)</f>
        <v>-</v>
      </c>
      <c r="S14" s="238" t="str">
        <f>IF($A$1="Peak","-",'Base Hours'!S14*BaseLoad!Y13*'Base Hours'!$AA14)</f>
        <v>-</v>
      </c>
      <c r="T14" s="238" t="str">
        <f>IF($A$1="Peak","-",'Base Hours'!T14*BaseLoad!Z13*'Base Hours'!$AA14)</f>
        <v>-</v>
      </c>
      <c r="U14" s="238" t="str">
        <f>IF($A$1="Peak","-",'Base Hours'!U14*BaseLoad!AA13*'Base Hours'!$AA14)</f>
        <v>-</v>
      </c>
      <c r="V14" s="238">
        <f t="shared" si="0"/>
        <v>0</v>
      </c>
      <c r="W14" s="238"/>
      <c r="X14" s="238"/>
      <c r="Y14" s="239"/>
      <c r="Z14" s="239">
        <f>(BaseLoad!C13*'Base Hours'!X14*'Base Hours'!$AA14)*-1</f>
        <v>0</v>
      </c>
      <c r="AA14" s="239"/>
      <c r="AB14" s="239">
        <f>(BaseLoad!D13*'Base Hours'!X14*'Base Hours'!$AA14)*-1</f>
        <v>0</v>
      </c>
      <c r="AC14" s="239"/>
      <c r="AD14" s="239">
        <f>(BaseLoad!E13*'Base Hours'!X14*'Base Hours'!$AA14)*-1</f>
        <v>0</v>
      </c>
      <c r="AE14" s="239"/>
      <c r="AF14" s="239">
        <f>(BaseLoad!F13*'Base Hours'!X14*'Base Hours'!$AA14)*-1</f>
        <v>0</v>
      </c>
      <c r="AG14" s="239"/>
    </row>
    <row r="15" spans="1:33" x14ac:dyDescent="0.2">
      <c r="A15" s="1">
        <f t="shared" si="1"/>
        <v>36692.085000000006</v>
      </c>
      <c r="B15" s="238" t="str">
        <f>IF($A$1="Peak","-",'Base Hours'!B15*BaseLoad!H14*'Base Hours'!$AA15)</f>
        <v>-</v>
      </c>
      <c r="C15" s="238" t="str">
        <f>IF($A$1="Peak","-",'Base Hours'!C15*BaseLoad!I14*'Base Hours'!$AA15)</f>
        <v>-</v>
      </c>
      <c r="D15" s="238" t="str">
        <f>IF($A$1="Peak","-",'Base Hours'!D15*BaseLoad!J14*'Base Hours'!$AA15)</f>
        <v>-</v>
      </c>
      <c r="E15" s="238" t="str">
        <f>IF($A$1="Peak","-",'Base Hours'!E15*BaseLoad!K14*'Base Hours'!$AA15)</f>
        <v>-</v>
      </c>
      <c r="F15" s="238" t="str">
        <f>IF($A$1="Peak","-",'Base Hours'!F15*BaseLoad!L14*'Base Hours'!$AA15)</f>
        <v>-</v>
      </c>
      <c r="G15" s="238" t="str">
        <f>IF($A$1="Peak","-",'Base Hours'!G15*BaseLoad!M14*'Base Hours'!$AA15)</f>
        <v>-</v>
      </c>
      <c r="H15" s="238" t="str">
        <f>IF($A$1="Peak","-",'Base Hours'!H15*BaseLoad!N14*'Base Hours'!$AA15)</f>
        <v>-</v>
      </c>
      <c r="I15" s="238" t="str">
        <f>IF($A$1="Peak","-",'Base Hours'!I15*BaseLoad!O14*'Base Hours'!$AA15)</f>
        <v>-</v>
      </c>
      <c r="J15" s="238" t="str">
        <f>IF($A$1="Peak","-",'Base Hours'!J15*BaseLoad!P14*'Base Hours'!$AA15)</f>
        <v>-</v>
      </c>
      <c r="K15" s="238" t="str">
        <f>IF($A$1="Peak","-",'Base Hours'!K15*BaseLoad!Q14*'Base Hours'!$AA15)</f>
        <v>-</v>
      </c>
      <c r="L15" s="238" t="str">
        <f>IF($A$1="Peak","-",'Base Hours'!L15*BaseLoad!R14*'Base Hours'!$AA15)</f>
        <v>-</v>
      </c>
      <c r="M15" s="238" t="str">
        <f>IF($A$1="Peak","-",'Base Hours'!M15*BaseLoad!S14*'Base Hours'!$AA15)</f>
        <v>-</v>
      </c>
      <c r="N15" s="238" t="str">
        <f>IF($A$1="Peak","-",'Base Hours'!N15*BaseLoad!T14*'Base Hours'!$AA15)</f>
        <v>-</v>
      </c>
      <c r="O15" s="238" t="str">
        <f>IF($A$1="Peak","-",'Base Hours'!O15*BaseLoad!U14*'Base Hours'!$AA15)</f>
        <v>-</v>
      </c>
      <c r="P15" s="238" t="str">
        <f>IF($A$1="Peak","-",'Base Hours'!P15*BaseLoad!V14*'Base Hours'!$AA15)</f>
        <v>-</v>
      </c>
      <c r="Q15" s="238" t="str">
        <f>IF($A$1="Peak","-",'Base Hours'!Q15*BaseLoad!W14*'Base Hours'!$AA15)</f>
        <v>-</v>
      </c>
      <c r="R15" s="238" t="str">
        <f>IF($A$1="Peak","-",'Base Hours'!R15*BaseLoad!X14*'Base Hours'!$AA15)</f>
        <v>-</v>
      </c>
      <c r="S15" s="238" t="str">
        <f>IF($A$1="Peak","-",'Base Hours'!S15*BaseLoad!Y14*'Base Hours'!$AA15)</f>
        <v>-</v>
      </c>
      <c r="T15" s="238" t="str">
        <f>IF($A$1="Peak","-",'Base Hours'!T15*BaseLoad!Z14*'Base Hours'!$AA15)</f>
        <v>-</v>
      </c>
      <c r="U15" s="238" t="str">
        <f>IF($A$1="Peak","-",'Base Hours'!U15*BaseLoad!AA14*'Base Hours'!$AA15)</f>
        <v>-</v>
      </c>
      <c r="V15" s="238">
        <f t="shared" si="0"/>
        <v>0</v>
      </c>
      <c r="W15" s="238"/>
      <c r="X15" s="238"/>
      <c r="Y15" s="239"/>
      <c r="Z15" s="239">
        <f>(BaseLoad!C14*'Base Hours'!X15*'Base Hours'!$AA15)*-1</f>
        <v>0</v>
      </c>
      <c r="AA15" s="239"/>
      <c r="AB15" s="239">
        <f>(BaseLoad!D14*'Base Hours'!X15*'Base Hours'!$AA15)*-1</f>
        <v>0</v>
      </c>
      <c r="AC15" s="239"/>
      <c r="AD15" s="239">
        <f>(BaseLoad!E14*'Base Hours'!X15*'Base Hours'!$AA15)*-1</f>
        <v>0</v>
      </c>
      <c r="AE15" s="239"/>
      <c r="AF15" s="239">
        <f>(BaseLoad!F14*'Base Hours'!X15*'Base Hours'!$AA15)*-1</f>
        <v>0</v>
      </c>
      <c r="AG15" s="239"/>
    </row>
    <row r="16" spans="1:33" x14ac:dyDescent="0.2">
      <c r="A16" s="1">
        <f t="shared" si="1"/>
        <v>36722.502000000008</v>
      </c>
      <c r="B16" s="238" t="str">
        <f>IF($A$1="Peak","-",'Base Hours'!B16*BaseLoad!H15*'Base Hours'!$AA16)</f>
        <v>-</v>
      </c>
      <c r="C16" s="238" t="str">
        <f>IF($A$1="Peak","-",'Base Hours'!C16*BaseLoad!I15*'Base Hours'!$AA16)</f>
        <v>-</v>
      </c>
      <c r="D16" s="238" t="str">
        <f>IF($A$1="Peak","-",'Base Hours'!D16*BaseLoad!J15*'Base Hours'!$AA16)</f>
        <v>-</v>
      </c>
      <c r="E16" s="238" t="str">
        <f>IF($A$1="Peak","-",'Base Hours'!E16*BaseLoad!K15*'Base Hours'!$AA16)</f>
        <v>-</v>
      </c>
      <c r="F16" s="238" t="str">
        <f>IF($A$1="Peak","-",'Base Hours'!F16*BaseLoad!L15*'Base Hours'!$AA16)</f>
        <v>-</v>
      </c>
      <c r="G16" s="238" t="str">
        <f>IF($A$1="Peak","-",'Base Hours'!G16*BaseLoad!M15*'Base Hours'!$AA16)</f>
        <v>-</v>
      </c>
      <c r="H16" s="238" t="str">
        <f>IF($A$1="Peak","-",'Base Hours'!H16*BaseLoad!N15*'Base Hours'!$AA16)</f>
        <v>-</v>
      </c>
      <c r="I16" s="238" t="str">
        <f>IF($A$1="Peak","-",'Base Hours'!I16*BaseLoad!O15*'Base Hours'!$AA16)</f>
        <v>-</v>
      </c>
      <c r="J16" s="238" t="str">
        <f>IF($A$1="Peak","-",'Base Hours'!J16*BaseLoad!P15*'Base Hours'!$AA16)</f>
        <v>-</v>
      </c>
      <c r="K16" s="238" t="str">
        <f>IF($A$1="Peak","-",'Base Hours'!K16*BaseLoad!Q15*'Base Hours'!$AA16)</f>
        <v>-</v>
      </c>
      <c r="L16" s="238" t="str">
        <f>IF($A$1="Peak","-",'Base Hours'!L16*BaseLoad!R15*'Base Hours'!$AA16)</f>
        <v>-</v>
      </c>
      <c r="M16" s="238" t="str">
        <f>IF($A$1="Peak","-",'Base Hours'!M16*BaseLoad!S15*'Base Hours'!$AA16)</f>
        <v>-</v>
      </c>
      <c r="N16" s="238" t="str">
        <f>IF($A$1="Peak","-",'Base Hours'!N16*BaseLoad!T15*'Base Hours'!$AA16)</f>
        <v>-</v>
      </c>
      <c r="O16" s="238" t="str">
        <f>IF($A$1="Peak","-",'Base Hours'!O16*BaseLoad!U15*'Base Hours'!$AA16)</f>
        <v>-</v>
      </c>
      <c r="P16" s="238" t="str">
        <f>IF($A$1="Peak","-",'Base Hours'!P16*BaseLoad!V15*'Base Hours'!$AA16)</f>
        <v>-</v>
      </c>
      <c r="Q16" s="238" t="str">
        <f>IF($A$1="Peak","-",'Base Hours'!Q16*BaseLoad!W15*'Base Hours'!$AA16)</f>
        <v>-</v>
      </c>
      <c r="R16" s="238" t="str">
        <f>IF($A$1="Peak","-",'Base Hours'!R16*BaseLoad!X15*'Base Hours'!$AA16)</f>
        <v>-</v>
      </c>
      <c r="S16" s="238" t="str">
        <f>IF($A$1="Peak","-",'Base Hours'!S16*BaseLoad!Y15*'Base Hours'!$AA16)</f>
        <v>-</v>
      </c>
      <c r="T16" s="238" t="str">
        <f>IF($A$1="Peak","-",'Base Hours'!T16*BaseLoad!Z15*'Base Hours'!$AA16)</f>
        <v>-</v>
      </c>
      <c r="U16" s="238" t="str">
        <f>IF($A$1="Peak","-",'Base Hours'!U16*BaseLoad!AA15*'Base Hours'!$AA16)</f>
        <v>-</v>
      </c>
      <c r="V16" s="238">
        <f t="shared" si="0"/>
        <v>0</v>
      </c>
      <c r="W16" s="238"/>
      <c r="X16" s="238"/>
      <c r="Y16" s="239"/>
      <c r="Z16" s="239">
        <f>(BaseLoad!C15*'Base Hours'!X16*'Base Hours'!$AA16)*-1</f>
        <v>0</v>
      </c>
      <c r="AA16" s="239"/>
      <c r="AB16" s="239">
        <f>(BaseLoad!D15*'Base Hours'!X16*'Base Hours'!$AA16)*-1</f>
        <v>0</v>
      </c>
      <c r="AC16" s="239"/>
      <c r="AD16" s="239">
        <f>(BaseLoad!E15*'Base Hours'!X16*'Base Hours'!$AA16)*-1</f>
        <v>0</v>
      </c>
      <c r="AE16" s="239"/>
      <c r="AF16" s="239">
        <f>(BaseLoad!F15*'Base Hours'!X16*'Base Hours'!$AA16)*-1</f>
        <v>0</v>
      </c>
      <c r="AG16" s="239"/>
    </row>
    <row r="17" spans="1:33" x14ac:dyDescent="0.2">
      <c r="A17" s="1">
        <f t="shared" si="1"/>
        <v>36752.919000000009</v>
      </c>
      <c r="B17" s="238" t="str">
        <f>IF($A$1="Peak","-",'Base Hours'!B17*BaseLoad!H16*'Base Hours'!$AA17)</f>
        <v>-</v>
      </c>
      <c r="C17" s="238" t="str">
        <f>IF($A$1="Peak","-",'Base Hours'!C17*BaseLoad!I16*'Base Hours'!$AA17)</f>
        <v>-</v>
      </c>
      <c r="D17" s="238" t="str">
        <f>IF($A$1="Peak","-",'Base Hours'!D17*BaseLoad!J16*'Base Hours'!$AA17)</f>
        <v>-</v>
      </c>
      <c r="E17" s="238" t="str">
        <f>IF($A$1="Peak","-",'Base Hours'!E17*BaseLoad!K16*'Base Hours'!$AA17)</f>
        <v>-</v>
      </c>
      <c r="F17" s="238" t="str">
        <f>IF($A$1="Peak","-",'Base Hours'!F17*BaseLoad!L16*'Base Hours'!$AA17)</f>
        <v>-</v>
      </c>
      <c r="G17" s="238" t="str">
        <f>IF($A$1="Peak","-",'Base Hours'!G17*BaseLoad!M16*'Base Hours'!$AA17)</f>
        <v>-</v>
      </c>
      <c r="H17" s="238" t="str">
        <f>IF($A$1="Peak","-",'Base Hours'!H17*BaseLoad!N16*'Base Hours'!$AA17)</f>
        <v>-</v>
      </c>
      <c r="I17" s="238" t="str">
        <f>IF($A$1="Peak","-",'Base Hours'!I17*BaseLoad!O16*'Base Hours'!$AA17)</f>
        <v>-</v>
      </c>
      <c r="J17" s="238" t="str">
        <f>IF($A$1="Peak","-",'Base Hours'!J17*BaseLoad!P16*'Base Hours'!$AA17)</f>
        <v>-</v>
      </c>
      <c r="K17" s="238" t="str">
        <f>IF($A$1="Peak","-",'Base Hours'!K17*BaseLoad!Q16*'Base Hours'!$AA17)</f>
        <v>-</v>
      </c>
      <c r="L17" s="238" t="str">
        <f>IF($A$1="Peak","-",'Base Hours'!L17*BaseLoad!R16*'Base Hours'!$AA17)</f>
        <v>-</v>
      </c>
      <c r="M17" s="238" t="str">
        <f>IF($A$1="Peak","-",'Base Hours'!M17*BaseLoad!S16*'Base Hours'!$AA17)</f>
        <v>-</v>
      </c>
      <c r="N17" s="238" t="str">
        <f>IF($A$1="Peak","-",'Base Hours'!N17*BaseLoad!T16*'Base Hours'!$AA17)</f>
        <v>-</v>
      </c>
      <c r="O17" s="238" t="str">
        <f>IF($A$1="Peak","-",'Base Hours'!O17*BaseLoad!U16*'Base Hours'!$AA17)</f>
        <v>-</v>
      </c>
      <c r="P17" s="238" t="str">
        <f>IF($A$1="Peak","-",'Base Hours'!P17*BaseLoad!V16*'Base Hours'!$AA17)</f>
        <v>-</v>
      </c>
      <c r="Q17" s="238" t="str">
        <f>IF($A$1="Peak","-",'Base Hours'!Q17*BaseLoad!W16*'Base Hours'!$AA17)</f>
        <v>-</v>
      </c>
      <c r="R17" s="238" t="str">
        <f>IF($A$1="Peak","-",'Base Hours'!R17*BaseLoad!X16*'Base Hours'!$AA17)</f>
        <v>-</v>
      </c>
      <c r="S17" s="238" t="str">
        <f>IF($A$1="Peak","-",'Base Hours'!S17*BaseLoad!Y16*'Base Hours'!$AA17)</f>
        <v>-</v>
      </c>
      <c r="T17" s="238" t="str">
        <f>IF($A$1="Peak","-",'Base Hours'!T17*BaseLoad!Z16*'Base Hours'!$AA17)</f>
        <v>-</v>
      </c>
      <c r="U17" s="238" t="str">
        <f>IF($A$1="Peak","-",'Base Hours'!U17*BaseLoad!AA16*'Base Hours'!$AA17)</f>
        <v>-</v>
      </c>
      <c r="V17" s="238">
        <f t="shared" si="0"/>
        <v>0</v>
      </c>
      <c r="W17" s="238"/>
      <c r="X17" s="238"/>
      <c r="Y17" s="239"/>
      <c r="Z17" s="239">
        <f>(BaseLoad!C16*'Base Hours'!X17*'Base Hours'!$AA17)*-1</f>
        <v>0</v>
      </c>
      <c r="AA17" s="239"/>
      <c r="AB17" s="239">
        <f>(BaseLoad!D16*'Base Hours'!X17*'Base Hours'!$AA17)*-1</f>
        <v>0</v>
      </c>
      <c r="AC17" s="239"/>
      <c r="AD17" s="239">
        <f>(BaseLoad!E16*'Base Hours'!X17*'Base Hours'!$AA17)*-1</f>
        <v>0</v>
      </c>
      <c r="AE17" s="239"/>
      <c r="AF17" s="239">
        <f>(BaseLoad!F16*'Base Hours'!X17*'Base Hours'!$AA17)*-1</f>
        <v>0</v>
      </c>
      <c r="AG17" s="239"/>
    </row>
    <row r="18" spans="1:33" x14ac:dyDescent="0.2">
      <c r="A18" s="1">
        <f t="shared" si="1"/>
        <v>36783.33600000001</v>
      </c>
      <c r="B18" s="238" t="str">
        <f>IF($A$1="Peak","-",'Base Hours'!B18*BaseLoad!H17*'Base Hours'!$AA18)</f>
        <v>-</v>
      </c>
      <c r="C18" s="238" t="str">
        <f>IF($A$1="Peak","-",'Base Hours'!C18*BaseLoad!I17*'Base Hours'!$AA18)</f>
        <v>-</v>
      </c>
      <c r="D18" s="238" t="str">
        <f>IF($A$1="Peak","-",'Base Hours'!D18*BaseLoad!J17*'Base Hours'!$AA18)</f>
        <v>-</v>
      </c>
      <c r="E18" s="238" t="str">
        <f>IF($A$1="Peak","-",'Base Hours'!E18*BaseLoad!K17*'Base Hours'!$AA18)</f>
        <v>-</v>
      </c>
      <c r="F18" s="238" t="str">
        <f>IF($A$1="Peak","-",'Base Hours'!F18*BaseLoad!L17*'Base Hours'!$AA18)</f>
        <v>-</v>
      </c>
      <c r="G18" s="238" t="str">
        <f>IF($A$1="Peak","-",'Base Hours'!G18*BaseLoad!M17*'Base Hours'!$AA18)</f>
        <v>-</v>
      </c>
      <c r="H18" s="238" t="str">
        <f>IF($A$1="Peak","-",'Base Hours'!H18*BaseLoad!N17*'Base Hours'!$AA18)</f>
        <v>-</v>
      </c>
      <c r="I18" s="238" t="str">
        <f>IF($A$1="Peak","-",'Base Hours'!I18*BaseLoad!O17*'Base Hours'!$AA18)</f>
        <v>-</v>
      </c>
      <c r="J18" s="238" t="str">
        <f>IF($A$1="Peak","-",'Base Hours'!J18*BaseLoad!P17*'Base Hours'!$AA18)</f>
        <v>-</v>
      </c>
      <c r="K18" s="238" t="str">
        <f>IF($A$1="Peak","-",'Base Hours'!K18*BaseLoad!Q17*'Base Hours'!$AA18)</f>
        <v>-</v>
      </c>
      <c r="L18" s="238" t="str">
        <f>IF($A$1="Peak","-",'Base Hours'!L18*BaseLoad!R17*'Base Hours'!$AA18)</f>
        <v>-</v>
      </c>
      <c r="M18" s="238" t="str">
        <f>IF($A$1="Peak","-",'Base Hours'!M18*BaseLoad!S17*'Base Hours'!$AA18)</f>
        <v>-</v>
      </c>
      <c r="N18" s="238" t="str">
        <f>IF($A$1="Peak","-",'Base Hours'!N18*BaseLoad!T17*'Base Hours'!$AA18)</f>
        <v>-</v>
      </c>
      <c r="O18" s="238" t="str">
        <f>IF($A$1="Peak","-",'Base Hours'!O18*BaseLoad!U17*'Base Hours'!$AA18)</f>
        <v>-</v>
      </c>
      <c r="P18" s="238" t="str">
        <f>IF($A$1="Peak","-",'Base Hours'!P18*BaseLoad!V17*'Base Hours'!$AA18)</f>
        <v>-</v>
      </c>
      <c r="Q18" s="238" t="str">
        <f>IF($A$1="Peak","-",'Base Hours'!Q18*BaseLoad!W17*'Base Hours'!$AA18)</f>
        <v>-</v>
      </c>
      <c r="R18" s="238" t="str">
        <f>IF($A$1="Peak","-",'Base Hours'!R18*BaseLoad!X17*'Base Hours'!$AA18)</f>
        <v>-</v>
      </c>
      <c r="S18" s="238" t="str">
        <f>IF($A$1="Peak","-",'Base Hours'!S18*BaseLoad!Y17*'Base Hours'!$AA18)</f>
        <v>-</v>
      </c>
      <c r="T18" s="238" t="str">
        <f>IF($A$1="Peak","-",'Base Hours'!T18*BaseLoad!Z17*'Base Hours'!$AA18)</f>
        <v>-</v>
      </c>
      <c r="U18" s="238" t="str">
        <f>IF($A$1="Peak","-",'Base Hours'!U18*BaseLoad!AA17*'Base Hours'!$AA18)</f>
        <v>-</v>
      </c>
      <c r="V18" s="238">
        <f t="shared" si="0"/>
        <v>0</v>
      </c>
      <c r="W18" s="238"/>
      <c r="X18" s="238"/>
      <c r="Y18" s="239"/>
      <c r="Z18" s="239">
        <f>(BaseLoad!C17*'Base Hours'!X18*'Base Hours'!$AA18)*-1</f>
        <v>0</v>
      </c>
      <c r="AA18" s="239"/>
      <c r="AB18" s="239">
        <f>(BaseLoad!D17*'Base Hours'!X18*'Base Hours'!$AA18)*-1</f>
        <v>0</v>
      </c>
      <c r="AC18" s="239"/>
      <c r="AD18" s="239">
        <f>(BaseLoad!E17*'Base Hours'!X18*'Base Hours'!$AA18)*-1</f>
        <v>0</v>
      </c>
      <c r="AE18" s="239"/>
      <c r="AF18" s="239">
        <f>(BaseLoad!F17*'Base Hours'!X18*'Base Hours'!$AA18)*-1</f>
        <v>0</v>
      </c>
      <c r="AG18" s="239"/>
    </row>
    <row r="19" spans="1:33" x14ac:dyDescent="0.2">
      <c r="A19" s="1">
        <f t="shared" si="1"/>
        <v>36813.753000000012</v>
      </c>
      <c r="B19" s="238" t="str">
        <f>IF($A$1="Peak","-",'Base Hours'!B19*BaseLoad!H18*'Base Hours'!$AA19)</f>
        <v>-</v>
      </c>
      <c r="C19" s="238" t="str">
        <f>IF($A$1="Peak","-",'Base Hours'!C19*BaseLoad!I18*'Base Hours'!$AA19)</f>
        <v>-</v>
      </c>
      <c r="D19" s="238" t="str">
        <f>IF($A$1="Peak","-",'Base Hours'!D19*BaseLoad!J18*'Base Hours'!$AA19)</f>
        <v>-</v>
      </c>
      <c r="E19" s="238" t="str">
        <f>IF($A$1="Peak","-",'Base Hours'!E19*BaseLoad!K18*'Base Hours'!$AA19)</f>
        <v>-</v>
      </c>
      <c r="F19" s="238" t="str">
        <f>IF($A$1="Peak","-",'Base Hours'!F19*BaseLoad!L18*'Base Hours'!$AA19)</f>
        <v>-</v>
      </c>
      <c r="G19" s="238" t="str">
        <f>IF($A$1="Peak","-",'Base Hours'!G19*BaseLoad!M18*'Base Hours'!$AA19)</f>
        <v>-</v>
      </c>
      <c r="H19" s="238" t="str">
        <f>IF($A$1="Peak","-",'Base Hours'!H19*BaseLoad!N18*'Base Hours'!$AA19)</f>
        <v>-</v>
      </c>
      <c r="I19" s="238" t="str">
        <f>IF($A$1="Peak","-",'Base Hours'!I19*BaseLoad!O18*'Base Hours'!$AA19)</f>
        <v>-</v>
      </c>
      <c r="J19" s="238" t="str">
        <f>IF($A$1="Peak","-",'Base Hours'!J19*BaseLoad!P18*'Base Hours'!$AA19)</f>
        <v>-</v>
      </c>
      <c r="K19" s="238" t="str">
        <f>IF($A$1="Peak","-",'Base Hours'!K19*BaseLoad!Q18*'Base Hours'!$AA19)</f>
        <v>-</v>
      </c>
      <c r="L19" s="238" t="str">
        <f>IF($A$1="Peak","-",'Base Hours'!L19*BaseLoad!R18*'Base Hours'!$AA19)</f>
        <v>-</v>
      </c>
      <c r="M19" s="238" t="str">
        <f>IF($A$1="Peak","-",'Base Hours'!M19*BaseLoad!S18*'Base Hours'!$AA19)</f>
        <v>-</v>
      </c>
      <c r="N19" s="238" t="str">
        <f>IF($A$1="Peak","-",'Base Hours'!N19*BaseLoad!T18*'Base Hours'!$AA19)</f>
        <v>-</v>
      </c>
      <c r="O19" s="238" t="str">
        <f>IF($A$1="Peak","-",'Base Hours'!O19*BaseLoad!U18*'Base Hours'!$AA19)</f>
        <v>-</v>
      </c>
      <c r="P19" s="238" t="str">
        <f>IF($A$1="Peak","-",'Base Hours'!P19*BaseLoad!V18*'Base Hours'!$AA19)</f>
        <v>-</v>
      </c>
      <c r="Q19" s="238" t="str">
        <f>IF($A$1="Peak","-",'Base Hours'!Q19*BaseLoad!W18*'Base Hours'!$AA19)</f>
        <v>-</v>
      </c>
      <c r="R19" s="238" t="str">
        <f>IF($A$1="Peak","-",'Base Hours'!R19*BaseLoad!X18*'Base Hours'!$AA19)</f>
        <v>-</v>
      </c>
      <c r="S19" s="238" t="str">
        <f>IF($A$1="Peak","-",'Base Hours'!S19*BaseLoad!Y18*'Base Hours'!$AA19)</f>
        <v>-</v>
      </c>
      <c r="T19" s="238" t="str">
        <f>IF($A$1="Peak","-",'Base Hours'!T19*BaseLoad!Z18*'Base Hours'!$AA19)</f>
        <v>-</v>
      </c>
      <c r="U19" s="238" t="str">
        <f>IF($A$1="Peak","-",'Base Hours'!U19*BaseLoad!AA18*'Base Hours'!$AA19)</f>
        <v>-</v>
      </c>
      <c r="V19" s="238">
        <f t="shared" si="0"/>
        <v>0</v>
      </c>
      <c r="W19" s="238"/>
      <c r="X19" s="238"/>
      <c r="Y19" s="239"/>
      <c r="Z19" s="239">
        <f>(BaseLoad!C18*'Base Hours'!X19*'Base Hours'!$AA19)*-1</f>
        <v>0</v>
      </c>
      <c r="AA19" s="239"/>
      <c r="AB19" s="239">
        <f>(BaseLoad!D18*'Base Hours'!X19*'Base Hours'!$AA19)*-1</f>
        <v>0</v>
      </c>
      <c r="AC19" s="239"/>
      <c r="AD19" s="239">
        <f>(BaseLoad!E18*'Base Hours'!X19*'Base Hours'!$AA19)*-1</f>
        <v>0</v>
      </c>
      <c r="AE19" s="239"/>
      <c r="AF19" s="239">
        <f>(BaseLoad!F18*'Base Hours'!X19*'Base Hours'!$AA19)*-1</f>
        <v>0</v>
      </c>
      <c r="AG19" s="239"/>
    </row>
    <row r="20" spans="1:33" x14ac:dyDescent="0.2">
      <c r="A20" s="1">
        <f t="shared" si="1"/>
        <v>36844.170000000013</v>
      </c>
      <c r="B20" s="238" t="str">
        <f>IF($A$1="Peak","-",'Base Hours'!B20*BaseLoad!H19*'Base Hours'!$AA20)</f>
        <v>-</v>
      </c>
      <c r="C20" s="238" t="str">
        <f>IF($A$1="Peak","-",'Base Hours'!C20*BaseLoad!I19*'Base Hours'!$AA20)</f>
        <v>-</v>
      </c>
      <c r="D20" s="238" t="str">
        <f>IF($A$1="Peak","-",'Base Hours'!D20*BaseLoad!J19*'Base Hours'!$AA20)</f>
        <v>-</v>
      </c>
      <c r="E20" s="238" t="str">
        <f>IF($A$1="Peak","-",'Base Hours'!E20*BaseLoad!K19*'Base Hours'!$AA20)</f>
        <v>-</v>
      </c>
      <c r="F20" s="238" t="str">
        <f>IF($A$1="Peak","-",'Base Hours'!F20*BaseLoad!L19*'Base Hours'!$AA20)</f>
        <v>-</v>
      </c>
      <c r="G20" s="238" t="str">
        <f>IF($A$1="Peak","-",'Base Hours'!G20*BaseLoad!M19*'Base Hours'!$AA20)</f>
        <v>-</v>
      </c>
      <c r="H20" s="238" t="str">
        <f>IF($A$1="Peak","-",'Base Hours'!H20*BaseLoad!N19*'Base Hours'!$AA20)</f>
        <v>-</v>
      </c>
      <c r="I20" s="238" t="str">
        <f>IF($A$1="Peak","-",'Base Hours'!I20*BaseLoad!O19*'Base Hours'!$AA20)</f>
        <v>-</v>
      </c>
      <c r="J20" s="238" t="str">
        <f>IF($A$1="Peak","-",'Base Hours'!J20*BaseLoad!P19*'Base Hours'!$AA20)</f>
        <v>-</v>
      </c>
      <c r="K20" s="238" t="str">
        <f>IF($A$1="Peak","-",'Base Hours'!K20*BaseLoad!Q19*'Base Hours'!$AA20)</f>
        <v>-</v>
      </c>
      <c r="L20" s="238" t="str">
        <f>IF($A$1="Peak","-",'Base Hours'!L20*BaseLoad!R19*'Base Hours'!$AA20)</f>
        <v>-</v>
      </c>
      <c r="M20" s="238" t="str">
        <f>IF($A$1="Peak","-",'Base Hours'!M20*BaseLoad!S19*'Base Hours'!$AA20)</f>
        <v>-</v>
      </c>
      <c r="N20" s="238" t="str">
        <f>IF($A$1="Peak","-",'Base Hours'!N20*BaseLoad!T19*'Base Hours'!$AA20)</f>
        <v>-</v>
      </c>
      <c r="O20" s="238" t="str">
        <f>IF($A$1="Peak","-",'Base Hours'!O20*BaseLoad!U19*'Base Hours'!$AA20)</f>
        <v>-</v>
      </c>
      <c r="P20" s="238" t="str">
        <f>IF($A$1="Peak","-",'Base Hours'!P20*BaseLoad!V19*'Base Hours'!$AA20)</f>
        <v>-</v>
      </c>
      <c r="Q20" s="238" t="str">
        <f>IF($A$1="Peak","-",'Base Hours'!Q20*BaseLoad!W19*'Base Hours'!$AA20)</f>
        <v>-</v>
      </c>
      <c r="R20" s="238" t="str">
        <f>IF($A$1="Peak","-",'Base Hours'!R20*BaseLoad!X19*'Base Hours'!$AA20)</f>
        <v>-</v>
      </c>
      <c r="S20" s="238" t="str">
        <f>IF($A$1="Peak","-",'Base Hours'!S20*BaseLoad!Y19*'Base Hours'!$AA20)</f>
        <v>-</v>
      </c>
      <c r="T20" s="238" t="str">
        <f>IF($A$1="Peak","-",'Base Hours'!T20*BaseLoad!Z19*'Base Hours'!$AA20)</f>
        <v>-</v>
      </c>
      <c r="U20" s="238" t="str">
        <f>IF($A$1="Peak","-",'Base Hours'!U20*BaseLoad!AA19*'Base Hours'!$AA20)</f>
        <v>-</v>
      </c>
      <c r="V20" s="238">
        <f t="shared" si="0"/>
        <v>0</v>
      </c>
      <c r="W20" s="238"/>
      <c r="X20" s="238"/>
      <c r="Y20" s="239"/>
      <c r="Z20" s="239">
        <f>(BaseLoad!C19*'Base Hours'!X20*'Base Hours'!$AA20)*-1</f>
        <v>0</v>
      </c>
      <c r="AA20" s="239"/>
      <c r="AB20" s="239">
        <f>(BaseLoad!D19*'Base Hours'!X20*'Base Hours'!$AA20)*-1</f>
        <v>0</v>
      </c>
      <c r="AC20" s="239"/>
      <c r="AD20" s="239">
        <f>(BaseLoad!E19*'Base Hours'!X20*'Base Hours'!$AA20)*-1</f>
        <v>0</v>
      </c>
      <c r="AE20" s="239"/>
      <c r="AF20" s="239">
        <f>(BaseLoad!F19*'Base Hours'!X20*'Base Hours'!$AA20)*-1</f>
        <v>0</v>
      </c>
      <c r="AG20" s="239"/>
    </row>
    <row r="21" spans="1:33" x14ac:dyDescent="0.2">
      <c r="A21" s="1">
        <f t="shared" si="1"/>
        <v>36874.587000000014</v>
      </c>
      <c r="B21" s="238" t="str">
        <f>IF($A$1="Peak","-",'Base Hours'!B21*BaseLoad!H20*'Base Hours'!$AA21)</f>
        <v>-</v>
      </c>
      <c r="C21" s="238" t="str">
        <f>IF($A$1="Peak","-",'Base Hours'!C21*BaseLoad!I20*'Base Hours'!$AA21)</f>
        <v>-</v>
      </c>
      <c r="D21" s="238" t="str">
        <f>IF($A$1="Peak","-",'Base Hours'!D21*BaseLoad!J20*'Base Hours'!$AA21)</f>
        <v>-</v>
      </c>
      <c r="E21" s="238" t="str">
        <f>IF($A$1="Peak","-",'Base Hours'!E21*BaseLoad!K20*'Base Hours'!$AA21)</f>
        <v>-</v>
      </c>
      <c r="F21" s="238" t="str">
        <f>IF($A$1="Peak","-",'Base Hours'!F21*BaseLoad!L20*'Base Hours'!$AA21)</f>
        <v>-</v>
      </c>
      <c r="G21" s="238" t="str">
        <f>IF($A$1="Peak","-",'Base Hours'!G21*BaseLoad!M20*'Base Hours'!$AA21)</f>
        <v>-</v>
      </c>
      <c r="H21" s="238" t="str">
        <f>IF($A$1="Peak","-",'Base Hours'!H21*BaseLoad!N20*'Base Hours'!$AA21)</f>
        <v>-</v>
      </c>
      <c r="I21" s="238" t="str">
        <f>IF($A$1="Peak","-",'Base Hours'!I21*BaseLoad!O20*'Base Hours'!$AA21)</f>
        <v>-</v>
      </c>
      <c r="J21" s="238" t="str">
        <f>IF($A$1="Peak","-",'Base Hours'!J21*BaseLoad!P20*'Base Hours'!$AA21)</f>
        <v>-</v>
      </c>
      <c r="K21" s="238" t="str">
        <f>IF($A$1="Peak","-",'Base Hours'!K21*BaseLoad!Q20*'Base Hours'!$AA21)</f>
        <v>-</v>
      </c>
      <c r="L21" s="238" t="str">
        <f>IF($A$1="Peak","-",'Base Hours'!L21*BaseLoad!R20*'Base Hours'!$AA21)</f>
        <v>-</v>
      </c>
      <c r="M21" s="238" t="str">
        <f>IF($A$1="Peak","-",'Base Hours'!M21*BaseLoad!S20*'Base Hours'!$AA21)</f>
        <v>-</v>
      </c>
      <c r="N21" s="238" t="str">
        <f>IF($A$1="Peak","-",'Base Hours'!N21*BaseLoad!T20*'Base Hours'!$AA21)</f>
        <v>-</v>
      </c>
      <c r="O21" s="238" t="str">
        <f>IF($A$1="Peak","-",'Base Hours'!O21*BaseLoad!U20*'Base Hours'!$AA21)</f>
        <v>-</v>
      </c>
      <c r="P21" s="238" t="str">
        <f>IF($A$1="Peak","-",'Base Hours'!P21*BaseLoad!V20*'Base Hours'!$AA21)</f>
        <v>-</v>
      </c>
      <c r="Q21" s="238" t="str">
        <f>IF($A$1="Peak","-",'Base Hours'!Q21*BaseLoad!W20*'Base Hours'!$AA21)</f>
        <v>-</v>
      </c>
      <c r="R21" s="238" t="str">
        <f>IF($A$1="Peak","-",'Base Hours'!R21*BaseLoad!X20*'Base Hours'!$AA21)</f>
        <v>-</v>
      </c>
      <c r="S21" s="238" t="str">
        <f>IF($A$1="Peak","-",'Base Hours'!S21*BaseLoad!Y20*'Base Hours'!$AA21)</f>
        <v>-</v>
      </c>
      <c r="T21" s="238" t="str">
        <f>IF($A$1="Peak","-",'Base Hours'!T21*BaseLoad!Z20*'Base Hours'!$AA21)</f>
        <v>-</v>
      </c>
      <c r="U21" s="238" t="str">
        <f>IF($A$1="Peak","-",'Base Hours'!U21*BaseLoad!AA20*'Base Hours'!$AA21)</f>
        <v>-</v>
      </c>
      <c r="V21" s="238">
        <f t="shared" si="0"/>
        <v>0</v>
      </c>
      <c r="W21" s="238">
        <f>IF($A$1="BL",(SUM(V10:V21)),0)</f>
        <v>0</v>
      </c>
      <c r="X21" s="238">
        <f>IF(AND($A$1="BL",W21&gt;0),(PPA!$B$5*8760*BaseLoad!$AP$15*PPA!$G$4*BaseLoad!$AP$9),0)</f>
        <v>0</v>
      </c>
      <c r="Y21" s="239">
        <f>X21+W21</f>
        <v>0</v>
      </c>
      <c r="Z21" s="239">
        <f>(BaseLoad!C20*'Base Hours'!X21*'Base Hours'!$AA21)*-1</f>
        <v>0</v>
      </c>
      <c r="AA21" s="239">
        <f>SUM(Z10:Z21)</f>
        <v>0</v>
      </c>
      <c r="AB21" s="239">
        <f>(BaseLoad!D20*'Base Hours'!X21*'Base Hours'!$AA21)*-1</f>
        <v>0</v>
      </c>
      <c r="AC21" s="239">
        <f>SUM(AB10:AB21)</f>
        <v>0</v>
      </c>
      <c r="AD21" s="239">
        <f>(BaseLoad!E20*'Base Hours'!X21*'Base Hours'!$AA21)*-1</f>
        <v>0</v>
      </c>
      <c r="AE21" s="239">
        <f>SUM(AD10:AD21)</f>
        <v>0</v>
      </c>
      <c r="AF21" s="239">
        <f>(BaseLoad!F20*'Base Hours'!X21*'Base Hours'!$AA21)*-1</f>
        <v>0</v>
      </c>
      <c r="AG21" s="239">
        <f>SUM(AF10:AF21)</f>
        <v>0</v>
      </c>
    </row>
    <row r="22" spans="1:33" x14ac:dyDescent="0.2">
      <c r="A22" s="1">
        <f t="shared" si="1"/>
        <v>36905.004000000015</v>
      </c>
      <c r="B22" s="238" t="str">
        <f>IF($A$1="Peak","-",'Base Hours'!B22*BaseLoad!H21*'Base Hours'!$AA22)</f>
        <v>-</v>
      </c>
      <c r="C22" s="238" t="str">
        <f>IF($A$1="Peak","-",'Base Hours'!C22*BaseLoad!I21*'Base Hours'!$AA22)</f>
        <v>-</v>
      </c>
      <c r="D22" s="238" t="str">
        <f>IF($A$1="Peak","-",'Base Hours'!D22*BaseLoad!J21*'Base Hours'!$AA22)</f>
        <v>-</v>
      </c>
      <c r="E22" s="238" t="str">
        <f>IF($A$1="Peak","-",'Base Hours'!E22*BaseLoad!K21*'Base Hours'!$AA22)</f>
        <v>-</v>
      </c>
      <c r="F22" s="238" t="str">
        <f>IF($A$1="Peak","-",'Base Hours'!F22*BaseLoad!L21*'Base Hours'!$AA22)</f>
        <v>-</v>
      </c>
      <c r="G22" s="238" t="str">
        <f>IF($A$1="Peak","-",'Base Hours'!G22*BaseLoad!M21*'Base Hours'!$AA22)</f>
        <v>-</v>
      </c>
      <c r="H22" s="238" t="str">
        <f>IF($A$1="Peak","-",'Base Hours'!H22*BaseLoad!N21*'Base Hours'!$AA22)</f>
        <v>-</v>
      </c>
      <c r="I22" s="238" t="str">
        <f>IF($A$1="Peak","-",'Base Hours'!I22*BaseLoad!O21*'Base Hours'!$AA22)</f>
        <v>-</v>
      </c>
      <c r="J22" s="238" t="str">
        <f>IF($A$1="Peak","-",'Base Hours'!J22*BaseLoad!P21*'Base Hours'!$AA22)</f>
        <v>-</v>
      </c>
      <c r="K22" s="238" t="str">
        <f>IF($A$1="Peak","-",'Base Hours'!K22*BaseLoad!Q21*'Base Hours'!$AA22)</f>
        <v>-</v>
      </c>
      <c r="L22" s="238" t="str">
        <f>IF($A$1="Peak","-",'Base Hours'!L22*BaseLoad!R21*'Base Hours'!$AA22)</f>
        <v>-</v>
      </c>
      <c r="M22" s="238" t="str">
        <f>IF($A$1="Peak","-",'Base Hours'!M22*BaseLoad!S21*'Base Hours'!$AA22)</f>
        <v>-</v>
      </c>
      <c r="N22" s="238" t="str">
        <f>IF($A$1="Peak","-",'Base Hours'!N22*BaseLoad!T21*'Base Hours'!$AA22)</f>
        <v>-</v>
      </c>
      <c r="O22" s="238" t="str">
        <f>IF($A$1="Peak","-",'Base Hours'!O22*BaseLoad!U21*'Base Hours'!$AA22)</f>
        <v>-</v>
      </c>
      <c r="P22" s="238" t="str">
        <f>IF($A$1="Peak","-",'Base Hours'!P22*BaseLoad!V21*'Base Hours'!$AA22)</f>
        <v>-</v>
      </c>
      <c r="Q22" s="238" t="str">
        <f>IF($A$1="Peak","-",'Base Hours'!Q22*BaseLoad!W21*'Base Hours'!$AA22)</f>
        <v>-</v>
      </c>
      <c r="R22" s="238" t="str">
        <f>IF($A$1="Peak","-",'Base Hours'!R22*BaseLoad!X21*'Base Hours'!$AA22)</f>
        <v>-</v>
      </c>
      <c r="S22" s="238" t="str">
        <f>IF($A$1="Peak","-",'Base Hours'!S22*BaseLoad!Y21*'Base Hours'!$AA22)</f>
        <v>-</v>
      </c>
      <c r="T22" s="238" t="str">
        <f>IF($A$1="Peak","-",'Base Hours'!T22*BaseLoad!Z21*'Base Hours'!$AA22)</f>
        <v>-</v>
      </c>
      <c r="U22" s="238" t="str">
        <f>IF($A$1="Peak","-",'Base Hours'!U22*BaseLoad!AA21*'Base Hours'!$AA22)</f>
        <v>-</v>
      </c>
      <c r="V22" s="238">
        <f>SUM(B22:U22)</f>
        <v>0</v>
      </c>
      <c r="W22" s="238"/>
      <c r="X22" s="238"/>
      <c r="Y22" s="239"/>
      <c r="Z22" s="239">
        <f>(BaseLoad!C21*'Base Hours'!X22*'Base Hours'!$AA22)*-1</f>
        <v>0</v>
      </c>
      <c r="AA22" s="239"/>
      <c r="AB22" s="239">
        <f>(BaseLoad!D21*'Base Hours'!X22*'Base Hours'!$AA22)*-1</f>
        <v>0</v>
      </c>
      <c r="AC22" s="239"/>
      <c r="AD22" s="239">
        <f>(BaseLoad!E21*'Base Hours'!X22*'Base Hours'!$AA22)*-1</f>
        <v>0</v>
      </c>
      <c r="AE22" s="239"/>
      <c r="AF22" s="239">
        <f>(BaseLoad!F21*'Base Hours'!X22*'Base Hours'!$AA22)*-1</f>
        <v>0</v>
      </c>
      <c r="AG22" s="239"/>
    </row>
    <row r="23" spans="1:33" x14ac:dyDescent="0.2">
      <c r="A23" s="1">
        <f t="shared" si="1"/>
        <v>36935.421000000017</v>
      </c>
      <c r="B23" s="238" t="str">
        <f>IF($A$1="Peak","-",'Base Hours'!B23*BaseLoad!H22*'Base Hours'!$AA23)</f>
        <v>-</v>
      </c>
      <c r="C23" s="238" t="str">
        <f>IF($A$1="Peak","-",'Base Hours'!C23*BaseLoad!I22*'Base Hours'!$AA23)</f>
        <v>-</v>
      </c>
      <c r="D23" s="238" t="str">
        <f>IF($A$1="Peak","-",'Base Hours'!D23*BaseLoad!J22*'Base Hours'!$AA23)</f>
        <v>-</v>
      </c>
      <c r="E23" s="238" t="str">
        <f>IF($A$1="Peak","-",'Base Hours'!E23*BaseLoad!K22*'Base Hours'!$AA23)</f>
        <v>-</v>
      </c>
      <c r="F23" s="238" t="str">
        <f>IF($A$1="Peak","-",'Base Hours'!F23*BaseLoad!L22*'Base Hours'!$AA23)</f>
        <v>-</v>
      </c>
      <c r="G23" s="238" t="str">
        <f>IF($A$1="Peak","-",'Base Hours'!G23*BaseLoad!M22*'Base Hours'!$AA23)</f>
        <v>-</v>
      </c>
      <c r="H23" s="238" t="str">
        <f>IF($A$1="Peak","-",'Base Hours'!H23*BaseLoad!N22*'Base Hours'!$AA23)</f>
        <v>-</v>
      </c>
      <c r="I23" s="238" t="str">
        <f>IF($A$1="Peak","-",'Base Hours'!I23*BaseLoad!O22*'Base Hours'!$AA23)</f>
        <v>-</v>
      </c>
      <c r="J23" s="238" t="str">
        <f>IF($A$1="Peak","-",'Base Hours'!J23*BaseLoad!P22*'Base Hours'!$AA23)</f>
        <v>-</v>
      </c>
      <c r="K23" s="238" t="str">
        <f>IF($A$1="Peak","-",'Base Hours'!K23*BaseLoad!Q22*'Base Hours'!$AA23)</f>
        <v>-</v>
      </c>
      <c r="L23" s="238" t="str">
        <f>IF($A$1="Peak","-",'Base Hours'!L23*BaseLoad!R22*'Base Hours'!$AA23)</f>
        <v>-</v>
      </c>
      <c r="M23" s="238" t="str">
        <f>IF($A$1="Peak","-",'Base Hours'!M23*BaseLoad!S22*'Base Hours'!$AA23)</f>
        <v>-</v>
      </c>
      <c r="N23" s="238" t="str">
        <f>IF($A$1="Peak","-",'Base Hours'!N23*BaseLoad!T22*'Base Hours'!$AA23)</f>
        <v>-</v>
      </c>
      <c r="O23" s="238" t="str">
        <f>IF($A$1="Peak","-",'Base Hours'!O23*BaseLoad!U22*'Base Hours'!$AA23)</f>
        <v>-</v>
      </c>
      <c r="P23" s="238" t="str">
        <f>IF($A$1="Peak","-",'Base Hours'!P23*BaseLoad!V22*'Base Hours'!$AA23)</f>
        <v>-</v>
      </c>
      <c r="Q23" s="238" t="str">
        <f>IF($A$1="Peak","-",'Base Hours'!Q23*BaseLoad!W22*'Base Hours'!$AA23)</f>
        <v>-</v>
      </c>
      <c r="R23" s="238" t="str">
        <f>IF($A$1="Peak","-",'Base Hours'!R23*BaseLoad!X22*'Base Hours'!$AA23)</f>
        <v>-</v>
      </c>
      <c r="S23" s="238" t="str">
        <f>IF($A$1="Peak","-",'Base Hours'!S23*BaseLoad!Y22*'Base Hours'!$AA23)</f>
        <v>-</v>
      </c>
      <c r="T23" s="238" t="str">
        <f>IF($A$1="Peak","-",'Base Hours'!T23*BaseLoad!Z22*'Base Hours'!$AA23)</f>
        <v>-</v>
      </c>
      <c r="U23" s="238" t="str">
        <f>IF($A$1="Peak","-",'Base Hours'!U23*BaseLoad!AA22*'Base Hours'!$AA23)</f>
        <v>-</v>
      </c>
      <c r="V23" s="238">
        <f t="shared" ref="V23:V81" si="2">SUM(B23:U23)</f>
        <v>0</v>
      </c>
      <c r="W23" s="238"/>
      <c r="X23" s="238"/>
      <c r="Y23" s="239"/>
      <c r="Z23" s="239">
        <f>(BaseLoad!C22*'Base Hours'!X23*'Base Hours'!$AA23)*-1</f>
        <v>0</v>
      </c>
      <c r="AA23" s="239"/>
      <c r="AB23" s="239">
        <f>(BaseLoad!D22*'Base Hours'!X23*'Base Hours'!$AA23)*-1</f>
        <v>0</v>
      </c>
      <c r="AC23" s="239"/>
      <c r="AD23" s="239">
        <f>(BaseLoad!E22*'Base Hours'!X23*'Base Hours'!$AA23)*-1</f>
        <v>0</v>
      </c>
      <c r="AE23" s="239"/>
      <c r="AF23" s="239">
        <f>(BaseLoad!F22*'Base Hours'!X23*'Base Hours'!$AA23)*-1</f>
        <v>0</v>
      </c>
      <c r="AG23" s="239"/>
    </row>
    <row r="24" spans="1:33" x14ac:dyDescent="0.2">
      <c r="A24" s="1">
        <f t="shared" si="1"/>
        <v>36965.838000000018</v>
      </c>
      <c r="B24" s="238" t="str">
        <f>IF($A$1="Peak","-",'Base Hours'!B24*BaseLoad!H23*'Base Hours'!$AA24)</f>
        <v>-</v>
      </c>
      <c r="C24" s="238" t="str">
        <f>IF($A$1="Peak","-",'Base Hours'!C24*BaseLoad!I23*'Base Hours'!$AA24)</f>
        <v>-</v>
      </c>
      <c r="D24" s="238" t="str">
        <f>IF($A$1="Peak","-",'Base Hours'!D24*BaseLoad!J23*'Base Hours'!$AA24)</f>
        <v>-</v>
      </c>
      <c r="E24" s="238" t="str">
        <f>IF($A$1="Peak","-",'Base Hours'!E24*BaseLoad!K23*'Base Hours'!$AA24)</f>
        <v>-</v>
      </c>
      <c r="F24" s="238" t="str">
        <f>IF($A$1="Peak","-",'Base Hours'!F24*BaseLoad!L23*'Base Hours'!$AA24)</f>
        <v>-</v>
      </c>
      <c r="G24" s="238" t="str">
        <f>IF($A$1="Peak","-",'Base Hours'!G24*BaseLoad!M23*'Base Hours'!$AA24)</f>
        <v>-</v>
      </c>
      <c r="H24" s="238" t="str">
        <f>IF($A$1="Peak","-",'Base Hours'!H24*BaseLoad!N23*'Base Hours'!$AA24)</f>
        <v>-</v>
      </c>
      <c r="I24" s="238" t="str">
        <f>IF($A$1="Peak","-",'Base Hours'!I24*BaseLoad!O23*'Base Hours'!$AA24)</f>
        <v>-</v>
      </c>
      <c r="J24" s="238" t="str">
        <f>IF($A$1="Peak","-",'Base Hours'!J24*BaseLoad!P23*'Base Hours'!$AA24)</f>
        <v>-</v>
      </c>
      <c r="K24" s="238" t="str">
        <f>IF($A$1="Peak","-",'Base Hours'!K24*BaseLoad!Q23*'Base Hours'!$AA24)</f>
        <v>-</v>
      </c>
      <c r="L24" s="238" t="str">
        <f>IF($A$1="Peak","-",'Base Hours'!L24*BaseLoad!R23*'Base Hours'!$AA24)</f>
        <v>-</v>
      </c>
      <c r="M24" s="238" t="str">
        <f>IF($A$1="Peak","-",'Base Hours'!M24*BaseLoad!S23*'Base Hours'!$AA24)</f>
        <v>-</v>
      </c>
      <c r="N24" s="238" t="str">
        <f>IF($A$1="Peak","-",'Base Hours'!N24*BaseLoad!T23*'Base Hours'!$AA24)</f>
        <v>-</v>
      </c>
      <c r="O24" s="238" t="str">
        <f>IF($A$1="Peak","-",'Base Hours'!O24*BaseLoad!U23*'Base Hours'!$AA24)</f>
        <v>-</v>
      </c>
      <c r="P24" s="238" t="str">
        <f>IF($A$1="Peak","-",'Base Hours'!P24*BaseLoad!V23*'Base Hours'!$AA24)</f>
        <v>-</v>
      </c>
      <c r="Q24" s="238" t="str">
        <f>IF($A$1="Peak","-",'Base Hours'!Q24*BaseLoad!W23*'Base Hours'!$AA24)</f>
        <v>-</v>
      </c>
      <c r="R24" s="238" t="str">
        <f>IF($A$1="Peak","-",'Base Hours'!R24*BaseLoad!X23*'Base Hours'!$AA24)</f>
        <v>-</v>
      </c>
      <c r="S24" s="238" t="str">
        <f>IF($A$1="Peak","-",'Base Hours'!S24*BaseLoad!Y23*'Base Hours'!$AA24)</f>
        <v>-</v>
      </c>
      <c r="T24" s="238" t="str">
        <f>IF($A$1="Peak","-",'Base Hours'!T24*BaseLoad!Z23*'Base Hours'!$AA24)</f>
        <v>-</v>
      </c>
      <c r="U24" s="238" t="str">
        <f>IF($A$1="Peak","-",'Base Hours'!U24*BaseLoad!AA23*'Base Hours'!$AA24)</f>
        <v>-</v>
      </c>
      <c r="V24" s="238">
        <f t="shared" si="2"/>
        <v>0</v>
      </c>
      <c r="W24" s="238"/>
      <c r="X24" s="238"/>
      <c r="Y24" s="239"/>
      <c r="Z24" s="239">
        <f>(BaseLoad!C23*'Base Hours'!X24*'Base Hours'!$AA24)*-1</f>
        <v>0</v>
      </c>
      <c r="AA24" s="239"/>
      <c r="AB24" s="239">
        <f>(BaseLoad!D23*'Base Hours'!X24*'Base Hours'!$AA24)*-1</f>
        <v>0</v>
      </c>
      <c r="AC24" s="239"/>
      <c r="AD24" s="239">
        <f>(BaseLoad!E23*'Base Hours'!X24*'Base Hours'!$AA24)*-1</f>
        <v>0</v>
      </c>
      <c r="AE24" s="239"/>
      <c r="AF24" s="239">
        <f>(BaseLoad!F23*'Base Hours'!X24*'Base Hours'!$AA24)*-1</f>
        <v>0</v>
      </c>
      <c r="AG24" s="239"/>
    </row>
    <row r="25" spans="1:33" x14ac:dyDescent="0.2">
      <c r="A25" s="1">
        <f t="shared" si="1"/>
        <v>36996.255000000019</v>
      </c>
      <c r="B25" s="238" t="str">
        <f>IF($A$1="Peak","-",'Base Hours'!B25*BaseLoad!H24*'Base Hours'!$AA25)</f>
        <v>-</v>
      </c>
      <c r="C25" s="238" t="str">
        <f>IF($A$1="Peak","-",'Base Hours'!C25*BaseLoad!I24*'Base Hours'!$AA25)</f>
        <v>-</v>
      </c>
      <c r="D25" s="238" t="str">
        <f>IF($A$1="Peak","-",'Base Hours'!D25*BaseLoad!J24*'Base Hours'!$AA25)</f>
        <v>-</v>
      </c>
      <c r="E25" s="238" t="str">
        <f>IF($A$1="Peak","-",'Base Hours'!E25*BaseLoad!K24*'Base Hours'!$AA25)</f>
        <v>-</v>
      </c>
      <c r="F25" s="238" t="str">
        <f>IF($A$1="Peak","-",'Base Hours'!F25*BaseLoad!L24*'Base Hours'!$AA25)</f>
        <v>-</v>
      </c>
      <c r="G25" s="238" t="str">
        <f>IF($A$1="Peak","-",'Base Hours'!G25*BaseLoad!M24*'Base Hours'!$AA25)</f>
        <v>-</v>
      </c>
      <c r="H25" s="238" t="str">
        <f>IF($A$1="Peak","-",'Base Hours'!H25*BaseLoad!N24*'Base Hours'!$AA25)</f>
        <v>-</v>
      </c>
      <c r="I25" s="238" t="str">
        <f>IF($A$1="Peak","-",'Base Hours'!I25*BaseLoad!O24*'Base Hours'!$AA25)</f>
        <v>-</v>
      </c>
      <c r="J25" s="238" t="str">
        <f>IF($A$1="Peak","-",'Base Hours'!J25*BaseLoad!P24*'Base Hours'!$AA25)</f>
        <v>-</v>
      </c>
      <c r="K25" s="238" t="str">
        <f>IF($A$1="Peak","-",'Base Hours'!K25*BaseLoad!Q24*'Base Hours'!$AA25)</f>
        <v>-</v>
      </c>
      <c r="L25" s="238" t="str">
        <f>IF($A$1="Peak","-",'Base Hours'!L25*BaseLoad!R24*'Base Hours'!$AA25)</f>
        <v>-</v>
      </c>
      <c r="M25" s="238" t="str">
        <f>IF($A$1="Peak","-",'Base Hours'!M25*BaseLoad!S24*'Base Hours'!$AA25)</f>
        <v>-</v>
      </c>
      <c r="N25" s="238" t="str">
        <f>IF($A$1="Peak","-",'Base Hours'!N25*BaseLoad!T24*'Base Hours'!$AA25)</f>
        <v>-</v>
      </c>
      <c r="O25" s="238" t="str">
        <f>IF($A$1="Peak","-",'Base Hours'!O25*BaseLoad!U24*'Base Hours'!$AA25)</f>
        <v>-</v>
      </c>
      <c r="P25" s="238" t="str">
        <f>IF($A$1="Peak","-",'Base Hours'!P25*BaseLoad!V24*'Base Hours'!$AA25)</f>
        <v>-</v>
      </c>
      <c r="Q25" s="238" t="str">
        <f>IF($A$1="Peak","-",'Base Hours'!Q25*BaseLoad!W24*'Base Hours'!$AA25)</f>
        <v>-</v>
      </c>
      <c r="R25" s="238" t="str">
        <f>IF($A$1="Peak","-",'Base Hours'!R25*BaseLoad!X24*'Base Hours'!$AA25)</f>
        <v>-</v>
      </c>
      <c r="S25" s="238" t="str">
        <f>IF($A$1="Peak","-",'Base Hours'!S25*BaseLoad!Y24*'Base Hours'!$AA25)</f>
        <v>-</v>
      </c>
      <c r="T25" s="238" t="str">
        <f>IF($A$1="Peak","-",'Base Hours'!T25*BaseLoad!Z24*'Base Hours'!$AA25)</f>
        <v>-</v>
      </c>
      <c r="U25" s="238" t="str">
        <f>IF($A$1="Peak","-",'Base Hours'!U25*BaseLoad!AA24*'Base Hours'!$AA25)</f>
        <v>-</v>
      </c>
      <c r="V25" s="238">
        <f t="shared" si="2"/>
        <v>0</v>
      </c>
      <c r="W25" s="238"/>
      <c r="X25" s="238"/>
      <c r="Y25" s="239"/>
      <c r="Z25" s="239">
        <f>(BaseLoad!C24*'Base Hours'!X25*'Base Hours'!$AA25)*-1</f>
        <v>0</v>
      </c>
      <c r="AA25" s="239"/>
      <c r="AB25" s="239">
        <f>(BaseLoad!D24*'Base Hours'!X25*'Base Hours'!$AA25)*-1</f>
        <v>0</v>
      </c>
      <c r="AC25" s="239"/>
      <c r="AD25" s="239">
        <f>(BaseLoad!E24*'Base Hours'!X25*'Base Hours'!$AA25)*-1</f>
        <v>0</v>
      </c>
      <c r="AE25" s="239"/>
      <c r="AF25" s="239">
        <f>(BaseLoad!F24*'Base Hours'!X25*'Base Hours'!$AA25)*-1</f>
        <v>0</v>
      </c>
      <c r="AG25" s="239"/>
    </row>
    <row r="26" spans="1:33" x14ac:dyDescent="0.2">
      <c r="A26" s="1">
        <f t="shared" si="1"/>
        <v>37026.67200000002</v>
      </c>
      <c r="B26" s="238" t="str">
        <f>IF($A$1="Peak","-",'Base Hours'!B26*BaseLoad!H25*'Base Hours'!$AA26)</f>
        <v>-</v>
      </c>
      <c r="C26" s="238" t="str">
        <f>IF($A$1="Peak","-",'Base Hours'!C26*BaseLoad!I25*'Base Hours'!$AA26)</f>
        <v>-</v>
      </c>
      <c r="D26" s="238" t="str">
        <f>IF($A$1="Peak","-",'Base Hours'!D26*BaseLoad!J25*'Base Hours'!$AA26)</f>
        <v>-</v>
      </c>
      <c r="E26" s="238" t="str">
        <f>IF($A$1="Peak","-",'Base Hours'!E26*BaseLoad!K25*'Base Hours'!$AA26)</f>
        <v>-</v>
      </c>
      <c r="F26" s="238" t="str">
        <f>IF($A$1="Peak","-",'Base Hours'!F26*BaseLoad!L25*'Base Hours'!$AA26)</f>
        <v>-</v>
      </c>
      <c r="G26" s="238" t="str">
        <f>IF($A$1="Peak","-",'Base Hours'!G26*BaseLoad!M25*'Base Hours'!$AA26)</f>
        <v>-</v>
      </c>
      <c r="H26" s="238" t="str">
        <f>IF($A$1="Peak","-",'Base Hours'!H26*BaseLoad!N25*'Base Hours'!$AA26)</f>
        <v>-</v>
      </c>
      <c r="I26" s="238" t="str">
        <f>IF($A$1="Peak","-",'Base Hours'!I26*BaseLoad!O25*'Base Hours'!$AA26)</f>
        <v>-</v>
      </c>
      <c r="J26" s="238" t="str">
        <f>IF($A$1="Peak","-",'Base Hours'!J26*BaseLoad!P25*'Base Hours'!$AA26)</f>
        <v>-</v>
      </c>
      <c r="K26" s="238" t="str">
        <f>IF($A$1="Peak","-",'Base Hours'!K26*BaseLoad!Q25*'Base Hours'!$AA26)</f>
        <v>-</v>
      </c>
      <c r="L26" s="238" t="str">
        <f>IF($A$1="Peak","-",'Base Hours'!L26*BaseLoad!R25*'Base Hours'!$AA26)</f>
        <v>-</v>
      </c>
      <c r="M26" s="238" t="str">
        <f>IF($A$1="Peak","-",'Base Hours'!M26*BaseLoad!S25*'Base Hours'!$AA26)</f>
        <v>-</v>
      </c>
      <c r="N26" s="238" t="str">
        <f>IF($A$1="Peak","-",'Base Hours'!N26*BaseLoad!T25*'Base Hours'!$AA26)</f>
        <v>-</v>
      </c>
      <c r="O26" s="238" t="str">
        <f>IF($A$1="Peak","-",'Base Hours'!O26*BaseLoad!U25*'Base Hours'!$AA26)</f>
        <v>-</v>
      </c>
      <c r="P26" s="238" t="str">
        <f>IF($A$1="Peak","-",'Base Hours'!P26*BaseLoad!V25*'Base Hours'!$AA26)</f>
        <v>-</v>
      </c>
      <c r="Q26" s="238" t="str">
        <f>IF($A$1="Peak","-",'Base Hours'!Q26*BaseLoad!W25*'Base Hours'!$AA26)</f>
        <v>-</v>
      </c>
      <c r="R26" s="238" t="str">
        <f>IF($A$1="Peak","-",'Base Hours'!R26*BaseLoad!X25*'Base Hours'!$AA26)</f>
        <v>-</v>
      </c>
      <c r="S26" s="238" t="str">
        <f>IF($A$1="Peak","-",'Base Hours'!S26*BaseLoad!Y25*'Base Hours'!$AA26)</f>
        <v>-</v>
      </c>
      <c r="T26" s="238" t="str">
        <f>IF($A$1="Peak","-",'Base Hours'!T26*BaseLoad!Z25*'Base Hours'!$AA26)</f>
        <v>-</v>
      </c>
      <c r="U26" s="238" t="str">
        <f>IF($A$1="Peak","-",'Base Hours'!U26*BaseLoad!AA25*'Base Hours'!$AA26)</f>
        <v>-</v>
      </c>
      <c r="V26" s="238">
        <f t="shared" si="2"/>
        <v>0</v>
      </c>
      <c r="W26" s="238"/>
      <c r="X26" s="238"/>
      <c r="Y26" s="239"/>
      <c r="Z26" s="239">
        <f>(BaseLoad!C25*'Base Hours'!X26*'Base Hours'!$AA26)*-1</f>
        <v>0</v>
      </c>
      <c r="AA26" s="239"/>
      <c r="AB26" s="239">
        <f>(BaseLoad!D25*'Base Hours'!X26*'Base Hours'!$AA26)*-1</f>
        <v>0</v>
      </c>
      <c r="AC26" s="239"/>
      <c r="AD26" s="239">
        <f>(BaseLoad!E25*'Base Hours'!X26*'Base Hours'!$AA26)*-1</f>
        <v>0</v>
      </c>
      <c r="AE26" s="239"/>
      <c r="AF26" s="239">
        <f>(BaseLoad!F25*'Base Hours'!X26*'Base Hours'!$AA26)*-1</f>
        <v>0</v>
      </c>
      <c r="AG26" s="239"/>
    </row>
    <row r="27" spans="1:33" x14ac:dyDescent="0.2">
      <c r="A27" s="1">
        <f t="shared" si="1"/>
        <v>37057.089000000022</v>
      </c>
      <c r="B27" s="238" t="str">
        <f>IF($A$1="Peak","-",'Base Hours'!B27*BaseLoad!H26*'Base Hours'!$AA27)</f>
        <v>-</v>
      </c>
      <c r="C27" s="238" t="str">
        <f>IF($A$1="Peak","-",'Base Hours'!C27*BaseLoad!I26*'Base Hours'!$AA27)</f>
        <v>-</v>
      </c>
      <c r="D27" s="238" t="str">
        <f>IF($A$1="Peak","-",'Base Hours'!D27*BaseLoad!J26*'Base Hours'!$AA27)</f>
        <v>-</v>
      </c>
      <c r="E27" s="238" t="str">
        <f>IF($A$1="Peak","-",'Base Hours'!E27*BaseLoad!K26*'Base Hours'!$AA27)</f>
        <v>-</v>
      </c>
      <c r="F27" s="238" t="str">
        <f>IF($A$1="Peak","-",'Base Hours'!F27*BaseLoad!L26*'Base Hours'!$AA27)</f>
        <v>-</v>
      </c>
      <c r="G27" s="238" t="str">
        <f>IF($A$1="Peak","-",'Base Hours'!G27*BaseLoad!M26*'Base Hours'!$AA27)</f>
        <v>-</v>
      </c>
      <c r="H27" s="238" t="str">
        <f>IF($A$1="Peak","-",'Base Hours'!H27*BaseLoad!N26*'Base Hours'!$AA27)</f>
        <v>-</v>
      </c>
      <c r="I27" s="238" t="str">
        <f>IF($A$1="Peak","-",'Base Hours'!I27*BaseLoad!O26*'Base Hours'!$AA27)</f>
        <v>-</v>
      </c>
      <c r="J27" s="238" t="str">
        <f>IF($A$1="Peak","-",'Base Hours'!J27*BaseLoad!P26*'Base Hours'!$AA27)</f>
        <v>-</v>
      </c>
      <c r="K27" s="238" t="str">
        <f>IF($A$1="Peak","-",'Base Hours'!K27*BaseLoad!Q26*'Base Hours'!$AA27)</f>
        <v>-</v>
      </c>
      <c r="L27" s="238" t="str">
        <f>IF($A$1="Peak","-",'Base Hours'!L27*BaseLoad!R26*'Base Hours'!$AA27)</f>
        <v>-</v>
      </c>
      <c r="M27" s="238" t="str">
        <f>IF($A$1="Peak","-",'Base Hours'!M27*BaseLoad!S26*'Base Hours'!$AA27)</f>
        <v>-</v>
      </c>
      <c r="N27" s="238" t="str">
        <f>IF($A$1="Peak","-",'Base Hours'!N27*BaseLoad!T26*'Base Hours'!$AA27)</f>
        <v>-</v>
      </c>
      <c r="O27" s="238" t="str">
        <f>IF($A$1="Peak","-",'Base Hours'!O27*BaseLoad!U26*'Base Hours'!$AA27)</f>
        <v>-</v>
      </c>
      <c r="P27" s="238" t="str">
        <f>IF($A$1="Peak","-",'Base Hours'!P27*BaseLoad!V26*'Base Hours'!$AA27)</f>
        <v>-</v>
      </c>
      <c r="Q27" s="238" t="str">
        <f>IF($A$1="Peak","-",'Base Hours'!Q27*BaseLoad!W26*'Base Hours'!$AA27)</f>
        <v>-</v>
      </c>
      <c r="R27" s="238" t="str">
        <f>IF($A$1="Peak","-",'Base Hours'!R27*BaseLoad!X26*'Base Hours'!$AA27)</f>
        <v>-</v>
      </c>
      <c r="S27" s="238" t="str">
        <f>IF($A$1="Peak","-",'Base Hours'!S27*BaseLoad!Y26*'Base Hours'!$AA27)</f>
        <v>-</v>
      </c>
      <c r="T27" s="238" t="str">
        <f>IF($A$1="Peak","-",'Base Hours'!T27*BaseLoad!Z26*'Base Hours'!$AA27)</f>
        <v>-</v>
      </c>
      <c r="U27" s="238" t="str">
        <f>IF($A$1="Peak","-",'Base Hours'!U27*BaseLoad!AA26*'Base Hours'!$AA27)</f>
        <v>-</v>
      </c>
      <c r="V27" s="238">
        <f t="shared" si="2"/>
        <v>0</v>
      </c>
      <c r="W27" s="238"/>
      <c r="X27" s="238"/>
      <c r="Y27" s="239"/>
      <c r="Z27" s="239">
        <f>(BaseLoad!C26*'Base Hours'!X27*'Base Hours'!$AA27)*-1</f>
        <v>0</v>
      </c>
      <c r="AA27" s="239"/>
      <c r="AB27" s="239">
        <f>(BaseLoad!D26*'Base Hours'!X27*'Base Hours'!$AA27)*-1</f>
        <v>0</v>
      </c>
      <c r="AC27" s="239"/>
      <c r="AD27" s="239">
        <f>(BaseLoad!E26*'Base Hours'!X27*'Base Hours'!$AA27)*-1</f>
        <v>0</v>
      </c>
      <c r="AE27" s="239"/>
      <c r="AF27" s="239">
        <f>(BaseLoad!F26*'Base Hours'!X27*'Base Hours'!$AA27)*-1</f>
        <v>0</v>
      </c>
      <c r="AG27" s="239"/>
    </row>
    <row r="28" spans="1:33" x14ac:dyDescent="0.2">
      <c r="A28" s="1">
        <f t="shared" si="1"/>
        <v>37087.506000000023</v>
      </c>
      <c r="B28" s="238" t="str">
        <f>IF($A$1="Peak","-",'Base Hours'!B28*BaseLoad!H27*'Base Hours'!$AA28)</f>
        <v>-</v>
      </c>
      <c r="C28" s="238" t="str">
        <f>IF($A$1="Peak","-",'Base Hours'!C28*BaseLoad!I27*'Base Hours'!$AA28)</f>
        <v>-</v>
      </c>
      <c r="D28" s="238" t="str">
        <f>IF($A$1="Peak","-",'Base Hours'!D28*BaseLoad!J27*'Base Hours'!$AA28)</f>
        <v>-</v>
      </c>
      <c r="E28" s="238" t="str">
        <f>IF($A$1="Peak","-",'Base Hours'!E28*BaseLoad!K27*'Base Hours'!$AA28)</f>
        <v>-</v>
      </c>
      <c r="F28" s="238" t="str">
        <f>IF($A$1="Peak","-",'Base Hours'!F28*BaseLoad!L27*'Base Hours'!$AA28)</f>
        <v>-</v>
      </c>
      <c r="G28" s="238" t="str">
        <f>IF($A$1="Peak","-",'Base Hours'!G28*BaseLoad!M27*'Base Hours'!$AA28)</f>
        <v>-</v>
      </c>
      <c r="H28" s="238" t="str">
        <f>IF($A$1="Peak","-",'Base Hours'!H28*BaseLoad!N27*'Base Hours'!$AA28)</f>
        <v>-</v>
      </c>
      <c r="I28" s="238" t="str">
        <f>IF($A$1="Peak","-",'Base Hours'!I28*BaseLoad!O27*'Base Hours'!$AA28)</f>
        <v>-</v>
      </c>
      <c r="J28" s="238" t="str">
        <f>IF($A$1="Peak","-",'Base Hours'!J28*BaseLoad!P27*'Base Hours'!$AA28)</f>
        <v>-</v>
      </c>
      <c r="K28" s="238" t="str">
        <f>IF($A$1="Peak","-",'Base Hours'!K28*BaseLoad!Q27*'Base Hours'!$AA28)</f>
        <v>-</v>
      </c>
      <c r="L28" s="238" t="str">
        <f>IF($A$1="Peak","-",'Base Hours'!L28*BaseLoad!R27*'Base Hours'!$AA28)</f>
        <v>-</v>
      </c>
      <c r="M28" s="238" t="str">
        <f>IF($A$1="Peak","-",'Base Hours'!M28*BaseLoad!S27*'Base Hours'!$AA28)</f>
        <v>-</v>
      </c>
      <c r="N28" s="238" t="str">
        <f>IF($A$1="Peak","-",'Base Hours'!N28*BaseLoad!T27*'Base Hours'!$AA28)</f>
        <v>-</v>
      </c>
      <c r="O28" s="238" t="str">
        <f>IF($A$1="Peak","-",'Base Hours'!O28*BaseLoad!U27*'Base Hours'!$AA28)</f>
        <v>-</v>
      </c>
      <c r="P28" s="238" t="str">
        <f>IF($A$1="Peak","-",'Base Hours'!P28*BaseLoad!V27*'Base Hours'!$AA28)</f>
        <v>-</v>
      </c>
      <c r="Q28" s="238" t="str">
        <f>IF($A$1="Peak","-",'Base Hours'!Q28*BaseLoad!W27*'Base Hours'!$AA28)</f>
        <v>-</v>
      </c>
      <c r="R28" s="238" t="str">
        <f>IF($A$1="Peak","-",'Base Hours'!R28*BaseLoad!X27*'Base Hours'!$AA28)</f>
        <v>-</v>
      </c>
      <c r="S28" s="238" t="str">
        <f>IF($A$1="Peak","-",'Base Hours'!S28*BaseLoad!Y27*'Base Hours'!$AA28)</f>
        <v>-</v>
      </c>
      <c r="T28" s="238" t="str">
        <f>IF($A$1="Peak","-",'Base Hours'!T28*BaseLoad!Z27*'Base Hours'!$AA28)</f>
        <v>-</v>
      </c>
      <c r="U28" s="238" t="str">
        <f>IF($A$1="Peak","-",'Base Hours'!U28*BaseLoad!AA27*'Base Hours'!$AA28)</f>
        <v>-</v>
      </c>
      <c r="V28" s="238">
        <f t="shared" si="2"/>
        <v>0</v>
      </c>
      <c r="W28" s="238"/>
      <c r="X28" s="238"/>
      <c r="Y28" s="239"/>
      <c r="Z28" s="239">
        <f>(BaseLoad!C27*'Base Hours'!X28*'Base Hours'!$AA28)*-1</f>
        <v>0</v>
      </c>
      <c r="AA28" s="239"/>
      <c r="AB28" s="239">
        <f>(BaseLoad!D27*'Base Hours'!X28*'Base Hours'!$AA28)*-1</f>
        <v>0</v>
      </c>
      <c r="AC28" s="239"/>
      <c r="AD28" s="239">
        <f>(BaseLoad!E27*'Base Hours'!X28*'Base Hours'!$AA28)*-1</f>
        <v>0</v>
      </c>
      <c r="AE28" s="239"/>
      <c r="AF28" s="239">
        <f>(BaseLoad!F27*'Base Hours'!X28*'Base Hours'!$AA28)*-1</f>
        <v>0</v>
      </c>
      <c r="AG28" s="239"/>
    </row>
    <row r="29" spans="1:33" x14ac:dyDescent="0.2">
      <c r="A29" s="1">
        <f t="shared" si="1"/>
        <v>37117.923000000024</v>
      </c>
      <c r="B29" s="238" t="str">
        <f>IF($A$1="Peak","-",'Base Hours'!B29*BaseLoad!H28*'Base Hours'!$AA29)</f>
        <v>-</v>
      </c>
      <c r="C29" s="238" t="str">
        <f>IF($A$1="Peak","-",'Base Hours'!C29*BaseLoad!I28*'Base Hours'!$AA29)</f>
        <v>-</v>
      </c>
      <c r="D29" s="238" t="str">
        <f>IF($A$1="Peak","-",'Base Hours'!D29*BaseLoad!J28*'Base Hours'!$AA29)</f>
        <v>-</v>
      </c>
      <c r="E29" s="238" t="str">
        <f>IF($A$1="Peak","-",'Base Hours'!E29*BaseLoad!K28*'Base Hours'!$AA29)</f>
        <v>-</v>
      </c>
      <c r="F29" s="238" t="str">
        <f>IF($A$1="Peak","-",'Base Hours'!F29*BaseLoad!L28*'Base Hours'!$AA29)</f>
        <v>-</v>
      </c>
      <c r="G29" s="238" t="str">
        <f>IF($A$1="Peak","-",'Base Hours'!G29*BaseLoad!M28*'Base Hours'!$AA29)</f>
        <v>-</v>
      </c>
      <c r="H29" s="238" t="str">
        <f>IF($A$1="Peak","-",'Base Hours'!H29*BaseLoad!N28*'Base Hours'!$AA29)</f>
        <v>-</v>
      </c>
      <c r="I29" s="238" t="str">
        <f>IF($A$1="Peak","-",'Base Hours'!I29*BaseLoad!O28*'Base Hours'!$AA29)</f>
        <v>-</v>
      </c>
      <c r="J29" s="238" t="str">
        <f>IF($A$1="Peak","-",'Base Hours'!J29*BaseLoad!P28*'Base Hours'!$AA29)</f>
        <v>-</v>
      </c>
      <c r="K29" s="238" t="str">
        <f>IF($A$1="Peak","-",'Base Hours'!K29*BaseLoad!Q28*'Base Hours'!$AA29)</f>
        <v>-</v>
      </c>
      <c r="L29" s="238" t="str">
        <f>IF($A$1="Peak","-",'Base Hours'!L29*BaseLoad!R28*'Base Hours'!$AA29)</f>
        <v>-</v>
      </c>
      <c r="M29" s="238" t="str">
        <f>IF($A$1="Peak","-",'Base Hours'!M29*BaseLoad!S28*'Base Hours'!$AA29)</f>
        <v>-</v>
      </c>
      <c r="N29" s="238" t="str">
        <f>IF($A$1="Peak","-",'Base Hours'!N29*BaseLoad!T28*'Base Hours'!$AA29)</f>
        <v>-</v>
      </c>
      <c r="O29" s="238" t="str">
        <f>IF($A$1="Peak","-",'Base Hours'!O29*BaseLoad!U28*'Base Hours'!$AA29)</f>
        <v>-</v>
      </c>
      <c r="P29" s="238" t="str">
        <f>IF($A$1="Peak","-",'Base Hours'!P29*BaseLoad!V28*'Base Hours'!$AA29)</f>
        <v>-</v>
      </c>
      <c r="Q29" s="238" t="str">
        <f>IF($A$1="Peak","-",'Base Hours'!Q29*BaseLoad!W28*'Base Hours'!$AA29)</f>
        <v>-</v>
      </c>
      <c r="R29" s="238" t="str">
        <f>IF($A$1="Peak","-",'Base Hours'!R29*BaseLoad!X28*'Base Hours'!$AA29)</f>
        <v>-</v>
      </c>
      <c r="S29" s="238" t="str">
        <f>IF($A$1="Peak","-",'Base Hours'!S29*BaseLoad!Y28*'Base Hours'!$AA29)</f>
        <v>-</v>
      </c>
      <c r="T29" s="238" t="str">
        <f>IF($A$1="Peak","-",'Base Hours'!T29*BaseLoad!Z28*'Base Hours'!$AA29)</f>
        <v>-</v>
      </c>
      <c r="U29" s="238" t="str">
        <f>IF($A$1="Peak","-",'Base Hours'!U29*BaseLoad!AA28*'Base Hours'!$AA29)</f>
        <v>-</v>
      </c>
      <c r="V29" s="238">
        <f t="shared" si="2"/>
        <v>0</v>
      </c>
      <c r="W29" s="238"/>
      <c r="X29" s="238"/>
      <c r="Y29" s="239"/>
      <c r="Z29" s="239">
        <f>(BaseLoad!C28*'Base Hours'!X29*'Base Hours'!$AA29)*-1</f>
        <v>0</v>
      </c>
      <c r="AA29" s="239"/>
      <c r="AB29" s="239">
        <f>(BaseLoad!D28*'Base Hours'!X29*'Base Hours'!$AA29)*-1</f>
        <v>0</v>
      </c>
      <c r="AC29" s="239"/>
      <c r="AD29" s="239">
        <f>(BaseLoad!E28*'Base Hours'!X29*'Base Hours'!$AA29)*-1</f>
        <v>0</v>
      </c>
      <c r="AE29" s="239"/>
      <c r="AF29" s="239">
        <f>(BaseLoad!F28*'Base Hours'!X29*'Base Hours'!$AA29)*-1</f>
        <v>0</v>
      </c>
      <c r="AG29" s="239"/>
    </row>
    <row r="30" spans="1:33" x14ac:dyDescent="0.2">
      <c r="A30" s="1">
        <f t="shared" si="1"/>
        <v>37148.340000000026</v>
      </c>
      <c r="B30" s="238" t="str">
        <f>IF($A$1="Peak","-",'Base Hours'!B30*BaseLoad!H29*'Base Hours'!$AA30)</f>
        <v>-</v>
      </c>
      <c r="C30" s="238" t="str">
        <f>IF($A$1="Peak","-",'Base Hours'!C30*BaseLoad!I29*'Base Hours'!$AA30)</f>
        <v>-</v>
      </c>
      <c r="D30" s="238" t="str">
        <f>IF($A$1="Peak","-",'Base Hours'!D30*BaseLoad!J29*'Base Hours'!$AA30)</f>
        <v>-</v>
      </c>
      <c r="E30" s="238" t="str">
        <f>IF($A$1="Peak","-",'Base Hours'!E30*BaseLoad!K29*'Base Hours'!$AA30)</f>
        <v>-</v>
      </c>
      <c r="F30" s="238" t="str">
        <f>IF($A$1="Peak","-",'Base Hours'!F30*BaseLoad!L29*'Base Hours'!$AA30)</f>
        <v>-</v>
      </c>
      <c r="G30" s="238" t="str">
        <f>IF($A$1="Peak","-",'Base Hours'!G30*BaseLoad!M29*'Base Hours'!$AA30)</f>
        <v>-</v>
      </c>
      <c r="H30" s="238" t="str">
        <f>IF($A$1="Peak","-",'Base Hours'!H30*BaseLoad!N29*'Base Hours'!$AA30)</f>
        <v>-</v>
      </c>
      <c r="I30" s="238" t="str">
        <f>IF($A$1="Peak","-",'Base Hours'!I30*BaseLoad!O29*'Base Hours'!$AA30)</f>
        <v>-</v>
      </c>
      <c r="J30" s="238" t="str">
        <f>IF($A$1="Peak","-",'Base Hours'!J30*BaseLoad!P29*'Base Hours'!$AA30)</f>
        <v>-</v>
      </c>
      <c r="K30" s="238" t="str">
        <f>IF($A$1="Peak","-",'Base Hours'!K30*BaseLoad!Q29*'Base Hours'!$AA30)</f>
        <v>-</v>
      </c>
      <c r="L30" s="238" t="str">
        <f>IF($A$1="Peak","-",'Base Hours'!L30*BaseLoad!R29*'Base Hours'!$AA30)</f>
        <v>-</v>
      </c>
      <c r="M30" s="238" t="str">
        <f>IF($A$1="Peak","-",'Base Hours'!M30*BaseLoad!S29*'Base Hours'!$AA30)</f>
        <v>-</v>
      </c>
      <c r="N30" s="238" t="str">
        <f>IF($A$1="Peak","-",'Base Hours'!N30*BaseLoad!T29*'Base Hours'!$AA30)</f>
        <v>-</v>
      </c>
      <c r="O30" s="238" t="str">
        <f>IF($A$1="Peak","-",'Base Hours'!O30*BaseLoad!U29*'Base Hours'!$AA30)</f>
        <v>-</v>
      </c>
      <c r="P30" s="238" t="str">
        <f>IF($A$1="Peak","-",'Base Hours'!P30*BaseLoad!V29*'Base Hours'!$AA30)</f>
        <v>-</v>
      </c>
      <c r="Q30" s="238" t="str">
        <f>IF($A$1="Peak","-",'Base Hours'!Q30*BaseLoad!W29*'Base Hours'!$AA30)</f>
        <v>-</v>
      </c>
      <c r="R30" s="238" t="str">
        <f>IF($A$1="Peak","-",'Base Hours'!R30*BaseLoad!X29*'Base Hours'!$AA30)</f>
        <v>-</v>
      </c>
      <c r="S30" s="238" t="str">
        <f>IF($A$1="Peak","-",'Base Hours'!S30*BaseLoad!Y29*'Base Hours'!$AA30)</f>
        <v>-</v>
      </c>
      <c r="T30" s="238" t="str">
        <f>IF($A$1="Peak","-",'Base Hours'!T30*BaseLoad!Z29*'Base Hours'!$AA30)</f>
        <v>-</v>
      </c>
      <c r="U30" s="238" t="str">
        <f>IF($A$1="Peak","-",'Base Hours'!U30*BaseLoad!AA29*'Base Hours'!$AA30)</f>
        <v>-</v>
      </c>
      <c r="V30" s="238">
        <f t="shared" si="2"/>
        <v>0</v>
      </c>
      <c r="W30" s="238"/>
      <c r="X30" s="238"/>
      <c r="Y30" s="239"/>
      <c r="Z30" s="239">
        <f>(BaseLoad!C29*'Base Hours'!X30*'Base Hours'!$AA30)*-1</f>
        <v>0</v>
      </c>
      <c r="AA30" s="239"/>
      <c r="AB30" s="239">
        <f>(BaseLoad!D29*'Base Hours'!X30*'Base Hours'!$AA30)*-1</f>
        <v>0</v>
      </c>
      <c r="AC30" s="239"/>
      <c r="AD30" s="239">
        <f>(BaseLoad!E29*'Base Hours'!X30*'Base Hours'!$AA30)*-1</f>
        <v>0</v>
      </c>
      <c r="AE30" s="239"/>
      <c r="AF30" s="239">
        <f>(BaseLoad!F29*'Base Hours'!X30*'Base Hours'!$AA30)*-1</f>
        <v>0</v>
      </c>
      <c r="AG30" s="239"/>
    </row>
    <row r="31" spans="1:33" x14ac:dyDescent="0.2">
      <c r="A31" s="1">
        <f t="shared" si="1"/>
        <v>37178.757000000027</v>
      </c>
      <c r="B31" s="238" t="str">
        <f>IF($A$1="Peak","-",'Base Hours'!B31*BaseLoad!H30*'Base Hours'!$AA31)</f>
        <v>-</v>
      </c>
      <c r="C31" s="238" t="str">
        <f>IF($A$1="Peak","-",'Base Hours'!C31*BaseLoad!I30*'Base Hours'!$AA31)</f>
        <v>-</v>
      </c>
      <c r="D31" s="238" t="str">
        <f>IF($A$1="Peak","-",'Base Hours'!D31*BaseLoad!J30*'Base Hours'!$AA31)</f>
        <v>-</v>
      </c>
      <c r="E31" s="238" t="str">
        <f>IF($A$1="Peak","-",'Base Hours'!E31*BaseLoad!K30*'Base Hours'!$AA31)</f>
        <v>-</v>
      </c>
      <c r="F31" s="238" t="str">
        <f>IF($A$1="Peak","-",'Base Hours'!F31*BaseLoad!L30*'Base Hours'!$AA31)</f>
        <v>-</v>
      </c>
      <c r="G31" s="238" t="str">
        <f>IF($A$1="Peak","-",'Base Hours'!G31*BaseLoad!M30*'Base Hours'!$AA31)</f>
        <v>-</v>
      </c>
      <c r="H31" s="238" t="str">
        <f>IF($A$1="Peak","-",'Base Hours'!H31*BaseLoad!N30*'Base Hours'!$AA31)</f>
        <v>-</v>
      </c>
      <c r="I31" s="238" t="str">
        <f>IF($A$1="Peak","-",'Base Hours'!I31*BaseLoad!O30*'Base Hours'!$AA31)</f>
        <v>-</v>
      </c>
      <c r="J31" s="238" t="str">
        <f>IF($A$1="Peak","-",'Base Hours'!J31*BaseLoad!P30*'Base Hours'!$AA31)</f>
        <v>-</v>
      </c>
      <c r="K31" s="238" t="str">
        <f>IF($A$1="Peak","-",'Base Hours'!K31*BaseLoad!Q30*'Base Hours'!$AA31)</f>
        <v>-</v>
      </c>
      <c r="L31" s="238" t="str">
        <f>IF($A$1="Peak","-",'Base Hours'!L31*BaseLoad!R30*'Base Hours'!$AA31)</f>
        <v>-</v>
      </c>
      <c r="M31" s="238" t="str">
        <f>IF($A$1="Peak","-",'Base Hours'!M31*BaseLoad!S30*'Base Hours'!$AA31)</f>
        <v>-</v>
      </c>
      <c r="N31" s="238" t="str">
        <f>IF($A$1="Peak","-",'Base Hours'!N31*BaseLoad!T30*'Base Hours'!$AA31)</f>
        <v>-</v>
      </c>
      <c r="O31" s="238" t="str">
        <f>IF($A$1="Peak","-",'Base Hours'!O31*BaseLoad!U30*'Base Hours'!$AA31)</f>
        <v>-</v>
      </c>
      <c r="P31" s="238" t="str">
        <f>IF($A$1="Peak","-",'Base Hours'!P31*BaseLoad!V30*'Base Hours'!$AA31)</f>
        <v>-</v>
      </c>
      <c r="Q31" s="238" t="str">
        <f>IF($A$1="Peak","-",'Base Hours'!Q31*BaseLoad!W30*'Base Hours'!$AA31)</f>
        <v>-</v>
      </c>
      <c r="R31" s="238" t="str">
        <f>IF($A$1="Peak","-",'Base Hours'!R31*BaseLoad!X30*'Base Hours'!$AA31)</f>
        <v>-</v>
      </c>
      <c r="S31" s="238" t="str">
        <f>IF($A$1="Peak","-",'Base Hours'!S31*BaseLoad!Y30*'Base Hours'!$AA31)</f>
        <v>-</v>
      </c>
      <c r="T31" s="238" t="str">
        <f>IF($A$1="Peak","-",'Base Hours'!T31*BaseLoad!Z30*'Base Hours'!$AA31)</f>
        <v>-</v>
      </c>
      <c r="U31" s="238" t="str">
        <f>IF($A$1="Peak","-",'Base Hours'!U31*BaseLoad!AA30*'Base Hours'!$AA31)</f>
        <v>-</v>
      </c>
      <c r="V31" s="238">
        <f t="shared" si="2"/>
        <v>0</v>
      </c>
      <c r="W31" s="238"/>
      <c r="X31" s="238"/>
      <c r="Y31" s="239"/>
      <c r="Z31" s="239">
        <f>(BaseLoad!C30*'Base Hours'!X31*'Base Hours'!$AA31)*-1</f>
        <v>0</v>
      </c>
      <c r="AA31" s="239"/>
      <c r="AB31" s="239">
        <f>(BaseLoad!D30*'Base Hours'!X31*'Base Hours'!$AA31)*-1</f>
        <v>0</v>
      </c>
      <c r="AC31" s="239"/>
      <c r="AD31" s="239">
        <f>(BaseLoad!E30*'Base Hours'!X31*'Base Hours'!$AA31)*-1</f>
        <v>0</v>
      </c>
      <c r="AE31" s="239"/>
      <c r="AF31" s="239">
        <f>(BaseLoad!F30*'Base Hours'!X31*'Base Hours'!$AA31)*-1</f>
        <v>0</v>
      </c>
      <c r="AG31" s="239"/>
    </row>
    <row r="32" spans="1:33" x14ac:dyDescent="0.2">
      <c r="A32" s="1">
        <f t="shared" si="1"/>
        <v>37209.174000000028</v>
      </c>
      <c r="B32" s="238" t="str">
        <f>IF($A$1="Peak","-",'Base Hours'!B32*BaseLoad!H31*'Base Hours'!$AA32)</f>
        <v>-</v>
      </c>
      <c r="C32" s="238" t="str">
        <f>IF($A$1="Peak","-",'Base Hours'!C32*BaseLoad!I31*'Base Hours'!$AA32)</f>
        <v>-</v>
      </c>
      <c r="D32" s="238" t="str">
        <f>IF($A$1="Peak","-",'Base Hours'!D32*BaseLoad!J31*'Base Hours'!$AA32)</f>
        <v>-</v>
      </c>
      <c r="E32" s="238" t="str">
        <f>IF($A$1="Peak","-",'Base Hours'!E32*BaseLoad!K31*'Base Hours'!$AA32)</f>
        <v>-</v>
      </c>
      <c r="F32" s="238" t="str">
        <f>IF($A$1="Peak","-",'Base Hours'!F32*BaseLoad!L31*'Base Hours'!$AA32)</f>
        <v>-</v>
      </c>
      <c r="G32" s="238" t="str">
        <f>IF($A$1="Peak","-",'Base Hours'!G32*BaseLoad!M31*'Base Hours'!$AA32)</f>
        <v>-</v>
      </c>
      <c r="H32" s="238" t="str">
        <f>IF($A$1="Peak","-",'Base Hours'!H32*BaseLoad!N31*'Base Hours'!$AA32)</f>
        <v>-</v>
      </c>
      <c r="I32" s="238" t="str">
        <f>IF($A$1="Peak","-",'Base Hours'!I32*BaseLoad!O31*'Base Hours'!$AA32)</f>
        <v>-</v>
      </c>
      <c r="J32" s="238" t="str">
        <f>IF($A$1="Peak","-",'Base Hours'!J32*BaseLoad!P31*'Base Hours'!$AA32)</f>
        <v>-</v>
      </c>
      <c r="K32" s="238" t="str">
        <f>IF($A$1="Peak","-",'Base Hours'!K32*BaseLoad!Q31*'Base Hours'!$AA32)</f>
        <v>-</v>
      </c>
      <c r="L32" s="238" t="str">
        <f>IF($A$1="Peak","-",'Base Hours'!L32*BaseLoad!R31*'Base Hours'!$AA32)</f>
        <v>-</v>
      </c>
      <c r="M32" s="238" t="str">
        <f>IF($A$1="Peak","-",'Base Hours'!M32*BaseLoad!S31*'Base Hours'!$AA32)</f>
        <v>-</v>
      </c>
      <c r="N32" s="238" t="str">
        <f>IF($A$1="Peak","-",'Base Hours'!N32*BaseLoad!T31*'Base Hours'!$AA32)</f>
        <v>-</v>
      </c>
      <c r="O32" s="238" t="str">
        <f>IF($A$1="Peak","-",'Base Hours'!O32*BaseLoad!U31*'Base Hours'!$AA32)</f>
        <v>-</v>
      </c>
      <c r="P32" s="238" t="str">
        <f>IF($A$1="Peak","-",'Base Hours'!P32*BaseLoad!V31*'Base Hours'!$AA32)</f>
        <v>-</v>
      </c>
      <c r="Q32" s="238" t="str">
        <f>IF($A$1="Peak","-",'Base Hours'!Q32*BaseLoad!W31*'Base Hours'!$AA32)</f>
        <v>-</v>
      </c>
      <c r="R32" s="238" t="str">
        <f>IF($A$1="Peak","-",'Base Hours'!R32*BaseLoad!X31*'Base Hours'!$AA32)</f>
        <v>-</v>
      </c>
      <c r="S32" s="238" t="str">
        <f>IF($A$1="Peak","-",'Base Hours'!S32*BaseLoad!Y31*'Base Hours'!$AA32)</f>
        <v>-</v>
      </c>
      <c r="T32" s="238" t="str">
        <f>IF($A$1="Peak","-",'Base Hours'!T32*BaseLoad!Z31*'Base Hours'!$AA32)</f>
        <v>-</v>
      </c>
      <c r="U32" s="238" t="str">
        <f>IF($A$1="Peak","-",'Base Hours'!U32*BaseLoad!AA31*'Base Hours'!$AA32)</f>
        <v>-</v>
      </c>
      <c r="V32" s="238">
        <f t="shared" si="2"/>
        <v>0</v>
      </c>
      <c r="W32" s="238"/>
      <c r="X32" s="238"/>
      <c r="Y32" s="239"/>
      <c r="Z32" s="239">
        <f>(BaseLoad!C31*'Base Hours'!X32*'Base Hours'!$AA32)*-1</f>
        <v>0</v>
      </c>
      <c r="AA32" s="239"/>
      <c r="AB32" s="239">
        <f>(BaseLoad!D31*'Base Hours'!X32*'Base Hours'!$AA32)*-1</f>
        <v>0</v>
      </c>
      <c r="AC32" s="239"/>
      <c r="AD32" s="239">
        <f>(BaseLoad!E31*'Base Hours'!X32*'Base Hours'!$AA32)*-1</f>
        <v>0</v>
      </c>
      <c r="AE32" s="239"/>
      <c r="AF32" s="239">
        <f>(BaseLoad!F31*'Base Hours'!X32*'Base Hours'!$AA32)*-1</f>
        <v>0</v>
      </c>
      <c r="AG32" s="239"/>
    </row>
    <row r="33" spans="1:33" x14ac:dyDescent="0.2">
      <c r="A33" s="1">
        <f t="shared" si="1"/>
        <v>37239.591000000029</v>
      </c>
      <c r="B33" s="238" t="str">
        <f>IF($A$1="Peak","-",'Base Hours'!B33*BaseLoad!H32*'Base Hours'!$AA33)</f>
        <v>-</v>
      </c>
      <c r="C33" s="238" t="str">
        <f>IF($A$1="Peak","-",'Base Hours'!C33*BaseLoad!I32*'Base Hours'!$AA33)</f>
        <v>-</v>
      </c>
      <c r="D33" s="238" t="str">
        <f>IF($A$1="Peak","-",'Base Hours'!D33*BaseLoad!J32*'Base Hours'!$AA33)</f>
        <v>-</v>
      </c>
      <c r="E33" s="238" t="str">
        <f>IF($A$1="Peak","-",'Base Hours'!E33*BaseLoad!K32*'Base Hours'!$AA33)</f>
        <v>-</v>
      </c>
      <c r="F33" s="238" t="str">
        <f>IF($A$1="Peak","-",'Base Hours'!F33*BaseLoad!L32*'Base Hours'!$AA33)</f>
        <v>-</v>
      </c>
      <c r="G33" s="238" t="str">
        <f>IF($A$1="Peak","-",'Base Hours'!G33*BaseLoad!M32*'Base Hours'!$AA33)</f>
        <v>-</v>
      </c>
      <c r="H33" s="238" t="str">
        <f>IF($A$1="Peak","-",'Base Hours'!H33*BaseLoad!N32*'Base Hours'!$AA33)</f>
        <v>-</v>
      </c>
      <c r="I33" s="238" t="str">
        <f>IF($A$1="Peak","-",'Base Hours'!I33*BaseLoad!O32*'Base Hours'!$AA33)</f>
        <v>-</v>
      </c>
      <c r="J33" s="238" t="str">
        <f>IF($A$1="Peak","-",'Base Hours'!J33*BaseLoad!P32*'Base Hours'!$AA33)</f>
        <v>-</v>
      </c>
      <c r="K33" s="238" t="str">
        <f>IF($A$1="Peak","-",'Base Hours'!K33*BaseLoad!Q32*'Base Hours'!$AA33)</f>
        <v>-</v>
      </c>
      <c r="L33" s="238" t="str">
        <f>IF($A$1="Peak","-",'Base Hours'!L33*BaseLoad!R32*'Base Hours'!$AA33)</f>
        <v>-</v>
      </c>
      <c r="M33" s="238" t="str">
        <f>IF($A$1="Peak","-",'Base Hours'!M33*BaseLoad!S32*'Base Hours'!$AA33)</f>
        <v>-</v>
      </c>
      <c r="N33" s="238" t="str">
        <f>IF($A$1="Peak","-",'Base Hours'!N33*BaseLoad!T32*'Base Hours'!$AA33)</f>
        <v>-</v>
      </c>
      <c r="O33" s="238" t="str">
        <f>IF($A$1="Peak","-",'Base Hours'!O33*BaseLoad!U32*'Base Hours'!$AA33)</f>
        <v>-</v>
      </c>
      <c r="P33" s="238" t="str">
        <f>IF($A$1="Peak","-",'Base Hours'!P33*BaseLoad!V32*'Base Hours'!$AA33)</f>
        <v>-</v>
      </c>
      <c r="Q33" s="238" t="str">
        <f>IF($A$1="Peak","-",'Base Hours'!Q33*BaseLoad!W32*'Base Hours'!$AA33)</f>
        <v>-</v>
      </c>
      <c r="R33" s="238" t="str">
        <f>IF($A$1="Peak","-",'Base Hours'!R33*BaseLoad!X32*'Base Hours'!$AA33)</f>
        <v>-</v>
      </c>
      <c r="S33" s="238" t="str">
        <f>IF($A$1="Peak","-",'Base Hours'!S33*BaseLoad!Y32*'Base Hours'!$AA33)</f>
        <v>-</v>
      </c>
      <c r="T33" s="238" t="str">
        <f>IF($A$1="Peak","-",'Base Hours'!T33*BaseLoad!Z32*'Base Hours'!$AA33)</f>
        <v>-</v>
      </c>
      <c r="U33" s="238" t="str">
        <f>IF($A$1="Peak","-",'Base Hours'!U33*BaseLoad!AA32*'Base Hours'!$AA33)</f>
        <v>-</v>
      </c>
      <c r="V33" s="238">
        <f t="shared" si="2"/>
        <v>0</v>
      </c>
      <c r="W33" s="238">
        <f>IF($A$1="BL",(SUM(V22:V33)),0)</f>
        <v>0</v>
      </c>
      <c r="X33" s="238">
        <f>IF(AND($A$1="BL",W33&gt;0),(PPA!$B$5*8760*BaseLoad!$AP$15*PPA!$G$4*BaseLoad!$AP$9),0)</f>
        <v>0</v>
      </c>
      <c r="Y33" s="239">
        <f>X33+W33</f>
        <v>0</v>
      </c>
      <c r="Z33" s="239">
        <f>(BaseLoad!C32*'Base Hours'!X33*'Base Hours'!$AA33)*-1</f>
        <v>0</v>
      </c>
      <c r="AA33" s="239">
        <f>SUM(Z22:Z33)</f>
        <v>0</v>
      </c>
      <c r="AB33" s="239">
        <f>(BaseLoad!D32*'Base Hours'!X33*'Base Hours'!$AA33)*-1</f>
        <v>0</v>
      </c>
      <c r="AC33" s="239">
        <f>SUM(AB22:AB33)</f>
        <v>0</v>
      </c>
      <c r="AD33" s="239">
        <f>(BaseLoad!E32*'Base Hours'!X33*'Base Hours'!$AA33)*-1</f>
        <v>0</v>
      </c>
      <c r="AE33" s="239">
        <f>SUM(AD22:AD33)</f>
        <v>0</v>
      </c>
      <c r="AF33" s="239">
        <f>(BaseLoad!F32*'Base Hours'!X33*'Base Hours'!$AA33)*-1</f>
        <v>0</v>
      </c>
      <c r="AG33" s="239">
        <f>SUM(AF22:AF33)</f>
        <v>0</v>
      </c>
    </row>
    <row r="34" spans="1:33" x14ac:dyDescent="0.2">
      <c r="A34" s="1">
        <f t="shared" si="1"/>
        <v>37270.008000000031</v>
      </c>
      <c r="B34" s="238" t="str">
        <f>IF($A$1="Peak","-",'Base Hours'!B34*BaseLoad!H33*'Base Hours'!$AA34)</f>
        <v>-</v>
      </c>
      <c r="C34" s="238" t="str">
        <f>IF($A$1="Peak","-",'Base Hours'!C34*BaseLoad!I33*'Base Hours'!$AA34)</f>
        <v>-</v>
      </c>
      <c r="D34" s="238" t="str">
        <f>IF($A$1="Peak","-",'Base Hours'!D34*BaseLoad!J33*'Base Hours'!$AA34)</f>
        <v>-</v>
      </c>
      <c r="E34" s="238" t="str">
        <f>IF($A$1="Peak","-",'Base Hours'!E34*BaseLoad!K33*'Base Hours'!$AA34)</f>
        <v>-</v>
      </c>
      <c r="F34" s="238" t="str">
        <f>IF($A$1="Peak","-",'Base Hours'!F34*BaseLoad!L33*'Base Hours'!$AA34)</f>
        <v>-</v>
      </c>
      <c r="G34" s="238" t="str">
        <f>IF($A$1="Peak","-",'Base Hours'!G34*BaseLoad!M33*'Base Hours'!$AA34)</f>
        <v>-</v>
      </c>
      <c r="H34" s="238" t="str">
        <f>IF($A$1="Peak","-",'Base Hours'!H34*BaseLoad!N33*'Base Hours'!$AA34)</f>
        <v>-</v>
      </c>
      <c r="I34" s="238" t="str">
        <f>IF($A$1="Peak","-",'Base Hours'!I34*BaseLoad!O33*'Base Hours'!$AA34)</f>
        <v>-</v>
      </c>
      <c r="J34" s="238" t="str">
        <f>IF($A$1="Peak","-",'Base Hours'!J34*BaseLoad!P33*'Base Hours'!$AA34)</f>
        <v>-</v>
      </c>
      <c r="K34" s="238" t="str">
        <f>IF($A$1="Peak","-",'Base Hours'!K34*BaseLoad!Q33*'Base Hours'!$AA34)</f>
        <v>-</v>
      </c>
      <c r="L34" s="238" t="str">
        <f>IF($A$1="Peak","-",'Base Hours'!L34*BaseLoad!R33*'Base Hours'!$AA34)</f>
        <v>-</v>
      </c>
      <c r="M34" s="238" t="str">
        <f>IF($A$1="Peak","-",'Base Hours'!M34*BaseLoad!S33*'Base Hours'!$AA34)</f>
        <v>-</v>
      </c>
      <c r="N34" s="238" t="str">
        <f>IF($A$1="Peak","-",'Base Hours'!N34*BaseLoad!T33*'Base Hours'!$AA34)</f>
        <v>-</v>
      </c>
      <c r="O34" s="238" t="str">
        <f>IF($A$1="Peak","-",'Base Hours'!O34*BaseLoad!U33*'Base Hours'!$AA34)</f>
        <v>-</v>
      </c>
      <c r="P34" s="238" t="str">
        <f>IF($A$1="Peak","-",'Base Hours'!P34*BaseLoad!V33*'Base Hours'!$AA34)</f>
        <v>-</v>
      </c>
      <c r="Q34" s="238" t="str">
        <f>IF($A$1="Peak","-",'Base Hours'!Q34*BaseLoad!W33*'Base Hours'!$AA34)</f>
        <v>-</v>
      </c>
      <c r="R34" s="238" t="str">
        <f>IF($A$1="Peak","-",'Base Hours'!R34*BaseLoad!X33*'Base Hours'!$AA34)</f>
        <v>-</v>
      </c>
      <c r="S34" s="238" t="str">
        <f>IF($A$1="Peak","-",'Base Hours'!S34*BaseLoad!Y33*'Base Hours'!$AA34)</f>
        <v>-</v>
      </c>
      <c r="T34" s="238" t="str">
        <f>IF($A$1="Peak","-",'Base Hours'!T34*BaseLoad!Z33*'Base Hours'!$AA34)</f>
        <v>-</v>
      </c>
      <c r="U34" s="238" t="str">
        <f>IF($A$1="Peak","-",'Base Hours'!U34*BaseLoad!AA33*'Base Hours'!$AA34)</f>
        <v>-</v>
      </c>
      <c r="V34" s="238">
        <f t="shared" si="2"/>
        <v>0</v>
      </c>
      <c r="W34" s="238"/>
      <c r="X34" s="238"/>
      <c r="Y34" s="239"/>
      <c r="Z34" s="239">
        <f>(BaseLoad!C33*'Base Hours'!X34*'Base Hours'!$AA34)*-1</f>
        <v>0</v>
      </c>
      <c r="AA34" s="239"/>
      <c r="AB34" s="239">
        <f>(BaseLoad!D33*'Base Hours'!X34*'Base Hours'!$AA34)*-1</f>
        <v>0</v>
      </c>
      <c r="AC34" s="239"/>
      <c r="AD34" s="239">
        <f>(BaseLoad!E33*'Base Hours'!X34*'Base Hours'!$AA34)*-1</f>
        <v>0</v>
      </c>
      <c r="AE34" s="239"/>
      <c r="AF34" s="239">
        <f>(BaseLoad!F33*'Base Hours'!X34*'Base Hours'!$AA34)*-1</f>
        <v>0</v>
      </c>
      <c r="AG34" s="239"/>
    </row>
    <row r="35" spans="1:33" x14ac:dyDescent="0.2">
      <c r="A35" s="1">
        <f t="shared" si="1"/>
        <v>37300.425000000032</v>
      </c>
      <c r="B35" s="238" t="str">
        <f>IF($A$1="Peak","-",'Base Hours'!B35*BaseLoad!H34*'Base Hours'!$AA35)</f>
        <v>-</v>
      </c>
      <c r="C35" s="238" t="str">
        <f>IF($A$1="Peak","-",'Base Hours'!C35*BaseLoad!I34*'Base Hours'!$AA35)</f>
        <v>-</v>
      </c>
      <c r="D35" s="238" t="str">
        <f>IF($A$1="Peak","-",'Base Hours'!D35*BaseLoad!J34*'Base Hours'!$AA35)</f>
        <v>-</v>
      </c>
      <c r="E35" s="238" t="str">
        <f>IF($A$1="Peak","-",'Base Hours'!E35*BaseLoad!K34*'Base Hours'!$AA35)</f>
        <v>-</v>
      </c>
      <c r="F35" s="238" t="str">
        <f>IF($A$1="Peak","-",'Base Hours'!F35*BaseLoad!L34*'Base Hours'!$AA35)</f>
        <v>-</v>
      </c>
      <c r="G35" s="238" t="str">
        <f>IF($A$1="Peak","-",'Base Hours'!G35*BaseLoad!M34*'Base Hours'!$AA35)</f>
        <v>-</v>
      </c>
      <c r="H35" s="238" t="str">
        <f>IF($A$1="Peak","-",'Base Hours'!H35*BaseLoad!N34*'Base Hours'!$AA35)</f>
        <v>-</v>
      </c>
      <c r="I35" s="238" t="str">
        <f>IF($A$1="Peak","-",'Base Hours'!I35*BaseLoad!O34*'Base Hours'!$AA35)</f>
        <v>-</v>
      </c>
      <c r="J35" s="238" t="str">
        <f>IF($A$1="Peak","-",'Base Hours'!J35*BaseLoad!P34*'Base Hours'!$AA35)</f>
        <v>-</v>
      </c>
      <c r="K35" s="238" t="str">
        <f>IF($A$1="Peak","-",'Base Hours'!K35*BaseLoad!Q34*'Base Hours'!$AA35)</f>
        <v>-</v>
      </c>
      <c r="L35" s="238" t="str">
        <f>IF($A$1="Peak","-",'Base Hours'!L35*BaseLoad!R34*'Base Hours'!$AA35)</f>
        <v>-</v>
      </c>
      <c r="M35" s="238" t="str">
        <f>IF($A$1="Peak","-",'Base Hours'!M35*BaseLoad!S34*'Base Hours'!$AA35)</f>
        <v>-</v>
      </c>
      <c r="N35" s="238" t="str">
        <f>IF($A$1="Peak","-",'Base Hours'!N35*BaseLoad!T34*'Base Hours'!$AA35)</f>
        <v>-</v>
      </c>
      <c r="O35" s="238" t="str">
        <f>IF($A$1="Peak","-",'Base Hours'!O35*BaseLoad!U34*'Base Hours'!$AA35)</f>
        <v>-</v>
      </c>
      <c r="P35" s="238" t="str">
        <f>IF($A$1="Peak","-",'Base Hours'!P35*BaseLoad!V34*'Base Hours'!$AA35)</f>
        <v>-</v>
      </c>
      <c r="Q35" s="238" t="str">
        <f>IF($A$1="Peak","-",'Base Hours'!Q35*BaseLoad!W34*'Base Hours'!$AA35)</f>
        <v>-</v>
      </c>
      <c r="R35" s="238" t="str">
        <f>IF($A$1="Peak","-",'Base Hours'!R35*BaseLoad!X34*'Base Hours'!$AA35)</f>
        <v>-</v>
      </c>
      <c r="S35" s="238" t="str">
        <f>IF($A$1="Peak","-",'Base Hours'!S35*BaseLoad!Y34*'Base Hours'!$AA35)</f>
        <v>-</v>
      </c>
      <c r="T35" s="238" t="str">
        <f>IF($A$1="Peak","-",'Base Hours'!T35*BaseLoad!Z34*'Base Hours'!$AA35)</f>
        <v>-</v>
      </c>
      <c r="U35" s="238" t="str">
        <f>IF($A$1="Peak","-",'Base Hours'!U35*BaseLoad!AA34*'Base Hours'!$AA35)</f>
        <v>-</v>
      </c>
      <c r="V35" s="238">
        <f t="shared" si="2"/>
        <v>0</v>
      </c>
      <c r="W35" s="238"/>
      <c r="X35" s="238"/>
      <c r="Y35" s="239"/>
      <c r="Z35" s="239">
        <f>(BaseLoad!C34*'Base Hours'!X35*'Base Hours'!$AA35)*-1</f>
        <v>0</v>
      </c>
      <c r="AA35" s="239"/>
      <c r="AB35" s="239">
        <f>(BaseLoad!D34*'Base Hours'!X35*'Base Hours'!$AA35)*-1</f>
        <v>0</v>
      </c>
      <c r="AC35" s="239"/>
      <c r="AD35" s="239">
        <f>(BaseLoad!E34*'Base Hours'!X35*'Base Hours'!$AA35)*-1</f>
        <v>0</v>
      </c>
      <c r="AE35" s="239"/>
      <c r="AF35" s="239">
        <f>(BaseLoad!F34*'Base Hours'!X35*'Base Hours'!$AA35)*-1</f>
        <v>0</v>
      </c>
      <c r="AG35" s="239"/>
    </row>
    <row r="36" spans="1:33" x14ac:dyDescent="0.2">
      <c r="A36" s="1">
        <f t="shared" si="1"/>
        <v>37330.842000000033</v>
      </c>
      <c r="B36" s="238" t="str">
        <f>IF($A$1="Peak","-",'Base Hours'!B36*BaseLoad!H35*'Base Hours'!$AA36)</f>
        <v>-</v>
      </c>
      <c r="C36" s="238" t="str">
        <f>IF($A$1="Peak","-",'Base Hours'!C36*BaseLoad!I35*'Base Hours'!$AA36)</f>
        <v>-</v>
      </c>
      <c r="D36" s="238" t="str">
        <f>IF($A$1="Peak","-",'Base Hours'!D36*BaseLoad!J35*'Base Hours'!$AA36)</f>
        <v>-</v>
      </c>
      <c r="E36" s="238" t="str">
        <f>IF($A$1="Peak","-",'Base Hours'!E36*BaseLoad!K35*'Base Hours'!$AA36)</f>
        <v>-</v>
      </c>
      <c r="F36" s="238" t="str">
        <f>IF($A$1="Peak","-",'Base Hours'!F36*BaseLoad!L35*'Base Hours'!$AA36)</f>
        <v>-</v>
      </c>
      <c r="G36" s="238" t="str">
        <f>IF($A$1="Peak","-",'Base Hours'!G36*BaseLoad!M35*'Base Hours'!$AA36)</f>
        <v>-</v>
      </c>
      <c r="H36" s="238" t="str">
        <f>IF($A$1="Peak","-",'Base Hours'!H36*BaseLoad!N35*'Base Hours'!$AA36)</f>
        <v>-</v>
      </c>
      <c r="I36" s="238" t="str">
        <f>IF($A$1="Peak","-",'Base Hours'!I36*BaseLoad!O35*'Base Hours'!$AA36)</f>
        <v>-</v>
      </c>
      <c r="J36" s="238" t="str">
        <f>IF($A$1="Peak","-",'Base Hours'!J36*BaseLoad!P35*'Base Hours'!$AA36)</f>
        <v>-</v>
      </c>
      <c r="K36" s="238" t="str">
        <f>IF($A$1="Peak","-",'Base Hours'!K36*BaseLoad!Q35*'Base Hours'!$AA36)</f>
        <v>-</v>
      </c>
      <c r="L36" s="238" t="str">
        <f>IF($A$1="Peak","-",'Base Hours'!L36*BaseLoad!R35*'Base Hours'!$AA36)</f>
        <v>-</v>
      </c>
      <c r="M36" s="238" t="str">
        <f>IF($A$1="Peak","-",'Base Hours'!M36*BaseLoad!S35*'Base Hours'!$AA36)</f>
        <v>-</v>
      </c>
      <c r="N36" s="238" t="str">
        <f>IF($A$1="Peak","-",'Base Hours'!N36*BaseLoad!T35*'Base Hours'!$AA36)</f>
        <v>-</v>
      </c>
      <c r="O36" s="238" t="str">
        <f>IF($A$1="Peak","-",'Base Hours'!O36*BaseLoad!U35*'Base Hours'!$AA36)</f>
        <v>-</v>
      </c>
      <c r="P36" s="238" t="str">
        <f>IF($A$1="Peak","-",'Base Hours'!P36*BaseLoad!V35*'Base Hours'!$AA36)</f>
        <v>-</v>
      </c>
      <c r="Q36" s="238" t="str">
        <f>IF($A$1="Peak","-",'Base Hours'!Q36*BaseLoad!W35*'Base Hours'!$AA36)</f>
        <v>-</v>
      </c>
      <c r="R36" s="238" t="str">
        <f>IF($A$1="Peak","-",'Base Hours'!R36*BaseLoad!X35*'Base Hours'!$AA36)</f>
        <v>-</v>
      </c>
      <c r="S36" s="238" t="str">
        <f>IF($A$1="Peak","-",'Base Hours'!S36*BaseLoad!Y35*'Base Hours'!$AA36)</f>
        <v>-</v>
      </c>
      <c r="T36" s="238" t="str">
        <f>IF($A$1="Peak","-",'Base Hours'!T36*BaseLoad!Z35*'Base Hours'!$AA36)</f>
        <v>-</v>
      </c>
      <c r="U36" s="238" t="str">
        <f>IF($A$1="Peak","-",'Base Hours'!U36*BaseLoad!AA35*'Base Hours'!$AA36)</f>
        <v>-</v>
      </c>
      <c r="V36" s="238">
        <f t="shared" si="2"/>
        <v>0</v>
      </c>
      <c r="W36" s="238"/>
      <c r="X36" s="238"/>
      <c r="Y36" s="239"/>
      <c r="Z36" s="239">
        <f>(BaseLoad!C35*'Base Hours'!X36*'Base Hours'!$AA36)*-1</f>
        <v>0</v>
      </c>
      <c r="AA36" s="239"/>
      <c r="AB36" s="239">
        <f>(BaseLoad!D35*'Base Hours'!X36*'Base Hours'!$AA36)*-1</f>
        <v>0</v>
      </c>
      <c r="AC36" s="239"/>
      <c r="AD36" s="239">
        <f>(BaseLoad!E35*'Base Hours'!X36*'Base Hours'!$AA36)*-1</f>
        <v>0</v>
      </c>
      <c r="AE36" s="239"/>
      <c r="AF36" s="239">
        <f>(BaseLoad!F35*'Base Hours'!X36*'Base Hours'!$AA36)*-1</f>
        <v>0</v>
      </c>
      <c r="AG36" s="239"/>
    </row>
    <row r="37" spans="1:33" x14ac:dyDescent="0.2">
      <c r="A37" s="1">
        <f t="shared" si="1"/>
        <v>37361.259000000035</v>
      </c>
      <c r="B37" s="238" t="str">
        <f>IF($A$1="Peak","-",'Base Hours'!B37*BaseLoad!H36*'Base Hours'!$AA37)</f>
        <v>-</v>
      </c>
      <c r="C37" s="238" t="str">
        <f>IF($A$1="Peak","-",'Base Hours'!C37*BaseLoad!I36*'Base Hours'!$AA37)</f>
        <v>-</v>
      </c>
      <c r="D37" s="238" t="str">
        <f>IF($A$1="Peak","-",'Base Hours'!D37*BaseLoad!J36*'Base Hours'!$AA37)</f>
        <v>-</v>
      </c>
      <c r="E37" s="238" t="str">
        <f>IF($A$1="Peak","-",'Base Hours'!E37*BaseLoad!K36*'Base Hours'!$AA37)</f>
        <v>-</v>
      </c>
      <c r="F37" s="238" t="str">
        <f>IF($A$1="Peak","-",'Base Hours'!F37*BaseLoad!L36*'Base Hours'!$AA37)</f>
        <v>-</v>
      </c>
      <c r="G37" s="238" t="str">
        <f>IF($A$1="Peak","-",'Base Hours'!G37*BaseLoad!M36*'Base Hours'!$AA37)</f>
        <v>-</v>
      </c>
      <c r="H37" s="238" t="str">
        <f>IF($A$1="Peak","-",'Base Hours'!H37*BaseLoad!N36*'Base Hours'!$AA37)</f>
        <v>-</v>
      </c>
      <c r="I37" s="238" t="str">
        <f>IF($A$1="Peak","-",'Base Hours'!I37*BaseLoad!O36*'Base Hours'!$AA37)</f>
        <v>-</v>
      </c>
      <c r="J37" s="238" t="str">
        <f>IF($A$1="Peak","-",'Base Hours'!J37*BaseLoad!P36*'Base Hours'!$AA37)</f>
        <v>-</v>
      </c>
      <c r="K37" s="238" t="str">
        <f>IF($A$1="Peak","-",'Base Hours'!K37*BaseLoad!Q36*'Base Hours'!$AA37)</f>
        <v>-</v>
      </c>
      <c r="L37" s="238" t="str">
        <f>IF($A$1="Peak","-",'Base Hours'!L37*BaseLoad!R36*'Base Hours'!$AA37)</f>
        <v>-</v>
      </c>
      <c r="M37" s="238" t="str">
        <f>IF($A$1="Peak","-",'Base Hours'!M37*BaseLoad!S36*'Base Hours'!$AA37)</f>
        <v>-</v>
      </c>
      <c r="N37" s="238" t="str">
        <f>IF($A$1="Peak","-",'Base Hours'!N37*BaseLoad!T36*'Base Hours'!$AA37)</f>
        <v>-</v>
      </c>
      <c r="O37" s="238" t="str">
        <f>IF($A$1="Peak","-",'Base Hours'!O37*BaseLoad!U36*'Base Hours'!$AA37)</f>
        <v>-</v>
      </c>
      <c r="P37" s="238" t="str">
        <f>IF($A$1="Peak","-",'Base Hours'!P37*BaseLoad!V36*'Base Hours'!$AA37)</f>
        <v>-</v>
      </c>
      <c r="Q37" s="238" t="str">
        <f>IF($A$1="Peak","-",'Base Hours'!Q37*BaseLoad!W36*'Base Hours'!$AA37)</f>
        <v>-</v>
      </c>
      <c r="R37" s="238" t="str">
        <f>IF($A$1="Peak","-",'Base Hours'!R37*BaseLoad!X36*'Base Hours'!$AA37)</f>
        <v>-</v>
      </c>
      <c r="S37" s="238" t="str">
        <f>IF($A$1="Peak","-",'Base Hours'!S37*BaseLoad!Y36*'Base Hours'!$AA37)</f>
        <v>-</v>
      </c>
      <c r="T37" s="238" t="str">
        <f>IF($A$1="Peak","-",'Base Hours'!T37*BaseLoad!Z36*'Base Hours'!$AA37)</f>
        <v>-</v>
      </c>
      <c r="U37" s="238" t="str">
        <f>IF($A$1="Peak","-",'Base Hours'!U37*BaseLoad!AA36*'Base Hours'!$AA37)</f>
        <v>-</v>
      </c>
      <c r="V37" s="238">
        <f t="shared" si="2"/>
        <v>0</v>
      </c>
      <c r="W37" s="238"/>
      <c r="X37" s="238"/>
      <c r="Y37" s="239"/>
      <c r="Z37" s="239">
        <f>(BaseLoad!C36*'Base Hours'!X37*'Base Hours'!$AA37)*-1</f>
        <v>0</v>
      </c>
      <c r="AA37" s="239"/>
      <c r="AB37" s="239">
        <f>(BaseLoad!D36*'Base Hours'!X37*'Base Hours'!$AA37)*-1</f>
        <v>0</v>
      </c>
      <c r="AC37" s="239"/>
      <c r="AD37" s="239">
        <f>(BaseLoad!E36*'Base Hours'!X37*'Base Hours'!$AA37)*-1</f>
        <v>0</v>
      </c>
      <c r="AE37" s="239"/>
      <c r="AF37" s="239">
        <f>(BaseLoad!F36*'Base Hours'!X37*'Base Hours'!$AA37)*-1</f>
        <v>0</v>
      </c>
      <c r="AG37" s="239"/>
    </row>
    <row r="38" spans="1:33" x14ac:dyDescent="0.2">
      <c r="A38" s="1">
        <f t="shared" si="1"/>
        <v>37391.676000000036</v>
      </c>
      <c r="B38" s="238" t="str">
        <f>IF($A$1="Peak","-",'Base Hours'!B38*BaseLoad!H37*'Base Hours'!$AA38)</f>
        <v>-</v>
      </c>
      <c r="C38" s="238" t="str">
        <f>IF($A$1="Peak","-",'Base Hours'!C38*BaseLoad!I37*'Base Hours'!$AA38)</f>
        <v>-</v>
      </c>
      <c r="D38" s="238" t="str">
        <f>IF($A$1="Peak","-",'Base Hours'!D38*BaseLoad!J37*'Base Hours'!$AA38)</f>
        <v>-</v>
      </c>
      <c r="E38" s="238" t="str">
        <f>IF($A$1="Peak","-",'Base Hours'!E38*BaseLoad!K37*'Base Hours'!$AA38)</f>
        <v>-</v>
      </c>
      <c r="F38" s="238" t="str">
        <f>IF($A$1="Peak","-",'Base Hours'!F38*BaseLoad!L37*'Base Hours'!$AA38)</f>
        <v>-</v>
      </c>
      <c r="G38" s="238" t="str">
        <f>IF($A$1="Peak","-",'Base Hours'!G38*BaseLoad!M37*'Base Hours'!$AA38)</f>
        <v>-</v>
      </c>
      <c r="H38" s="238" t="str">
        <f>IF($A$1="Peak","-",'Base Hours'!H38*BaseLoad!N37*'Base Hours'!$AA38)</f>
        <v>-</v>
      </c>
      <c r="I38" s="238" t="str">
        <f>IF($A$1="Peak","-",'Base Hours'!I38*BaseLoad!O37*'Base Hours'!$AA38)</f>
        <v>-</v>
      </c>
      <c r="J38" s="238" t="str">
        <f>IF($A$1="Peak","-",'Base Hours'!J38*BaseLoad!P37*'Base Hours'!$AA38)</f>
        <v>-</v>
      </c>
      <c r="K38" s="238" t="str">
        <f>IF($A$1="Peak","-",'Base Hours'!K38*BaseLoad!Q37*'Base Hours'!$AA38)</f>
        <v>-</v>
      </c>
      <c r="L38" s="238" t="str">
        <f>IF($A$1="Peak","-",'Base Hours'!L38*BaseLoad!R37*'Base Hours'!$AA38)</f>
        <v>-</v>
      </c>
      <c r="M38" s="238" t="str">
        <f>IF($A$1="Peak","-",'Base Hours'!M38*BaseLoad!S37*'Base Hours'!$AA38)</f>
        <v>-</v>
      </c>
      <c r="N38" s="238" t="str">
        <f>IF($A$1="Peak","-",'Base Hours'!N38*BaseLoad!T37*'Base Hours'!$AA38)</f>
        <v>-</v>
      </c>
      <c r="O38" s="238" t="str">
        <f>IF($A$1="Peak","-",'Base Hours'!O38*BaseLoad!U37*'Base Hours'!$AA38)</f>
        <v>-</v>
      </c>
      <c r="P38" s="238" t="str">
        <f>IF($A$1="Peak","-",'Base Hours'!P38*BaseLoad!V37*'Base Hours'!$AA38)</f>
        <v>-</v>
      </c>
      <c r="Q38" s="238" t="str">
        <f>IF($A$1="Peak","-",'Base Hours'!Q38*BaseLoad!W37*'Base Hours'!$AA38)</f>
        <v>-</v>
      </c>
      <c r="R38" s="238" t="str">
        <f>IF($A$1="Peak","-",'Base Hours'!R38*BaseLoad!X37*'Base Hours'!$AA38)</f>
        <v>-</v>
      </c>
      <c r="S38" s="238" t="str">
        <f>IF($A$1="Peak","-",'Base Hours'!S38*BaseLoad!Y37*'Base Hours'!$AA38)</f>
        <v>-</v>
      </c>
      <c r="T38" s="238" t="str">
        <f>IF($A$1="Peak","-",'Base Hours'!T38*BaseLoad!Z37*'Base Hours'!$AA38)</f>
        <v>-</v>
      </c>
      <c r="U38" s="238" t="str">
        <f>IF($A$1="Peak","-",'Base Hours'!U38*BaseLoad!AA37*'Base Hours'!$AA38)</f>
        <v>-</v>
      </c>
      <c r="V38" s="238">
        <f t="shared" si="2"/>
        <v>0</v>
      </c>
      <c r="W38" s="238"/>
      <c r="X38" s="238"/>
      <c r="Y38" s="239"/>
      <c r="Z38" s="239">
        <f>(BaseLoad!C37*'Base Hours'!X38*'Base Hours'!$AA38)*-1</f>
        <v>0</v>
      </c>
      <c r="AA38" s="239"/>
      <c r="AB38" s="239">
        <f>(BaseLoad!D37*'Base Hours'!X38*'Base Hours'!$AA38)*-1</f>
        <v>0</v>
      </c>
      <c r="AC38" s="239"/>
      <c r="AD38" s="239">
        <f>(BaseLoad!E37*'Base Hours'!X38*'Base Hours'!$AA38)*-1</f>
        <v>0</v>
      </c>
      <c r="AE38" s="239"/>
      <c r="AF38" s="239">
        <f>(BaseLoad!F37*'Base Hours'!X38*'Base Hours'!$AA38)*-1</f>
        <v>0</v>
      </c>
      <c r="AG38" s="239"/>
    </row>
    <row r="39" spans="1:33" x14ac:dyDescent="0.2">
      <c r="A39" s="1">
        <f t="shared" si="1"/>
        <v>37422.093000000037</v>
      </c>
      <c r="B39" s="238" t="str">
        <f>IF($A$1="Peak","-",'Base Hours'!B39*BaseLoad!H38*'Base Hours'!$AA39)</f>
        <v>-</v>
      </c>
      <c r="C39" s="238" t="str">
        <f>IF($A$1="Peak","-",'Base Hours'!C39*BaseLoad!I38*'Base Hours'!$AA39)</f>
        <v>-</v>
      </c>
      <c r="D39" s="238" t="str">
        <f>IF($A$1="Peak","-",'Base Hours'!D39*BaseLoad!J38*'Base Hours'!$AA39)</f>
        <v>-</v>
      </c>
      <c r="E39" s="238" t="str">
        <f>IF($A$1="Peak","-",'Base Hours'!E39*BaseLoad!K38*'Base Hours'!$AA39)</f>
        <v>-</v>
      </c>
      <c r="F39" s="238" t="str">
        <f>IF($A$1="Peak","-",'Base Hours'!F39*BaseLoad!L38*'Base Hours'!$AA39)</f>
        <v>-</v>
      </c>
      <c r="G39" s="238" t="str">
        <f>IF($A$1="Peak","-",'Base Hours'!G39*BaseLoad!M38*'Base Hours'!$AA39)</f>
        <v>-</v>
      </c>
      <c r="H39" s="238" t="str">
        <f>IF($A$1="Peak","-",'Base Hours'!H39*BaseLoad!N38*'Base Hours'!$AA39)</f>
        <v>-</v>
      </c>
      <c r="I39" s="238" t="str">
        <f>IF($A$1="Peak","-",'Base Hours'!I39*BaseLoad!O38*'Base Hours'!$AA39)</f>
        <v>-</v>
      </c>
      <c r="J39" s="238" t="str">
        <f>IF($A$1="Peak","-",'Base Hours'!J39*BaseLoad!P38*'Base Hours'!$AA39)</f>
        <v>-</v>
      </c>
      <c r="K39" s="238" t="str">
        <f>IF($A$1="Peak","-",'Base Hours'!K39*BaseLoad!Q38*'Base Hours'!$AA39)</f>
        <v>-</v>
      </c>
      <c r="L39" s="238" t="str">
        <f>IF($A$1="Peak","-",'Base Hours'!L39*BaseLoad!R38*'Base Hours'!$AA39)</f>
        <v>-</v>
      </c>
      <c r="M39" s="238" t="str">
        <f>IF($A$1="Peak","-",'Base Hours'!M39*BaseLoad!S38*'Base Hours'!$AA39)</f>
        <v>-</v>
      </c>
      <c r="N39" s="238" t="str">
        <f>IF($A$1="Peak","-",'Base Hours'!N39*BaseLoad!T38*'Base Hours'!$AA39)</f>
        <v>-</v>
      </c>
      <c r="O39" s="238" t="str">
        <f>IF($A$1="Peak","-",'Base Hours'!O39*BaseLoad!U38*'Base Hours'!$AA39)</f>
        <v>-</v>
      </c>
      <c r="P39" s="238" t="str">
        <f>IF($A$1="Peak","-",'Base Hours'!P39*BaseLoad!V38*'Base Hours'!$AA39)</f>
        <v>-</v>
      </c>
      <c r="Q39" s="238" t="str">
        <f>IF($A$1="Peak","-",'Base Hours'!Q39*BaseLoad!W38*'Base Hours'!$AA39)</f>
        <v>-</v>
      </c>
      <c r="R39" s="238" t="str">
        <f>IF($A$1="Peak","-",'Base Hours'!R39*BaseLoad!X38*'Base Hours'!$AA39)</f>
        <v>-</v>
      </c>
      <c r="S39" s="238" t="str">
        <f>IF($A$1="Peak","-",'Base Hours'!S39*BaseLoad!Y38*'Base Hours'!$AA39)</f>
        <v>-</v>
      </c>
      <c r="T39" s="238" t="str">
        <f>IF($A$1="Peak","-",'Base Hours'!T39*BaseLoad!Z38*'Base Hours'!$AA39)</f>
        <v>-</v>
      </c>
      <c r="U39" s="238" t="str">
        <f>IF($A$1="Peak","-",'Base Hours'!U39*BaseLoad!AA38*'Base Hours'!$AA39)</f>
        <v>-</v>
      </c>
      <c r="V39" s="238">
        <f t="shared" si="2"/>
        <v>0</v>
      </c>
      <c r="W39" s="238"/>
      <c r="X39" s="238"/>
      <c r="Y39" s="239"/>
      <c r="Z39" s="239">
        <f>(BaseLoad!C38*'Base Hours'!X39*'Base Hours'!$AA39)*-1</f>
        <v>0</v>
      </c>
      <c r="AA39" s="239"/>
      <c r="AB39" s="239">
        <f>(BaseLoad!D38*'Base Hours'!X39*'Base Hours'!$AA39)*-1</f>
        <v>0</v>
      </c>
      <c r="AC39" s="239"/>
      <c r="AD39" s="239">
        <f>(BaseLoad!E38*'Base Hours'!X39*'Base Hours'!$AA39)*-1</f>
        <v>0</v>
      </c>
      <c r="AE39" s="239"/>
      <c r="AF39" s="239">
        <f>(BaseLoad!F38*'Base Hours'!X39*'Base Hours'!$AA39)*-1</f>
        <v>0</v>
      </c>
      <c r="AG39" s="239"/>
    </row>
    <row r="40" spans="1:33" x14ac:dyDescent="0.2">
      <c r="A40" s="1">
        <f t="shared" si="1"/>
        <v>37452.510000000038</v>
      </c>
      <c r="B40" s="238" t="str">
        <f>IF($A$1="Peak","-",'Base Hours'!B40*BaseLoad!H39*'Base Hours'!$AA40)</f>
        <v>-</v>
      </c>
      <c r="C40" s="238" t="str">
        <f>IF($A$1="Peak","-",'Base Hours'!C40*BaseLoad!I39*'Base Hours'!$AA40)</f>
        <v>-</v>
      </c>
      <c r="D40" s="238" t="str">
        <f>IF($A$1="Peak","-",'Base Hours'!D40*BaseLoad!J39*'Base Hours'!$AA40)</f>
        <v>-</v>
      </c>
      <c r="E40" s="238" t="str">
        <f>IF($A$1="Peak","-",'Base Hours'!E40*BaseLoad!K39*'Base Hours'!$AA40)</f>
        <v>-</v>
      </c>
      <c r="F40" s="238" t="str">
        <f>IF($A$1="Peak","-",'Base Hours'!F40*BaseLoad!L39*'Base Hours'!$AA40)</f>
        <v>-</v>
      </c>
      <c r="G40" s="238" t="str">
        <f>IF($A$1="Peak","-",'Base Hours'!G40*BaseLoad!M39*'Base Hours'!$AA40)</f>
        <v>-</v>
      </c>
      <c r="H40" s="238" t="str">
        <f>IF($A$1="Peak","-",'Base Hours'!H40*BaseLoad!N39*'Base Hours'!$AA40)</f>
        <v>-</v>
      </c>
      <c r="I40" s="238" t="str">
        <f>IF($A$1="Peak","-",'Base Hours'!I40*BaseLoad!O39*'Base Hours'!$AA40)</f>
        <v>-</v>
      </c>
      <c r="J40" s="238" t="str">
        <f>IF($A$1="Peak","-",'Base Hours'!J40*BaseLoad!P39*'Base Hours'!$AA40)</f>
        <v>-</v>
      </c>
      <c r="K40" s="238" t="str">
        <f>IF($A$1="Peak","-",'Base Hours'!K40*BaseLoad!Q39*'Base Hours'!$AA40)</f>
        <v>-</v>
      </c>
      <c r="L40" s="238" t="str">
        <f>IF($A$1="Peak","-",'Base Hours'!L40*BaseLoad!R39*'Base Hours'!$AA40)</f>
        <v>-</v>
      </c>
      <c r="M40" s="238" t="str">
        <f>IF($A$1="Peak","-",'Base Hours'!M40*BaseLoad!S39*'Base Hours'!$AA40)</f>
        <v>-</v>
      </c>
      <c r="N40" s="238" t="str">
        <f>IF($A$1="Peak","-",'Base Hours'!N40*BaseLoad!T39*'Base Hours'!$AA40)</f>
        <v>-</v>
      </c>
      <c r="O40" s="238" t="str">
        <f>IF($A$1="Peak","-",'Base Hours'!O40*BaseLoad!U39*'Base Hours'!$AA40)</f>
        <v>-</v>
      </c>
      <c r="P40" s="238" t="str">
        <f>IF($A$1="Peak","-",'Base Hours'!P40*BaseLoad!V39*'Base Hours'!$AA40)</f>
        <v>-</v>
      </c>
      <c r="Q40" s="238" t="str">
        <f>IF($A$1="Peak","-",'Base Hours'!Q40*BaseLoad!W39*'Base Hours'!$AA40)</f>
        <v>-</v>
      </c>
      <c r="R40" s="238" t="str">
        <f>IF($A$1="Peak","-",'Base Hours'!R40*BaseLoad!X39*'Base Hours'!$AA40)</f>
        <v>-</v>
      </c>
      <c r="S40" s="238" t="str">
        <f>IF($A$1="Peak","-",'Base Hours'!S40*BaseLoad!Y39*'Base Hours'!$AA40)</f>
        <v>-</v>
      </c>
      <c r="T40" s="238" t="str">
        <f>IF($A$1="Peak","-",'Base Hours'!T40*BaseLoad!Z39*'Base Hours'!$AA40)</f>
        <v>-</v>
      </c>
      <c r="U40" s="238" t="str">
        <f>IF($A$1="Peak","-",'Base Hours'!U40*BaseLoad!AA39*'Base Hours'!$AA40)</f>
        <v>-</v>
      </c>
      <c r="V40" s="238">
        <f t="shared" si="2"/>
        <v>0</v>
      </c>
      <c r="W40" s="238"/>
      <c r="X40" s="238"/>
      <c r="Y40" s="239"/>
      <c r="Z40" s="239">
        <f>(BaseLoad!C39*'Base Hours'!X40*'Base Hours'!$AA40)*-1</f>
        <v>0</v>
      </c>
      <c r="AA40" s="239"/>
      <c r="AB40" s="239">
        <f>(BaseLoad!D39*'Base Hours'!X40*'Base Hours'!$AA40)*-1</f>
        <v>0</v>
      </c>
      <c r="AC40" s="239"/>
      <c r="AD40" s="239">
        <f>(BaseLoad!E39*'Base Hours'!X40*'Base Hours'!$AA40)*-1</f>
        <v>0</v>
      </c>
      <c r="AE40" s="239"/>
      <c r="AF40" s="239">
        <f>(BaseLoad!F39*'Base Hours'!X40*'Base Hours'!$AA40)*-1</f>
        <v>0</v>
      </c>
      <c r="AG40" s="239"/>
    </row>
    <row r="41" spans="1:33" x14ac:dyDescent="0.2">
      <c r="A41" s="1">
        <f t="shared" si="1"/>
        <v>37482.92700000004</v>
      </c>
      <c r="B41" s="238" t="str">
        <f>IF($A$1="Peak","-",'Base Hours'!B41*BaseLoad!H40*'Base Hours'!$AA41)</f>
        <v>-</v>
      </c>
      <c r="C41" s="238" t="str">
        <f>IF($A$1="Peak","-",'Base Hours'!C41*BaseLoad!I40*'Base Hours'!$AA41)</f>
        <v>-</v>
      </c>
      <c r="D41" s="238" t="str">
        <f>IF($A$1="Peak","-",'Base Hours'!D41*BaseLoad!J40*'Base Hours'!$AA41)</f>
        <v>-</v>
      </c>
      <c r="E41" s="238" t="str">
        <f>IF($A$1="Peak","-",'Base Hours'!E41*BaseLoad!K40*'Base Hours'!$AA41)</f>
        <v>-</v>
      </c>
      <c r="F41" s="238" t="str">
        <f>IF($A$1="Peak","-",'Base Hours'!F41*BaseLoad!L40*'Base Hours'!$AA41)</f>
        <v>-</v>
      </c>
      <c r="G41" s="238" t="str">
        <f>IF($A$1="Peak","-",'Base Hours'!G41*BaseLoad!M40*'Base Hours'!$AA41)</f>
        <v>-</v>
      </c>
      <c r="H41" s="238" t="str">
        <f>IF($A$1="Peak","-",'Base Hours'!H41*BaseLoad!N40*'Base Hours'!$AA41)</f>
        <v>-</v>
      </c>
      <c r="I41" s="238" t="str">
        <f>IF($A$1="Peak","-",'Base Hours'!I41*BaseLoad!O40*'Base Hours'!$AA41)</f>
        <v>-</v>
      </c>
      <c r="J41" s="238" t="str">
        <f>IF($A$1="Peak","-",'Base Hours'!J41*BaseLoad!P40*'Base Hours'!$AA41)</f>
        <v>-</v>
      </c>
      <c r="K41" s="238" t="str">
        <f>IF($A$1="Peak","-",'Base Hours'!K41*BaseLoad!Q40*'Base Hours'!$AA41)</f>
        <v>-</v>
      </c>
      <c r="L41" s="238" t="str">
        <f>IF($A$1="Peak","-",'Base Hours'!L41*BaseLoad!R40*'Base Hours'!$AA41)</f>
        <v>-</v>
      </c>
      <c r="M41" s="238" t="str">
        <f>IF($A$1="Peak","-",'Base Hours'!M41*BaseLoad!S40*'Base Hours'!$AA41)</f>
        <v>-</v>
      </c>
      <c r="N41" s="238" t="str">
        <f>IF($A$1="Peak","-",'Base Hours'!N41*BaseLoad!T40*'Base Hours'!$AA41)</f>
        <v>-</v>
      </c>
      <c r="O41" s="238" t="str">
        <f>IF($A$1="Peak","-",'Base Hours'!O41*BaseLoad!U40*'Base Hours'!$AA41)</f>
        <v>-</v>
      </c>
      <c r="P41" s="238" t="str">
        <f>IF($A$1="Peak","-",'Base Hours'!P41*BaseLoad!V40*'Base Hours'!$AA41)</f>
        <v>-</v>
      </c>
      <c r="Q41" s="238" t="str">
        <f>IF($A$1="Peak","-",'Base Hours'!Q41*BaseLoad!W40*'Base Hours'!$AA41)</f>
        <v>-</v>
      </c>
      <c r="R41" s="238" t="str">
        <f>IF($A$1="Peak","-",'Base Hours'!R41*BaseLoad!X40*'Base Hours'!$AA41)</f>
        <v>-</v>
      </c>
      <c r="S41" s="238" t="str">
        <f>IF($A$1="Peak","-",'Base Hours'!S41*BaseLoad!Y40*'Base Hours'!$AA41)</f>
        <v>-</v>
      </c>
      <c r="T41" s="238" t="str">
        <f>IF($A$1="Peak","-",'Base Hours'!T41*BaseLoad!Z40*'Base Hours'!$AA41)</f>
        <v>-</v>
      </c>
      <c r="U41" s="238" t="str">
        <f>IF($A$1="Peak","-",'Base Hours'!U41*BaseLoad!AA40*'Base Hours'!$AA41)</f>
        <v>-</v>
      </c>
      <c r="V41" s="238">
        <f t="shared" si="2"/>
        <v>0</v>
      </c>
      <c r="W41" s="238"/>
      <c r="X41" s="238"/>
      <c r="Y41" s="239"/>
      <c r="Z41" s="239">
        <f>(BaseLoad!C40*'Base Hours'!X41*'Base Hours'!$AA41)*-1</f>
        <v>0</v>
      </c>
      <c r="AA41" s="239"/>
      <c r="AB41" s="239">
        <f>(BaseLoad!D40*'Base Hours'!X41*'Base Hours'!$AA41)*-1</f>
        <v>0</v>
      </c>
      <c r="AC41" s="239"/>
      <c r="AD41" s="239">
        <f>(BaseLoad!E40*'Base Hours'!X41*'Base Hours'!$AA41)*-1</f>
        <v>0</v>
      </c>
      <c r="AE41" s="239"/>
      <c r="AF41" s="239">
        <f>(BaseLoad!F40*'Base Hours'!X41*'Base Hours'!$AA41)*-1</f>
        <v>0</v>
      </c>
      <c r="AG41" s="239"/>
    </row>
    <row r="42" spans="1:33" x14ac:dyDescent="0.2">
      <c r="A42" s="1">
        <f t="shared" si="1"/>
        <v>37513.344000000041</v>
      </c>
      <c r="B42" s="238" t="str">
        <f>IF($A$1="Peak","-",'Base Hours'!B42*BaseLoad!H41*'Base Hours'!$AA42)</f>
        <v>-</v>
      </c>
      <c r="C42" s="238" t="str">
        <f>IF($A$1="Peak","-",'Base Hours'!C42*BaseLoad!I41*'Base Hours'!$AA42)</f>
        <v>-</v>
      </c>
      <c r="D42" s="238" t="str">
        <f>IF($A$1="Peak","-",'Base Hours'!D42*BaseLoad!J41*'Base Hours'!$AA42)</f>
        <v>-</v>
      </c>
      <c r="E42" s="238" t="str">
        <f>IF($A$1="Peak","-",'Base Hours'!E42*BaseLoad!K41*'Base Hours'!$AA42)</f>
        <v>-</v>
      </c>
      <c r="F42" s="238" t="str">
        <f>IF($A$1="Peak","-",'Base Hours'!F42*BaseLoad!L41*'Base Hours'!$AA42)</f>
        <v>-</v>
      </c>
      <c r="G42" s="238" t="str">
        <f>IF($A$1="Peak","-",'Base Hours'!G42*BaseLoad!M41*'Base Hours'!$AA42)</f>
        <v>-</v>
      </c>
      <c r="H42" s="238" t="str">
        <f>IF($A$1="Peak","-",'Base Hours'!H42*BaseLoad!N41*'Base Hours'!$AA42)</f>
        <v>-</v>
      </c>
      <c r="I42" s="238" t="str">
        <f>IF($A$1="Peak","-",'Base Hours'!I42*BaseLoad!O41*'Base Hours'!$AA42)</f>
        <v>-</v>
      </c>
      <c r="J42" s="238" t="str">
        <f>IF($A$1="Peak","-",'Base Hours'!J42*BaseLoad!P41*'Base Hours'!$AA42)</f>
        <v>-</v>
      </c>
      <c r="K42" s="238" t="str">
        <f>IF($A$1="Peak","-",'Base Hours'!K42*BaseLoad!Q41*'Base Hours'!$AA42)</f>
        <v>-</v>
      </c>
      <c r="L42" s="238" t="str">
        <f>IF($A$1="Peak","-",'Base Hours'!L42*BaseLoad!R41*'Base Hours'!$AA42)</f>
        <v>-</v>
      </c>
      <c r="M42" s="238" t="str">
        <f>IF($A$1="Peak","-",'Base Hours'!M42*BaseLoad!S41*'Base Hours'!$AA42)</f>
        <v>-</v>
      </c>
      <c r="N42" s="238" t="str">
        <f>IF($A$1="Peak","-",'Base Hours'!N42*BaseLoad!T41*'Base Hours'!$AA42)</f>
        <v>-</v>
      </c>
      <c r="O42" s="238" t="str">
        <f>IF($A$1="Peak","-",'Base Hours'!O42*BaseLoad!U41*'Base Hours'!$AA42)</f>
        <v>-</v>
      </c>
      <c r="P42" s="238" t="str">
        <f>IF($A$1="Peak","-",'Base Hours'!P42*BaseLoad!V41*'Base Hours'!$AA42)</f>
        <v>-</v>
      </c>
      <c r="Q42" s="238" t="str">
        <f>IF($A$1="Peak","-",'Base Hours'!Q42*BaseLoad!W41*'Base Hours'!$AA42)</f>
        <v>-</v>
      </c>
      <c r="R42" s="238" t="str">
        <f>IF($A$1="Peak","-",'Base Hours'!R42*BaseLoad!X41*'Base Hours'!$AA42)</f>
        <v>-</v>
      </c>
      <c r="S42" s="238" t="str">
        <f>IF($A$1="Peak","-",'Base Hours'!S42*BaseLoad!Y41*'Base Hours'!$AA42)</f>
        <v>-</v>
      </c>
      <c r="T42" s="238" t="str">
        <f>IF($A$1="Peak","-",'Base Hours'!T42*BaseLoad!Z41*'Base Hours'!$AA42)</f>
        <v>-</v>
      </c>
      <c r="U42" s="238" t="str">
        <f>IF($A$1="Peak","-",'Base Hours'!U42*BaseLoad!AA41*'Base Hours'!$AA42)</f>
        <v>-</v>
      </c>
      <c r="V42" s="238">
        <f t="shared" si="2"/>
        <v>0</v>
      </c>
      <c r="W42" s="238"/>
      <c r="X42" s="238"/>
      <c r="Y42" s="239"/>
      <c r="Z42" s="239">
        <f>(BaseLoad!C41*'Base Hours'!X42*'Base Hours'!$AA42)*-1</f>
        <v>0</v>
      </c>
      <c r="AA42" s="239"/>
      <c r="AB42" s="239">
        <f>(BaseLoad!D41*'Base Hours'!X42*'Base Hours'!$AA42)*-1</f>
        <v>0</v>
      </c>
      <c r="AC42" s="239"/>
      <c r="AD42" s="239">
        <f>(BaseLoad!E41*'Base Hours'!X42*'Base Hours'!$AA42)*-1</f>
        <v>0</v>
      </c>
      <c r="AE42" s="239"/>
      <c r="AF42" s="239">
        <f>(BaseLoad!F41*'Base Hours'!X42*'Base Hours'!$AA42)*-1</f>
        <v>0</v>
      </c>
      <c r="AG42" s="239"/>
    </row>
    <row r="43" spans="1:33" x14ac:dyDescent="0.2">
      <c r="A43" s="1">
        <f t="shared" si="1"/>
        <v>37543.761000000042</v>
      </c>
      <c r="B43" s="238" t="str">
        <f>IF($A$1="Peak","-",'Base Hours'!B43*BaseLoad!H42*'Base Hours'!$AA43)</f>
        <v>-</v>
      </c>
      <c r="C43" s="238" t="str">
        <f>IF($A$1="Peak","-",'Base Hours'!C43*BaseLoad!I42*'Base Hours'!$AA43)</f>
        <v>-</v>
      </c>
      <c r="D43" s="238" t="str">
        <f>IF($A$1="Peak","-",'Base Hours'!D43*BaseLoad!J42*'Base Hours'!$AA43)</f>
        <v>-</v>
      </c>
      <c r="E43" s="238" t="str">
        <f>IF($A$1="Peak","-",'Base Hours'!E43*BaseLoad!K42*'Base Hours'!$AA43)</f>
        <v>-</v>
      </c>
      <c r="F43" s="238" t="str">
        <f>IF($A$1="Peak","-",'Base Hours'!F43*BaseLoad!L42*'Base Hours'!$AA43)</f>
        <v>-</v>
      </c>
      <c r="G43" s="238" t="str">
        <f>IF($A$1="Peak","-",'Base Hours'!G43*BaseLoad!M42*'Base Hours'!$AA43)</f>
        <v>-</v>
      </c>
      <c r="H43" s="238" t="str">
        <f>IF($A$1="Peak","-",'Base Hours'!H43*BaseLoad!N42*'Base Hours'!$AA43)</f>
        <v>-</v>
      </c>
      <c r="I43" s="238" t="str">
        <f>IF($A$1="Peak","-",'Base Hours'!I43*BaseLoad!O42*'Base Hours'!$AA43)</f>
        <v>-</v>
      </c>
      <c r="J43" s="238" t="str">
        <f>IF($A$1="Peak","-",'Base Hours'!J43*BaseLoad!P42*'Base Hours'!$AA43)</f>
        <v>-</v>
      </c>
      <c r="K43" s="238" t="str">
        <f>IF($A$1="Peak","-",'Base Hours'!K43*BaseLoad!Q42*'Base Hours'!$AA43)</f>
        <v>-</v>
      </c>
      <c r="L43" s="238" t="str">
        <f>IF($A$1="Peak","-",'Base Hours'!L43*BaseLoad!R42*'Base Hours'!$AA43)</f>
        <v>-</v>
      </c>
      <c r="M43" s="238" t="str">
        <f>IF($A$1="Peak","-",'Base Hours'!M43*BaseLoad!S42*'Base Hours'!$AA43)</f>
        <v>-</v>
      </c>
      <c r="N43" s="238" t="str">
        <f>IF($A$1="Peak","-",'Base Hours'!N43*BaseLoad!T42*'Base Hours'!$AA43)</f>
        <v>-</v>
      </c>
      <c r="O43" s="238" t="str">
        <f>IF($A$1="Peak","-",'Base Hours'!O43*BaseLoad!U42*'Base Hours'!$AA43)</f>
        <v>-</v>
      </c>
      <c r="P43" s="238" t="str">
        <f>IF($A$1="Peak","-",'Base Hours'!P43*BaseLoad!V42*'Base Hours'!$AA43)</f>
        <v>-</v>
      </c>
      <c r="Q43" s="238" t="str">
        <f>IF($A$1="Peak","-",'Base Hours'!Q43*BaseLoad!W42*'Base Hours'!$AA43)</f>
        <v>-</v>
      </c>
      <c r="R43" s="238" t="str">
        <f>IF($A$1="Peak","-",'Base Hours'!R43*BaseLoad!X42*'Base Hours'!$AA43)</f>
        <v>-</v>
      </c>
      <c r="S43" s="238" t="str">
        <f>IF($A$1="Peak","-",'Base Hours'!S43*BaseLoad!Y42*'Base Hours'!$AA43)</f>
        <v>-</v>
      </c>
      <c r="T43" s="238" t="str">
        <f>IF($A$1="Peak","-",'Base Hours'!T43*BaseLoad!Z42*'Base Hours'!$AA43)</f>
        <v>-</v>
      </c>
      <c r="U43" s="238" t="str">
        <f>IF($A$1="Peak","-",'Base Hours'!U43*BaseLoad!AA42*'Base Hours'!$AA43)</f>
        <v>-</v>
      </c>
      <c r="V43" s="238">
        <f t="shared" si="2"/>
        <v>0</v>
      </c>
      <c r="W43" s="238"/>
      <c r="X43" s="238"/>
      <c r="Y43" s="239"/>
      <c r="Z43" s="239">
        <f>(BaseLoad!C42*'Base Hours'!X43*'Base Hours'!$AA43)*-1</f>
        <v>0</v>
      </c>
      <c r="AA43" s="239"/>
      <c r="AB43" s="239">
        <f>(BaseLoad!D42*'Base Hours'!X43*'Base Hours'!$AA43)*-1</f>
        <v>0</v>
      </c>
      <c r="AC43" s="239"/>
      <c r="AD43" s="239">
        <f>(BaseLoad!E42*'Base Hours'!X43*'Base Hours'!$AA43)*-1</f>
        <v>0</v>
      </c>
      <c r="AE43" s="239"/>
      <c r="AF43" s="239">
        <f>(BaseLoad!F42*'Base Hours'!X43*'Base Hours'!$AA43)*-1</f>
        <v>0</v>
      </c>
      <c r="AG43" s="239"/>
    </row>
    <row r="44" spans="1:33" x14ac:dyDescent="0.2">
      <c r="A44" s="1">
        <f t="shared" si="1"/>
        <v>37574.178000000044</v>
      </c>
      <c r="B44" s="238" t="str">
        <f>IF($A$1="Peak","-",'Base Hours'!B44*BaseLoad!H43*'Base Hours'!$AA44)</f>
        <v>-</v>
      </c>
      <c r="C44" s="238" t="str">
        <f>IF($A$1="Peak","-",'Base Hours'!C44*BaseLoad!I43*'Base Hours'!$AA44)</f>
        <v>-</v>
      </c>
      <c r="D44" s="238" t="str">
        <f>IF($A$1="Peak","-",'Base Hours'!D44*BaseLoad!J43*'Base Hours'!$AA44)</f>
        <v>-</v>
      </c>
      <c r="E44" s="238" t="str">
        <f>IF($A$1="Peak","-",'Base Hours'!E44*BaseLoad!K43*'Base Hours'!$AA44)</f>
        <v>-</v>
      </c>
      <c r="F44" s="238" t="str">
        <f>IF($A$1="Peak","-",'Base Hours'!F44*BaseLoad!L43*'Base Hours'!$AA44)</f>
        <v>-</v>
      </c>
      <c r="G44" s="238" t="str">
        <f>IF($A$1="Peak","-",'Base Hours'!G44*BaseLoad!M43*'Base Hours'!$AA44)</f>
        <v>-</v>
      </c>
      <c r="H44" s="238" t="str">
        <f>IF($A$1="Peak","-",'Base Hours'!H44*BaseLoad!N43*'Base Hours'!$AA44)</f>
        <v>-</v>
      </c>
      <c r="I44" s="238" t="str">
        <f>IF($A$1="Peak","-",'Base Hours'!I44*BaseLoad!O43*'Base Hours'!$AA44)</f>
        <v>-</v>
      </c>
      <c r="J44" s="238" t="str">
        <f>IF($A$1="Peak","-",'Base Hours'!J44*BaseLoad!P43*'Base Hours'!$AA44)</f>
        <v>-</v>
      </c>
      <c r="K44" s="238" t="str">
        <f>IF($A$1="Peak","-",'Base Hours'!K44*BaseLoad!Q43*'Base Hours'!$AA44)</f>
        <v>-</v>
      </c>
      <c r="L44" s="238" t="str">
        <f>IF($A$1="Peak","-",'Base Hours'!L44*BaseLoad!R43*'Base Hours'!$AA44)</f>
        <v>-</v>
      </c>
      <c r="M44" s="238" t="str">
        <f>IF($A$1="Peak","-",'Base Hours'!M44*BaseLoad!S43*'Base Hours'!$AA44)</f>
        <v>-</v>
      </c>
      <c r="N44" s="238" t="str">
        <f>IF($A$1="Peak","-",'Base Hours'!N44*BaseLoad!T43*'Base Hours'!$AA44)</f>
        <v>-</v>
      </c>
      <c r="O44" s="238" t="str">
        <f>IF($A$1="Peak","-",'Base Hours'!O44*BaseLoad!U43*'Base Hours'!$AA44)</f>
        <v>-</v>
      </c>
      <c r="P44" s="238" t="str">
        <f>IF($A$1="Peak","-",'Base Hours'!P44*BaseLoad!V43*'Base Hours'!$AA44)</f>
        <v>-</v>
      </c>
      <c r="Q44" s="238" t="str">
        <f>IF($A$1="Peak","-",'Base Hours'!Q44*BaseLoad!W43*'Base Hours'!$AA44)</f>
        <v>-</v>
      </c>
      <c r="R44" s="238" t="str">
        <f>IF($A$1="Peak","-",'Base Hours'!R44*BaseLoad!X43*'Base Hours'!$AA44)</f>
        <v>-</v>
      </c>
      <c r="S44" s="238" t="str">
        <f>IF($A$1="Peak","-",'Base Hours'!S44*BaseLoad!Y43*'Base Hours'!$AA44)</f>
        <v>-</v>
      </c>
      <c r="T44" s="238" t="str">
        <f>IF($A$1="Peak","-",'Base Hours'!T44*BaseLoad!Z43*'Base Hours'!$AA44)</f>
        <v>-</v>
      </c>
      <c r="U44" s="238" t="str">
        <f>IF($A$1="Peak","-",'Base Hours'!U44*BaseLoad!AA43*'Base Hours'!$AA44)</f>
        <v>-</v>
      </c>
      <c r="V44" s="238">
        <f t="shared" si="2"/>
        <v>0</v>
      </c>
      <c r="W44" s="238"/>
      <c r="X44" s="238"/>
      <c r="Y44" s="239"/>
      <c r="Z44" s="239">
        <f>(BaseLoad!C43*'Base Hours'!X44*'Base Hours'!$AA44)*-1</f>
        <v>0</v>
      </c>
      <c r="AA44" s="239"/>
      <c r="AB44" s="239">
        <f>(BaseLoad!D43*'Base Hours'!X44*'Base Hours'!$AA44)*-1</f>
        <v>0</v>
      </c>
      <c r="AC44" s="239"/>
      <c r="AD44" s="239">
        <f>(BaseLoad!E43*'Base Hours'!X44*'Base Hours'!$AA44)*-1</f>
        <v>0</v>
      </c>
      <c r="AE44" s="239"/>
      <c r="AF44" s="239">
        <f>(BaseLoad!F43*'Base Hours'!X44*'Base Hours'!$AA44)*-1</f>
        <v>0</v>
      </c>
      <c r="AG44" s="239"/>
    </row>
    <row r="45" spans="1:33" x14ac:dyDescent="0.2">
      <c r="A45" s="1">
        <f t="shared" si="1"/>
        <v>37604.595000000045</v>
      </c>
      <c r="B45" s="238" t="str">
        <f>IF($A$1="Peak","-",'Base Hours'!B45*BaseLoad!H44*'Base Hours'!$AA45)</f>
        <v>-</v>
      </c>
      <c r="C45" s="238" t="str">
        <f>IF($A$1="Peak","-",'Base Hours'!C45*BaseLoad!I44*'Base Hours'!$AA45)</f>
        <v>-</v>
      </c>
      <c r="D45" s="238" t="str">
        <f>IF($A$1="Peak","-",'Base Hours'!D45*BaseLoad!J44*'Base Hours'!$AA45)</f>
        <v>-</v>
      </c>
      <c r="E45" s="238" t="str">
        <f>IF($A$1="Peak","-",'Base Hours'!E45*BaseLoad!K44*'Base Hours'!$AA45)</f>
        <v>-</v>
      </c>
      <c r="F45" s="238" t="str">
        <f>IF($A$1="Peak","-",'Base Hours'!F45*BaseLoad!L44*'Base Hours'!$AA45)</f>
        <v>-</v>
      </c>
      <c r="G45" s="238" t="str">
        <f>IF($A$1="Peak","-",'Base Hours'!G45*BaseLoad!M44*'Base Hours'!$AA45)</f>
        <v>-</v>
      </c>
      <c r="H45" s="238" t="str">
        <f>IF($A$1="Peak","-",'Base Hours'!H45*BaseLoad!N44*'Base Hours'!$AA45)</f>
        <v>-</v>
      </c>
      <c r="I45" s="238" t="str">
        <f>IF($A$1="Peak","-",'Base Hours'!I45*BaseLoad!O44*'Base Hours'!$AA45)</f>
        <v>-</v>
      </c>
      <c r="J45" s="238" t="str">
        <f>IF($A$1="Peak","-",'Base Hours'!J45*BaseLoad!P44*'Base Hours'!$AA45)</f>
        <v>-</v>
      </c>
      <c r="K45" s="238" t="str">
        <f>IF($A$1="Peak","-",'Base Hours'!K45*BaseLoad!Q44*'Base Hours'!$AA45)</f>
        <v>-</v>
      </c>
      <c r="L45" s="238" t="str">
        <f>IF($A$1="Peak","-",'Base Hours'!L45*BaseLoad!R44*'Base Hours'!$AA45)</f>
        <v>-</v>
      </c>
      <c r="M45" s="238" t="str">
        <f>IF($A$1="Peak","-",'Base Hours'!M45*BaseLoad!S44*'Base Hours'!$AA45)</f>
        <v>-</v>
      </c>
      <c r="N45" s="238" t="str">
        <f>IF($A$1="Peak","-",'Base Hours'!N45*BaseLoad!T44*'Base Hours'!$AA45)</f>
        <v>-</v>
      </c>
      <c r="O45" s="238" t="str">
        <f>IF($A$1="Peak","-",'Base Hours'!O45*BaseLoad!U44*'Base Hours'!$AA45)</f>
        <v>-</v>
      </c>
      <c r="P45" s="238" t="str">
        <f>IF($A$1="Peak","-",'Base Hours'!P45*BaseLoad!V44*'Base Hours'!$AA45)</f>
        <v>-</v>
      </c>
      <c r="Q45" s="238" t="str">
        <f>IF($A$1="Peak","-",'Base Hours'!Q45*BaseLoad!W44*'Base Hours'!$AA45)</f>
        <v>-</v>
      </c>
      <c r="R45" s="238" t="str">
        <f>IF($A$1="Peak","-",'Base Hours'!R45*BaseLoad!X44*'Base Hours'!$AA45)</f>
        <v>-</v>
      </c>
      <c r="S45" s="238" t="str">
        <f>IF($A$1="Peak","-",'Base Hours'!S45*BaseLoad!Y44*'Base Hours'!$AA45)</f>
        <v>-</v>
      </c>
      <c r="T45" s="238" t="str">
        <f>IF($A$1="Peak","-",'Base Hours'!T45*BaseLoad!Z44*'Base Hours'!$AA45)</f>
        <v>-</v>
      </c>
      <c r="U45" s="238" t="str">
        <f>IF($A$1="Peak","-",'Base Hours'!U45*BaseLoad!AA44*'Base Hours'!$AA45)</f>
        <v>-</v>
      </c>
      <c r="V45" s="238">
        <f t="shared" si="2"/>
        <v>0</v>
      </c>
      <c r="W45" s="238">
        <f>IF($A$1="BL",(SUM(V34:V45)),0)</f>
        <v>0</v>
      </c>
      <c r="X45" s="238">
        <f>IF(AND($A$1="BL",W45&gt;0),(PPA!$B$5*8760*BaseLoad!$AP$15*PPA!$G$4*BaseLoad!$AP$9),0)</f>
        <v>0</v>
      </c>
      <c r="Y45" s="239">
        <f>X45+W45</f>
        <v>0</v>
      </c>
      <c r="Z45" s="239">
        <f>(BaseLoad!C44*'Base Hours'!X45*'Base Hours'!$AA45)*-1</f>
        <v>0</v>
      </c>
      <c r="AA45" s="239">
        <f>SUM(Z34:Z45)</f>
        <v>0</v>
      </c>
      <c r="AB45" s="239">
        <f>(BaseLoad!D44*'Base Hours'!X45*'Base Hours'!$AA45)*-1</f>
        <v>0</v>
      </c>
      <c r="AC45" s="239">
        <f>SUM(AB34:AB45)</f>
        <v>0</v>
      </c>
      <c r="AD45" s="239">
        <f>(BaseLoad!E44*'Base Hours'!X45*'Base Hours'!$AA45)*-1</f>
        <v>0</v>
      </c>
      <c r="AE45" s="239">
        <f>SUM(AD34:AD45)</f>
        <v>0</v>
      </c>
      <c r="AF45" s="239">
        <f>(BaseLoad!F44*'Base Hours'!X45*'Base Hours'!$AA45)*-1</f>
        <v>0</v>
      </c>
      <c r="AG45" s="239">
        <f>SUM(AF34:AF45)</f>
        <v>0</v>
      </c>
    </row>
    <row r="46" spans="1:33" x14ac:dyDescent="0.2">
      <c r="A46" s="1">
        <f t="shared" si="1"/>
        <v>37635.012000000046</v>
      </c>
      <c r="B46" s="238" t="str">
        <f>IF($A$1="Peak","-",'Base Hours'!B46*BaseLoad!H45*'Base Hours'!$AA46)</f>
        <v>-</v>
      </c>
      <c r="C46" s="238" t="str">
        <f>IF($A$1="Peak","-",'Base Hours'!C46*BaseLoad!I45*'Base Hours'!$AA46)</f>
        <v>-</v>
      </c>
      <c r="D46" s="238" t="str">
        <f>IF($A$1="Peak","-",'Base Hours'!D46*BaseLoad!J45*'Base Hours'!$AA46)</f>
        <v>-</v>
      </c>
      <c r="E46" s="238" t="str">
        <f>IF($A$1="Peak","-",'Base Hours'!E46*BaseLoad!K45*'Base Hours'!$AA46)</f>
        <v>-</v>
      </c>
      <c r="F46" s="238" t="str">
        <f>IF($A$1="Peak","-",'Base Hours'!F46*BaseLoad!L45*'Base Hours'!$AA46)</f>
        <v>-</v>
      </c>
      <c r="G46" s="238" t="str">
        <f>IF($A$1="Peak","-",'Base Hours'!G46*BaseLoad!M45*'Base Hours'!$AA46)</f>
        <v>-</v>
      </c>
      <c r="H46" s="238" t="str">
        <f>IF($A$1="Peak","-",'Base Hours'!H46*BaseLoad!N45*'Base Hours'!$AA46)</f>
        <v>-</v>
      </c>
      <c r="I46" s="238" t="str">
        <f>IF($A$1="Peak","-",'Base Hours'!I46*BaseLoad!O45*'Base Hours'!$AA46)</f>
        <v>-</v>
      </c>
      <c r="J46" s="238" t="str">
        <f>IF($A$1="Peak","-",'Base Hours'!J46*BaseLoad!P45*'Base Hours'!$AA46)</f>
        <v>-</v>
      </c>
      <c r="K46" s="238" t="str">
        <f>IF($A$1="Peak","-",'Base Hours'!K46*BaseLoad!Q45*'Base Hours'!$AA46)</f>
        <v>-</v>
      </c>
      <c r="L46" s="238" t="str">
        <f>IF($A$1="Peak","-",'Base Hours'!L46*BaseLoad!R45*'Base Hours'!$AA46)</f>
        <v>-</v>
      </c>
      <c r="M46" s="238" t="str">
        <f>IF($A$1="Peak","-",'Base Hours'!M46*BaseLoad!S45*'Base Hours'!$AA46)</f>
        <v>-</v>
      </c>
      <c r="N46" s="238" t="str">
        <f>IF($A$1="Peak","-",'Base Hours'!N46*BaseLoad!T45*'Base Hours'!$AA46)</f>
        <v>-</v>
      </c>
      <c r="O46" s="238" t="str">
        <f>IF($A$1="Peak","-",'Base Hours'!O46*BaseLoad!U45*'Base Hours'!$AA46)</f>
        <v>-</v>
      </c>
      <c r="P46" s="238" t="str">
        <f>IF($A$1="Peak","-",'Base Hours'!P46*BaseLoad!V45*'Base Hours'!$AA46)</f>
        <v>-</v>
      </c>
      <c r="Q46" s="238" t="str">
        <f>IF($A$1="Peak","-",'Base Hours'!Q46*BaseLoad!W45*'Base Hours'!$AA46)</f>
        <v>-</v>
      </c>
      <c r="R46" s="238" t="str">
        <f>IF($A$1="Peak","-",'Base Hours'!R46*BaseLoad!X45*'Base Hours'!$AA46)</f>
        <v>-</v>
      </c>
      <c r="S46" s="238" t="str">
        <f>IF($A$1="Peak","-",'Base Hours'!S46*BaseLoad!Y45*'Base Hours'!$AA46)</f>
        <v>-</v>
      </c>
      <c r="T46" s="238" t="str">
        <f>IF($A$1="Peak","-",'Base Hours'!T46*BaseLoad!Z45*'Base Hours'!$AA46)</f>
        <v>-</v>
      </c>
      <c r="U46" s="238" t="str">
        <f>IF($A$1="Peak","-",'Base Hours'!U46*BaseLoad!AA45*'Base Hours'!$AA46)</f>
        <v>-</v>
      </c>
      <c r="V46" s="238">
        <f t="shared" si="2"/>
        <v>0</v>
      </c>
      <c r="W46" s="238"/>
      <c r="X46" s="238"/>
      <c r="Y46" s="239"/>
      <c r="Z46" s="239">
        <f>(BaseLoad!C45*'Base Hours'!X46*'Base Hours'!$AA46)*-1</f>
        <v>0</v>
      </c>
      <c r="AA46" s="239"/>
      <c r="AB46" s="239">
        <f>(BaseLoad!D45*'Base Hours'!X46*'Base Hours'!$AA46)*-1</f>
        <v>0</v>
      </c>
      <c r="AC46" s="239"/>
      <c r="AD46" s="239">
        <f>(BaseLoad!E45*'Base Hours'!X46*'Base Hours'!$AA46)*-1</f>
        <v>0</v>
      </c>
      <c r="AE46" s="239"/>
      <c r="AF46" s="239">
        <f>(BaseLoad!F45*'Base Hours'!X46*'Base Hours'!$AA46)*-1</f>
        <v>0</v>
      </c>
      <c r="AG46" s="239"/>
    </row>
    <row r="47" spans="1:33" x14ac:dyDescent="0.2">
      <c r="A47" s="1">
        <f t="shared" si="1"/>
        <v>37665.429000000047</v>
      </c>
      <c r="B47" s="238" t="str">
        <f>IF($A$1="Peak","-",'Base Hours'!B47*BaseLoad!H46*'Base Hours'!$AA47)</f>
        <v>-</v>
      </c>
      <c r="C47" s="238" t="str">
        <f>IF($A$1="Peak","-",'Base Hours'!C47*BaseLoad!I46*'Base Hours'!$AA47)</f>
        <v>-</v>
      </c>
      <c r="D47" s="238" t="str">
        <f>IF($A$1="Peak","-",'Base Hours'!D47*BaseLoad!J46*'Base Hours'!$AA47)</f>
        <v>-</v>
      </c>
      <c r="E47" s="238" t="str">
        <f>IF($A$1="Peak","-",'Base Hours'!E47*BaseLoad!K46*'Base Hours'!$AA47)</f>
        <v>-</v>
      </c>
      <c r="F47" s="238" t="str">
        <f>IF($A$1="Peak","-",'Base Hours'!F47*BaseLoad!L46*'Base Hours'!$AA47)</f>
        <v>-</v>
      </c>
      <c r="G47" s="238" t="str">
        <f>IF($A$1="Peak","-",'Base Hours'!G47*BaseLoad!M46*'Base Hours'!$AA47)</f>
        <v>-</v>
      </c>
      <c r="H47" s="238" t="str">
        <f>IF($A$1="Peak","-",'Base Hours'!H47*BaseLoad!N46*'Base Hours'!$AA47)</f>
        <v>-</v>
      </c>
      <c r="I47" s="238" t="str">
        <f>IF($A$1="Peak","-",'Base Hours'!I47*BaseLoad!O46*'Base Hours'!$AA47)</f>
        <v>-</v>
      </c>
      <c r="J47" s="238" t="str">
        <f>IF($A$1="Peak","-",'Base Hours'!J47*BaseLoad!P46*'Base Hours'!$AA47)</f>
        <v>-</v>
      </c>
      <c r="K47" s="238" t="str">
        <f>IF($A$1="Peak","-",'Base Hours'!K47*BaseLoad!Q46*'Base Hours'!$AA47)</f>
        <v>-</v>
      </c>
      <c r="L47" s="238" t="str">
        <f>IF($A$1="Peak","-",'Base Hours'!L47*BaseLoad!R46*'Base Hours'!$AA47)</f>
        <v>-</v>
      </c>
      <c r="M47" s="238" t="str">
        <f>IF($A$1="Peak","-",'Base Hours'!M47*BaseLoad!S46*'Base Hours'!$AA47)</f>
        <v>-</v>
      </c>
      <c r="N47" s="238" t="str">
        <f>IF($A$1="Peak","-",'Base Hours'!N47*BaseLoad!T46*'Base Hours'!$AA47)</f>
        <v>-</v>
      </c>
      <c r="O47" s="238" t="str">
        <f>IF($A$1="Peak","-",'Base Hours'!O47*BaseLoad!U46*'Base Hours'!$AA47)</f>
        <v>-</v>
      </c>
      <c r="P47" s="238" t="str">
        <f>IF($A$1="Peak","-",'Base Hours'!P47*BaseLoad!V46*'Base Hours'!$AA47)</f>
        <v>-</v>
      </c>
      <c r="Q47" s="238" t="str">
        <f>IF($A$1="Peak","-",'Base Hours'!Q47*BaseLoad!W46*'Base Hours'!$AA47)</f>
        <v>-</v>
      </c>
      <c r="R47" s="238" t="str">
        <f>IF($A$1="Peak","-",'Base Hours'!R47*BaseLoad!X46*'Base Hours'!$AA47)</f>
        <v>-</v>
      </c>
      <c r="S47" s="238" t="str">
        <f>IF($A$1="Peak","-",'Base Hours'!S47*BaseLoad!Y46*'Base Hours'!$AA47)</f>
        <v>-</v>
      </c>
      <c r="T47" s="238" t="str">
        <f>IF($A$1="Peak","-",'Base Hours'!T47*BaseLoad!Z46*'Base Hours'!$AA47)</f>
        <v>-</v>
      </c>
      <c r="U47" s="238" t="str">
        <f>IF($A$1="Peak","-",'Base Hours'!U47*BaseLoad!AA46*'Base Hours'!$AA47)</f>
        <v>-</v>
      </c>
      <c r="V47" s="238">
        <f t="shared" si="2"/>
        <v>0</v>
      </c>
      <c r="W47" s="238"/>
      <c r="X47" s="238"/>
      <c r="Y47" s="239"/>
      <c r="Z47" s="239">
        <f>(BaseLoad!C46*'Base Hours'!X47*'Base Hours'!$AA47)*-1</f>
        <v>0</v>
      </c>
      <c r="AA47" s="239"/>
      <c r="AB47" s="239">
        <f>(BaseLoad!D46*'Base Hours'!X47*'Base Hours'!$AA47)*-1</f>
        <v>0</v>
      </c>
      <c r="AC47" s="239"/>
      <c r="AD47" s="239">
        <f>(BaseLoad!E46*'Base Hours'!X47*'Base Hours'!$AA47)*-1</f>
        <v>0</v>
      </c>
      <c r="AE47" s="239"/>
      <c r="AF47" s="239">
        <f>(BaseLoad!F46*'Base Hours'!X47*'Base Hours'!$AA47)*-1</f>
        <v>0</v>
      </c>
      <c r="AG47" s="239"/>
    </row>
    <row r="48" spans="1:33" x14ac:dyDescent="0.2">
      <c r="A48" s="1">
        <f t="shared" si="1"/>
        <v>37695.846000000049</v>
      </c>
      <c r="B48" s="238" t="str">
        <f>IF($A$1="Peak","-",'Base Hours'!B48*BaseLoad!H47*'Base Hours'!$AA48)</f>
        <v>-</v>
      </c>
      <c r="C48" s="238" t="str">
        <f>IF($A$1="Peak","-",'Base Hours'!C48*BaseLoad!I47*'Base Hours'!$AA48)</f>
        <v>-</v>
      </c>
      <c r="D48" s="238" t="str">
        <f>IF($A$1="Peak","-",'Base Hours'!D48*BaseLoad!J47*'Base Hours'!$AA48)</f>
        <v>-</v>
      </c>
      <c r="E48" s="238" t="str">
        <f>IF($A$1="Peak","-",'Base Hours'!E48*BaseLoad!K47*'Base Hours'!$AA48)</f>
        <v>-</v>
      </c>
      <c r="F48" s="238" t="str">
        <f>IF($A$1="Peak","-",'Base Hours'!F48*BaseLoad!L47*'Base Hours'!$AA48)</f>
        <v>-</v>
      </c>
      <c r="G48" s="238" t="str">
        <f>IF($A$1="Peak","-",'Base Hours'!G48*BaseLoad!M47*'Base Hours'!$AA48)</f>
        <v>-</v>
      </c>
      <c r="H48" s="238" t="str">
        <f>IF($A$1="Peak","-",'Base Hours'!H48*BaseLoad!N47*'Base Hours'!$AA48)</f>
        <v>-</v>
      </c>
      <c r="I48" s="238" t="str">
        <f>IF($A$1="Peak","-",'Base Hours'!I48*BaseLoad!O47*'Base Hours'!$AA48)</f>
        <v>-</v>
      </c>
      <c r="J48" s="238" t="str">
        <f>IF($A$1="Peak","-",'Base Hours'!J48*BaseLoad!P47*'Base Hours'!$AA48)</f>
        <v>-</v>
      </c>
      <c r="K48" s="238" t="str">
        <f>IF($A$1="Peak","-",'Base Hours'!K48*BaseLoad!Q47*'Base Hours'!$AA48)</f>
        <v>-</v>
      </c>
      <c r="L48" s="238" t="str">
        <f>IF($A$1="Peak","-",'Base Hours'!L48*BaseLoad!R47*'Base Hours'!$AA48)</f>
        <v>-</v>
      </c>
      <c r="M48" s="238" t="str">
        <f>IF($A$1="Peak","-",'Base Hours'!M48*BaseLoad!S47*'Base Hours'!$AA48)</f>
        <v>-</v>
      </c>
      <c r="N48" s="238" t="str">
        <f>IF($A$1="Peak","-",'Base Hours'!N48*BaseLoad!T47*'Base Hours'!$AA48)</f>
        <v>-</v>
      </c>
      <c r="O48" s="238" t="str">
        <f>IF($A$1="Peak","-",'Base Hours'!O48*BaseLoad!U47*'Base Hours'!$AA48)</f>
        <v>-</v>
      </c>
      <c r="P48" s="238" t="str">
        <f>IF($A$1="Peak","-",'Base Hours'!P48*BaseLoad!V47*'Base Hours'!$AA48)</f>
        <v>-</v>
      </c>
      <c r="Q48" s="238" t="str">
        <f>IF($A$1="Peak","-",'Base Hours'!Q48*BaseLoad!W47*'Base Hours'!$AA48)</f>
        <v>-</v>
      </c>
      <c r="R48" s="238" t="str">
        <f>IF($A$1="Peak","-",'Base Hours'!R48*BaseLoad!X47*'Base Hours'!$AA48)</f>
        <v>-</v>
      </c>
      <c r="S48" s="238" t="str">
        <f>IF($A$1="Peak","-",'Base Hours'!S48*BaseLoad!Y47*'Base Hours'!$AA48)</f>
        <v>-</v>
      </c>
      <c r="T48" s="238" t="str">
        <f>IF($A$1="Peak","-",'Base Hours'!T48*BaseLoad!Z47*'Base Hours'!$AA48)</f>
        <v>-</v>
      </c>
      <c r="U48" s="238" t="str">
        <f>IF($A$1="Peak","-",'Base Hours'!U48*BaseLoad!AA47*'Base Hours'!$AA48)</f>
        <v>-</v>
      </c>
      <c r="V48" s="238">
        <f t="shared" si="2"/>
        <v>0</v>
      </c>
      <c r="W48" s="238"/>
      <c r="X48" s="238"/>
      <c r="Y48" s="239"/>
      <c r="Z48" s="239">
        <f>(BaseLoad!C47*'Base Hours'!X48*'Base Hours'!$AA48)*-1</f>
        <v>0</v>
      </c>
      <c r="AA48" s="239"/>
      <c r="AB48" s="239">
        <f>(BaseLoad!D47*'Base Hours'!X48*'Base Hours'!$AA48)*-1</f>
        <v>0</v>
      </c>
      <c r="AC48" s="239"/>
      <c r="AD48" s="239">
        <f>(BaseLoad!E47*'Base Hours'!X48*'Base Hours'!$AA48)*-1</f>
        <v>0</v>
      </c>
      <c r="AE48" s="239"/>
      <c r="AF48" s="239">
        <f>(BaseLoad!F47*'Base Hours'!X48*'Base Hours'!$AA48)*-1</f>
        <v>0</v>
      </c>
      <c r="AG48" s="239"/>
    </row>
    <row r="49" spans="1:33" x14ac:dyDescent="0.2">
      <c r="A49" s="1">
        <f t="shared" si="1"/>
        <v>37726.26300000005</v>
      </c>
      <c r="B49" s="238" t="str">
        <f>IF($A$1="Peak","-",'Base Hours'!B49*BaseLoad!H48*'Base Hours'!$AA49)</f>
        <v>-</v>
      </c>
      <c r="C49" s="238" t="str">
        <f>IF($A$1="Peak","-",'Base Hours'!C49*BaseLoad!I48*'Base Hours'!$AA49)</f>
        <v>-</v>
      </c>
      <c r="D49" s="238" t="str">
        <f>IF($A$1="Peak","-",'Base Hours'!D49*BaseLoad!J48*'Base Hours'!$AA49)</f>
        <v>-</v>
      </c>
      <c r="E49" s="238" t="str">
        <f>IF($A$1="Peak","-",'Base Hours'!E49*BaseLoad!K48*'Base Hours'!$AA49)</f>
        <v>-</v>
      </c>
      <c r="F49" s="238" t="str">
        <f>IF($A$1="Peak","-",'Base Hours'!F49*BaseLoad!L48*'Base Hours'!$AA49)</f>
        <v>-</v>
      </c>
      <c r="G49" s="238" t="str">
        <f>IF($A$1="Peak","-",'Base Hours'!G49*BaseLoad!M48*'Base Hours'!$AA49)</f>
        <v>-</v>
      </c>
      <c r="H49" s="238" t="str">
        <f>IF($A$1="Peak","-",'Base Hours'!H49*BaseLoad!N48*'Base Hours'!$AA49)</f>
        <v>-</v>
      </c>
      <c r="I49" s="238" t="str">
        <f>IF($A$1="Peak","-",'Base Hours'!I49*BaseLoad!O48*'Base Hours'!$AA49)</f>
        <v>-</v>
      </c>
      <c r="J49" s="238" t="str">
        <f>IF($A$1="Peak","-",'Base Hours'!J49*BaseLoad!P48*'Base Hours'!$AA49)</f>
        <v>-</v>
      </c>
      <c r="K49" s="238" t="str">
        <f>IF($A$1="Peak","-",'Base Hours'!K49*BaseLoad!Q48*'Base Hours'!$AA49)</f>
        <v>-</v>
      </c>
      <c r="L49" s="238" t="str">
        <f>IF($A$1="Peak","-",'Base Hours'!L49*BaseLoad!R48*'Base Hours'!$AA49)</f>
        <v>-</v>
      </c>
      <c r="M49" s="238" t="str">
        <f>IF($A$1="Peak","-",'Base Hours'!M49*BaseLoad!S48*'Base Hours'!$AA49)</f>
        <v>-</v>
      </c>
      <c r="N49" s="238" t="str">
        <f>IF($A$1="Peak","-",'Base Hours'!N49*BaseLoad!T48*'Base Hours'!$AA49)</f>
        <v>-</v>
      </c>
      <c r="O49" s="238" t="str">
        <f>IF($A$1="Peak","-",'Base Hours'!O49*BaseLoad!U48*'Base Hours'!$AA49)</f>
        <v>-</v>
      </c>
      <c r="P49" s="238" t="str">
        <f>IF($A$1="Peak","-",'Base Hours'!P49*BaseLoad!V48*'Base Hours'!$AA49)</f>
        <v>-</v>
      </c>
      <c r="Q49" s="238" t="str">
        <f>IF($A$1="Peak","-",'Base Hours'!Q49*BaseLoad!W48*'Base Hours'!$AA49)</f>
        <v>-</v>
      </c>
      <c r="R49" s="238" t="str">
        <f>IF($A$1="Peak","-",'Base Hours'!R49*BaseLoad!X48*'Base Hours'!$AA49)</f>
        <v>-</v>
      </c>
      <c r="S49" s="238" t="str">
        <f>IF($A$1="Peak","-",'Base Hours'!S49*BaseLoad!Y48*'Base Hours'!$AA49)</f>
        <v>-</v>
      </c>
      <c r="T49" s="238" t="str">
        <f>IF($A$1="Peak","-",'Base Hours'!T49*BaseLoad!Z48*'Base Hours'!$AA49)</f>
        <v>-</v>
      </c>
      <c r="U49" s="238" t="str">
        <f>IF($A$1="Peak","-",'Base Hours'!U49*BaseLoad!AA48*'Base Hours'!$AA49)</f>
        <v>-</v>
      </c>
      <c r="V49" s="238">
        <f t="shared" si="2"/>
        <v>0</v>
      </c>
      <c r="W49" s="238"/>
      <c r="X49" s="238"/>
      <c r="Y49" s="239"/>
      <c r="Z49" s="239">
        <f>(BaseLoad!C48*'Base Hours'!X49*'Base Hours'!$AA49)*-1</f>
        <v>0</v>
      </c>
      <c r="AA49" s="239"/>
      <c r="AB49" s="239">
        <f>(BaseLoad!D48*'Base Hours'!X49*'Base Hours'!$AA49)*-1</f>
        <v>0</v>
      </c>
      <c r="AC49" s="239"/>
      <c r="AD49" s="239">
        <f>(BaseLoad!E48*'Base Hours'!X49*'Base Hours'!$AA49)*-1</f>
        <v>0</v>
      </c>
      <c r="AE49" s="239"/>
      <c r="AF49" s="239">
        <f>(BaseLoad!F48*'Base Hours'!X49*'Base Hours'!$AA49)*-1</f>
        <v>0</v>
      </c>
      <c r="AG49" s="239"/>
    </row>
    <row r="50" spans="1:33" x14ac:dyDescent="0.2">
      <c r="A50" s="1">
        <f t="shared" si="1"/>
        <v>37756.680000000051</v>
      </c>
      <c r="B50" s="238" t="str">
        <f>IF($A$1="Peak","-",'Base Hours'!B50*BaseLoad!H49*'Base Hours'!$AA50)</f>
        <v>-</v>
      </c>
      <c r="C50" s="238" t="str">
        <f>IF($A$1="Peak","-",'Base Hours'!C50*BaseLoad!I49*'Base Hours'!$AA50)</f>
        <v>-</v>
      </c>
      <c r="D50" s="238" t="str">
        <f>IF($A$1="Peak","-",'Base Hours'!D50*BaseLoad!J49*'Base Hours'!$AA50)</f>
        <v>-</v>
      </c>
      <c r="E50" s="238" t="str">
        <f>IF($A$1="Peak","-",'Base Hours'!E50*BaseLoad!K49*'Base Hours'!$AA50)</f>
        <v>-</v>
      </c>
      <c r="F50" s="238" t="str">
        <f>IF($A$1="Peak","-",'Base Hours'!F50*BaseLoad!L49*'Base Hours'!$AA50)</f>
        <v>-</v>
      </c>
      <c r="G50" s="238" t="str">
        <f>IF($A$1="Peak","-",'Base Hours'!G50*BaseLoad!M49*'Base Hours'!$AA50)</f>
        <v>-</v>
      </c>
      <c r="H50" s="238" t="str">
        <f>IF($A$1="Peak","-",'Base Hours'!H50*BaseLoad!N49*'Base Hours'!$AA50)</f>
        <v>-</v>
      </c>
      <c r="I50" s="238" t="str">
        <f>IF($A$1="Peak","-",'Base Hours'!I50*BaseLoad!O49*'Base Hours'!$AA50)</f>
        <v>-</v>
      </c>
      <c r="J50" s="238" t="str">
        <f>IF($A$1="Peak","-",'Base Hours'!J50*BaseLoad!P49*'Base Hours'!$AA50)</f>
        <v>-</v>
      </c>
      <c r="K50" s="238" t="str">
        <f>IF($A$1="Peak","-",'Base Hours'!K50*BaseLoad!Q49*'Base Hours'!$AA50)</f>
        <v>-</v>
      </c>
      <c r="L50" s="238" t="str">
        <f>IF($A$1="Peak","-",'Base Hours'!L50*BaseLoad!R49*'Base Hours'!$AA50)</f>
        <v>-</v>
      </c>
      <c r="M50" s="238" t="str">
        <f>IF($A$1="Peak","-",'Base Hours'!M50*BaseLoad!S49*'Base Hours'!$AA50)</f>
        <v>-</v>
      </c>
      <c r="N50" s="238" t="str">
        <f>IF($A$1="Peak","-",'Base Hours'!N50*BaseLoad!T49*'Base Hours'!$AA50)</f>
        <v>-</v>
      </c>
      <c r="O50" s="238" t="str">
        <f>IF($A$1="Peak","-",'Base Hours'!O50*BaseLoad!U49*'Base Hours'!$AA50)</f>
        <v>-</v>
      </c>
      <c r="P50" s="238" t="str">
        <f>IF($A$1="Peak","-",'Base Hours'!P50*BaseLoad!V49*'Base Hours'!$AA50)</f>
        <v>-</v>
      </c>
      <c r="Q50" s="238" t="str">
        <f>IF($A$1="Peak","-",'Base Hours'!Q50*BaseLoad!W49*'Base Hours'!$AA50)</f>
        <v>-</v>
      </c>
      <c r="R50" s="238" t="str">
        <f>IF($A$1="Peak","-",'Base Hours'!R50*BaseLoad!X49*'Base Hours'!$AA50)</f>
        <v>-</v>
      </c>
      <c r="S50" s="238" t="str">
        <f>IF($A$1="Peak","-",'Base Hours'!S50*BaseLoad!Y49*'Base Hours'!$AA50)</f>
        <v>-</v>
      </c>
      <c r="T50" s="238" t="str">
        <f>IF($A$1="Peak","-",'Base Hours'!T50*BaseLoad!Z49*'Base Hours'!$AA50)</f>
        <v>-</v>
      </c>
      <c r="U50" s="238" t="str">
        <f>IF($A$1="Peak","-",'Base Hours'!U50*BaseLoad!AA49*'Base Hours'!$AA50)</f>
        <v>-</v>
      </c>
      <c r="V50" s="238">
        <f t="shared" si="2"/>
        <v>0</v>
      </c>
      <c r="W50" s="238"/>
      <c r="X50" s="238"/>
      <c r="Y50" s="239"/>
      <c r="Z50" s="239">
        <f>(BaseLoad!C49*'Base Hours'!X50*'Base Hours'!$AA50)*-1</f>
        <v>0</v>
      </c>
      <c r="AA50" s="239"/>
      <c r="AB50" s="239">
        <f>(BaseLoad!D49*'Base Hours'!X50*'Base Hours'!$AA50)*-1</f>
        <v>0</v>
      </c>
      <c r="AC50" s="239"/>
      <c r="AD50" s="239">
        <f>(BaseLoad!E49*'Base Hours'!X50*'Base Hours'!$AA50)*-1</f>
        <v>0</v>
      </c>
      <c r="AE50" s="239"/>
      <c r="AF50" s="239">
        <f>(BaseLoad!F49*'Base Hours'!X50*'Base Hours'!$AA50)*-1</f>
        <v>0</v>
      </c>
      <c r="AG50" s="239"/>
    </row>
    <row r="51" spans="1:33" x14ac:dyDescent="0.2">
      <c r="A51" s="1">
        <f t="shared" si="1"/>
        <v>37787.097000000053</v>
      </c>
      <c r="B51" s="238" t="str">
        <f>IF($A$1="Peak","-",'Base Hours'!B51*BaseLoad!H50*'Base Hours'!$AA51)</f>
        <v>-</v>
      </c>
      <c r="C51" s="238" t="str">
        <f>IF($A$1="Peak","-",'Base Hours'!C51*BaseLoad!I50*'Base Hours'!$AA51)</f>
        <v>-</v>
      </c>
      <c r="D51" s="238" t="str">
        <f>IF($A$1="Peak","-",'Base Hours'!D51*BaseLoad!J50*'Base Hours'!$AA51)</f>
        <v>-</v>
      </c>
      <c r="E51" s="238" t="str">
        <f>IF($A$1="Peak","-",'Base Hours'!E51*BaseLoad!K50*'Base Hours'!$AA51)</f>
        <v>-</v>
      </c>
      <c r="F51" s="238" t="str">
        <f>IF($A$1="Peak","-",'Base Hours'!F51*BaseLoad!L50*'Base Hours'!$AA51)</f>
        <v>-</v>
      </c>
      <c r="G51" s="238" t="str">
        <f>IF($A$1="Peak","-",'Base Hours'!G51*BaseLoad!M50*'Base Hours'!$AA51)</f>
        <v>-</v>
      </c>
      <c r="H51" s="238" t="str">
        <f>IF($A$1="Peak","-",'Base Hours'!H51*BaseLoad!N50*'Base Hours'!$AA51)</f>
        <v>-</v>
      </c>
      <c r="I51" s="238" t="str">
        <f>IF($A$1="Peak","-",'Base Hours'!I51*BaseLoad!O50*'Base Hours'!$AA51)</f>
        <v>-</v>
      </c>
      <c r="J51" s="238" t="str">
        <f>IF($A$1="Peak","-",'Base Hours'!J51*BaseLoad!P50*'Base Hours'!$AA51)</f>
        <v>-</v>
      </c>
      <c r="K51" s="238" t="str">
        <f>IF($A$1="Peak","-",'Base Hours'!K51*BaseLoad!Q50*'Base Hours'!$AA51)</f>
        <v>-</v>
      </c>
      <c r="L51" s="238" t="str">
        <f>IF($A$1="Peak","-",'Base Hours'!L51*BaseLoad!R50*'Base Hours'!$AA51)</f>
        <v>-</v>
      </c>
      <c r="M51" s="238" t="str">
        <f>IF($A$1="Peak","-",'Base Hours'!M51*BaseLoad!S50*'Base Hours'!$AA51)</f>
        <v>-</v>
      </c>
      <c r="N51" s="238" t="str">
        <f>IF($A$1="Peak","-",'Base Hours'!N51*BaseLoad!T50*'Base Hours'!$AA51)</f>
        <v>-</v>
      </c>
      <c r="O51" s="238" t="str">
        <f>IF($A$1="Peak","-",'Base Hours'!O51*BaseLoad!U50*'Base Hours'!$AA51)</f>
        <v>-</v>
      </c>
      <c r="P51" s="238" t="str">
        <f>IF($A$1="Peak","-",'Base Hours'!P51*BaseLoad!V50*'Base Hours'!$AA51)</f>
        <v>-</v>
      </c>
      <c r="Q51" s="238" t="str">
        <f>IF($A$1="Peak","-",'Base Hours'!Q51*BaseLoad!W50*'Base Hours'!$AA51)</f>
        <v>-</v>
      </c>
      <c r="R51" s="238" t="str">
        <f>IF($A$1="Peak","-",'Base Hours'!R51*BaseLoad!X50*'Base Hours'!$AA51)</f>
        <v>-</v>
      </c>
      <c r="S51" s="238" t="str">
        <f>IF($A$1="Peak","-",'Base Hours'!S51*BaseLoad!Y50*'Base Hours'!$AA51)</f>
        <v>-</v>
      </c>
      <c r="T51" s="238" t="str">
        <f>IF($A$1="Peak","-",'Base Hours'!T51*BaseLoad!Z50*'Base Hours'!$AA51)</f>
        <v>-</v>
      </c>
      <c r="U51" s="238" t="str">
        <f>IF($A$1="Peak","-",'Base Hours'!U51*BaseLoad!AA50*'Base Hours'!$AA51)</f>
        <v>-</v>
      </c>
      <c r="V51" s="238">
        <f t="shared" si="2"/>
        <v>0</v>
      </c>
      <c r="W51" s="238"/>
      <c r="X51" s="238"/>
      <c r="Y51" s="239"/>
      <c r="Z51" s="239">
        <f>(BaseLoad!C50*'Base Hours'!X51*'Base Hours'!$AA51)*-1</f>
        <v>0</v>
      </c>
      <c r="AA51" s="239"/>
      <c r="AB51" s="239">
        <f>(BaseLoad!D50*'Base Hours'!X51*'Base Hours'!$AA51)*-1</f>
        <v>0</v>
      </c>
      <c r="AC51" s="239"/>
      <c r="AD51" s="239">
        <f>(BaseLoad!E50*'Base Hours'!X51*'Base Hours'!$AA51)*-1</f>
        <v>0</v>
      </c>
      <c r="AE51" s="239"/>
      <c r="AF51" s="239">
        <f>(BaseLoad!F50*'Base Hours'!X51*'Base Hours'!$AA51)*-1</f>
        <v>0</v>
      </c>
      <c r="AG51" s="239"/>
    </row>
    <row r="52" spans="1:33" x14ac:dyDescent="0.2">
      <c r="A52" s="1">
        <f t="shared" si="1"/>
        <v>37817.514000000054</v>
      </c>
      <c r="B52" s="238" t="str">
        <f>IF($A$1="Peak","-",'Base Hours'!B52*BaseLoad!H51*'Base Hours'!$AA52)</f>
        <v>-</v>
      </c>
      <c r="C52" s="238" t="str">
        <f>IF($A$1="Peak","-",'Base Hours'!C52*BaseLoad!I51*'Base Hours'!$AA52)</f>
        <v>-</v>
      </c>
      <c r="D52" s="238" t="str">
        <f>IF($A$1="Peak","-",'Base Hours'!D52*BaseLoad!J51*'Base Hours'!$AA52)</f>
        <v>-</v>
      </c>
      <c r="E52" s="238" t="str">
        <f>IF($A$1="Peak","-",'Base Hours'!E52*BaseLoad!K51*'Base Hours'!$AA52)</f>
        <v>-</v>
      </c>
      <c r="F52" s="238" t="str">
        <f>IF($A$1="Peak","-",'Base Hours'!F52*BaseLoad!L51*'Base Hours'!$AA52)</f>
        <v>-</v>
      </c>
      <c r="G52" s="238" t="str">
        <f>IF($A$1="Peak","-",'Base Hours'!G52*BaseLoad!M51*'Base Hours'!$AA52)</f>
        <v>-</v>
      </c>
      <c r="H52" s="238" t="str">
        <f>IF($A$1="Peak","-",'Base Hours'!H52*BaseLoad!N51*'Base Hours'!$AA52)</f>
        <v>-</v>
      </c>
      <c r="I52" s="238" t="str">
        <f>IF($A$1="Peak","-",'Base Hours'!I52*BaseLoad!O51*'Base Hours'!$AA52)</f>
        <v>-</v>
      </c>
      <c r="J52" s="238" t="str">
        <f>IF($A$1="Peak","-",'Base Hours'!J52*BaseLoad!P51*'Base Hours'!$AA52)</f>
        <v>-</v>
      </c>
      <c r="K52" s="238" t="str">
        <f>IF($A$1="Peak","-",'Base Hours'!K52*BaseLoad!Q51*'Base Hours'!$AA52)</f>
        <v>-</v>
      </c>
      <c r="L52" s="238" t="str">
        <f>IF($A$1="Peak","-",'Base Hours'!L52*BaseLoad!R51*'Base Hours'!$AA52)</f>
        <v>-</v>
      </c>
      <c r="M52" s="238" t="str">
        <f>IF($A$1="Peak","-",'Base Hours'!M52*BaseLoad!S51*'Base Hours'!$AA52)</f>
        <v>-</v>
      </c>
      <c r="N52" s="238" t="str">
        <f>IF($A$1="Peak","-",'Base Hours'!N52*BaseLoad!T51*'Base Hours'!$AA52)</f>
        <v>-</v>
      </c>
      <c r="O52" s="238" t="str">
        <f>IF($A$1="Peak","-",'Base Hours'!O52*BaseLoad!U51*'Base Hours'!$AA52)</f>
        <v>-</v>
      </c>
      <c r="P52" s="238" t="str">
        <f>IF($A$1="Peak","-",'Base Hours'!P52*BaseLoad!V51*'Base Hours'!$AA52)</f>
        <v>-</v>
      </c>
      <c r="Q52" s="238" t="str">
        <f>IF($A$1="Peak","-",'Base Hours'!Q52*BaseLoad!W51*'Base Hours'!$AA52)</f>
        <v>-</v>
      </c>
      <c r="R52" s="238" t="str">
        <f>IF($A$1="Peak","-",'Base Hours'!R52*BaseLoad!X51*'Base Hours'!$AA52)</f>
        <v>-</v>
      </c>
      <c r="S52" s="238" t="str">
        <f>IF($A$1="Peak","-",'Base Hours'!S52*BaseLoad!Y51*'Base Hours'!$AA52)</f>
        <v>-</v>
      </c>
      <c r="T52" s="238" t="str">
        <f>IF($A$1="Peak","-",'Base Hours'!T52*BaseLoad!Z51*'Base Hours'!$AA52)</f>
        <v>-</v>
      </c>
      <c r="U52" s="238" t="str">
        <f>IF($A$1="Peak","-",'Base Hours'!U52*BaseLoad!AA51*'Base Hours'!$AA52)</f>
        <v>-</v>
      </c>
      <c r="V52" s="238">
        <f t="shared" si="2"/>
        <v>0</v>
      </c>
      <c r="W52" s="238"/>
      <c r="X52" s="238"/>
      <c r="Y52" s="239"/>
      <c r="Z52" s="239">
        <f>(BaseLoad!C51*'Base Hours'!X52*'Base Hours'!$AA52)*-1</f>
        <v>0</v>
      </c>
      <c r="AA52" s="239"/>
      <c r="AB52" s="239">
        <f>(BaseLoad!D51*'Base Hours'!X52*'Base Hours'!$AA52)*-1</f>
        <v>0</v>
      </c>
      <c r="AC52" s="239"/>
      <c r="AD52" s="239">
        <f>(BaseLoad!E51*'Base Hours'!X52*'Base Hours'!$AA52)*-1</f>
        <v>0</v>
      </c>
      <c r="AE52" s="239"/>
      <c r="AF52" s="239">
        <f>(BaseLoad!F51*'Base Hours'!X52*'Base Hours'!$AA52)*-1</f>
        <v>0</v>
      </c>
      <c r="AG52" s="239"/>
    </row>
    <row r="53" spans="1:33" x14ac:dyDescent="0.2">
      <c r="A53" s="1">
        <f t="shared" si="1"/>
        <v>37847.931000000055</v>
      </c>
      <c r="B53" s="238" t="str">
        <f>IF($A$1="Peak","-",'Base Hours'!B53*BaseLoad!H52*'Base Hours'!$AA53)</f>
        <v>-</v>
      </c>
      <c r="C53" s="238" t="str">
        <f>IF($A$1="Peak","-",'Base Hours'!C53*BaseLoad!I52*'Base Hours'!$AA53)</f>
        <v>-</v>
      </c>
      <c r="D53" s="238" t="str">
        <f>IF($A$1="Peak","-",'Base Hours'!D53*BaseLoad!J52*'Base Hours'!$AA53)</f>
        <v>-</v>
      </c>
      <c r="E53" s="238" t="str">
        <f>IF($A$1="Peak","-",'Base Hours'!E53*BaseLoad!K52*'Base Hours'!$AA53)</f>
        <v>-</v>
      </c>
      <c r="F53" s="238" t="str">
        <f>IF($A$1="Peak","-",'Base Hours'!F53*BaseLoad!L52*'Base Hours'!$AA53)</f>
        <v>-</v>
      </c>
      <c r="G53" s="238" t="str">
        <f>IF($A$1="Peak","-",'Base Hours'!G53*BaseLoad!M52*'Base Hours'!$AA53)</f>
        <v>-</v>
      </c>
      <c r="H53" s="238" t="str">
        <f>IF($A$1="Peak","-",'Base Hours'!H53*BaseLoad!N52*'Base Hours'!$AA53)</f>
        <v>-</v>
      </c>
      <c r="I53" s="238" t="str">
        <f>IF($A$1="Peak","-",'Base Hours'!I53*BaseLoad!O52*'Base Hours'!$AA53)</f>
        <v>-</v>
      </c>
      <c r="J53" s="238" t="str">
        <f>IF($A$1="Peak","-",'Base Hours'!J53*BaseLoad!P52*'Base Hours'!$AA53)</f>
        <v>-</v>
      </c>
      <c r="K53" s="238" t="str">
        <f>IF($A$1="Peak","-",'Base Hours'!K53*BaseLoad!Q52*'Base Hours'!$AA53)</f>
        <v>-</v>
      </c>
      <c r="L53" s="238" t="str">
        <f>IF($A$1="Peak","-",'Base Hours'!L53*BaseLoad!R52*'Base Hours'!$AA53)</f>
        <v>-</v>
      </c>
      <c r="M53" s="238" t="str">
        <f>IF($A$1="Peak","-",'Base Hours'!M53*BaseLoad!S52*'Base Hours'!$AA53)</f>
        <v>-</v>
      </c>
      <c r="N53" s="238" t="str">
        <f>IF($A$1="Peak","-",'Base Hours'!N53*BaseLoad!T52*'Base Hours'!$AA53)</f>
        <v>-</v>
      </c>
      <c r="O53" s="238" t="str">
        <f>IF($A$1="Peak","-",'Base Hours'!O53*BaseLoad!U52*'Base Hours'!$AA53)</f>
        <v>-</v>
      </c>
      <c r="P53" s="238" t="str">
        <f>IF($A$1="Peak","-",'Base Hours'!P53*BaseLoad!V52*'Base Hours'!$AA53)</f>
        <v>-</v>
      </c>
      <c r="Q53" s="238" t="str">
        <f>IF($A$1="Peak","-",'Base Hours'!Q53*BaseLoad!W52*'Base Hours'!$AA53)</f>
        <v>-</v>
      </c>
      <c r="R53" s="238" t="str">
        <f>IF($A$1="Peak","-",'Base Hours'!R53*BaseLoad!X52*'Base Hours'!$AA53)</f>
        <v>-</v>
      </c>
      <c r="S53" s="238" t="str">
        <f>IF($A$1="Peak","-",'Base Hours'!S53*BaseLoad!Y52*'Base Hours'!$AA53)</f>
        <v>-</v>
      </c>
      <c r="T53" s="238" t="str">
        <f>IF($A$1="Peak","-",'Base Hours'!T53*BaseLoad!Z52*'Base Hours'!$AA53)</f>
        <v>-</v>
      </c>
      <c r="U53" s="238" t="str">
        <f>IF($A$1="Peak","-",'Base Hours'!U53*BaseLoad!AA52*'Base Hours'!$AA53)</f>
        <v>-</v>
      </c>
      <c r="V53" s="238">
        <f t="shared" si="2"/>
        <v>0</v>
      </c>
      <c r="W53" s="238"/>
      <c r="X53" s="238"/>
      <c r="Y53" s="239"/>
      <c r="Z53" s="239">
        <f>(BaseLoad!C52*'Base Hours'!X53*'Base Hours'!$AA53)*-1</f>
        <v>0</v>
      </c>
      <c r="AA53" s="239"/>
      <c r="AB53" s="239">
        <f>(BaseLoad!D52*'Base Hours'!X53*'Base Hours'!$AA53)*-1</f>
        <v>0</v>
      </c>
      <c r="AC53" s="239"/>
      <c r="AD53" s="239">
        <f>(BaseLoad!E52*'Base Hours'!X53*'Base Hours'!$AA53)*-1</f>
        <v>0</v>
      </c>
      <c r="AE53" s="239"/>
      <c r="AF53" s="239">
        <f>(BaseLoad!F52*'Base Hours'!X53*'Base Hours'!$AA53)*-1</f>
        <v>0</v>
      </c>
      <c r="AG53" s="239"/>
    </row>
    <row r="54" spans="1:33" x14ac:dyDescent="0.2">
      <c r="A54" s="1">
        <f t="shared" si="1"/>
        <v>37878.348000000056</v>
      </c>
      <c r="B54" s="238" t="str">
        <f>IF($A$1="Peak","-",'Base Hours'!B54*BaseLoad!H53*'Base Hours'!$AA54)</f>
        <v>-</v>
      </c>
      <c r="C54" s="238" t="str">
        <f>IF($A$1="Peak","-",'Base Hours'!C54*BaseLoad!I53*'Base Hours'!$AA54)</f>
        <v>-</v>
      </c>
      <c r="D54" s="238" t="str">
        <f>IF($A$1="Peak","-",'Base Hours'!D54*BaseLoad!J53*'Base Hours'!$AA54)</f>
        <v>-</v>
      </c>
      <c r="E54" s="238" t="str">
        <f>IF($A$1="Peak","-",'Base Hours'!E54*BaseLoad!K53*'Base Hours'!$AA54)</f>
        <v>-</v>
      </c>
      <c r="F54" s="238" t="str">
        <f>IF($A$1="Peak","-",'Base Hours'!F54*BaseLoad!L53*'Base Hours'!$AA54)</f>
        <v>-</v>
      </c>
      <c r="G54" s="238" t="str">
        <f>IF($A$1="Peak","-",'Base Hours'!G54*BaseLoad!M53*'Base Hours'!$AA54)</f>
        <v>-</v>
      </c>
      <c r="H54" s="238" t="str">
        <f>IF($A$1="Peak","-",'Base Hours'!H54*BaseLoad!N53*'Base Hours'!$AA54)</f>
        <v>-</v>
      </c>
      <c r="I54" s="238" t="str">
        <f>IF($A$1="Peak","-",'Base Hours'!I54*BaseLoad!O53*'Base Hours'!$AA54)</f>
        <v>-</v>
      </c>
      <c r="J54" s="238" t="str">
        <f>IF($A$1="Peak","-",'Base Hours'!J54*BaseLoad!P53*'Base Hours'!$AA54)</f>
        <v>-</v>
      </c>
      <c r="K54" s="238" t="str">
        <f>IF($A$1="Peak","-",'Base Hours'!K54*BaseLoad!Q53*'Base Hours'!$AA54)</f>
        <v>-</v>
      </c>
      <c r="L54" s="238" t="str">
        <f>IF($A$1="Peak","-",'Base Hours'!L54*BaseLoad!R53*'Base Hours'!$AA54)</f>
        <v>-</v>
      </c>
      <c r="M54" s="238" t="str">
        <f>IF($A$1="Peak","-",'Base Hours'!M54*BaseLoad!S53*'Base Hours'!$AA54)</f>
        <v>-</v>
      </c>
      <c r="N54" s="238" t="str">
        <f>IF($A$1="Peak","-",'Base Hours'!N54*BaseLoad!T53*'Base Hours'!$AA54)</f>
        <v>-</v>
      </c>
      <c r="O54" s="238" t="str">
        <f>IF($A$1="Peak","-",'Base Hours'!O54*BaseLoad!U53*'Base Hours'!$AA54)</f>
        <v>-</v>
      </c>
      <c r="P54" s="238" t="str">
        <f>IF($A$1="Peak","-",'Base Hours'!P54*BaseLoad!V53*'Base Hours'!$AA54)</f>
        <v>-</v>
      </c>
      <c r="Q54" s="238" t="str">
        <f>IF($A$1="Peak","-",'Base Hours'!Q54*BaseLoad!W53*'Base Hours'!$AA54)</f>
        <v>-</v>
      </c>
      <c r="R54" s="238" t="str">
        <f>IF($A$1="Peak","-",'Base Hours'!R54*BaseLoad!X53*'Base Hours'!$AA54)</f>
        <v>-</v>
      </c>
      <c r="S54" s="238" t="str">
        <f>IF($A$1="Peak","-",'Base Hours'!S54*BaseLoad!Y53*'Base Hours'!$AA54)</f>
        <v>-</v>
      </c>
      <c r="T54" s="238" t="str">
        <f>IF($A$1="Peak","-",'Base Hours'!T54*BaseLoad!Z53*'Base Hours'!$AA54)</f>
        <v>-</v>
      </c>
      <c r="U54" s="238" t="str">
        <f>IF($A$1="Peak","-",'Base Hours'!U54*BaseLoad!AA53*'Base Hours'!$AA54)</f>
        <v>-</v>
      </c>
      <c r="V54" s="238">
        <f t="shared" si="2"/>
        <v>0</v>
      </c>
      <c r="W54" s="238"/>
      <c r="X54" s="238"/>
      <c r="Y54" s="239"/>
      <c r="Z54" s="239">
        <f>(BaseLoad!C53*'Base Hours'!X54*'Base Hours'!$AA54)*-1</f>
        <v>0</v>
      </c>
      <c r="AA54" s="239"/>
      <c r="AB54" s="239">
        <f>(BaseLoad!D53*'Base Hours'!X54*'Base Hours'!$AA54)*-1</f>
        <v>0</v>
      </c>
      <c r="AC54" s="239"/>
      <c r="AD54" s="239">
        <f>(BaseLoad!E53*'Base Hours'!X54*'Base Hours'!$AA54)*-1</f>
        <v>0</v>
      </c>
      <c r="AE54" s="239"/>
      <c r="AF54" s="239">
        <f>(BaseLoad!F53*'Base Hours'!X54*'Base Hours'!$AA54)*-1</f>
        <v>0</v>
      </c>
      <c r="AG54" s="239"/>
    </row>
    <row r="55" spans="1:33" x14ac:dyDescent="0.2">
      <c r="A55" s="1">
        <f t="shared" si="1"/>
        <v>37908.765000000058</v>
      </c>
      <c r="B55" s="238" t="str">
        <f>IF($A$1="Peak","-",'Base Hours'!B55*BaseLoad!H54*'Base Hours'!$AA55)</f>
        <v>-</v>
      </c>
      <c r="C55" s="238" t="str">
        <f>IF($A$1="Peak","-",'Base Hours'!C55*BaseLoad!I54*'Base Hours'!$AA55)</f>
        <v>-</v>
      </c>
      <c r="D55" s="238" t="str">
        <f>IF($A$1="Peak","-",'Base Hours'!D55*BaseLoad!J54*'Base Hours'!$AA55)</f>
        <v>-</v>
      </c>
      <c r="E55" s="238" t="str">
        <f>IF($A$1="Peak","-",'Base Hours'!E55*BaseLoad!K54*'Base Hours'!$AA55)</f>
        <v>-</v>
      </c>
      <c r="F55" s="238" t="str">
        <f>IF($A$1="Peak","-",'Base Hours'!F55*BaseLoad!L54*'Base Hours'!$AA55)</f>
        <v>-</v>
      </c>
      <c r="G55" s="238" t="str">
        <f>IF($A$1="Peak","-",'Base Hours'!G55*BaseLoad!M54*'Base Hours'!$AA55)</f>
        <v>-</v>
      </c>
      <c r="H55" s="238" t="str">
        <f>IF($A$1="Peak","-",'Base Hours'!H55*BaseLoad!N54*'Base Hours'!$AA55)</f>
        <v>-</v>
      </c>
      <c r="I55" s="238" t="str">
        <f>IF($A$1="Peak","-",'Base Hours'!I55*BaseLoad!O54*'Base Hours'!$AA55)</f>
        <v>-</v>
      </c>
      <c r="J55" s="238" t="str">
        <f>IF($A$1="Peak","-",'Base Hours'!J55*BaseLoad!P54*'Base Hours'!$AA55)</f>
        <v>-</v>
      </c>
      <c r="K55" s="238" t="str">
        <f>IF($A$1="Peak","-",'Base Hours'!K55*BaseLoad!Q54*'Base Hours'!$AA55)</f>
        <v>-</v>
      </c>
      <c r="L55" s="238" t="str">
        <f>IF($A$1="Peak","-",'Base Hours'!L55*BaseLoad!R54*'Base Hours'!$AA55)</f>
        <v>-</v>
      </c>
      <c r="M55" s="238" t="str">
        <f>IF($A$1="Peak","-",'Base Hours'!M55*BaseLoad!S54*'Base Hours'!$AA55)</f>
        <v>-</v>
      </c>
      <c r="N55" s="238" t="str">
        <f>IF($A$1="Peak","-",'Base Hours'!N55*BaseLoad!T54*'Base Hours'!$AA55)</f>
        <v>-</v>
      </c>
      <c r="O55" s="238" t="str">
        <f>IF($A$1="Peak","-",'Base Hours'!O55*BaseLoad!U54*'Base Hours'!$AA55)</f>
        <v>-</v>
      </c>
      <c r="P55" s="238" t="str">
        <f>IF($A$1="Peak","-",'Base Hours'!P55*BaseLoad!V54*'Base Hours'!$AA55)</f>
        <v>-</v>
      </c>
      <c r="Q55" s="238" t="str">
        <f>IF($A$1="Peak","-",'Base Hours'!Q55*BaseLoad!W54*'Base Hours'!$AA55)</f>
        <v>-</v>
      </c>
      <c r="R55" s="238" t="str">
        <f>IF($A$1="Peak","-",'Base Hours'!R55*BaseLoad!X54*'Base Hours'!$AA55)</f>
        <v>-</v>
      </c>
      <c r="S55" s="238" t="str">
        <f>IF($A$1="Peak","-",'Base Hours'!S55*BaseLoad!Y54*'Base Hours'!$AA55)</f>
        <v>-</v>
      </c>
      <c r="T55" s="238" t="str">
        <f>IF($A$1="Peak","-",'Base Hours'!T55*BaseLoad!Z54*'Base Hours'!$AA55)</f>
        <v>-</v>
      </c>
      <c r="U55" s="238" t="str">
        <f>IF($A$1="Peak","-",'Base Hours'!U55*BaseLoad!AA54*'Base Hours'!$AA55)</f>
        <v>-</v>
      </c>
      <c r="V55" s="238">
        <f t="shared" si="2"/>
        <v>0</v>
      </c>
      <c r="W55" s="238"/>
      <c r="X55" s="238"/>
      <c r="Y55" s="239"/>
      <c r="Z55" s="239">
        <f>(BaseLoad!C54*'Base Hours'!X55*'Base Hours'!$AA55)*-1</f>
        <v>0</v>
      </c>
      <c r="AA55" s="239"/>
      <c r="AB55" s="239">
        <f>(BaseLoad!D54*'Base Hours'!X55*'Base Hours'!$AA55)*-1</f>
        <v>0</v>
      </c>
      <c r="AC55" s="239"/>
      <c r="AD55" s="239">
        <f>(BaseLoad!E54*'Base Hours'!X55*'Base Hours'!$AA55)*-1</f>
        <v>0</v>
      </c>
      <c r="AE55" s="239"/>
      <c r="AF55" s="239">
        <f>(BaseLoad!F54*'Base Hours'!X55*'Base Hours'!$AA55)*-1</f>
        <v>0</v>
      </c>
      <c r="AG55" s="239"/>
    </row>
    <row r="56" spans="1:33" x14ac:dyDescent="0.2">
      <c r="A56" s="1">
        <f t="shared" si="1"/>
        <v>37939.182000000059</v>
      </c>
      <c r="B56" s="238" t="str">
        <f>IF($A$1="Peak","-",'Base Hours'!B56*BaseLoad!H55*'Base Hours'!$AA56)</f>
        <v>-</v>
      </c>
      <c r="C56" s="238" t="str">
        <f>IF($A$1="Peak","-",'Base Hours'!C56*BaseLoad!I55*'Base Hours'!$AA56)</f>
        <v>-</v>
      </c>
      <c r="D56" s="238" t="str">
        <f>IF($A$1="Peak","-",'Base Hours'!D56*BaseLoad!J55*'Base Hours'!$AA56)</f>
        <v>-</v>
      </c>
      <c r="E56" s="238" t="str">
        <f>IF($A$1="Peak","-",'Base Hours'!E56*BaseLoad!K55*'Base Hours'!$AA56)</f>
        <v>-</v>
      </c>
      <c r="F56" s="238" t="str">
        <f>IF($A$1="Peak","-",'Base Hours'!F56*BaseLoad!L55*'Base Hours'!$AA56)</f>
        <v>-</v>
      </c>
      <c r="G56" s="238" t="str">
        <f>IF($A$1="Peak","-",'Base Hours'!G56*BaseLoad!M55*'Base Hours'!$AA56)</f>
        <v>-</v>
      </c>
      <c r="H56" s="238" t="str">
        <f>IF($A$1="Peak","-",'Base Hours'!H56*BaseLoad!N55*'Base Hours'!$AA56)</f>
        <v>-</v>
      </c>
      <c r="I56" s="238" t="str">
        <f>IF($A$1="Peak","-",'Base Hours'!I56*BaseLoad!O55*'Base Hours'!$AA56)</f>
        <v>-</v>
      </c>
      <c r="J56" s="238" t="str">
        <f>IF($A$1="Peak","-",'Base Hours'!J56*BaseLoad!P55*'Base Hours'!$AA56)</f>
        <v>-</v>
      </c>
      <c r="K56" s="238" t="str">
        <f>IF($A$1="Peak","-",'Base Hours'!K56*BaseLoad!Q55*'Base Hours'!$AA56)</f>
        <v>-</v>
      </c>
      <c r="L56" s="238" t="str">
        <f>IF($A$1="Peak","-",'Base Hours'!L56*BaseLoad!R55*'Base Hours'!$AA56)</f>
        <v>-</v>
      </c>
      <c r="M56" s="238" t="str">
        <f>IF($A$1="Peak","-",'Base Hours'!M56*BaseLoad!S55*'Base Hours'!$AA56)</f>
        <v>-</v>
      </c>
      <c r="N56" s="238" t="str">
        <f>IF($A$1="Peak","-",'Base Hours'!N56*BaseLoad!T55*'Base Hours'!$AA56)</f>
        <v>-</v>
      </c>
      <c r="O56" s="238" t="str">
        <f>IF($A$1="Peak","-",'Base Hours'!O56*BaseLoad!U55*'Base Hours'!$AA56)</f>
        <v>-</v>
      </c>
      <c r="P56" s="238" t="str">
        <f>IF($A$1="Peak","-",'Base Hours'!P56*BaseLoad!V55*'Base Hours'!$AA56)</f>
        <v>-</v>
      </c>
      <c r="Q56" s="238" t="str">
        <f>IF($A$1="Peak","-",'Base Hours'!Q56*BaseLoad!W55*'Base Hours'!$AA56)</f>
        <v>-</v>
      </c>
      <c r="R56" s="238" t="str">
        <f>IF($A$1="Peak","-",'Base Hours'!R56*BaseLoad!X55*'Base Hours'!$AA56)</f>
        <v>-</v>
      </c>
      <c r="S56" s="238" t="str">
        <f>IF($A$1="Peak","-",'Base Hours'!S56*BaseLoad!Y55*'Base Hours'!$AA56)</f>
        <v>-</v>
      </c>
      <c r="T56" s="238" t="str">
        <f>IF($A$1="Peak","-",'Base Hours'!T56*BaseLoad!Z55*'Base Hours'!$AA56)</f>
        <v>-</v>
      </c>
      <c r="U56" s="238" t="str">
        <f>IF($A$1="Peak","-",'Base Hours'!U56*BaseLoad!AA55*'Base Hours'!$AA56)</f>
        <v>-</v>
      </c>
      <c r="V56" s="238">
        <f t="shared" si="2"/>
        <v>0</v>
      </c>
      <c r="W56" s="238"/>
      <c r="X56" s="238"/>
      <c r="Y56" s="239"/>
      <c r="Z56" s="239">
        <f>(BaseLoad!C55*'Base Hours'!X56*'Base Hours'!$AA56)*-1</f>
        <v>0</v>
      </c>
      <c r="AA56" s="239"/>
      <c r="AB56" s="239">
        <f>(BaseLoad!D55*'Base Hours'!X56*'Base Hours'!$AA56)*-1</f>
        <v>0</v>
      </c>
      <c r="AC56" s="239"/>
      <c r="AD56" s="239">
        <f>(BaseLoad!E55*'Base Hours'!X56*'Base Hours'!$AA56)*-1</f>
        <v>0</v>
      </c>
      <c r="AE56" s="239"/>
      <c r="AF56" s="239">
        <f>(BaseLoad!F55*'Base Hours'!X56*'Base Hours'!$AA56)*-1</f>
        <v>0</v>
      </c>
      <c r="AG56" s="239"/>
    </row>
    <row r="57" spans="1:33" x14ac:dyDescent="0.2">
      <c r="A57" s="1">
        <f t="shared" si="1"/>
        <v>37969.59900000006</v>
      </c>
      <c r="B57" s="238" t="str">
        <f>IF($A$1="Peak","-",'Base Hours'!B57*BaseLoad!H56*'Base Hours'!$AA57)</f>
        <v>-</v>
      </c>
      <c r="C57" s="238" t="str">
        <f>IF($A$1="Peak","-",'Base Hours'!C57*BaseLoad!I56*'Base Hours'!$AA57)</f>
        <v>-</v>
      </c>
      <c r="D57" s="238" t="str">
        <f>IF($A$1="Peak","-",'Base Hours'!D57*BaseLoad!J56*'Base Hours'!$AA57)</f>
        <v>-</v>
      </c>
      <c r="E57" s="238" t="str">
        <f>IF($A$1="Peak","-",'Base Hours'!E57*BaseLoad!K56*'Base Hours'!$AA57)</f>
        <v>-</v>
      </c>
      <c r="F57" s="238" t="str">
        <f>IF($A$1="Peak","-",'Base Hours'!F57*BaseLoad!L56*'Base Hours'!$AA57)</f>
        <v>-</v>
      </c>
      <c r="G57" s="238" t="str">
        <f>IF($A$1="Peak","-",'Base Hours'!G57*BaseLoad!M56*'Base Hours'!$AA57)</f>
        <v>-</v>
      </c>
      <c r="H57" s="238" t="str">
        <f>IF($A$1="Peak","-",'Base Hours'!H57*BaseLoad!N56*'Base Hours'!$AA57)</f>
        <v>-</v>
      </c>
      <c r="I57" s="238" t="str">
        <f>IF($A$1="Peak","-",'Base Hours'!I57*BaseLoad!O56*'Base Hours'!$AA57)</f>
        <v>-</v>
      </c>
      <c r="J57" s="238" t="str">
        <f>IF($A$1="Peak","-",'Base Hours'!J57*BaseLoad!P56*'Base Hours'!$AA57)</f>
        <v>-</v>
      </c>
      <c r="K57" s="238" t="str">
        <f>IF($A$1="Peak","-",'Base Hours'!K57*BaseLoad!Q56*'Base Hours'!$AA57)</f>
        <v>-</v>
      </c>
      <c r="L57" s="238" t="str">
        <f>IF($A$1="Peak","-",'Base Hours'!L57*BaseLoad!R56*'Base Hours'!$AA57)</f>
        <v>-</v>
      </c>
      <c r="M57" s="238" t="str">
        <f>IF($A$1="Peak","-",'Base Hours'!M57*BaseLoad!S56*'Base Hours'!$AA57)</f>
        <v>-</v>
      </c>
      <c r="N57" s="238" t="str">
        <f>IF($A$1="Peak","-",'Base Hours'!N57*BaseLoad!T56*'Base Hours'!$AA57)</f>
        <v>-</v>
      </c>
      <c r="O57" s="238" t="str">
        <f>IF($A$1="Peak","-",'Base Hours'!O57*BaseLoad!U56*'Base Hours'!$AA57)</f>
        <v>-</v>
      </c>
      <c r="P57" s="238" t="str">
        <f>IF($A$1="Peak","-",'Base Hours'!P57*BaseLoad!V56*'Base Hours'!$AA57)</f>
        <v>-</v>
      </c>
      <c r="Q57" s="238" t="str">
        <f>IF($A$1="Peak","-",'Base Hours'!Q57*BaseLoad!W56*'Base Hours'!$AA57)</f>
        <v>-</v>
      </c>
      <c r="R57" s="238" t="str">
        <f>IF($A$1="Peak","-",'Base Hours'!R57*BaseLoad!X56*'Base Hours'!$AA57)</f>
        <v>-</v>
      </c>
      <c r="S57" s="238" t="str">
        <f>IF($A$1="Peak","-",'Base Hours'!S57*BaseLoad!Y56*'Base Hours'!$AA57)</f>
        <v>-</v>
      </c>
      <c r="T57" s="238" t="str">
        <f>IF($A$1="Peak","-",'Base Hours'!T57*BaseLoad!Z56*'Base Hours'!$AA57)</f>
        <v>-</v>
      </c>
      <c r="U57" s="238" t="str">
        <f>IF($A$1="Peak","-",'Base Hours'!U57*BaseLoad!AA56*'Base Hours'!$AA57)</f>
        <v>-</v>
      </c>
      <c r="V57" s="238">
        <f t="shared" si="2"/>
        <v>0</v>
      </c>
      <c r="W57" s="238">
        <f>IF($A$1="BL",(SUM(V46:V57)),0)</f>
        <v>0</v>
      </c>
      <c r="X57" s="238">
        <f>IF(AND($A$1="BL",W57&gt;0),(PPA!$B$5*8760*BaseLoad!$AP$15*PPA!$G$4*BaseLoad!$AP$9),0)</f>
        <v>0</v>
      </c>
      <c r="Y57" s="239">
        <f>X57+W57</f>
        <v>0</v>
      </c>
      <c r="Z57" s="239">
        <f>(BaseLoad!C56*'Base Hours'!X57*'Base Hours'!$AA57)*-1</f>
        <v>0</v>
      </c>
      <c r="AA57" s="239">
        <f>SUM(Z46:Z57)</f>
        <v>0</v>
      </c>
      <c r="AB57" s="239">
        <f>(BaseLoad!D56*'Base Hours'!X57*'Base Hours'!$AA57)*-1</f>
        <v>0</v>
      </c>
      <c r="AC57" s="239">
        <f>SUM(AB46:AB57)</f>
        <v>0</v>
      </c>
      <c r="AD57" s="239">
        <f>(BaseLoad!E56*'Base Hours'!X57*'Base Hours'!$AA57)*-1</f>
        <v>0</v>
      </c>
      <c r="AE57" s="239">
        <f>SUM(AD46:AD57)</f>
        <v>0</v>
      </c>
      <c r="AF57" s="239">
        <f>(BaseLoad!F56*'Base Hours'!X57*'Base Hours'!$AA57)*-1</f>
        <v>0</v>
      </c>
      <c r="AG57" s="239">
        <f>SUM(AF46:AF57)</f>
        <v>0</v>
      </c>
    </row>
    <row r="58" spans="1:33" x14ac:dyDescent="0.2">
      <c r="A58" s="1">
        <f t="shared" si="1"/>
        <v>38000.016000000061</v>
      </c>
      <c r="B58" s="238" t="str">
        <f>IF($A$1="Peak","-",'Base Hours'!B58*BaseLoad!H57*'Base Hours'!$AA58)</f>
        <v>-</v>
      </c>
      <c r="C58" s="238" t="str">
        <f>IF($A$1="Peak","-",'Base Hours'!C58*BaseLoad!I57*'Base Hours'!$AA58)</f>
        <v>-</v>
      </c>
      <c r="D58" s="238" t="str">
        <f>IF($A$1="Peak","-",'Base Hours'!D58*BaseLoad!J57*'Base Hours'!$AA58)</f>
        <v>-</v>
      </c>
      <c r="E58" s="238" t="str">
        <f>IF($A$1="Peak","-",'Base Hours'!E58*BaseLoad!K57*'Base Hours'!$AA58)</f>
        <v>-</v>
      </c>
      <c r="F58" s="238" t="str">
        <f>IF($A$1="Peak","-",'Base Hours'!F58*BaseLoad!L57*'Base Hours'!$AA58)</f>
        <v>-</v>
      </c>
      <c r="G58" s="238" t="str">
        <f>IF($A$1="Peak","-",'Base Hours'!G58*BaseLoad!M57*'Base Hours'!$AA58)</f>
        <v>-</v>
      </c>
      <c r="H58" s="238" t="str">
        <f>IF($A$1="Peak","-",'Base Hours'!H58*BaseLoad!N57*'Base Hours'!$AA58)</f>
        <v>-</v>
      </c>
      <c r="I58" s="238" t="str">
        <f>IF($A$1="Peak","-",'Base Hours'!I58*BaseLoad!O57*'Base Hours'!$AA58)</f>
        <v>-</v>
      </c>
      <c r="J58" s="238" t="str">
        <f>IF($A$1="Peak","-",'Base Hours'!J58*BaseLoad!P57*'Base Hours'!$AA58)</f>
        <v>-</v>
      </c>
      <c r="K58" s="238" t="str">
        <f>IF($A$1="Peak","-",'Base Hours'!K58*BaseLoad!Q57*'Base Hours'!$AA58)</f>
        <v>-</v>
      </c>
      <c r="L58" s="238" t="str">
        <f>IF($A$1="Peak","-",'Base Hours'!L58*BaseLoad!R57*'Base Hours'!$AA58)</f>
        <v>-</v>
      </c>
      <c r="M58" s="238" t="str">
        <f>IF($A$1="Peak","-",'Base Hours'!M58*BaseLoad!S57*'Base Hours'!$AA58)</f>
        <v>-</v>
      </c>
      <c r="N58" s="238" t="str">
        <f>IF($A$1="Peak","-",'Base Hours'!N58*BaseLoad!T57*'Base Hours'!$AA58)</f>
        <v>-</v>
      </c>
      <c r="O58" s="238" t="str">
        <f>IF($A$1="Peak","-",'Base Hours'!O58*BaseLoad!U57*'Base Hours'!$AA58)</f>
        <v>-</v>
      </c>
      <c r="P58" s="238" t="str">
        <f>IF($A$1="Peak","-",'Base Hours'!P58*BaseLoad!V57*'Base Hours'!$AA58)</f>
        <v>-</v>
      </c>
      <c r="Q58" s="238" t="str">
        <f>IF($A$1="Peak","-",'Base Hours'!Q58*BaseLoad!W57*'Base Hours'!$AA58)</f>
        <v>-</v>
      </c>
      <c r="R58" s="238" t="str">
        <f>IF($A$1="Peak","-",'Base Hours'!R58*BaseLoad!X57*'Base Hours'!$AA58)</f>
        <v>-</v>
      </c>
      <c r="S58" s="238" t="str">
        <f>IF($A$1="Peak","-",'Base Hours'!S58*BaseLoad!Y57*'Base Hours'!$AA58)</f>
        <v>-</v>
      </c>
      <c r="T58" s="238" t="str">
        <f>IF($A$1="Peak","-",'Base Hours'!T58*BaseLoad!Z57*'Base Hours'!$AA58)</f>
        <v>-</v>
      </c>
      <c r="U58" s="238" t="str">
        <f>IF($A$1="Peak","-",'Base Hours'!U58*BaseLoad!AA57*'Base Hours'!$AA58)</f>
        <v>-</v>
      </c>
      <c r="V58" s="238">
        <f t="shared" si="2"/>
        <v>0</v>
      </c>
      <c r="W58" s="238"/>
      <c r="X58" s="238"/>
      <c r="Y58" s="239"/>
      <c r="Z58" s="239">
        <f>(BaseLoad!C57*'Base Hours'!X58*'Base Hours'!$AA58)*-1</f>
        <v>0</v>
      </c>
      <c r="AA58" s="239"/>
      <c r="AB58" s="239">
        <f>(BaseLoad!D57*'Base Hours'!X58*'Base Hours'!$AA58)*-1</f>
        <v>0</v>
      </c>
      <c r="AC58" s="239"/>
      <c r="AD58" s="239">
        <f>(BaseLoad!E57*'Base Hours'!X58*'Base Hours'!$AA58)*-1</f>
        <v>0</v>
      </c>
      <c r="AE58" s="239"/>
      <c r="AF58" s="239">
        <f>(BaseLoad!F57*'Base Hours'!X58*'Base Hours'!$AA58)*-1</f>
        <v>0</v>
      </c>
      <c r="AG58" s="239"/>
    </row>
    <row r="59" spans="1:33" x14ac:dyDescent="0.2">
      <c r="A59" s="1">
        <f t="shared" si="1"/>
        <v>38030.433000000063</v>
      </c>
      <c r="B59" s="238" t="str">
        <f>IF($A$1="Peak","-",'Base Hours'!B59*BaseLoad!H58*'Base Hours'!$AA59)</f>
        <v>-</v>
      </c>
      <c r="C59" s="238" t="str">
        <f>IF($A$1="Peak","-",'Base Hours'!C59*BaseLoad!I58*'Base Hours'!$AA59)</f>
        <v>-</v>
      </c>
      <c r="D59" s="238" t="str">
        <f>IF($A$1="Peak","-",'Base Hours'!D59*BaseLoad!J58*'Base Hours'!$AA59)</f>
        <v>-</v>
      </c>
      <c r="E59" s="238" t="str">
        <f>IF($A$1="Peak","-",'Base Hours'!E59*BaseLoad!K58*'Base Hours'!$AA59)</f>
        <v>-</v>
      </c>
      <c r="F59" s="238" t="str">
        <f>IF($A$1="Peak","-",'Base Hours'!F59*BaseLoad!L58*'Base Hours'!$AA59)</f>
        <v>-</v>
      </c>
      <c r="G59" s="238" t="str">
        <f>IF($A$1="Peak","-",'Base Hours'!G59*BaseLoad!M58*'Base Hours'!$AA59)</f>
        <v>-</v>
      </c>
      <c r="H59" s="238" t="str">
        <f>IF($A$1="Peak","-",'Base Hours'!H59*BaseLoad!N58*'Base Hours'!$AA59)</f>
        <v>-</v>
      </c>
      <c r="I59" s="238" t="str">
        <f>IF($A$1="Peak","-",'Base Hours'!I59*BaseLoad!O58*'Base Hours'!$AA59)</f>
        <v>-</v>
      </c>
      <c r="J59" s="238" t="str">
        <f>IF($A$1="Peak","-",'Base Hours'!J59*BaseLoad!P58*'Base Hours'!$AA59)</f>
        <v>-</v>
      </c>
      <c r="K59" s="238" t="str">
        <f>IF($A$1="Peak","-",'Base Hours'!K59*BaseLoad!Q58*'Base Hours'!$AA59)</f>
        <v>-</v>
      </c>
      <c r="L59" s="238" t="str">
        <f>IF($A$1="Peak","-",'Base Hours'!L59*BaseLoad!R58*'Base Hours'!$AA59)</f>
        <v>-</v>
      </c>
      <c r="M59" s="238" t="str">
        <f>IF($A$1="Peak","-",'Base Hours'!M59*BaseLoad!S58*'Base Hours'!$AA59)</f>
        <v>-</v>
      </c>
      <c r="N59" s="238" t="str">
        <f>IF($A$1="Peak","-",'Base Hours'!N59*BaseLoad!T58*'Base Hours'!$AA59)</f>
        <v>-</v>
      </c>
      <c r="O59" s="238" t="str">
        <f>IF($A$1="Peak","-",'Base Hours'!O59*BaseLoad!U58*'Base Hours'!$AA59)</f>
        <v>-</v>
      </c>
      <c r="P59" s="238" t="str">
        <f>IF($A$1="Peak","-",'Base Hours'!P59*BaseLoad!V58*'Base Hours'!$AA59)</f>
        <v>-</v>
      </c>
      <c r="Q59" s="238" t="str">
        <f>IF($A$1="Peak","-",'Base Hours'!Q59*BaseLoad!W58*'Base Hours'!$AA59)</f>
        <v>-</v>
      </c>
      <c r="R59" s="238" t="str">
        <f>IF($A$1="Peak","-",'Base Hours'!R59*BaseLoad!X58*'Base Hours'!$AA59)</f>
        <v>-</v>
      </c>
      <c r="S59" s="238" t="str">
        <f>IF($A$1="Peak","-",'Base Hours'!S59*BaseLoad!Y58*'Base Hours'!$AA59)</f>
        <v>-</v>
      </c>
      <c r="T59" s="238" t="str">
        <f>IF($A$1="Peak","-",'Base Hours'!T59*BaseLoad!Z58*'Base Hours'!$AA59)</f>
        <v>-</v>
      </c>
      <c r="U59" s="238" t="str">
        <f>IF($A$1="Peak","-",'Base Hours'!U59*BaseLoad!AA58*'Base Hours'!$AA59)</f>
        <v>-</v>
      </c>
      <c r="V59" s="238">
        <f t="shared" si="2"/>
        <v>0</v>
      </c>
      <c r="W59" s="238"/>
      <c r="X59" s="238"/>
      <c r="Y59" s="239"/>
      <c r="Z59" s="239">
        <f>(BaseLoad!C58*'Base Hours'!X59*'Base Hours'!$AA59)*-1</f>
        <v>0</v>
      </c>
      <c r="AA59" s="239"/>
      <c r="AB59" s="239">
        <f>(BaseLoad!D58*'Base Hours'!X59*'Base Hours'!$AA59)*-1</f>
        <v>0</v>
      </c>
      <c r="AC59" s="239"/>
      <c r="AD59" s="239">
        <f>(BaseLoad!E58*'Base Hours'!X59*'Base Hours'!$AA59)*-1</f>
        <v>0</v>
      </c>
      <c r="AE59" s="239"/>
      <c r="AF59" s="239">
        <f>(BaseLoad!F58*'Base Hours'!X59*'Base Hours'!$AA59)*-1</f>
        <v>0</v>
      </c>
      <c r="AG59" s="239"/>
    </row>
    <row r="60" spans="1:33" x14ac:dyDescent="0.2">
      <c r="A60" s="1">
        <f t="shared" si="1"/>
        <v>38060.850000000064</v>
      </c>
      <c r="B60" s="238" t="str">
        <f>IF($A$1="Peak","-",'Base Hours'!B60*BaseLoad!H59*'Base Hours'!$AA60)</f>
        <v>-</v>
      </c>
      <c r="C60" s="238" t="str">
        <f>IF($A$1="Peak","-",'Base Hours'!C60*BaseLoad!I59*'Base Hours'!$AA60)</f>
        <v>-</v>
      </c>
      <c r="D60" s="238" t="str">
        <f>IF($A$1="Peak","-",'Base Hours'!D60*BaseLoad!J59*'Base Hours'!$AA60)</f>
        <v>-</v>
      </c>
      <c r="E60" s="238" t="str">
        <f>IF($A$1="Peak","-",'Base Hours'!E60*BaseLoad!K59*'Base Hours'!$AA60)</f>
        <v>-</v>
      </c>
      <c r="F60" s="238" t="str">
        <f>IF($A$1="Peak","-",'Base Hours'!F60*BaseLoad!L59*'Base Hours'!$AA60)</f>
        <v>-</v>
      </c>
      <c r="G60" s="238" t="str">
        <f>IF($A$1="Peak","-",'Base Hours'!G60*BaseLoad!M59*'Base Hours'!$AA60)</f>
        <v>-</v>
      </c>
      <c r="H60" s="238" t="str">
        <f>IF($A$1="Peak","-",'Base Hours'!H60*BaseLoad!N59*'Base Hours'!$AA60)</f>
        <v>-</v>
      </c>
      <c r="I60" s="238" t="str">
        <f>IF($A$1="Peak","-",'Base Hours'!I60*BaseLoad!O59*'Base Hours'!$AA60)</f>
        <v>-</v>
      </c>
      <c r="J60" s="238" t="str">
        <f>IF($A$1="Peak","-",'Base Hours'!J60*BaseLoad!P59*'Base Hours'!$AA60)</f>
        <v>-</v>
      </c>
      <c r="K60" s="238" t="str">
        <f>IF($A$1="Peak","-",'Base Hours'!K60*BaseLoad!Q59*'Base Hours'!$AA60)</f>
        <v>-</v>
      </c>
      <c r="L60" s="238" t="str">
        <f>IF($A$1="Peak","-",'Base Hours'!L60*BaseLoad!R59*'Base Hours'!$AA60)</f>
        <v>-</v>
      </c>
      <c r="M60" s="238" t="str">
        <f>IF($A$1="Peak","-",'Base Hours'!M60*BaseLoad!S59*'Base Hours'!$AA60)</f>
        <v>-</v>
      </c>
      <c r="N60" s="238" t="str">
        <f>IF($A$1="Peak","-",'Base Hours'!N60*BaseLoad!T59*'Base Hours'!$AA60)</f>
        <v>-</v>
      </c>
      <c r="O60" s="238" t="str">
        <f>IF($A$1="Peak","-",'Base Hours'!O60*BaseLoad!U59*'Base Hours'!$AA60)</f>
        <v>-</v>
      </c>
      <c r="P60" s="238" t="str">
        <f>IF($A$1="Peak","-",'Base Hours'!P60*BaseLoad!V59*'Base Hours'!$AA60)</f>
        <v>-</v>
      </c>
      <c r="Q60" s="238" t="str">
        <f>IF($A$1="Peak","-",'Base Hours'!Q60*BaseLoad!W59*'Base Hours'!$AA60)</f>
        <v>-</v>
      </c>
      <c r="R60" s="238" t="str">
        <f>IF($A$1="Peak","-",'Base Hours'!R60*BaseLoad!X59*'Base Hours'!$AA60)</f>
        <v>-</v>
      </c>
      <c r="S60" s="238" t="str">
        <f>IF($A$1="Peak","-",'Base Hours'!S60*BaseLoad!Y59*'Base Hours'!$AA60)</f>
        <v>-</v>
      </c>
      <c r="T60" s="238" t="str">
        <f>IF($A$1="Peak","-",'Base Hours'!T60*BaseLoad!Z59*'Base Hours'!$AA60)</f>
        <v>-</v>
      </c>
      <c r="U60" s="238" t="str">
        <f>IF($A$1="Peak","-",'Base Hours'!U60*BaseLoad!AA59*'Base Hours'!$AA60)</f>
        <v>-</v>
      </c>
      <c r="V60" s="238">
        <f t="shared" si="2"/>
        <v>0</v>
      </c>
      <c r="W60" s="238"/>
      <c r="X60" s="238"/>
      <c r="Y60" s="239"/>
      <c r="Z60" s="239">
        <f>(BaseLoad!C59*'Base Hours'!X60*'Base Hours'!$AA60)*-1</f>
        <v>0</v>
      </c>
      <c r="AA60" s="239"/>
      <c r="AB60" s="239">
        <f>(BaseLoad!D59*'Base Hours'!X60*'Base Hours'!$AA60)*-1</f>
        <v>0</v>
      </c>
      <c r="AC60" s="239"/>
      <c r="AD60" s="239">
        <f>(BaseLoad!E59*'Base Hours'!X60*'Base Hours'!$AA60)*-1</f>
        <v>0</v>
      </c>
      <c r="AE60" s="239"/>
      <c r="AF60" s="239">
        <f>(BaseLoad!F59*'Base Hours'!X60*'Base Hours'!$AA60)*-1</f>
        <v>0</v>
      </c>
      <c r="AG60" s="239"/>
    </row>
    <row r="61" spans="1:33" x14ac:dyDescent="0.2">
      <c r="A61" s="1">
        <f t="shared" si="1"/>
        <v>38091.267000000065</v>
      </c>
      <c r="B61" s="238" t="str">
        <f>IF($A$1="Peak","-",'Base Hours'!B61*BaseLoad!H60*'Base Hours'!$AA61)</f>
        <v>-</v>
      </c>
      <c r="C61" s="238" t="str">
        <f>IF($A$1="Peak","-",'Base Hours'!C61*BaseLoad!I60*'Base Hours'!$AA61)</f>
        <v>-</v>
      </c>
      <c r="D61" s="238" t="str">
        <f>IF($A$1="Peak","-",'Base Hours'!D61*BaseLoad!J60*'Base Hours'!$AA61)</f>
        <v>-</v>
      </c>
      <c r="E61" s="238" t="str">
        <f>IF($A$1="Peak","-",'Base Hours'!E61*BaseLoad!K60*'Base Hours'!$AA61)</f>
        <v>-</v>
      </c>
      <c r="F61" s="238" t="str">
        <f>IF($A$1="Peak","-",'Base Hours'!F61*BaseLoad!L60*'Base Hours'!$AA61)</f>
        <v>-</v>
      </c>
      <c r="G61" s="238" t="str">
        <f>IF($A$1="Peak","-",'Base Hours'!G61*BaseLoad!M60*'Base Hours'!$AA61)</f>
        <v>-</v>
      </c>
      <c r="H61" s="238" t="str">
        <f>IF($A$1="Peak","-",'Base Hours'!H61*BaseLoad!N60*'Base Hours'!$AA61)</f>
        <v>-</v>
      </c>
      <c r="I61" s="238" t="str">
        <f>IF($A$1="Peak","-",'Base Hours'!I61*BaseLoad!O60*'Base Hours'!$AA61)</f>
        <v>-</v>
      </c>
      <c r="J61" s="238" t="str">
        <f>IF($A$1="Peak","-",'Base Hours'!J61*BaseLoad!P60*'Base Hours'!$AA61)</f>
        <v>-</v>
      </c>
      <c r="K61" s="238" t="str">
        <f>IF($A$1="Peak","-",'Base Hours'!K61*BaseLoad!Q60*'Base Hours'!$AA61)</f>
        <v>-</v>
      </c>
      <c r="L61" s="238" t="str">
        <f>IF($A$1="Peak","-",'Base Hours'!L61*BaseLoad!R60*'Base Hours'!$AA61)</f>
        <v>-</v>
      </c>
      <c r="M61" s="238" t="str">
        <f>IF($A$1="Peak","-",'Base Hours'!M61*BaseLoad!S60*'Base Hours'!$AA61)</f>
        <v>-</v>
      </c>
      <c r="N61" s="238" t="str">
        <f>IF($A$1="Peak","-",'Base Hours'!N61*BaseLoad!T60*'Base Hours'!$AA61)</f>
        <v>-</v>
      </c>
      <c r="O61" s="238" t="str">
        <f>IF($A$1="Peak","-",'Base Hours'!O61*BaseLoad!U60*'Base Hours'!$AA61)</f>
        <v>-</v>
      </c>
      <c r="P61" s="238" t="str">
        <f>IF($A$1="Peak","-",'Base Hours'!P61*BaseLoad!V60*'Base Hours'!$AA61)</f>
        <v>-</v>
      </c>
      <c r="Q61" s="238" t="str">
        <f>IF($A$1="Peak","-",'Base Hours'!Q61*BaseLoad!W60*'Base Hours'!$AA61)</f>
        <v>-</v>
      </c>
      <c r="R61" s="238" t="str">
        <f>IF($A$1="Peak","-",'Base Hours'!R61*BaseLoad!X60*'Base Hours'!$AA61)</f>
        <v>-</v>
      </c>
      <c r="S61" s="238" t="str">
        <f>IF($A$1="Peak","-",'Base Hours'!S61*BaseLoad!Y60*'Base Hours'!$AA61)</f>
        <v>-</v>
      </c>
      <c r="T61" s="238" t="str">
        <f>IF($A$1="Peak","-",'Base Hours'!T61*BaseLoad!Z60*'Base Hours'!$AA61)</f>
        <v>-</v>
      </c>
      <c r="U61" s="238" t="str">
        <f>IF($A$1="Peak","-",'Base Hours'!U61*BaseLoad!AA60*'Base Hours'!$AA61)</f>
        <v>-</v>
      </c>
      <c r="V61" s="238">
        <f t="shared" si="2"/>
        <v>0</v>
      </c>
      <c r="W61" s="238"/>
      <c r="X61" s="238"/>
      <c r="Y61" s="239"/>
      <c r="Z61" s="239">
        <f>(BaseLoad!C60*'Base Hours'!X61*'Base Hours'!$AA61)*-1</f>
        <v>0</v>
      </c>
      <c r="AA61" s="239"/>
      <c r="AB61" s="239">
        <f>(BaseLoad!D60*'Base Hours'!X61*'Base Hours'!$AA61)*-1</f>
        <v>0</v>
      </c>
      <c r="AC61" s="239"/>
      <c r="AD61" s="239">
        <f>(BaseLoad!E60*'Base Hours'!X61*'Base Hours'!$AA61)*-1</f>
        <v>0</v>
      </c>
      <c r="AE61" s="239"/>
      <c r="AF61" s="239">
        <f>(BaseLoad!F60*'Base Hours'!X61*'Base Hours'!$AA61)*-1</f>
        <v>0</v>
      </c>
      <c r="AG61" s="239"/>
    </row>
    <row r="62" spans="1:33" x14ac:dyDescent="0.2">
      <c r="A62" s="1">
        <f t="shared" si="1"/>
        <v>38121.684000000067</v>
      </c>
      <c r="B62" s="238" t="str">
        <f>IF($A$1="Peak","-",'Base Hours'!B62*BaseLoad!H61*'Base Hours'!$AA62)</f>
        <v>-</v>
      </c>
      <c r="C62" s="238" t="str">
        <f>IF($A$1="Peak","-",'Base Hours'!C62*BaseLoad!I61*'Base Hours'!$AA62)</f>
        <v>-</v>
      </c>
      <c r="D62" s="238" t="str">
        <f>IF($A$1="Peak","-",'Base Hours'!D62*BaseLoad!J61*'Base Hours'!$AA62)</f>
        <v>-</v>
      </c>
      <c r="E62" s="238" t="str">
        <f>IF($A$1="Peak","-",'Base Hours'!E62*BaseLoad!K61*'Base Hours'!$AA62)</f>
        <v>-</v>
      </c>
      <c r="F62" s="238" t="str">
        <f>IF($A$1="Peak","-",'Base Hours'!F62*BaseLoad!L61*'Base Hours'!$AA62)</f>
        <v>-</v>
      </c>
      <c r="G62" s="238" t="str">
        <f>IF($A$1="Peak","-",'Base Hours'!G62*BaseLoad!M61*'Base Hours'!$AA62)</f>
        <v>-</v>
      </c>
      <c r="H62" s="238" t="str">
        <f>IF($A$1="Peak","-",'Base Hours'!H62*BaseLoad!N61*'Base Hours'!$AA62)</f>
        <v>-</v>
      </c>
      <c r="I62" s="238" t="str">
        <f>IF($A$1="Peak","-",'Base Hours'!I62*BaseLoad!O61*'Base Hours'!$AA62)</f>
        <v>-</v>
      </c>
      <c r="J62" s="238" t="str">
        <f>IF($A$1="Peak","-",'Base Hours'!J62*BaseLoad!P61*'Base Hours'!$AA62)</f>
        <v>-</v>
      </c>
      <c r="K62" s="238" t="str">
        <f>IF($A$1="Peak","-",'Base Hours'!K62*BaseLoad!Q61*'Base Hours'!$AA62)</f>
        <v>-</v>
      </c>
      <c r="L62" s="238" t="str">
        <f>IF($A$1="Peak","-",'Base Hours'!L62*BaseLoad!R61*'Base Hours'!$AA62)</f>
        <v>-</v>
      </c>
      <c r="M62" s="238" t="str">
        <f>IF($A$1="Peak","-",'Base Hours'!M62*BaseLoad!S61*'Base Hours'!$AA62)</f>
        <v>-</v>
      </c>
      <c r="N62" s="238" t="str">
        <f>IF($A$1="Peak","-",'Base Hours'!N62*BaseLoad!T61*'Base Hours'!$AA62)</f>
        <v>-</v>
      </c>
      <c r="O62" s="238" t="str">
        <f>IF($A$1="Peak","-",'Base Hours'!O62*BaseLoad!U61*'Base Hours'!$AA62)</f>
        <v>-</v>
      </c>
      <c r="P62" s="238" t="str">
        <f>IF($A$1="Peak","-",'Base Hours'!P62*BaseLoad!V61*'Base Hours'!$AA62)</f>
        <v>-</v>
      </c>
      <c r="Q62" s="238" t="str">
        <f>IF($A$1="Peak","-",'Base Hours'!Q62*BaseLoad!W61*'Base Hours'!$AA62)</f>
        <v>-</v>
      </c>
      <c r="R62" s="238" t="str">
        <f>IF($A$1="Peak","-",'Base Hours'!R62*BaseLoad!X61*'Base Hours'!$AA62)</f>
        <v>-</v>
      </c>
      <c r="S62" s="238" t="str">
        <f>IF($A$1="Peak","-",'Base Hours'!S62*BaseLoad!Y61*'Base Hours'!$AA62)</f>
        <v>-</v>
      </c>
      <c r="T62" s="238" t="str">
        <f>IF($A$1="Peak","-",'Base Hours'!T62*BaseLoad!Z61*'Base Hours'!$AA62)</f>
        <v>-</v>
      </c>
      <c r="U62" s="238" t="str">
        <f>IF($A$1="Peak","-",'Base Hours'!U62*BaseLoad!AA61*'Base Hours'!$AA62)</f>
        <v>-</v>
      </c>
      <c r="V62" s="238">
        <f t="shared" si="2"/>
        <v>0</v>
      </c>
      <c r="W62" s="238"/>
      <c r="X62" s="238"/>
      <c r="Y62" s="239"/>
      <c r="Z62" s="239">
        <f>(BaseLoad!C61*'Base Hours'!X62*'Base Hours'!$AA62)*-1</f>
        <v>0</v>
      </c>
      <c r="AA62" s="239"/>
      <c r="AB62" s="239">
        <f>(BaseLoad!D61*'Base Hours'!X62*'Base Hours'!$AA62)*-1</f>
        <v>0</v>
      </c>
      <c r="AC62" s="239"/>
      <c r="AD62" s="239">
        <f>(BaseLoad!E61*'Base Hours'!X62*'Base Hours'!$AA62)*-1</f>
        <v>0</v>
      </c>
      <c r="AE62" s="239"/>
      <c r="AF62" s="239">
        <f>(BaseLoad!F61*'Base Hours'!X62*'Base Hours'!$AA62)*-1</f>
        <v>0</v>
      </c>
      <c r="AG62" s="239"/>
    </row>
    <row r="63" spans="1:33" x14ac:dyDescent="0.2">
      <c r="A63" s="1">
        <f t="shared" si="1"/>
        <v>38152.101000000068</v>
      </c>
      <c r="B63" s="238" t="str">
        <f>IF($A$1="Peak","-",'Base Hours'!B63*BaseLoad!H62*'Base Hours'!$AA63)</f>
        <v>-</v>
      </c>
      <c r="C63" s="238" t="str">
        <f>IF($A$1="Peak","-",'Base Hours'!C63*BaseLoad!I62*'Base Hours'!$AA63)</f>
        <v>-</v>
      </c>
      <c r="D63" s="238" t="str">
        <f>IF($A$1="Peak","-",'Base Hours'!D63*BaseLoad!J62*'Base Hours'!$AA63)</f>
        <v>-</v>
      </c>
      <c r="E63" s="238" t="str">
        <f>IF($A$1="Peak","-",'Base Hours'!E63*BaseLoad!K62*'Base Hours'!$AA63)</f>
        <v>-</v>
      </c>
      <c r="F63" s="238" t="str">
        <f>IF($A$1="Peak","-",'Base Hours'!F63*BaseLoad!L62*'Base Hours'!$AA63)</f>
        <v>-</v>
      </c>
      <c r="G63" s="238" t="str">
        <f>IF($A$1="Peak","-",'Base Hours'!G63*BaseLoad!M62*'Base Hours'!$AA63)</f>
        <v>-</v>
      </c>
      <c r="H63" s="238" t="str">
        <f>IF($A$1="Peak","-",'Base Hours'!H63*BaseLoad!N62*'Base Hours'!$AA63)</f>
        <v>-</v>
      </c>
      <c r="I63" s="238" t="str">
        <f>IF($A$1="Peak","-",'Base Hours'!I63*BaseLoad!O62*'Base Hours'!$AA63)</f>
        <v>-</v>
      </c>
      <c r="J63" s="238" t="str">
        <f>IF($A$1="Peak","-",'Base Hours'!J63*BaseLoad!P62*'Base Hours'!$AA63)</f>
        <v>-</v>
      </c>
      <c r="K63" s="238" t="str">
        <f>IF($A$1="Peak","-",'Base Hours'!K63*BaseLoad!Q62*'Base Hours'!$AA63)</f>
        <v>-</v>
      </c>
      <c r="L63" s="238" t="str">
        <f>IF($A$1="Peak","-",'Base Hours'!L63*BaseLoad!R62*'Base Hours'!$AA63)</f>
        <v>-</v>
      </c>
      <c r="M63" s="238" t="str">
        <f>IF($A$1="Peak","-",'Base Hours'!M63*BaseLoad!S62*'Base Hours'!$AA63)</f>
        <v>-</v>
      </c>
      <c r="N63" s="238" t="str">
        <f>IF($A$1="Peak","-",'Base Hours'!N63*BaseLoad!T62*'Base Hours'!$AA63)</f>
        <v>-</v>
      </c>
      <c r="O63" s="238" t="str">
        <f>IF($A$1="Peak","-",'Base Hours'!O63*BaseLoad!U62*'Base Hours'!$AA63)</f>
        <v>-</v>
      </c>
      <c r="P63" s="238" t="str">
        <f>IF($A$1="Peak","-",'Base Hours'!P63*BaseLoad!V62*'Base Hours'!$AA63)</f>
        <v>-</v>
      </c>
      <c r="Q63" s="238" t="str">
        <f>IF($A$1="Peak","-",'Base Hours'!Q63*BaseLoad!W62*'Base Hours'!$AA63)</f>
        <v>-</v>
      </c>
      <c r="R63" s="238" t="str">
        <f>IF($A$1="Peak","-",'Base Hours'!R63*BaseLoad!X62*'Base Hours'!$AA63)</f>
        <v>-</v>
      </c>
      <c r="S63" s="238" t="str">
        <f>IF($A$1="Peak","-",'Base Hours'!S63*BaseLoad!Y62*'Base Hours'!$AA63)</f>
        <v>-</v>
      </c>
      <c r="T63" s="238" t="str">
        <f>IF($A$1="Peak","-",'Base Hours'!T63*BaseLoad!Z62*'Base Hours'!$AA63)</f>
        <v>-</v>
      </c>
      <c r="U63" s="238" t="str">
        <f>IF($A$1="Peak","-",'Base Hours'!U63*BaseLoad!AA62*'Base Hours'!$AA63)</f>
        <v>-</v>
      </c>
      <c r="V63" s="238">
        <f t="shared" si="2"/>
        <v>0</v>
      </c>
      <c r="W63" s="238"/>
      <c r="X63" s="238"/>
      <c r="Y63" s="239"/>
      <c r="Z63" s="239">
        <f>(BaseLoad!C62*'Base Hours'!X63*'Base Hours'!$AA63)*-1</f>
        <v>0</v>
      </c>
      <c r="AA63" s="239"/>
      <c r="AB63" s="239">
        <f>(BaseLoad!D62*'Base Hours'!X63*'Base Hours'!$AA63)*-1</f>
        <v>0</v>
      </c>
      <c r="AC63" s="239"/>
      <c r="AD63" s="239">
        <f>(BaseLoad!E62*'Base Hours'!X63*'Base Hours'!$AA63)*-1</f>
        <v>0</v>
      </c>
      <c r="AE63" s="239"/>
      <c r="AF63" s="239">
        <f>(BaseLoad!F62*'Base Hours'!X63*'Base Hours'!$AA63)*-1</f>
        <v>0</v>
      </c>
      <c r="AG63" s="239"/>
    </row>
    <row r="64" spans="1:33" x14ac:dyDescent="0.2">
      <c r="A64" s="1">
        <f t="shared" si="1"/>
        <v>38182.518000000069</v>
      </c>
      <c r="B64" s="238" t="str">
        <f>IF($A$1="Peak","-",'Base Hours'!B64*BaseLoad!H63*'Base Hours'!$AA64)</f>
        <v>-</v>
      </c>
      <c r="C64" s="238" t="str">
        <f>IF($A$1="Peak","-",'Base Hours'!C64*BaseLoad!I63*'Base Hours'!$AA64)</f>
        <v>-</v>
      </c>
      <c r="D64" s="238" t="str">
        <f>IF($A$1="Peak","-",'Base Hours'!D64*BaseLoad!J63*'Base Hours'!$AA64)</f>
        <v>-</v>
      </c>
      <c r="E64" s="238" t="str">
        <f>IF($A$1="Peak","-",'Base Hours'!E64*BaseLoad!K63*'Base Hours'!$AA64)</f>
        <v>-</v>
      </c>
      <c r="F64" s="238" t="str">
        <f>IF($A$1="Peak","-",'Base Hours'!F64*BaseLoad!L63*'Base Hours'!$AA64)</f>
        <v>-</v>
      </c>
      <c r="G64" s="238" t="str">
        <f>IF($A$1="Peak","-",'Base Hours'!G64*BaseLoad!M63*'Base Hours'!$AA64)</f>
        <v>-</v>
      </c>
      <c r="H64" s="238" t="str">
        <f>IF($A$1="Peak","-",'Base Hours'!H64*BaseLoad!N63*'Base Hours'!$AA64)</f>
        <v>-</v>
      </c>
      <c r="I64" s="238" t="str">
        <f>IF($A$1="Peak","-",'Base Hours'!I64*BaseLoad!O63*'Base Hours'!$AA64)</f>
        <v>-</v>
      </c>
      <c r="J64" s="238" t="str">
        <f>IF($A$1="Peak","-",'Base Hours'!J64*BaseLoad!P63*'Base Hours'!$AA64)</f>
        <v>-</v>
      </c>
      <c r="K64" s="238" t="str">
        <f>IF($A$1="Peak","-",'Base Hours'!K64*BaseLoad!Q63*'Base Hours'!$AA64)</f>
        <v>-</v>
      </c>
      <c r="L64" s="238" t="str">
        <f>IF($A$1="Peak","-",'Base Hours'!L64*BaseLoad!R63*'Base Hours'!$AA64)</f>
        <v>-</v>
      </c>
      <c r="M64" s="238" t="str">
        <f>IF($A$1="Peak","-",'Base Hours'!M64*BaseLoad!S63*'Base Hours'!$AA64)</f>
        <v>-</v>
      </c>
      <c r="N64" s="238" t="str">
        <f>IF($A$1="Peak","-",'Base Hours'!N64*BaseLoad!T63*'Base Hours'!$AA64)</f>
        <v>-</v>
      </c>
      <c r="O64" s="238" t="str">
        <f>IF($A$1="Peak","-",'Base Hours'!O64*BaseLoad!U63*'Base Hours'!$AA64)</f>
        <v>-</v>
      </c>
      <c r="P64" s="238" t="str">
        <f>IF($A$1="Peak","-",'Base Hours'!P64*BaseLoad!V63*'Base Hours'!$AA64)</f>
        <v>-</v>
      </c>
      <c r="Q64" s="238" t="str">
        <f>IF($A$1="Peak","-",'Base Hours'!Q64*BaseLoad!W63*'Base Hours'!$AA64)</f>
        <v>-</v>
      </c>
      <c r="R64" s="238" t="str">
        <f>IF($A$1="Peak","-",'Base Hours'!R64*BaseLoad!X63*'Base Hours'!$AA64)</f>
        <v>-</v>
      </c>
      <c r="S64" s="238" t="str">
        <f>IF($A$1="Peak","-",'Base Hours'!S64*BaseLoad!Y63*'Base Hours'!$AA64)</f>
        <v>-</v>
      </c>
      <c r="T64" s="238" t="str">
        <f>IF($A$1="Peak","-",'Base Hours'!T64*BaseLoad!Z63*'Base Hours'!$AA64)</f>
        <v>-</v>
      </c>
      <c r="U64" s="238" t="str">
        <f>IF($A$1="Peak","-",'Base Hours'!U64*BaseLoad!AA63*'Base Hours'!$AA64)</f>
        <v>-</v>
      </c>
      <c r="V64" s="238">
        <f t="shared" si="2"/>
        <v>0</v>
      </c>
      <c r="W64" s="238"/>
      <c r="X64" s="238"/>
      <c r="Y64" s="239"/>
      <c r="Z64" s="239">
        <f>(BaseLoad!C63*'Base Hours'!X64*'Base Hours'!$AA64)*-1</f>
        <v>0</v>
      </c>
      <c r="AA64" s="239"/>
      <c r="AB64" s="239">
        <f>(BaseLoad!D63*'Base Hours'!X64*'Base Hours'!$AA64)*-1</f>
        <v>0</v>
      </c>
      <c r="AC64" s="239"/>
      <c r="AD64" s="239">
        <f>(BaseLoad!E63*'Base Hours'!X64*'Base Hours'!$AA64)*-1</f>
        <v>0</v>
      </c>
      <c r="AE64" s="239"/>
      <c r="AF64" s="239">
        <f>(BaseLoad!F63*'Base Hours'!X64*'Base Hours'!$AA64)*-1</f>
        <v>0</v>
      </c>
      <c r="AG64" s="239"/>
    </row>
    <row r="65" spans="1:33" x14ac:dyDescent="0.2">
      <c r="A65" s="1">
        <f t="shared" si="1"/>
        <v>38212.93500000007</v>
      </c>
      <c r="B65" s="238" t="str">
        <f>IF($A$1="Peak","-",'Base Hours'!B65*BaseLoad!H64*'Base Hours'!$AA65)</f>
        <v>-</v>
      </c>
      <c r="C65" s="238" t="str">
        <f>IF($A$1="Peak","-",'Base Hours'!C65*BaseLoad!I64*'Base Hours'!$AA65)</f>
        <v>-</v>
      </c>
      <c r="D65" s="238" t="str">
        <f>IF($A$1="Peak","-",'Base Hours'!D65*BaseLoad!J64*'Base Hours'!$AA65)</f>
        <v>-</v>
      </c>
      <c r="E65" s="238" t="str">
        <f>IF($A$1="Peak","-",'Base Hours'!E65*BaseLoad!K64*'Base Hours'!$AA65)</f>
        <v>-</v>
      </c>
      <c r="F65" s="238" t="str">
        <f>IF($A$1="Peak","-",'Base Hours'!F65*BaseLoad!L64*'Base Hours'!$AA65)</f>
        <v>-</v>
      </c>
      <c r="G65" s="238" t="str">
        <f>IF($A$1="Peak","-",'Base Hours'!G65*BaseLoad!M64*'Base Hours'!$AA65)</f>
        <v>-</v>
      </c>
      <c r="H65" s="238" t="str">
        <f>IF($A$1="Peak","-",'Base Hours'!H65*BaseLoad!N64*'Base Hours'!$AA65)</f>
        <v>-</v>
      </c>
      <c r="I65" s="238" t="str">
        <f>IF($A$1="Peak","-",'Base Hours'!I65*BaseLoad!O64*'Base Hours'!$AA65)</f>
        <v>-</v>
      </c>
      <c r="J65" s="238" t="str">
        <f>IF($A$1="Peak","-",'Base Hours'!J65*BaseLoad!P64*'Base Hours'!$AA65)</f>
        <v>-</v>
      </c>
      <c r="K65" s="238" t="str">
        <f>IF($A$1="Peak","-",'Base Hours'!K65*BaseLoad!Q64*'Base Hours'!$AA65)</f>
        <v>-</v>
      </c>
      <c r="L65" s="238" t="str">
        <f>IF($A$1="Peak","-",'Base Hours'!L65*BaseLoad!R64*'Base Hours'!$AA65)</f>
        <v>-</v>
      </c>
      <c r="M65" s="238" t="str">
        <f>IF($A$1="Peak","-",'Base Hours'!M65*BaseLoad!S64*'Base Hours'!$AA65)</f>
        <v>-</v>
      </c>
      <c r="N65" s="238" t="str">
        <f>IF($A$1="Peak","-",'Base Hours'!N65*BaseLoad!T64*'Base Hours'!$AA65)</f>
        <v>-</v>
      </c>
      <c r="O65" s="238" t="str">
        <f>IF($A$1="Peak","-",'Base Hours'!O65*BaseLoad!U64*'Base Hours'!$AA65)</f>
        <v>-</v>
      </c>
      <c r="P65" s="238" t="str">
        <f>IF($A$1="Peak","-",'Base Hours'!P65*BaseLoad!V64*'Base Hours'!$AA65)</f>
        <v>-</v>
      </c>
      <c r="Q65" s="238" t="str">
        <f>IF($A$1="Peak","-",'Base Hours'!Q65*BaseLoad!W64*'Base Hours'!$AA65)</f>
        <v>-</v>
      </c>
      <c r="R65" s="238" t="str">
        <f>IF($A$1="Peak","-",'Base Hours'!R65*BaseLoad!X64*'Base Hours'!$AA65)</f>
        <v>-</v>
      </c>
      <c r="S65" s="238" t="str">
        <f>IF($A$1="Peak","-",'Base Hours'!S65*BaseLoad!Y64*'Base Hours'!$AA65)</f>
        <v>-</v>
      </c>
      <c r="T65" s="238" t="str">
        <f>IF($A$1="Peak","-",'Base Hours'!T65*BaseLoad!Z64*'Base Hours'!$AA65)</f>
        <v>-</v>
      </c>
      <c r="U65" s="238" t="str">
        <f>IF($A$1="Peak","-",'Base Hours'!U65*BaseLoad!AA64*'Base Hours'!$AA65)</f>
        <v>-</v>
      </c>
      <c r="V65" s="238">
        <f t="shared" si="2"/>
        <v>0</v>
      </c>
      <c r="W65" s="238"/>
      <c r="X65" s="238"/>
      <c r="Y65" s="239"/>
      <c r="Z65" s="239">
        <f>(BaseLoad!C64*'Base Hours'!X65*'Base Hours'!$AA65)*-1</f>
        <v>0</v>
      </c>
      <c r="AA65" s="239"/>
      <c r="AB65" s="239">
        <f>(BaseLoad!D64*'Base Hours'!X65*'Base Hours'!$AA65)*-1</f>
        <v>0</v>
      </c>
      <c r="AC65" s="239"/>
      <c r="AD65" s="239">
        <f>(BaseLoad!E64*'Base Hours'!X65*'Base Hours'!$AA65)*-1</f>
        <v>0</v>
      </c>
      <c r="AE65" s="239"/>
      <c r="AF65" s="239">
        <f>(BaseLoad!F64*'Base Hours'!X65*'Base Hours'!$AA65)*-1</f>
        <v>0</v>
      </c>
      <c r="AG65" s="239"/>
    </row>
    <row r="66" spans="1:33" x14ac:dyDescent="0.2">
      <c r="A66" s="1">
        <f t="shared" si="1"/>
        <v>38243.352000000072</v>
      </c>
      <c r="B66" s="238" t="str">
        <f>IF($A$1="Peak","-",'Base Hours'!B66*BaseLoad!H65*'Base Hours'!$AA66)</f>
        <v>-</v>
      </c>
      <c r="C66" s="238" t="str">
        <f>IF($A$1="Peak","-",'Base Hours'!C66*BaseLoad!I65*'Base Hours'!$AA66)</f>
        <v>-</v>
      </c>
      <c r="D66" s="238" t="str">
        <f>IF($A$1="Peak","-",'Base Hours'!D66*BaseLoad!J65*'Base Hours'!$AA66)</f>
        <v>-</v>
      </c>
      <c r="E66" s="238" t="str">
        <f>IF($A$1="Peak","-",'Base Hours'!E66*BaseLoad!K65*'Base Hours'!$AA66)</f>
        <v>-</v>
      </c>
      <c r="F66" s="238" t="str">
        <f>IF($A$1="Peak","-",'Base Hours'!F66*BaseLoad!L65*'Base Hours'!$AA66)</f>
        <v>-</v>
      </c>
      <c r="G66" s="238" t="str">
        <f>IF($A$1="Peak","-",'Base Hours'!G66*BaseLoad!M65*'Base Hours'!$AA66)</f>
        <v>-</v>
      </c>
      <c r="H66" s="238" t="str">
        <f>IF($A$1="Peak","-",'Base Hours'!H66*BaseLoad!N65*'Base Hours'!$AA66)</f>
        <v>-</v>
      </c>
      <c r="I66" s="238" t="str">
        <f>IF($A$1="Peak","-",'Base Hours'!I66*BaseLoad!O65*'Base Hours'!$AA66)</f>
        <v>-</v>
      </c>
      <c r="J66" s="238" t="str">
        <f>IF($A$1="Peak","-",'Base Hours'!J66*BaseLoad!P65*'Base Hours'!$AA66)</f>
        <v>-</v>
      </c>
      <c r="K66" s="238" t="str">
        <f>IF($A$1="Peak","-",'Base Hours'!K66*BaseLoad!Q65*'Base Hours'!$AA66)</f>
        <v>-</v>
      </c>
      <c r="L66" s="238" t="str">
        <f>IF($A$1="Peak","-",'Base Hours'!L66*BaseLoad!R65*'Base Hours'!$AA66)</f>
        <v>-</v>
      </c>
      <c r="M66" s="238" t="str">
        <f>IF($A$1="Peak","-",'Base Hours'!M66*BaseLoad!S65*'Base Hours'!$AA66)</f>
        <v>-</v>
      </c>
      <c r="N66" s="238" t="str">
        <f>IF($A$1="Peak","-",'Base Hours'!N66*BaseLoad!T65*'Base Hours'!$AA66)</f>
        <v>-</v>
      </c>
      <c r="O66" s="238" t="str">
        <f>IF($A$1="Peak","-",'Base Hours'!O66*BaseLoad!U65*'Base Hours'!$AA66)</f>
        <v>-</v>
      </c>
      <c r="P66" s="238" t="str">
        <f>IF($A$1="Peak","-",'Base Hours'!P66*BaseLoad!V65*'Base Hours'!$AA66)</f>
        <v>-</v>
      </c>
      <c r="Q66" s="238" t="str">
        <f>IF($A$1="Peak","-",'Base Hours'!Q66*BaseLoad!W65*'Base Hours'!$AA66)</f>
        <v>-</v>
      </c>
      <c r="R66" s="238" t="str">
        <f>IF($A$1="Peak","-",'Base Hours'!R66*BaseLoad!X65*'Base Hours'!$AA66)</f>
        <v>-</v>
      </c>
      <c r="S66" s="238" t="str">
        <f>IF($A$1="Peak","-",'Base Hours'!S66*BaseLoad!Y65*'Base Hours'!$AA66)</f>
        <v>-</v>
      </c>
      <c r="T66" s="238" t="str">
        <f>IF($A$1="Peak","-",'Base Hours'!T66*BaseLoad!Z65*'Base Hours'!$AA66)</f>
        <v>-</v>
      </c>
      <c r="U66" s="238" t="str">
        <f>IF($A$1="Peak","-",'Base Hours'!U66*BaseLoad!AA65*'Base Hours'!$AA66)</f>
        <v>-</v>
      </c>
      <c r="V66" s="238">
        <f t="shared" si="2"/>
        <v>0</v>
      </c>
      <c r="W66" s="238"/>
      <c r="X66" s="238"/>
      <c r="Y66" s="239"/>
      <c r="Z66" s="239">
        <f>(BaseLoad!C65*'Base Hours'!X66*'Base Hours'!$AA66)*-1</f>
        <v>0</v>
      </c>
      <c r="AA66" s="239"/>
      <c r="AB66" s="239">
        <f>(BaseLoad!D65*'Base Hours'!X66*'Base Hours'!$AA66)*-1</f>
        <v>0</v>
      </c>
      <c r="AC66" s="239"/>
      <c r="AD66" s="239">
        <f>(BaseLoad!E65*'Base Hours'!X66*'Base Hours'!$AA66)*-1</f>
        <v>0</v>
      </c>
      <c r="AE66" s="239"/>
      <c r="AF66" s="239">
        <f>(BaseLoad!F65*'Base Hours'!X66*'Base Hours'!$AA66)*-1</f>
        <v>0</v>
      </c>
      <c r="AG66" s="239"/>
    </row>
    <row r="67" spans="1:33" x14ac:dyDescent="0.2">
      <c r="A67" s="1">
        <f t="shared" si="1"/>
        <v>38273.769000000073</v>
      </c>
      <c r="B67" s="238" t="str">
        <f>IF($A$1="Peak","-",'Base Hours'!B67*BaseLoad!H66*'Base Hours'!$AA67)</f>
        <v>-</v>
      </c>
      <c r="C67" s="238" t="str">
        <f>IF($A$1="Peak","-",'Base Hours'!C67*BaseLoad!I66*'Base Hours'!$AA67)</f>
        <v>-</v>
      </c>
      <c r="D67" s="238" t="str">
        <f>IF($A$1="Peak","-",'Base Hours'!D67*BaseLoad!J66*'Base Hours'!$AA67)</f>
        <v>-</v>
      </c>
      <c r="E67" s="238" t="str">
        <f>IF($A$1="Peak","-",'Base Hours'!E67*BaseLoad!K66*'Base Hours'!$AA67)</f>
        <v>-</v>
      </c>
      <c r="F67" s="238" t="str">
        <f>IF($A$1="Peak","-",'Base Hours'!F67*BaseLoad!L66*'Base Hours'!$AA67)</f>
        <v>-</v>
      </c>
      <c r="G67" s="238" t="str">
        <f>IF($A$1="Peak","-",'Base Hours'!G67*BaseLoad!M66*'Base Hours'!$AA67)</f>
        <v>-</v>
      </c>
      <c r="H67" s="238" t="str">
        <f>IF($A$1="Peak","-",'Base Hours'!H67*BaseLoad!N66*'Base Hours'!$AA67)</f>
        <v>-</v>
      </c>
      <c r="I67" s="238" t="str">
        <f>IF($A$1="Peak","-",'Base Hours'!I67*BaseLoad!O66*'Base Hours'!$AA67)</f>
        <v>-</v>
      </c>
      <c r="J67" s="238" t="str">
        <f>IF($A$1="Peak","-",'Base Hours'!J67*BaseLoad!P66*'Base Hours'!$AA67)</f>
        <v>-</v>
      </c>
      <c r="K67" s="238" t="str">
        <f>IF($A$1="Peak","-",'Base Hours'!K67*BaseLoad!Q66*'Base Hours'!$AA67)</f>
        <v>-</v>
      </c>
      <c r="L67" s="238" t="str">
        <f>IF($A$1="Peak","-",'Base Hours'!L67*BaseLoad!R66*'Base Hours'!$AA67)</f>
        <v>-</v>
      </c>
      <c r="M67" s="238" t="str">
        <f>IF($A$1="Peak","-",'Base Hours'!M67*BaseLoad!S66*'Base Hours'!$AA67)</f>
        <v>-</v>
      </c>
      <c r="N67" s="238" t="str">
        <f>IF($A$1="Peak","-",'Base Hours'!N67*BaseLoad!T66*'Base Hours'!$AA67)</f>
        <v>-</v>
      </c>
      <c r="O67" s="238" t="str">
        <f>IF($A$1="Peak","-",'Base Hours'!O67*BaseLoad!U66*'Base Hours'!$AA67)</f>
        <v>-</v>
      </c>
      <c r="P67" s="238" t="str">
        <f>IF($A$1="Peak","-",'Base Hours'!P67*BaseLoad!V66*'Base Hours'!$AA67)</f>
        <v>-</v>
      </c>
      <c r="Q67" s="238" t="str">
        <f>IF($A$1="Peak","-",'Base Hours'!Q67*BaseLoad!W66*'Base Hours'!$AA67)</f>
        <v>-</v>
      </c>
      <c r="R67" s="238" t="str">
        <f>IF($A$1="Peak","-",'Base Hours'!R67*BaseLoad!X66*'Base Hours'!$AA67)</f>
        <v>-</v>
      </c>
      <c r="S67" s="238" t="str">
        <f>IF($A$1="Peak","-",'Base Hours'!S67*BaseLoad!Y66*'Base Hours'!$AA67)</f>
        <v>-</v>
      </c>
      <c r="T67" s="238" t="str">
        <f>IF($A$1="Peak","-",'Base Hours'!T67*BaseLoad!Z66*'Base Hours'!$AA67)</f>
        <v>-</v>
      </c>
      <c r="U67" s="238" t="str">
        <f>IF($A$1="Peak","-",'Base Hours'!U67*BaseLoad!AA66*'Base Hours'!$AA67)</f>
        <v>-</v>
      </c>
      <c r="V67" s="238">
        <f t="shared" si="2"/>
        <v>0</v>
      </c>
      <c r="W67" s="238"/>
      <c r="X67" s="238"/>
      <c r="Y67" s="239"/>
      <c r="Z67" s="239">
        <f>(BaseLoad!C66*'Base Hours'!X67*'Base Hours'!$AA67)*-1</f>
        <v>0</v>
      </c>
      <c r="AA67" s="239"/>
      <c r="AB67" s="239">
        <f>(BaseLoad!D66*'Base Hours'!X67*'Base Hours'!$AA67)*-1</f>
        <v>0</v>
      </c>
      <c r="AC67" s="239"/>
      <c r="AD67" s="239">
        <f>(BaseLoad!E66*'Base Hours'!X67*'Base Hours'!$AA67)*-1</f>
        <v>0</v>
      </c>
      <c r="AE67" s="239"/>
      <c r="AF67" s="239">
        <f>(BaseLoad!F66*'Base Hours'!X67*'Base Hours'!$AA67)*-1</f>
        <v>0</v>
      </c>
      <c r="AG67" s="239"/>
    </row>
    <row r="68" spans="1:33" x14ac:dyDescent="0.2">
      <c r="A68" s="1">
        <f t="shared" si="1"/>
        <v>38304.186000000074</v>
      </c>
      <c r="B68" s="238" t="str">
        <f>IF($A$1="Peak","-",'Base Hours'!B68*BaseLoad!H67*'Base Hours'!$AA68)</f>
        <v>-</v>
      </c>
      <c r="C68" s="238" t="str">
        <f>IF($A$1="Peak","-",'Base Hours'!C68*BaseLoad!I67*'Base Hours'!$AA68)</f>
        <v>-</v>
      </c>
      <c r="D68" s="238" t="str">
        <f>IF($A$1="Peak","-",'Base Hours'!D68*BaseLoad!J67*'Base Hours'!$AA68)</f>
        <v>-</v>
      </c>
      <c r="E68" s="238" t="str">
        <f>IF($A$1="Peak","-",'Base Hours'!E68*BaseLoad!K67*'Base Hours'!$AA68)</f>
        <v>-</v>
      </c>
      <c r="F68" s="238" t="str">
        <f>IF($A$1="Peak","-",'Base Hours'!F68*BaseLoad!L67*'Base Hours'!$AA68)</f>
        <v>-</v>
      </c>
      <c r="G68" s="238" t="str">
        <f>IF($A$1="Peak","-",'Base Hours'!G68*BaseLoad!M67*'Base Hours'!$AA68)</f>
        <v>-</v>
      </c>
      <c r="H68" s="238" t="str">
        <f>IF($A$1="Peak","-",'Base Hours'!H68*BaseLoad!N67*'Base Hours'!$AA68)</f>
        <v>-</v>
      </c>
      <c r="I68" s="238" t="str">
        <f>IF($A$1="Peak","-",'Base Hours'!I68*BaseLoad!O67*'Base Hours'!$AA68)</f>
        <v>-</v>
      </c>
      <c r="J68" s="238" t="str">
        <f>IF($A$1="Peak","-",'Base Hours'!J68*BaseLoad!P67*'Base Hours'!$AA68)</f>
        <v>-</v>
      </c>
      <c r="K68" s="238" t="str">
        <f>IF($A$1="Peak","-",'Base Hours'!K68*BaseLoad!Q67*'Base Hours'!$AA68)</f>
        <v>-</v>
      </c>
      <c r="L68" s="238" t="str">
        <f>IF($A$1="Peak","-",'Base Hours'!L68*BaseLoad!R67*'Base Hours'!$AA68)</f>
        <v>-</v>
      </c>
      <c r="M68" s="238" t="str">
        <f>IF($A$1="Peak","-",'Base Hours'!M68*BaseLoad!S67*'Base Hours'!$AA68)</f>
        <v>-</v>
      </c>
      <c r="N68" s="238" t="str">
        <f>IF($A$1="Peak","-",'Base Hours'!N68*BaseLoad!T67*'Base Hours'!$AA68)</f>
        <v>-</v>
      </c>
      <c r="O68" s="238" t="str">
        <f>IF($A$1="Peak","-",'Base Hours'!O68*BaseLoad!U67*'Base Hours'!$AA68)</f>
        <v>-</v>
      </c>
      <c r="P68" s="238" t="str">
        <f>IF($A$1="Peak","-",'Base Hours'!P68*BaseLoad!V67*'Base Hours'!$AA68)</f>
        <v>-</v>
      </c>
      <c r="Q68" s="238" t="str">
        <f>IF($A$1="Peak","-",'Base Hours'!Q68*BaseLoad!W67*'Base Hours'!$AA68)</f>
        <v>-</v>
      </c>
      <c r="R68" s="238" t="str">
        <f>IF($A$1="Peak","-",'Base Hours'!R68*BaseLoad!X67*'Base Hours'!$AA68)</f>
        <v>-</v>
      </c>
      <c r="S68" s="238" t="str">
        <f>IF($A$1="Peak","-",'Base Hours'!S68*BaseLoad!Y67*'Base Hours'!$AA68)</f>
        <v>-</v>
      </c>
      <c r="T68" s="238" t="str">
        <f>IF($A$1="Peak","-",'Base Hours'!T68*BaseLoad!Z67*'Base Hours'!$AA68)</f>
        <v>-</v>
      </c>
      <c r="U68" s="238" t="str">
        <f>IF($A$1="Peak","-",'Base Hours'!U68*BaseLoad!AA67*'Base Hours'!$AA68)</f>
        <v>-</v>
      </c>
      <c r="V68" s="238">
        <f t="shared" si="2"/>
        <v>0</v>
      </c>
      <c r="W68" s="238"/>
      <c r="X68" s="238"/>
      <c r="Y68" s="239"/>
      <c r="Z68" s="239">
        <f>(BaseLoad!C67*'Base Hours'!X68*'Base Hours'!$AA68)*-1</f>
        <v>0</v>
      </c>
      <c r="AA68" s="239"/>
      <c r="AB68" s="239">
        <f>(BaseLoad!D67*'Base Hours'!X68*'Base Hours'!$AA68)*-1</f>
        <v>0</v>
      </c>
      <c r="AC68" s="239"/>
      <c r="AD68" s="239">
        <f>(BaseLoad!E67*'Base Hours'!X68*'Base Hours'!$AA68)*-1</f>
        <v>0</v>
      </c>
      <c r="AE68" s="239"/>
      <c r="AF68" s="239">
        <f>(BaseLoad!F67*'Base Hours'!X68*'Base Hours'!$AA68)*-1</f>
        <v>0</v>
      </c>
      <c r="AG68" s="239"/>
    </row>
    <row r="69" spans="1:33" x14ac:dyDescent="0.2">
      <c r="A69" s="1">
        <f t="shared" si="1"/>
        <v>38334.603000000076</v>
      </c>
      <c r="B69" s="238" t="str">
        <f>IF($A$1="Peak","-",'Base Hours'!B69*BaseLoad!H68*'Base Hours'!$AA69)</f>
        <v>-</v>
      </c>
      <c r="C69" s="238" t="str">
        <f>IF($A$1="Peak","-",'Base Hours'!C69*BaseLoad!I68*'Base Hours'!$AA69)</f>
        <v>-</v>
      </c>
      <c r="D69" s="238" t="str">
        <f>IF($A$1="Peak","-",'Base Hours'!D69*BaseLoad!J68*'Base Hours'!$AA69)</f>
        <v>-</v>
      </c>
      <c r="E69" s="238" t="str">
        <f>IF($A$1="Peak","-",'Base Hours'!E69*BaseLoad!K68*'Base Hours'!$AA69)</f>
        <v>-</v>
      </c>
      <c r="F69" s="238" t="str">
        <f>IF($A$1="Peak","-",'Base Hours'!F69*BaseLoad!L68*'Base Hours'!$AA69)</f>
        <v>-</v>
      </c>
      <c r="G69" s="238" t="str">
        <f>IF($A$1="Peak","-",'Base Hours'!G69*BaseLoad!M68*'Base Hours'!$AA69)</f>
        <v>-</v>
      </c>
      <c r="H69" s="238" t="str">
        <f>IF($A$1="Peak","-",'Base Hours'!H69*BaseLoad!N68*'Base Hours'!$AA69)</f>
        <v>-</v>
      </c>
      <c r="I69" s="238" t="str">
        <f>IF($A$1="Peak","-",'Base Hours'!I69*BaseLoad!O68*'Base Hours'!$AA69)</f>
        <v>-</v>
      </c>
      <c r="J69" s="238" t="str">
        <f>IF($A$1="Peak","-",'Base Hours'!J69*BaseLoad!P68*'Base Hours'!$AA69)</f>
        <v>-</v>
      </c>
      <c r="K69" s="238" t="str">
        <f>IF($A$1="Peak","-",'Base Hours'!K69*BaseLoad!Q68*'Base Hours'!$AA69)</f>
        <v>-</v>
      </c>
      <c r="L69" s="238" t="str">
        <f>IF($A$1="Peak","-",'Base Hours'!L69*BaseLoad!R68*'Base Hours'!$AA69)</f>
        <v>-</v>
      </c>
      <c r="M69" s="238" t="str">
        <f>IF($A$1="Peak","-",'Base Hours'!M69*BaseLoad!S68*'Base Hours'!$AA69)</f>
        <v>-</v>
      </c>
      <c r="N69" s="238" t="str">
        <f>IF($A$1="Peak","-",'Base Hours'!N69*BaseLoad!T68*'Base Hours'!$AA69)</f>
        <v>-</v>
      </c>
      <c r="O69" s="238" t="str">
        <f>IF($A$1="Peak","-",'Base Hours'!O69*BaseLoad!U68*'Base Hours'!$AA69)</f>
        <v>-</v>
      </c>
      <c r="P69" s="238" t="str">
        <f>IF($A$1="Peak","-",'Base Hours'!P69*BaseLoad!V68*'Base Hours'!$AA69)</f>
        <v>-</v>
      </c>
      <c r="Q69" s="238" t="str">
        <f>IF($A$1="Peak","-",'Base Hours'!Q69*BaseLoad!W68*'Base Hours'!$AA69)</f>
        <v>-</v>
      </c>
      <c r="R69" s="238" t="str">
        <f>IF($A$1="Peak","-",'Base Hours'!R69*BaseLoad!X68*'Base Hours'!$AA69)</f>
        <v>-</v>
      </c>
      <c r="S69" s="238" t="str">
        <f>IF($A$1="Peak","-",'Base Hours'!S69*BaseLoad!Y68*'Base Hours'!$AA69)</f>
        <v>-</v>
      </c>
      <c r="T69" s="238" t="str">
        <f>IF($A$1="Peak","-",'Base Hours'!T69*BaseLoad!Z68*'Base Hours'!$AA69)</f>
        <v>-</v>
      </c>
      <c r="U69" s="238" t="str">
        <f>IF($A$1="Peak","-",'Base Hours'!U69*BaseLoad!AA68*'Base Hours'!$AA69)</f>
        <v>-</v>
      </c>
      <c r="V69" s="238">
        <f t="shared" si="2"/>
        <v>0</v>
      </c>
      <c r="W69" s="238">
        <f>IF($A$1="BL",(SUM(V58:V69)),0)</f>
        <v>0</v>
      </c>
      <c r="X69" s="238">
        <f>IF(AND($A$1="BL",W69&gt;0),(PPA!$B$5*8760*BaseLoad!$AP$15*PPA!$G$4*BaseLoad!$AP$9),0)</f>
        <v>0</v>
      </c>
      <c r="Y69" s="239">
        <f>X69+W69</f>
        <v>0</v>
      </c>
      <c r="Z69" s="239">
        <f>(BaseLoad!C68*'Base Hours'!X69*'Base Hours'!$AA69)*-1</f>
        <v>0</v>
      </c>
      <c r="AA69" s="239">
        <f>SUM(Z58:Z69)</f>
        <v>0</v>
      </c>
      <c r="AB69" s="239">
        <f>(BaseLoad!D68*'Base Hours'!X69*'Base Hours'!$AA69)*-1</f>
        <v>0</v>
      </c>
      <c r="AC69" s="239">
        <f>SUM(AB58:AB69)</f>
        <v>0</v>
      </c>
      <c r="AD69" s="239">
        <f>(BaseLoad!E68*'Base Hours'!X69*'Base Hours'!$AA69)*-1</f>
        <v>0</v>
      </c>
      <c r="AE69" s="239">
        <f>SUM(AD58:AD69)</f>
        <v>0</v>
      </c>
      <c r="AF69" s="239">
        <f>(BaseLoad!F68*'Base Hours'!X69*'Base Hours'!$AA69)*-1</f>
        <v>0</v>
      </c>
      <c r="AG69" s="239">
        <f>SUM(AF58:AF69)</f>
        <v>0</v>
      </c>
    </row>
    <row r="70" spans="1:33" x14ac:dyDescent="0.2">
      <c r="A70" s="1">
        <f t="shared" si="1"/>
        <v>38365.020000000077</v>
      </c>
      <c r="B70" s="238" t="str">
        <f>IF($A$1="Peak","-",'Base Hours'!B70*BaseLoad!H69*'Base Hours'!$AA70)</f>
        <v>-</v>
      </c>
      <c r="C70" s="238" t="str">
        <f>IF($A$1="Peak","-",'Base Hours'!C70*BaseLoad!I69*'Base Hours'!$AA70)</f>
        <v>-</v>
      </c>
      <c r="D70" s="238" t="str">
        <f>IF($A$1="Peak","-",'Base Hours'!D70*BaseLoad!J69*'Base Hours'!$AA70)</f>
        <v>-</v>
      </c>
      <c r="E70" s="238" t="str">
        <f>IF($A$1="Peak","-",'Base Hours'!E70*BaseLoad!K69*'Base Hours'!$AA70)</f>
        <v>-</v>
      </c>
      <c r="F70" s="238" t="str">
        <f>IF($A$1="Peak","-",'Base Hours'!F70*BaseLoad!L69*'Base Hours'!$AA70)</f>
        <v>-</v>
      </c>
      <c r="G70" s="238" t="str">
        <f>IF($A$1="Peak","-",'Base Hours'!G70*BaseLoad!M69*'Base Hours'!$AA70)</f>
        <v>-</v>
      </c>
      <c r="H70" s="238" t="str">
        <f>IF($A$1="Peak","-",'Base Hours'!H70*BaseLoad!N69*'Base Hours'!$AA70)</f>
        <v>-</v>
      </c>
      <c r="I70" s="238" t="str">
        <f>IF($A$1="Peak","-",'Base Hours'!I70*BaseLoad!O69*'Base Hours'!$AA70)</f>
        <v>-</v>
      </c>
      <c r="J70" s="238" t="str">
        <f>IF($A$1="Peak","-",'Base Hours'!J70*BaseLoad!P69*'Base Hours'!$AA70)</f>
        <v>-</v>
      </c>
      <c r="K70" s="238" t="str">
        <f>IF($A$1="Peak","-",'Base Hours'!K70*BaseLoad!Q69*'Base Hours'!$AA70)</f>
        <v>-</v>
      </c>
      <c r="L70" s="238" t="str">
        <f>IF($A$1="Peak","-",'Base Hours'!L70*BaseLoad!R69*'Base Hours'!$AA70)</f>
        <v>-</v>
      </c>
      <c r="M70" s="238" t="str">
        <f>IF($A$1="Peak","-",'Base Hours'!M70*BaseLoad!S69*'Base Hours'!$AA70)</f>
        <v>-</v>
      </c>
      <c r="N70" s="238" t="str">
        <f>IF($A$1="Peak","-",'Base Hours'!N70*BaseLoad!T69*'Base Hours'!$AA70)</f>
        <v>-</v>
      </c>
      <c r="O70" s="238" t="str">
        <f>IF($A$1="Peak","-",'Base Hours'!O70*BaseLoad!U69*'Base Hours'!$AA70)</f>
        <v>-</v>
      </c>
      <c r="P70" s="238" t="str">
        <f>IF($A$1="Peak","-",'Base Hours'!P70*BaseLoad!V69*'Base Hours'!$AA70)</f>
        <v>-</v>
      </c>
      <c r="Q70" s="238" t="str">
        <f>IF($A$1="Peak","-",'Base Hours'!Q70*BaseLoad!W69*'Base Hours'!$AA70)</f>
        <v>-</v>
      </c>
      <c r="R70" s="238" t="str">
        <f>IF($A$1="Peak","-",'Base Hours'!R70*BaseLoad!X69*'Base Hours'!$AA70)</f>
        <v>-</v>
      </c>
      <c r="S70" s="238" t="str">
        <f>IF($A$1="Peak","-",'Base Hours'!S70*BaseLoad!Y69*'Base Hours'!$AA70)</f>
        <v>-</v>
      </c>
      <c r="T70" s="238" t="str">
        <f>IF($A$1="Peak","-",'Base Hours'!T70*BaseLoad!Z69*'Base Hours'!$AA70)</f>
        <v>-</v>
      </c>
      <c r="U70" s="238" t="str">
        <f>IF($A$1="Peak","-",'Base Hours'!U70*BaseLoad!AA69*'Base Hours'!$AA70)</f>
        <v>-</v>
      </c>
      <c r="V70" s="238">
        <f>SUM(B70:U70)</f>
        <v>0</v>
      </c>
      <c r="W70" s="238"/>
      <c r="X70" s="238"/>
      <c r="Y70" s="239"/>
      <c r="Z70" s="239">
        <f>(BaseLoad!C69*'Base Hours'!X70*'Base Hours'!$AA70)*-1</f>
        <v>0</v>
      </c>
      <c r="AA70" s="239"/>
      <c r="AB70" s="239">
        <f>(BaseLoad!D69*'Base Hours'!X70*'Base Hours'!$AA70)*-1</f>
        <v>0</v>
      </c>
      <c r="AC70" s="239"/>
      <c r="AD70" s="239">
        <f>(BaseLoad!E69*'Base Hours'!X70*'Base Hours'!$AA70)*-1</f>
        <v>0</v>
      </c>
      <c r="AE70" s="239"/>
      <c r="AF70" s="239">
        <f>(BaseLoad!F69*'Base Hours'!X70*'Base Hours'!$AA70)*-1</f>
        <v>0</v>
      </c>
      <c r="AG70" s="239"/>
    </row>
    <row r="71" spans="1:33" x14ac:dyDescent="0.2">
      <c r="A71" s="1">
        <f t="shared" si="1"/>
        <v>38395.437000000078</v>
      </c>
      <c r="B71" s="238" t="str">
        <f>IF($A$1="Peak","-",'Base Hours'!B71*BaseLoad!H70*'Base Hours'!$AA71)</f>
        <v>-</v>
      </c>
      <c r="C71" s="238" t="str">
        <f>IF($A$1="Peak","-",'Base Hours'!C71*BaseLoad!I70*'Base Hours'!$AA71)</f>
        <v>-</v>
      </c>
      <c r="D71" s="238" t="str">
        <f>IF($A$1="Peak","-",'Base Hours'!D71*BaseLoad!J70*'Base Hours'!$AA71)</f>
        <v>-</v>
      </c>
      <c r="E71" s="238" t="str">
        <f>IF($A$1="Peak","-",'Base Hours'!E71*BaseLoad!K70*'Base Hours'!$AA71)</f>
        <v>-</v>
      </c>
      <c r="F71" s="238" t="str">
        <f>IF($A$1="Peak","-",'Base Hours'!F71*BaseLoad!L70*'Base Hours'!$AA71)</f>
        <v>-</v>
      </c>
      <c r="G71" s="238" t="str">
        <f>IF($A$1="Peak","-",'Base Hours'!G71*BaseLoad!M70*'Base Hours'!$AA71)</f>
        <v>-</v>
      </c>
      <c r="H71" s="238" t="str">
        <f>IF($A$1="Peak","-",'Base Hours'!H71*BaseLoad!N70*'Base Hours'!$AA71)</f>
        <v>-</v>
      </c>
      <c r="I71" s="238" t="str">
        <f>IF($A$1="Peak","-",'Base Hours'!I71*BaseLoad!O70*'Base Hours'!$AA71)</f>
        <v>-</v>
      </c>
      <c r="J71" s="238" t="str">
        <f>IF($A$1="Peak","-",'Base Hours'!J71*BaseLoad!P70*'Base Hours'!$AA71)</f>
        <v>-</v>
      </c>
      <c r="K71" s="238" t="str">
        <f>IF($A$1="Peak","-",'Base Hours'!K71*BaseLoad!Q70*'Base Hours'!$AA71)</f>
        <v>-</v>
      </c>
      <c r="L71" s="238" t="str">
        <f>IF($A$1="Peak","-",'Base Hours'!L71*BaseLoad!R70*'Base Hours'!$AA71)</f>
        <v>-</v>
      </c>
      <c r="M71" s="238" t="str">
        <f>IF($A$1="Peak","-",'Base Hours'!M71*BaseLoad!S70*'Base Hours'!$AA71)</f>
        <v>-</v>
      </c>
      <c r="N71" s="238" t="str">
        <f>IF($A$1="Peak","-",'Base Hours'!N71*BaseLoad!T70*'Base Hours'!$AA71)</f>
        <v>-</v>
      </c>
      <c r="O71" s="238" t="str">
        <f>IF($A$1="Peak","-",'Base Hours'!O71*BaseLoad!U70*'Base Hours'!$AA71)</f>
        <v>-</v>
      </c>
      <c r="P71" s="238" t="str">
        <f>IF($A$1="Peak","-",'Base Hours'!P71*BaseLoad!V70*'Base Hours'!$AA71)</f>
        <v>-</v>
      </c>
      <c r="Q71" s="238" t="str">
        <f>IF($A$1="Peak","-",'Base Hours'!Q71*BaseLoad!W70*'Base Hours'!$AA71)</f>
        <v>-</v>
      </c>
      <c r="R71" s="238" t="str">
        <f>IF($A$1="Peak","-",'Base Hours'!R71*BaseLoad!X70*'Base Hours'!$AA71)</f>
        <v>-</v>
      </c>
      <c r="S71" s="238" t="str">
        <f>IF($A$1="Peak","-",'Base Hours'!S71*BaseLoad!Y70*'Base Hours'!$AA71)</f>
        <v>-</v>
      </c>
      <c r="T71" s="238" t="str">
        <f>IF($A$1="Peak","-",'Base Hours'!T71*BaseLoad!Z70*'Base Hours'!$AA71)</f>
        <v>-</v>
      </c>
      <c r="U71" s="238" t="str">
        <f>IF($A$1="Peak","-",'Base Hours'!U71*BaseLoad!AA70*'Base Hours'!$AA71)</f>
        <v>-</v>
      </c>
      <c r="V71" s="238">
        <f t="shared" si="2"/>
        <v>0</v>
      </c>
      <c r="W71" s="238"/>
      <c r="X71" s="238"/>
      <c r="Y71" s="239"/>
      <c r="Z71" s="239">
        <f>(BaseLoad!C70*'Base Hours'!X71*'Base Hours'!$AA71)*-1</f>
        <v>0</v>
      </c>
      <c r="AA71" s="239"/>
      <c r="AB71" s="239">
        <f>(BaseLoad!D70*'Base Hours'!X71*'Base Hours'!$AA71)*-1</f>
        <v>0</v>
      </c>
      <c r="AC71" s="239"/>
      <c r="AD71" s="239">
        <f>(BaseLoad!E70*'Base Hours'!X71*'Base Hours'!$AA71)*-1</f>
        <v>0</v>
      </c>
      <c r="AE71" s="239"/>
      <c r="AF71" s="239">
        <f>(BaseLoad!F70*'Base Hours'!X71*'Base Hours'!$AA71)*-1</f>
        <v>0</v>
      </c>
      <c r="AG71" s="239"/>
    </row>
    <row r="72" spans="1:33" x14ac:dyDescent="0.2">
      <c r="A72" s="1">
        <f t="shared" si="1"/>
        <v>38425.854000000079</v>
      </c>
      <c r="B72" s="238" t="str">
        <f>IF($A$1="Peak","-",'Base Hours'!B72*BaseLoad!H71*'Base Hours'!$AA72)</f>
        <v>-</v>
      </c>
      <c r="C72" s="238" t="str">
        <f>IF($A$1="Peak","-",'Base Hours'!C72*BaseLoad!I71*'Base Hours'!$AA72)</f>
        <v>-</v>
      </c>
      <c r="D72" s="238" t="str">
        <f>IF($A$1="Peak","-",'Base Hours'!D72*BaseLoad!J71*'Base Hours'!$AA72)</f>
        <v>-</v>
      </c>
      <c r="E72" s="238" t="str">
        <f>IF($A$1="Peak","-",'Base Hours'!E72*BaseLoad!K71*'Base Hours'!$AA72)</f>
        <v>-</v>
      </c>
      <c r="F72" s="238" t="str">
        <f>IF($A$1="Peak","-",'Base Hours'!F72*BaseLoad!L71*'Base Hours'!$AA72)</f>
        <v>-</v>
      </c>
      <c r="G72" s="238" t="str">
        <f>IF($A$1="Peak","-",'Base Hours'!G72*BaseLoad!M71*'Base Hours'!$AA72)</f>
        <v>-</v>
      </c>
      <c r="H72" s="238" t="str">
        <f>IF($A$1="Peak","-",'Base Hours'!H72*BaseLoad!N71*'Base Hours'!$AA72)</f>
        <v>-</v>
      </c>
      <c r="I72" s="238" t="str">
        <f>IF($A$1="Peak","-",'Base Hours'!I72*BaseLoad!O71*'Base Hours'!$AA72)</f>
        <v>-</v>
      </c>
      <c r="J72" s="238" t="str">
        <f>IF($A$1="Peak","-",'Base Hours'!J72*BaseLoad!P71*'Base Hours'!$AA72)</f>
        <v>-</v>
      </c>
      <c r="K72" s="238" t="str">
        <f>IF($A$1="Peak","-",'Base Hours'!K72*BaseLoad!Q71*'Base Hours'!$AA72)</f>
        <v>-</v>
      </c>
      <c r="L72" s="238" t="str">
        <f>IF($A$1="Peak","-",'Base Hours'!L72*BaseLoad!R71*'Base Hours'!$AA72)</f>
        <v>-</v>
      </c>
      <c r="M72" s="238" t="str">
        <f>IF($A$1="Peak","-",'Base Hours'!M72*BaseLoad!S71*'Base Hours'!$AA72)</f>
        <v>-</v>
      </c>
      <c r="N72" s="238" t="str">
        <f>IF($A$1="Peak","-",'Base Hours'!N72*BaseLoad!T71*'Base Hours'!$AA72)</f>
        <v>-</v>
      </c>
      <c r="O72" s="238" t="str">
        <f>IF($A$1="Peak","-",'Base Hours'!O72*BaseLoad!U71*'Base Hours'!$AA72)</f>
        <v>-</v>
      </c>
      <c r="P72" s="238" t="str">
        <f>IF($A$1="Peak","-",'Base Hours'!P72*BaseLoad!V71*'Base Hours'!$AA72)</f>
        <v>-</v>
      </c>
      <c r="Q72" s="238" t="str">
        <f>IF($A$1="Peak","-",'Base Hours'!Q72*BaseLoad!W71*'Base Hours'!$AA72)</f>
        <v>-</v>
      </c>
      <c r="R72" s="238" t="str">
        <f>IF($A$1="Peak","-",'Base Hours'!R72*BaseLoad!X71*'Base Hours'!$AA72)</f>
        <v>-</v>
      </c>
      <c r="S72" s="238" t="str">
        <f>IF($A$1="Peak","-",'Base Hours'!S72*BaseLoad!Y71*'Base Hours'!$AA72)</f>
        <v>-</v>
      </c>
      <c r="T72" s="238" t="str">
        <f>IF($A$1="Peak","-",'Base Hours'!T72*BaseLoad!Z71*'Base Hours'!$AA72)</f>
        <v>-</v>
      </c>
      <c r="U72" s="238" t="str">
        <f>IF($A$1="Peak","-",'Base Hours'!U72*BaseLoad!AA71*'Base Hours'!$AA72)</f>
        <v>-</v>
      </c>
      <c r="V72" s="238">
        <f t="shared" si="2"/>
        <v>0</v>
      </c>
      <c r="W72" s="238"/>
      <c r="X72" s="238"/>
      <c r="Y72" s="239"/>
      <c r="Z72" s="239">
        <f>(BaseLoad!C71*'Base Hours'!X72*'Base Hours'!$AA72)*-1</f>
        <v>0</v>
      </c>
      <c r="AA72" s="239"/>
      <c r="AB72" s="239">
        <f>(BaseLoad!D71*'Base Hours'!X72*'Base Hours'!$AA72)*-1</f>
        <v>0</v>
      </c>
      <c r="AC72" s="239"/>
      <c r="AD72" s="239">
        <f>(BaseLoad!E71*'Base Hours'!X72*'Base Hours'!$AA72)*-1</f>
        <v>0</v>
      </c>
      <c r="AE72" s="239"/>
      <c r="AF72" s="239">
        <f>(BaseLoad!F71*'Base Hours'!X72*'Base Hours'!$AA72)*-1</f>
        <v>0</v>
      </c>
      <c r="AG72" s="239"/>
    </row>
    <row r="73" spans="1:33" x14ac:dyDescent="0.2">
      <c r="A73" s="1">
        <f t="shared" si="1"/>
        <v>38456.271000000081</v>
      </c>
      <c r="B73" s="238" t="str">
        <f>IF($A$1="Peak","-",'Base Hours'!B73*BaseLoad!H72*'Base Hours'!$AA73)</f>
        <v>-</v>
      </c>
      <c r="C73" s="238" t="str">
        <f>IF($A$1="Peak","-",'Base Hours'!C73*BaseLoad!I72*'Base Hours'!$AA73)</f>
        <v>-</v>
      </c>
      <c r="D73" s="238" t="str">
        <f>IF($A$1="Peak","-",'Base Hours'!D73*BaseLoad!J72*'Base Hours'!$AA73)</f>
        <v>-</v>
      </c>
      <c r="E73" s="238" t="str">
        <f>IF($A$1="Peak","-",'Base Hours'!E73*BaseLoad!K72*'Base Hours'!$AA73)</f>
        <v>-</v>
      </c>
      <c r="F73" s="238" t="str">
        <f>IF($A$1="Peak","-",'Base Hours'!F73*BaseLoad!L72*'Base Hours'!$AA73)</f>
        <v>-</v>
      </c>
      <c r="G73" s="238" t="str">
        <f>IF($A$1="Peak","-",'Base Hours'!G73*BaseLoad!M72*'Base Hours'!$AA73)</f>
        <v>-</v>
      </c>
      <c r="H73" s="238" t="str">
        <f>IF($A$1="Peak","-",'Base Hours'!H73*BaseLoad!N72*'Base Hours'!$AA73)</f>
        <v>-</v>
      </c>
      <c r="I73" s="238" t="str">
        <f>IF($A$1="Peak","-",'Base Hours'!I73*BaseLoad!O72*'Base Hours'!$AA73)</f>
        <v>-</v>
      </c>
      <c r="J73" s="238" t="str">
        <f>IF($A$1="Peak","-",'Base Hours'!J73*BaseLoad!P72*'Base Hours'!$AA73)</f>
        <v>-</v>
      </c>
      <c r="K73" s="238" t="str">
        <f>IF($A$1="Peak","-",'Base Hours'!K73*BaseLoad!Q72*'Base Hours'!$AA73)</f>
        <v>-</v>
      </c>
      <c r="L73" s="238" t="str">
        <f>IF($A$1="Peak","-",'Base Hours'!L73*BaseLoad!R72*'Base Hours'!$AA73)</f>
        <v>-</v>
      </c>
      <c r="M73" s="238" t="str">
        <f>IF($A$1="Peak","-",'Base Hours'!M73*BaseLoad!S72*'Base Hours'!$AA73)</f>
        <v>-</v>
      </c>
      <c r="N73" s="238" t="str">
        <f>IF($A$1="Peak","-",'Base Hours'!N73*BaseLoad!T72*'Base Hours'!$AA73)</f>
        <v>-</v>
      </c>
      <c r="O73" s="238" t="str">
        <f>IF($A$1="Peak","-",'Base Hours'!O73*BaseLoad!U72*'Base Hours'!$AA73)</f>
        <v>-</v>
      </c>
      <c r="P73" s="238" t="str">
        <f>IF($A$1="Peak","-",'Base Hours'!P73*BaseLoad!V72*'Base Hours'!$AA73)</f>
        <v>-</v>
      </c>
      <c r="Q73" s="238" t="str">
        <f>IF($A$1="Peak","-",'Base Hours'!Q73*BaseLoad!W72*'Base Hours'!$AA73)</f>
        <v>-</v>
      </c>
      <c r="R73" s="238" t="str">
        <f>IF($A$1="Peak","-",'Base Hours'!R73*BaseLoad!X72*'Base Hours'!$AA73)</f>
        <v>-</v>
      </c>
      <c r="S73" s="238" t="str">
        <f>IF($A$1="Peak","-",'Base Hours'!S73*BaseLoad!Y72*'Base Hours'!$AA73)</f>
        <v>-</v>
      </c>
      <c r="T73" s="238" t="str">
        <f>IF($A$1="Peak","-",'Base Hours'!T73*BaseLoad!Z72*'Base Hours'!$AA73)</f>
        <v>-</v>
      </c>
      <c r="U73" s="238" t="str">
        <f>IF($A$1="Peak","-",'Base Hours'!U73*BaseLoad!AA72*'Base Hours'!$AA73)</f>
        <v>-</v>
      </c>
      <c r="V73" s="238">
        <f t="shared" si="2"/>
        <v>0</v>
      </c>
      <c r="W73" s="238"/>
      <c r="X73" s="238"/>
      <c r="Y73" s="239"/>
      <c r="Z73" s="239">
        <f>(BaseLoad!C72*'Base Hours'!X73*'Base Hours'!$AA73)*-1</f>
        <v>0</v>
      </c>
      <c r="AA73" s="239"/>
      <c r="AB73" s="239">
        <f>(BaseLoad!D72*'Base Hours'!X73*'Base Hours'!$AA73)*-1</f>
        <v>0</v>
      </c>
      <c r="AC73" s="239"/>
      <c r="AD73" s="239">
        <f>(BaseLoad!E72*'Base Hours'!X73*'Base Hours'!$AA73)*-1</f>
        <v>0</v>
      </c>
      <c r="AE73" s="239"/>
      <c r="AF73" s="239">
        <f>(BaseLoad!F72*'Base Hours'!X73*'Base Hours'!$AA73)*-1</f>
        <v>0</v>
      </c>
      <c r="AG73" s="239"/>
    </row>
    <row r="74" spans="1:33" x14ac:dyDescent="0.2">
      <c r="A74" s="1">
        <f t="shared" si="1"/>
        <v>38486.688000000082</v>
      </c>
      <c r="B74" s="238" t="str">
        <f>IF($A$1="Peak","-",'Base Hours'!B74*BaseLoad!H73*'Base Hours'!$AA74)</f>
        <v>-</v>
      </c>
      <c r="C74" s="238" t="str">
        <f>IF($A$1="Peak","-",'Base Hours'!C74*BaseLoad!I73*'Base Hours'!$AA74)</f>
        <v>-</v>
      </c>
      <c r="D74" s="238" t="str">
        <f>IF($A$1="Peak","-",'Base Hours'!D74*BaseLoad!J73*'Base Hours'!$AA74)</f>
        <v>-</v>
      </c>
      <c r="E74" s="238" t="str">
        <f>IF($A$1="Peak","-",'Base Hours'!E74*BaseLoad!K73*'Base Hours'!$AA74)</f>
        <v>-</v>
      </c>
      <c r="F74" s="238" t="str">
        <f>IF($A$1="Peak","-",'Base Hours'!F74*BaseLoad!L73*'Base Hours'!$AA74)</f>
        <v>-</v>
      </c>
      <c r="G74" s="238" t="str">
        <f>IF($A$1="Peak","-",'Base Hours'!G74*BaseLoad!M73*'Base Hours'!$AA74)</f>
        <v>-</v>
      </c>
      <c r="H74" s="238" t="str">
        <f>IF($A$1="Peak","-",'Base Hours'!H74*BaseLoad!N73*'Base Hours'!$AA74)</f>
        <v>-</v>
      </c>
      <c r="I74" s="238" t="str">
        <f>IF($A$1="Peak","-",'Base Hours'!I74*BaseLoad!O73*'Base Hours'!$AA74)</f>
        <v>-</v>
      </c>
      <c r="J74" s="238" t="str">
        <f>IF($A$1="Peak","-",'Base Hours'!J74*BaseLoad!P73*'Base Hours'!$AA74)</f>
        <v>-</v>
      </c>
      <c r="K74" s="238" t="str">
        <f>IF($A$1="Peak","-",'Base Hours'!K74*BaseLoad!Q73*'Base Hours'!$AA74)</f>
        <v>-</v>
      </c>
      <c r="L74" s="238" t="str">
        <f>IF($A$1="Peak","-",'Base Hours'!L74*BaseLoad!R73*'Base Hours'!$AA74)</f>
        <v>-</v>
      </c>
      <c r="M74" s="238" t="str">
        <f>IF($A$1="Peak","-",'Base Hours'!M74*BaseLoad!S73*'Base Hours'!$AA74)</f>
        <v>-</v>
      </c>
      <c r="N74" s="238" t="str">
        <f>IF($A$1="Peak","-",'Base Hours'!N74*BaseLoad!T73*'Base Hours'!$AA74)</f>
        <v>-</v>
      </c>
      <c r="O74" s="238" t="str">
        <f>IF($A$1="Peak","-",'Base Hours'!O74*BaseLoad!U73*'Base Hours'!$AA74)</f>
        <v>-</v>
      </c>
      <c r="P74" s="238" t="str">
        <f>IF($A$1="Peak","-",'Base Hours'!P74*BaseLoad!V73*'Base Hours'!$AA74)</f>
        <v>-</v>
      </c>
      <c r="Q74" s="238" t="str">
        <f>IF($A$1="Peak","-",'Base Hours'!Q74*BaseLoad!W73*'Base Hours'!$AA74)</f>
        <v>-</v>
      </c>
      <c r="R74" s="238" t="str">
        <f>IF($A$1="Peak","-",'Base Hours'!R74*BaseLoad!X73*'Base Hours'!$AA74)</f>
        <v>-</v>
      </c>
      <c r="S74" s="238" t="str">
        <f>IF($A$1="Peak","-",'Base Hours'!S74*BaseLoad!Y73*'Base Hours'!$AA74)</f>
        <v>-</v>
      </c>
      <c r="T74" s="238" t="str">
        <f>IF($A$1="Peak","-",'Base Hours'!T74*BaseLoad!Z73*'Base Hours'!$AA74)</f>
        <v>-</v>
      </c>
      <c r="U74" s="238" t="str">
        <f>IF($A$1="Peak","-",'Base Hours'!U74*BaseLoad!AA73*'Base Hours'!$AA74)</f>
        <v>-</v>
      </c>
      <c r="V74" s="238">
        <f t="shared" si="2"/>
        <v>0</v>
      </c>
      <c r="W74" s="238"/>
      <c r="X74" s="238"/>
      <c r="Y74" s="239"/>
      <c r="Z74" s="239">
        <f>(BaseLoad!C73*'Base Hours'!X74*'Base Hours'!$AA74)*-1</f>
        <v>0</v>
      </c>
      <c r="AA74" s="239"/>
      <c r="AB74" s="239">
        <f>(BaseLoad!D73*'Base Hours'!X74*'Base Hours'!$AA74)*-1</f>
        <v>0</v>
      </c>
      <c r="AC74" s="239"/>
      <c r="AD74" s="239">
        <f>(BaseLoad!E73*'Base Hours'!X74*'Base Hours'!$AA74)*-1</f>
        <v>0</v>
      </c>
      <c r="AE74" s="239"/>
      <c r="AF74" s="239">
        <f>(BaseLoad!F73*'Base Hours'!X74*'Base Hours'!$AA74)*-1</f>
        <v>0</v>
      </c>
      <c r="AG74" s="239"/>
    </row>
    <row r="75" spans="1:33" x14ac:dyDescent="0.2">
      <c r="A75" s="1">
        <f t="shared" si="1"/>
        <v>38517.105000000083</v>
      </c>
      <c r="B75" s="238" t="str">
        <f>IF($A$1="Peak","-",'Base Hours'!B75*BaseLoad!H74*'Base Hours'!$AA75)</f>
        <v>-</v>
      </c>
      <c r="C75" s="238" t="str">
        <f>IF($A$1="Peak","-",'Base Hours'!C75*BaseLoad!I74*'Base Hours'!$AA75)</f>
        <v>-</v>
      </c>
      <c r="D75" s="238" t="str">
        <f>IF($A$1="Peak","-",'Base Hours'!D75*BaseLoad!J74*'Base Hours'!$AA75)</f>
        <v>-</v>
      </c>
      <c r="E75" s="238" t="str">
        <f>IF($A$1="Peak","-",'Base Hours'!E75*BaseLoad!K74*'Base Hours'!$AA75)</f>
        <v>-</v>
      </c>
      <c r="F75" s="238" t="str">
        <f>IF($A$1="Peak","-",'Base Hours'!F75*BaseLoad!L74*'Base Hours'!$AA75)</f>
        <v>-</v>
      </c>
      <c r="G75" s="238" t="str">
        <f>IF($A$1="Peak","-",'Base Hours'!G75*BaseLoad!M74*'Base Hours'!$AA75)</f>
        <v>-</v>
      </c>
      <c r="H75" s="238" t="str">
        <f>IF($A$1="Peak","-",'Base Hours'!H75*BaseLoad!N74*'Base Hours'!$AA75)</f>
        <v>-</v>
      </c>
      <c r="I75" s="238" t="str">
        <f>IF($A$1="Peak","-",'Base Hours'!I75*BaseLoad!O74*'Base Hours'!$AA75)</f>
        <v>-</v>
      </c>
      <c r="J75" s="238" t="str">
        <f>IF($A$1="Peak","-",'Base Hours'!J75*BaseLoad!P74*'Base Hours'!$AA75)</f>
        <v>-</v>
      </c>
      <c r="K75" s="238" t="str">
        <f>IF($A$1="Peak","-",'Base Hours'!K75*BaseLoad!Q74*'Base Hours'!$AA75)</f>
        <v>-</v>
      </c>
      <c r="L75" s="238" t="str">
        <f>IF($A$1="Peak","-",'Base Hours'!L75*BaseLoad!R74*'Base Hours'!$AA75)</f>
        <v>-</v>
      </c>
      <c r="M75" s="238" t="str">
        <f>IF($A$1="Peak","-",'Base Hours'!M75*BaseLoad!S74*'Base Hours'!$AA75)</f>
        <v>-</v>
      </c>
      <c r="N75" s="238" t="str">
        <f>IF($A$1="Peak","-",'Base Hours'!N75*BaseLoad!T74*'Base Hours'!$AA75)</f>
        <v>-</v>
      </c>
      <c r="O75" s="238" t="str">
        <f>IF($A$1="Peak","-",'Base Hours'!O75*BaseLoad!U74*'Base Hours'!$AA75)</f>
        <v>-</v>
      </c>
      <c r="P75" s="238" t="str">
        <f>IF($A$1="Peak","-",'Base Hours'!P75*BaseLoad!V74*'Base Hours'!$AA75)</f>
        <v>-</v>
      </c>
      <c r="Q75" s="238" t="str">
        <f>IF($A$1="Peak","-",'Base Hours'!Q75*BaseLoad!W74*'Base Hours'!$AA75)</f>
        <v>-</v>
      </c>
      <c r="R75" s="238" t="str">
        <f>IF($A$1="Peak","-",'Base Hours'!R75*BaseLoad!X74*'Base Hours'!$AA75)</f>
        <v>-</v>
      </c>
      <c r="S75" s="238" t="str">
        <f>IF($A$1="Peak","-",'Base Hours'!S75*BaseLoad!Y74*'Base Hours'!$AA75)</f>
        <v>-</v>
      </c>
      <c r="T75" s="238" t="str">
        <f>IF($A$1="Peak","-",'Base Hours'!T75*BaseLoad!Z74*'Base Hours'!$AA75)</f>
        <v>-</v>
      </c>
      <c r="U75" s="238" t="str">
        <f>IF($A$1="Peak","-",'Base Hours'!U75*BaseLoad!AA74*'Base Hours'!$AA75)</f>
        <v>-</v>
      </c>
      <c r="V75" s="238">
        <f t="shared" si="2"/>
        <v>0</v>
      </c>
      <c r="W75" s="238"/>
      <c r="X75" s="238"/>
      <c r="Y75" s="239"/>
      <c r="Z75" s="239">
        <f>(BaseLoad!C74*'Base Hours'!X75*'Base Hours'!$AA75)*-1</f>
        <v>0</v>
      </c>
      <c r="AA75" s="239"/>
      <c r="AB75" s="239">
        <f>(BaseLoad!D74*'Base Hours'!X75*'Base Hours'!$AA75)*-1</f>
        <v>0</v>
      </c>
      <c r="AC75" s="239"/>
      <c r="AD75" s="239">
        <f>(BaseLoad!E74*'Base Hours'!X75*'Base Hours'!$AA75)*-1</f>
        <v>0</v>
      </c>
      <c r="AE75" s="239"/>
      <c r="AF75" s="239">
        <f>(BaseLoad!F74*'Base Hours'!X75*'Base Hours'!$AA75)*-1</f>
        <v>0</v>
      </c>
      <c r="AG75" s="239"/>
    </row>
    <row r="76" spans="1:33" x14ac:dyDescent="0.2">
      <c r="A76" s="1">
        <f t="shared" ref="A76:A139" si="3">A75+30.417</f>
        <v>38547.522000000085</v>
      </c>
      <c r="B76" s="238" t="str">
        <f>IF($A$1="Peak","-",'Base Hours'!B76*BaseLoad!H75*'Base Hours'!$AA76)</f>
        <v>-</v>
      </c>
      <c r="C76" s="238" t="str">
        <f>IF($A$1="Peak","-",'Base Hours'!C76*BaseLoad!I75*'Base Hours'!$AA76)</f>
        <v>-</v>
      </c>
      <c r="D76" s="238" t="str">
        <f>IF($A$1="Peak","-",'Base Hours'!D76*BaseLoad!J75*'Base Hours'!$AA76)</f>
        <v>-</v>
      </c>
      <c r="E76" s="238" t="str">
        <f>IF($A$1="Peak","-",'Base Hours'!E76*BaseLoad!K75*'Base Hours'!$AA76)</f>
        <v>-</v>
      </c>
      <c r="F76" s="238" t="str">
        <f>IF($A$1="Peak","-",'Base Hours'!F76*BaseLoad!L75*'Base Hours'!$AA76)</f>
        <v>-</v>
      </c>
      <c r="G76" s="238" t="str">
        <f>IF($A$1="Peak","-",'Base Hours'!G76*BaseLoad!M75*'Base Hours'!$AA76)</f>
        <v>-</v>
      </c>
      <c r="H76" s="238" t="str">
        <f>IF($A$1="Peak","-",'Base Hours'!H76*BaseLoad!N75*'Base Hours'!$AA76)</f>
        <v>-</v>
      </c>
      <c r="I76" s="238" t="str">
        <f>IF($A$1="Peak","-",'Base Hours'!I76*BaseLoad!O75*'Base Hours'!$AA76)</f>
        <v>-</v>
      </c>
      <c r="J76" s="238" t="str">
        <f>IF($A$1="Peak","-",'Base Hours'!J76*BaseLoad!P75*'Base Hours'!$AA76)</f>
        <v>-</v>
      </c>
      <c r="K76" s="238" t="str">
        <f>IF($A$1="Peak","-",'Base Hours'!K76*BaseLoad!Q75*'Base Hours'!$AA76)</f>
        <v>-</v>
      </c>
      <c r="L76" s="238" t="str">
        <f>IF($A$1="Peak","-",'Base Hours'!L76*BaseLoad!R75*'Base Hours'!$AA76)</f>
        <v>-</v>
      </c>
      <c r="M76" s="238" t="str">
        <f>IF($A$1="Peak","-",'Base Hours'!M76*BaseLoad!S75*'Base Hours'!$AA76)</f>
        <v>-</v>
      </c>
      <c r="N76" s="238" t="str">
        <f>IF($A$1="Peak","-",'Base Hours'!N76*BaseLoad!T75*'Base Hours'!$AA76)</f>
        <v>-</v>
      </c>
      <c r="O76" s="238" t="str">
        <f>IF($A$1="Peak","-",'Base Hours'!O76*BaseLoad!U75*'Base Hours'!$AA76)</f>
        <v>-</v>
      </c>
      <c r="P76" s="238" t="str">
        <f>IF($A$1="Peak","-",'Base Hours'!P76*BaseLoad!V75*'Base Hours'!$AA76)</f>
        <v>-</v>
      </c>
      <c r="Q76" s="238" t="str">
        <f>IF($A$1="Peak","-",'Base Hours'!Q76*BaseLoad!W75*'Base Hours'!$AA76)</f>
        <v>-</v>
      </c>
      <c r="R76" s="238" t="str">
        <f>IF($A$1="Peak","-",'Base Hours'!R76*BaseLoad!X75*'Base Hours'!$AA76)</f>
        <v>-</v>
      </c>
      <c r="S76" s="238" t="str">
        <f>IF($A$1="Peak","-",'Base Hours'!S76*BaseLoad!Y75*'Base Hours'!$AA76)</f>
        <v>-</v>
      </c>
      <c r="T76" s="238" t="str">
        <f>IF($A$1="Peak","-",'Base Hours'!T76*BaseLoad!Z75*'Base Hours'!$AA76)</f>
        <v>-</v>
      </c>
      <c r="U76" s="238" t="str">
        <f>IF($A$1="Peak","-",'Base Hours'!U76*BaseLoad!AA75*'Base Hours'!$AA76)</f>
        <v>-</v>
      </c>
      <c r="V76" s="238">
        <f t="shared" si="2"/>
        <v>0</v>
      </c>
      <c r="W76" s="238"/>
      <c r="X76" s="238"/>
      <c r="Y76" s="239"/>
      <c r="Z76" s="239">
        <f>(BaseLoad!C75*'Base Hours'!X76*'Base Hours'!$AA76)*-1</f>
        <v>0</v>
      </c>
      <c r="AA76" s="239"/>
      <c r="AB76" s="239">
        <f>(BaseLoad!D75*'Base Hours'!X76*'Base Hours'!$AA76)*-1</f>
        <v>0</v>
      </c>
      <c r="AC76" s="239"/>
      <c r="AD76" s="239">
        <f>(BaseLoad!E75*'Base Hours'!X76*'Base Hours'!$AA76)*-1</f>
        <v>0</v>
      </c>
      <c r="AE76" s="239"/>
      <c r="AF76" s="239">
        <f>(BaseLoad!F75*'Base Hours'!X76*'Base Hours'!$AA76)*-1</f>
        <v>0</v>
      </c>
      <c r="AG76" s="239"/>
    </row>
    <row r="77" spans="1:33" x14ac:dyDescent="0.2">
      <c r="A77" s="1">
        <f t="shared" si="3"/>
        <v>38577.939000000086</v>
      </c>
      <c r="B77" s="238" t="str">
        <f>IF($A$1="Peak","-",'Base Hours'!B77*BaseLoad!H76*'Base Hours'!$AA77)</f>
        <v>-</v>
      </c>
      <c r="C77" s="238" t="str">
        <f>IF($A$1="Peak","-",'Base Hours'!C77*BaseLoad!I76*'Base Hours'!$AA77)</f>
        <v>-</v>
      </c>
      <c r="D77" s="238" t="str">
        <f>IF($A$1="Peak","-",'Base Hours'!D77*BaseLoad!J76*'Base Hours'!$AA77)</f>
        <v>-</v>
      </c>
      <c r="E77" s="238" t="str">
        <f>IF($A$1="Peak","-",'Base Hours'!E77*BaseLoad!K76*'Base Hours'!$AA77)</f>
        <v>-</v>
      </c>
      <c r="F77" s="238" t="str">
        <f>IF($A$1="Peak","-",'Base Hours'!F77*BaseLoad!L76*'Base Hours'!$AA77)</f>
        <v>-</v>
      </c>
      <c r="G77" s="238" t="str">
        <f>IF($A$1="Peak","-",'Base Hours'!G77*BaseLoad!M76*'Base Hours'!$AA77)</f>
        <v>-</v>
      </c>
      <c r="H77" s="238" t="str">
        <f>IF($A$1="Peak","-",'Base Hours'!H77*BaseLoad!N76*'Base Hours'!$AA77)</f>
        <v>-</v>
      </c>
      <c r="I77" s="238" t="str">
        <f>IF($A$1="Peak","-",'Base Hours'!I77*BaseLoad!O76*'Base Hours'!$AA77)</f>
        <v>-</v>
      </c>
      <c r="J77" s="238" t="str">
        <f>IF($A$1="Peak","-",'Base Hours'!J77*BaseLoad!P76*'Base Hours'!$AA77)</f>
        <v>-</v>
      </c>
      <c r="K77" s="238" t="str">
        <f>IF($A$1="Peak","-",'Base Hours'!K77*BaseLoad!Q76*'Base Hours'!$AA77)</f>
        <v>-</v>
      </c>
      <c r="L77" s="238" t="str">
        <f>IF($A$1="Peak","-",'Base Hours'!L77*BaseLoad!R76*'Base Hours'!$AA77)</f>
        <v>-</v>
      </c>
      <c r="M77" s="238" t="str">
        <f>IF($A$1="Peak","-",'Base Hours'!M77*BaseLoad!S76*'Base Hours'!$AA77)</f>
        <v>-</v>
      </c>
      <c r="N77" s="238" t="str">
        <f>IF($A$1="Peak","-",'Base Hours'!N77*BaseLoad!T76*'Base Hours'!$AA77)</f>
        <v>-</v>
      </c>
      <c r="O77" s="238" t="str">
        <f>IF($A$1="Peak","-",'Base Hours'!O77*BaseLoad!U76*'Base Hours'!$AA77)</f>
        <v>-</v>
      </c>
      <c r="P77" s="238" t="str">
        <f>IF($A$1="Peak","-",'Base Hours'!P77*BaseLoad!V76*'Base Hours'!$AA77)</f>
        <v>-</v>
      </c>
      <c r="Q77" s="238" t="str">
        <f>IF($A$1="Peak","-",'Base Hours'!Q77*BaseLoad!W76*'Base Hours'!$AA77)</f>
        <v>-</v>
      </c>
      <c r="R77" s="238" t="str">
        <f>IF($A$1="Peak","-",'Base Hours'!R77*BaseLoad!X76*'Base Hours'!$AA77)</f>
        <v>-</v>
      </c>
      <c r="S77" s="238" t="str">
        <f>IF($A$1="Peak","-",'Base Hours'!S77*BaseLoad!Y76*'Base Hours'!$AA77)</f>
        <v>-</v>
      </c>
      <c r="T77" s="238" t="str">
        <f>IF($A$1="Peak","-",'Base Hours'!T77*BaseLoad!Z76*'Base Hours'!$AA77)</f>
        <v>-</v>
      </c>
      <c r="U77" s="238" t="str">
        <f>IF($A$1="Peak","-",'Base Hours'!U77*BaseLoad!AA76*'Base Hours'!$AA77)</f>
        <v>-</v>
      </c>
      <c r="V77" s="238">
        <f t="shared" si="2"/>
        <v>0</v>
      </c>
      <c r="W77" s="238"/>
      <c r="X77" s="238"/>
      <c r="Y77" s="239"/>
      <c r="Z77" s="239">
        <f>(BaseLoad!C76*'Base Hours'!X77*'Base Hours'!$AA77)*-1</f>
        <v>0</v>
      </c>
      <c r="AA77" s="239"/>
      <c r="AB77" s="239">
        <f>(BaseLoad!D76*'Base Hours'!X77*'Base Hours'!$AA77)*-1</f>
        <v>0</v>
      </c>
      <c r="AC77" s="239"/>
      <c r="AD77" s="239">
        <f>(BaseLoad!E76*'Base Hours'!X77*'Base Hours'!$AA77)*-1</f>
        <v>0</v>
      </c>
      <c r="AE77" s="239"/>
      <c r="AF77" s="239">
        <f>(BaseLoad!F76*'Base Hours'!X77*'Base Hours'!$AA77)*-1</f>
        <v>0</v>
      </c>
      <c r="AG77" s="239"/>
    </row>
    <row r="78" spans="1:33" x14ac:dyDescent="0.2">
      <c r="A78" s="1">
        <f t="shared" si="3"/>
        <v>38608.356000000087</v>
      </c>
      <c r="B78" s="238" t="str">
        <f>IF($A$1="Peak","-",'Base Hours'!B78*BaseLoad!H77*'Base Hours'!$AA78)</f>
        <v>-</v>
      </c>
      <c r="C78" s="238" t="str">
        <f>IF($A$1="Peak","-",'Base Hours'!C78*BaseLoad!I77*'Base Hours'!$AA78)</f>
        <v>-</v>
      </c>
      <c r="D78" s="238" t="str">
        <f>IF($A$1="Peak","-",'Base Hours'!D78*BaseLoad!J77*'Base Hours'!$AA78)</f>
        <v>-</v>
      </c>
      <c r="E78" s="238" t="str">
        <f>IF($A$1="Peak","-",'Base Hours'!E78*BaseLoad!K77*'Base Hours'!$AA78)</f>
        <v>-</v>
      </c>
      <c r="F78" s="238" t="str">
        <f>IF($A$1="Peak","-",'Base Hours'!F78*BaseLoad!L77*'Base Hours'!$AA78)</f>
        <v>-</v>
      </c>
      <c r="G78" s="238" t="str">
        <f>IF($A$1="Peak","-",'Base Hours'!G78*BaseLoad!M77*'Base Hours'!$AA78)</f>
        <v>-</v>
      </c>
      <c r="H78" s="238" t="str">
        <f>IF($A$1="Peak","-",'Base Hours'!H78*BaseLoad!N77*'Base Hours'!$AA78)</f>
        <v>-</v>
      </c>
      <c r="I78" s="238" t="str">
        <f>IF($A$1="Peak","-",'Base Hours'!I78*BaseLoad!O77*'Base Hours'!$AA78)</f>
        <v>-</v>
      </c>
      <c r="J78" s="238" t="str">
        <f>IF($A$1="Peak","-",'Base Hours'!J78*BaseLoad!P77*'Base Hours'!$AA78)</f>
        <v>-</v>
      </c>
      <c r="K78" s="238" t="str">
        <f>IF($A$1="Peak","-",'Base Hours'!K78*BaseLoad!Q77*'Base Hours'!$AA78)</f>
        <v>-</v>
      </c>
      <c r="L78" s="238" t="str">
        <f>IF($A$1="Peak","-",'Base Hours'!L78*BaseLoad!R77*'Base Hours'!$AA78)</f>
        <v>-</v>
      </c>
      <c r="M78" s="238" t="str">
        <f>IF($A$1="Peak","-",'Base Hours'!M78*BaseLoad!S77*'Base Hours'!$AA78)</f>
        <v>-</v>
      </c>
      <c r="N78" s="238" t="str">
        <f>IF($A$1="Peak","-",'Base Hours'!N78*BaseLoad!T77*'Base Hours'!$AA78)</f>
        <v>-</v>
      </c>
      <c r="O78" s="238" t="str">
        <f>IF($A$1="Peak","-",'Base Hours'!O78*BaseLoad!U77*'Base Hours'!$AA78)</f>
        <v>-</v>
      </c>
      <c r="P78" s="238" t="str">
        <f>IF($A$1="Peak","-",'Base Hours'!P78*BaseLoad!V77*'Base Hours'!$AA78)</f>
        <v>-</v>
      </c>
      <c r="Q78" s="238" t="str">
        <f>IF($A$1="Peak","-",'Base Hours'!Q78*BaseLoad!W77*'Base Hours'!$AA78)</f>
        <v>-</v>
      </c>
      <c r="R78" s="238" t="str">
        <f>IF($A$1="Peak","-",'Base Hours'!R78*BaseLoad!X77*'Base Hours'!$AA78)</f>
        <v>-</v>
      </c>
      <c r="S78" s="238" t="str">
        <f>IF($A$1="Peak","-",'Base Hours'!S78*BaseLoad!Y77*'Base Hours'!$AA78)</f>
        <v>-</v>
      </c>
      <c r="T78" s="238" t="str">
        <f>IF($A$1="Peak","-",'Base Hours'!T78*BaseLoad!Z77*'Base Hours'!$AA78)</f>
        <v>-</v>
      </c>
      <c r="U78" s="238" t="str">
        <f>IF($A$1="Peak","-",'Base Hours'!U78*BaseLoad!AA77*'Base Hours'!$AA78)</f>
        <v>-</v>
      </c>
      <c r="V78" s="238">
        <f t="shared" si="2"/>
        <v>0</v>
      </c>
      <c r="W78" s="238"/>
      <c r="X78" s="238"/>
      <c r="Y78" s="239"/>
      <c r="Z78" s="239">
        <f>(BaseLoad!C77*'Base Hours'!X78*'Base Hours'!$AA78)*-1</f>
        <v>0</v>
      </c>
      <c r="AA78" s="239"/>
      <c r="AB78" s="239">
        <f>(BaseLoad!D77*'Base Hours'!X78*'Base Hours'!$AA78)*-1</f>
        <v>0</v>
      </c>
      <c r="AC78" s="239"/>
      <c r="AD78" s="239">
        <f>(BaseLoad!E77*'Base Hours'!X78*'Base Hours'!$AA78)*-1</f>
        <v>0</v>
      </c>
      <c r="AE78" s="239"/>
      <c r="AF78" s="239">
        <f>(BaseLoad!F77*'Base Hours'!X78*'Base Hours'!$AA78)*-1</f>
        <v>0</v>
      </c>
      <c r="AG78" s="239"/>
    </row>
    <row r="79" spans="1:33" x14ac:dyDescent="0.2">
      <c r="A79" s="1">
        <f t="shared" si="3"/>
        <v>38638.773000000088</v>
      </c>
      <c r="B79" s="238" t="str">
        <f>IF($A$1="Peak","-",'Base Hours'!B79*BaseLoad!H78*'Base Hours'!$AA79)</f>
        <v>-</v>
      </c>
      <c r="C79" s="238" t="str">
        <f>IF($A$1="Peak","-",'Base Hours'!C79*BaseLoad!I78*'Base Hours'!$AA79)</f>
        <v>-</v>
      </c>
      <c r="D79" s="238" t="str">
        <f>IF($A$1="Peak","-",'Base Hours'!D79*BaseLoad!J78*'Base Hours'!$AA79)</f>
        <v>-</v>
      </c>
      <c r="E79" s="238" t="str">
        <f>IF($A$1="Peak","-",'Base Hours'!E79*BaseLoad!K78*'Base Hours'!$AA79)</f>
        <v>-</v>
      </c>
      <c r="F79" s="238" t="str">
        <f>IF($A$1="Peak","-",'Base Hours'!F79*BaseLoad!L78*'Base Hours'!$AA79)</f>
        <v>-</v>
      </c>
      <c r="G79" s="238" t="str">
        <f>IF($A$1="Peak","-",'Base Hours'!G79*BaseLoad!M78*'Base Hours'!$AA79)</f>
        <v>-</v>
      </c>
      <c r="H79" s="238" t="str">
        <f>IF($A$1="Peak","-",'Base Hours'!H79*BaseLoad!N78*'Base Hours'!$AA79)</f>
        <v>-</v>
      </c>
      <c r="I79" s="238" t="str">
        <f>IF($A$1="Peak","-",'Base Hours'!I79*BaseLoad!O78*'Base Hours'!$AA79)</f>
        <v>-</v>
      </c>
      <c r="J79" s="238" t="str">
        <f>IF($A$1="Peak","-",'Base Hours'!J79*BaseLoad!P78*'Base Hours'!$AA79)</f>
        <v>-</v>
      </c>
      <c r="K79" s="238" t="str">
        <f>IF($A$1="Peak","-",'Base Hours'!K79*BaseLoad!Q78*'Base Hours'!$AA79)</f>
        <v>-</v>
      </c>
      <c r="L79" s="238" t="str">
        <f>IF($A$1="Peak","-",'Base Hours'!L79*BaseLoad!R78*'Base Hours'!$AA79)</f>
        <v>-</v>
      </c>
      <c r="M79" s="238" t="str">
        <f>IF($A$1="Peak","-",'Base Hours'!M79*BaseLoad!S78*'Base Hours'!$AA79)</f>
        <v>-</v>
      </c>
      <c r="N79" s="238" t="str">
        <f>IF($A$1="Peak","-",'Base Hours'!N79*BaseLoad!T78*'Base Hours'!$AA79)</f>
        <v>-</v>
      </c>
      <c r="O79" s="238" t="str">
        <f>IF($A$1="Peak","-",'Base Hours'!O79*BaseLoad!U78*'Base Hours'!$AA79)</f>
        <v>-</v>
      </c>
      <c r="P79" s="238" t="str">
        <f>IF($A$1="Peak","-",'Base Hours'!P79*BaseLoad!V78*'Base Hours'!$AA79)</f>
        <v>-</v>
      </c>
      <c r="Q79" s="238" t="str">
        <f>IF($A$1="Peak","-",'Base Hours'!Q79*BaseLoad!W78*'Base Hours'!$AA79)</f>
        <v>-</v>
      </c>
      <c r="R79" s="238" t="str">
        <f>IF($A$1="Peak","-",'Base Hours'!R79*BaseLoad!X78*'Base Hours'!$AA79)</f>
        <v>-</v>
      </c>
      <c r="S79" s="238" t="str">
        <f>IF($A$1="Peak","-",'Base Hours'!S79*BaseLoad!Y78*'Base Hours'!$AA79)</f>
        <v>-</v>
      </c>
      <c r="T79" s="238" t="str">
        <f>IF($A$1="Peak","-",'Base Hours'!T79*BaseLoad!Z78*'Base Hours'!$AA79)</f>
        <v>-</v>
      </c>
      <c r="U79" s="238" t="str">
        <f>IF($A$1="Peak","-",'Base Hours'!U79*BaseLoad!AA78*'Base Hours'!$AA79)</f>
        <v>-</v>
      </c>
      <c r="V79" s="238">
        <f t="shared" si="2"/>
        <v>0</v>
      </c>
      <c r="W79" s="238"/>
      <c r="X79" s="238"/>
      <c r="Y79" s="239"/>
      <c r="Z79" s="239">
        <f>(BaseLoad!C78*'Base Hours'!X79*'Base Hours'!$AA79)*-1</f>
        <v>0</v>
      </c>
      <c r="AA79" s="239"/>
      <c r="AB79" s="239">
        <f>(BaseLoad!D78*'Base Hours'!X79*'Base Hours'!$AA79)*-1</f>
        <v>0</v>
      </c>
      <c r="AC79" s="239"/>
      <c r="AD79" s="239">
        <f>(BaseLoad!E78*'Base Hours'!X79*'Base Hours'!$AA79)*-1</f>
        <v>0</v>
      </c>
      <c r="AE79" s="239"/>
      <c r="AF79" s="239">
        <f>(BaseLoad!F78*'Base Hours'!X79*'Base Hours'!$AA79)*-1</f>
        <v>0</v>
      </c>
      <c r="AG79" s="239"/>
    </row>
    <row r="80" spans="1:33" ht="13.5" customHeight="1" x14ac:dyDescent="0.2">
      <c r="A80" s="1">
        <f t="shared" si="3"/>
        <v>38669.19000000009</v>
      </c>
      <c r="B80" s="238" t="str">
        <f>IF($A$1="Peak","-",'Base Hours'!B80*BaseLoad!H79*'Base Hours'!$AA80)</f>
        <v>-</v>
      </c>
      <c r="C80" s="238" t="str">
        <f>IF($A$1="Peak","-",'Base Hours'!C80*BaseLoad!I79*'Base Hours'!$AA80)</f>
        <v>-</v>
      </c>
      <c r="D80" s="238" t="str">
        <f>IF($A$1="Peak","-",'Base Hours'!D80*BaseLoad!J79*'Base Hours'!$AA80)</f>
        <v>-</v>
      </c>
      <c r="E80" s="238" t="str">
        <f>IF($A$1="Peak","-",'Base Hours'!E80*BaseLoad!K79*'Base Hours'!$AA80)</f>
        <v>-</v>
      </c>
      <c r="F80" s="238" t="str">
        <f>IF($A$1="Peak","-",'Base Hours'!F80*BaseLoad!L79*'Base Hours'!$AA80)</f>
        <v>-</v>
      </c>
      <c r="G80" s="238" t="str">
        <f>IF($A$1="Peak","-",'Base Hours'!G80*BaseLoad!M79*'Base Hours'!$AA80)</f>
        <v>-</v>
      </c>
      <c r="H80" s="238" t="str">
        <f>IF($A$1="Peak","-",'Base Hours'!H80*BaseLoad!N79*'Base Hours'!$AA80)</f>
        <v>-</v>
      </c>
      <c r="I80" s="238" t="str">
        <f>IF($A$1="Peak","-",'Base Hours'!I80*BaseLoad!O79*'Base Hours'!$AA80)</f>
        <v>-</v>
      </c>
      <c r="J80" s="238" t="str">
        <f>IF($A$1="Peak","-",'Base Hours'!J80*BaseLoad!P79*'Base Hours'!$AA80)</f>
        <v>-</v>
      </c>
      <c r="K80" s="238" t="str">
        <f>IF($A$1="Peak","-",'Base Hours'!K80*BaseLoad!Q79*'Base Hours'!$AA80)</f>
        <v>-</v>
      </c>
      <c r="L80" s="238" t="str">
        <f>IF($A$1="Peak","-",'Base Hours'!L80*BaseLoad!R79*'Base Hours'!$AA80)</f>
        <v>-</v>
      </c>
      <c r="M80" s="238" t="str">
        <f>IF($A$1="Peak","-",'Base Hours'!M80*BaseLoad!S79*'Base Hours'!$AA80)</f>
        <v>-</v>
      </c>
      <c r="N80" s="238" t="str">
        <f>IF($A$1="Peak","-",'Base Hours'!N80*BaseLoad!T79*'Base Hours'!$AA80)</f>
        <v>-</v>
      </c>
      <c r="O80" s="238" t="str">
        <f>IF($A$1="Peak","-",'Base Hours'!O80*BaseLoad!U79*'Base Hours'!$AA80)</f>
        <v>-</v>
      </c>
      <c r="P80" s="238" t="str">
        <f>IF($A$1="Peak","-",'Base Hours'!P80*BaseLoad!V79*'Base Hours'!$AA80)</f>
        <v>-</v>
      </c>
      <c r="Q80" s="238" t="str">
        <f>IF($A$1="Peak","-",'Base Hours'!Q80*BaseLoad!W79*'Base Hours'!$AA80)</f>
        <v>-</v>
      </c>
      <c r="R80" s="238" t="str">
        <f>IF($A$1="Peak","-",'Base Hours'!R80*BaseLoad!X79*'Base Hours'!$AA80)</f>
        <v>-</v>
      </c>
      <c r="S80" s="238" t="str">
        <f>IF($A$1="Peak","-",'Base Hours'!S80*BaseLoad!Y79*'Base Hours'!$AA80)</f>
        <v>-</v>
      </c>
      <c r="T80" s="238" t="str">
        <f>IF($A$1="Peak","-",'Base Hours'!T80*BaseLoad!Z79*'Base Hours'!$AA80)</f>
        <v>-</v>
      </c>
      <c r="U80" s="238" t="str">
        <f>IF($A$1="Peak","-",'Base Hours'!U80*BaseLoad!AA79*'Base Hours'!$AA80)</f>
        <v>-</v>
      </c>
      <c r="V80" s="238">
        <f t="shared" si="2"/>
        <v>0</v>
      </c>
      <c r="W80" s="238"/>
      <c r="X80" s="238"/>
      <c r="Y80" s="239"/>
      <c r="Z80" s="239">
        <f>(BaseLoad!C79*'Base Hours'!X80*'Base Hours'!$AA80)*-1</f>
        <v>0</v>
      </c>
      <c r="AA80" s="239"/>
      <c r="AB80" s="239">
        <f>(BaseLoad!D79*'Base Hours'!X80*'Base Hours'!$AA80)*-1</f>
        <v>0</v>
      </c>
      <c r="AC80" s="239"/>
      <c r="AD80" s="239">
        <f>(BaseLoad!E79*'Base Hours'!X80*'Base Hours'!$AA80)*-1</f>
        <v>0</v>
      </c>
      <c r="AE80" s="239"/>
      <c r="AF80" s="239">
        <f>(BaseLoad!F79*'Base Hours'!X80*'Base Hours'!$AA80)*-1</f>
        <v>0</v>
      </c>
      <c r="AG80" s="239"/>
    </row>
    <row r="81" spans="1:33" x14ac:dyDescent="0.2">
      <c r="A81" s="1">
        <f t="shared" si="3"/>
        <v>38699.607000000091</v>
      </c>
      <c r="B81" s="238" t="str">
        <f>IF($A$1="Peak","-",'Base Hours'!B81*BaseLoad!H80*'Base Hours'!$AA81)</f>
        <v>-</v>
      </c>
      <c r="C81" s="238" t="str">
        <f>IF($A$1="Peak","-",'Base Hours'!C81*BaseLoad!I80*'Base Hours'!$AA81)</f>
        <v>-</v>
      </c>
      <c r="D81" s="238" t="str">
        <f>IF($A$1="Peak","-",'Base Hours'!D81*BaseLoad!J80*'Base Hours'!$AA81)</f>
        <v>-</v>
      </c>
      <c r="E81" s="238" t="str">
        <f>IF($A$1="Peak","-",'Base Hours'!E81*BaseLoad!K80*'Base Hours'!$AA81)</f>
        <v>-</v>
      </c>
      <c r="F81" s="238" t="str">
        <f>IF($A$1="Peak","-",'Base Hours'!F81*BaseLoad!L80*'Base Hours'!$AA81)</f>
        <v>-</v>
      </c>
      <c r="G81" s="238" t="str">
        <f>IF($A$1="Peak","-",'Base Hours'!G81*BaseLoad!M80*'Base Hours'!$AA81)</f>
        <v>-</v>
      </c>
      <c r="H81" s="238" t="str">
        <f>IF($A$1="Peak","-",'Base Hours'!H81*BaseLoad!N80*'Base Hours'!$AA81)</f>
        <v>-</v>
      </c>
      <c r="I81" s="238" t="str">
        <f>IF($A$1="Peak","-",'Base Hours'!I81*BaseLoad!O80*'Base Hours'!$AA81)</f>
        <v>-</v>
      </c>
      <c r="J81" s="238" t="str">
        <f>IF($A$1="Peak","-",'Base Hours'!J81*BaseLoad!P80*'Base Hours'!$AA81)</f>
        <v>-</v>
      </c>
      <c r="K81" s="238" t="str">
        <f>IF($A$1="Peak","-",'Base Hours'!K81*BaseLoad!Q80*'Base Hours'!$AA81)</f>
        <v>-</v>
      </c>
      <c r="L81" s="238" t="str">
        <f>IF($A$1="Peak","-",'Base Hours'!L81*BaseLoad!R80*'Base Hours'!$AA81)</f>
        <v>-</v>
      </c>
      <c r="M81" s="238" t="str">
        <f>IF($A$1="Peak","-",'Base Hours'!M81*BaseLoad!S80*'Base Hours'!$AA81)</f>
        <v>-</v>
      </c>
      <c r="N81" s="238" t="str">
        <f>IF($A$1="Peak","-",'Base Hours'!N81*BaseLoad!T80*'Base Hours'!$AA81)</f>
        <v>-</v>
      </c>
      <c r="O81" s="238" t="str">
        <f>IF($A$1="Peak","-",'Base Hours'!O81*BaseLoad!U80*'Base Hours'!$AA81)</f>
        <v>-</v>
      </c>
      <c r="P81" s="238" t="str">
        <f>IF($A$1="Peak","-",'Base Hours'!P81*BaseLoad!V80*'Base Hours'!$AA81)</f>
        <v>-</v>
      </c>
      <c r="Q81" s="238" t="str">
        <f>IF($A$1="Peak","-",'Base Hours'!Q81*BaseLoad!W80*'Base Hours'!$AA81)</f>
        <v>-</v>
      </c>
      <c r="R81" s="238" t="str">
        <f>IF($A$1="Peak","-",'Base Hours'!R81*BaseLoad!X80*'Base Hours'!$AA81)</f>
        <v>-</v>
      </c>
      <c r="S81" s="238" t="str">
        <f>IF($A$1="Peak","-",'Base Hours'!S81*BaseLoad!Y80*'Base Hours'!$AA81)</f>
        <v>-</v>
      </c>
      <c r="T81" s="238" t="str">
        <f>IF($A$1="Peak","-",'Base Hours'!T81*BaseLoad!Z80*'Base Hours'!$AA81)</f>
        <v>-</v>
      </c>
      <c r="U81" s="238" t="str">
        <f>IF($A$1="Peak","-",'Base Hours'!U81*BaseLoad!AA80*'Base Hours'!$AA81)</f>
        <v>-</v>
      </c>
      <c r="V81" s="238">
        <f t="shared" si="2"/>
        <v>0</v>
      </c>
      <c r="W81" s="238">
        <f>IF($A$1="BL",(SUM(V70:V81)),0)</f>
        <v>0</v>
      </c>
      <c r="X81" s="238">
        <f>IF(AND($A$1="BL",W81&gt;0),(PPA!$B$5*8760*BaseLoad!$AP$15*PPA!$G$4*BaseLoad!$AP$9),0)</f>
        <v>0</v>
      </c>
      <c r="Y81" s="239">
        <f>X81+W81</f>
        <v>0</v>
      </c>
      <c r="Z81" s="239">
        <f>(BaseLoad!C80*'Base Hours'!X81*'Base Hours'!$AA81)*-1</f>
        <v>0</v>
      </c>
      <c r="AA81" s="239">
        <f>SUM(Z70:Z81)</f>
        <v>0</v>
      </c>
      <c r="AB81" s="239">
        <f>(BaseLoad!D80*'Base Hours'!X81*'Base Hours'!$AA81)*-1</f>
        <v>0</v>
      </c>
      <c r="AC81" s="239">
        <f>SUM(AB70:AB81)</f>
        <v>0</v>
      </c>
      <c r="AD81" s="239">
        <f>(BaseLoad!E80*'Base Hours'!X81*'Base Hours'!$AA81)*-1</f>
        <v>0</v>
      </c>
      <c r="AE81" s="239">
        <f>SUM(AD70:AD81)</f>
        <v>0</v>
      </c>
      <c r="AF81" s="239">
        <f>(BaseLoad!F80*'Base Hours'!X81*'Base Hours'!$AA81)*-1</f>
        <v>0</v>
      </c>
      <c r="AG81" s="239">
        <f>SUM(AF70:AF81)</f>
        <v>0</v>
      </c>
    </row>
    <row r="82" spans="1:33" x14ac:dyDescent="0.2">
      <c r="A82" s="1">
        <f t="shared" si="3"/>
        <v>38730.024000000092</v>
      </c>
      <c r="B82" s="177" t="str">
        <f>IF($A$1="Peak","-",'Base Hours'!B82*BaseLoad!H81*'Base Hours'!$AA82)</f>
        <v>-</v>
      </c>
      <c r="C82" s="177" t="str">
        <f>IF($A$1="Peak","-",'Base Hours'!C82*BaseLoad!I81*'Base Hours'!$AA82)</f>
        <v>-</v>
      </c>
      <c r="D82" s="177" t="str">
        <f>IF($A$1="Peak","-",'Base Hours'!D82*BaseLoad!J81*'Base Hours'!$AA82)</f>
        <v>-</v>
      </c>
      <c r="E82" s="177" t="str">
        <f>IF($A$1="Peak","-",'Base Hours'!E82*BaseLoad!K81*'Base Hours'!$AA82)</f>
        <v>-</v>
      </c>
      <c r="F82" s="177" t="str">
        <f>IF($A$1="Peak","-",'Base Hours'!F82*BaseLoad!L81*'Base Hours'!$AA82)</f>
        <v>-</v>
      </c>
      <c r="G82" s="177" t="str">
        <f>IF($A$1="Peak","-",'Base Hours'!G82*BaseLoad!M81*'Base Hours'!$AA82)</f>
        <v>-</v>
      </c>
      <c r="H82" s="177" t="str">
        <f>IF($A$1="Peak","-",'Base Hours'!H82*BaseLoad!N81*'Base Hours'!$AA82)</f>
        <v>-</v>
      </c>
      <c r="I82" s="177" t="str">
        <f>IF($A$1="Peak","-",'Base Hours'!I82*BaseLoad!O81*'Base Hours'!$AA82)</f>
        <v>-</v>
      </c>
      <c r="J82" s="177" t="str">
        <f>IF($A$1="Peak","-",'Base Hours'!J82*BaseLoad!P81*'Base Hours'!$AA82)</f>
        <v>-</v>
      </c>
      <c r="K82" s="177" t="str">
        <f>IF($A$1="Peak","-",'Base Hours'!K82*BaseLoad!Q81*'Base Hours'!$AA82)</f>
        <v>-</v>
      </c>
      <c r="L82" s="177" t="str">
        <f>IF($A$1="Peak","-",'Base Hours'!L82*BaseLoad!R81*'Base Hours'!$AA82)</f>
        <v>-</v>
      </c>
      <c r="M82" s="177" t="str">
        <f>IF($A$1="Peak","-",'Base Hours'!M82*BaseLoad!S81*'Base Hours'!$AA82)</f>
        <v>-</v>
      </c>
      <c r="N82" s="177" t="str">
        <f>IF($A$1="Peak","-",'Base Hours'!N82*BaseLoad!T81*'Base Hours'!$AA82)</f>
        <v>-</v>
      </c>
      <c r="O82" s="177" t="str">
        <f>IF($A$1="Peak","-",'Base Hours'!O82*BaseLoad!U81*'Base Hours'!$AA82)</f>
        <v>-</v>
      </c>
      <c r="P82" s="177" t="str">
        <f>IF($A$1="Peak","-",'Base Hours'!P82*BaseLoad!V81*'Base Hours'!$AA82)</f>
        <v>-</v>
      </c>
      <c r="Q82" s="177" t="str">
        <f>IF($A$1="Peak","-",'Base Hours'!Q82*BaseLoad!W81*'Base Hours'!$AA82)</f>
        <v>-</v>
      </c>
      <c r="R82" s="177" t="str">
        <f>IF($A$1="Peak","-",'Base Hours'!R82*BaseLoad!X81*'Base Hours'!$AA82)</f>
        <v>-</v>
      </c>
      <c r="S82" s="177" t="str">
        <f>IF($A$1="Peak","-",'Base Hours'!S82*BaseLoad!Y81*'Base Hours'!$AA82)</f>
        <v>-</v>
      </c>
      <c r="T82" s="177" t="str">
        <f>IF($A$1="Peak","-",'Base Hours'!T82*BaseLoad!Z81*'Base Hours'!$AA82)</f>
        <v>-</v>
      </c>
      <c r="U82" s="177" t="str">
        <f>IF($A$1="Peak","-",'Base Hours'!U82*BaseLoad!AA81*'Base Hours'!$AA82)</f>
        <v>-</v>
      </c>
      <c r="V82" s="177">
        <f t="shared" ref="V82:V139" si="4">SUM(B82:U82)-(MAX(B82:U82))</f>
        <v>0</v>
      </c>
      <c r="W82" s="177"/>
      <c r="X82" s="177"/>
      <c r="Y82" s="206"/>
      <c r="Z82" s="206">
        <f>(BaseLoad!C81*'Base Hours'!V82*'Base Hours'!$AA82)*-1</f>
        <v>0</v>
      </c>
      <c r="AA82" s="206"/>
      <c r="AB82" s="206">
        <f>(BaseLoad!D81*'Base Hours'!V82*'Base Hours'!$AA82)*-1</f>
        <v>0</v>
      </c>
      <c r="AC82" s="206"/>
      <c r="AD82" s="206">
        <f>(BaseLoad!E81*'Base Hours'!V82*'Base Hours'!$AA82)*-1</f>
        <v>0</v>
      </c>
      <c r="AE82" s="206"/>
      <c r="AF82" s="206">
        <f>(BaseLoad!F81*'Base Hours'!V82*'Base Hours'!$AA82)*-1</f>
        <v>0</v>
      </c>
      <c r="AG82" s="206"/>
    </row>
    <row r="83" spans="1:33" x14ac:dyDescent="0.2">
      <c r="A83" s="1">
        <f t="shared" si="3"/>
        <v>38760.441000000093</v>
      </c>
      <c r="B83" s="177" t="str">
        <f>IF($A$1="Peak","-",'Base Hours'!B83*BaseLoad!H82*'Base Hours'!$AA83)</f>
        <v>-</v>
      </c>
      <c r="C83" s="177" t="str">
        <f>IF($A$1="Peak","-",'Base Hours'!C83*BaseLoad!I82*'Base Hours'!$AA83)</f>
        <v>-</v>
      </c>
      <c r="D83" s="177" t="str">
        <f>IF($A$1="Peak","-",'Base Hours'!D83*BaseLoad!J82*'Base Hours'!$AA83)</f>
        <v>-</v>
      </c>
      <c r="E83" s="177" t="str">
        <f>IF($A$1="Peak","-",'Base Hours'!E83*BaseLoad!K82*'Base Hours'!$AA83)</f>
        <v>-</v>
      </c>
      <c r="F83" s="177" t="str">
        <f>IF($A$1="Peak","-",'Base Hours'!F83*BaseLoad!L82*'Base Hours'!$AA83)</f>
        <v>-</v>
      </c>
      <c r="G83" s="177" t="str">
        <f>IF($A$1="Peak","-",'Base Hours'!G83*BaseLoad!M82*'Base Hours'!$AA83)</f>
        <v>-</v>
      </c>
      <c r="H83" s="177" t="str">
        <f>IF($A$1="Peak","-",'Base Hours'!H83*BaseLoad!N82*'Base Hours'!$AA83)</f>
        <v>-</v>
      </c>
      <c r="I83" s="177" t="str">
        <f>IF($A$1="Peak","-",'Base Hours'!I83*BaseLoad!O82*'Base Hours'!$AA83)</f>
        <v>-</v>
      </c>
      <c r="J83" s="177" t="str">
        <f>IF($A$1="Peak","-",'Base Hours'!J83*BaseLoad!P82*'Base Hours'!$AA83)</f>
        <v>-</v>
      </c>
      <c r="K83" s="177" t="str">
        <f>IF($A$1="Peak","-",'Base Hours'!K83*BaseLoad!Q82*'Base Hours'!$AA83)</f>
        <v>-</v>
      </c>
      <c r="L83" s="177" t="str">
        <f>IF($A$1="Peak","-",'Base Hours'!L83*BaseLoad!R82*'Base Hours'!$AA83)</f>
        <v>-</v>
      </c>
      <c r="M83" s="177" t="str">
        <f>IF($A$1="Peak","-",'Base Hours'!M83*BaseLoad!S82*'Base Hours'!$AA83)</f>
        <v>-</v>
      </c>
      <c r="N83" s="177" t="str">
        <f>IF($A$1="Peak","-",'Base Hours'!N83*BaseLoad!T82*'Base Hours'!$AA83)</f>
        <v>-</v>
      </c>
      <c r="O83" s="177" t="str">
        <f>IF($A$1="Peak","-",'Base Hours'!O83*BaseLoad!U82*'Base Hours'!$AA83)</f>
        <v>-</v>
      </c>
      <c r="P83" s="177" t="str">
        <f>IF($A$1="Peak","-",'Base Hours'!P83*BaseLoad!V82*'Base Hours'!$AA83)</f>
        <v>-</v>
      </c>
      <c r="Q83" s="177" t="str">
        <f>IF($A$1="Peak","-",'Base Hours'!Q83*BaseLoad!W82*'Base Hours'!$AA83)</f>
        <v>-</v>
      </c>
      <c r="R83" s="177" t="str">
        <f>IF($A$1="Peak","-",'Base Hours'!R83*BaseLoad!X82*'Base Hours'!$AA83)</f>
        <v>-</v>
      </c>
      <c r="S83" s="177" t="str">
        <f>IF($A$1="Peak","-",'Base Hours'!S83*BaseLoad!Y82*'Base Hours'!$AA83)</f>
        <v>-</v>
      </c>
      <c r="T83" s="177" t="str">
        <f>IF($A$1="Peak","-",'Base Hours'!T83*BaseLoad!Z82*'Base Hours'!$AA83)</f>
        <v>-</v>
      </c>
      <c r="U83" s="177" t="str">
        <f>IF($A$1="Peak","-",'Base Hours'!U83*BaseLoad!AA82*'Base Hours'!$AA83)</f>
        <v>-</v>
      </c>
      <c r="V83" s="177">
        <f t="shared" si="4"/>
        <v>0</v>
      </c>
      <c r="W83" s="177"/>
      <c r="X83" s="177"/>
      <c r="Y83" s="206"/>
      <c r="Z83" s="206">
        <f>(BaseLoad!C82*'Base Hours'!V83*'Base Hours'!$AA83)*-1</f>
        <v>0</v>
      </c>
      <c r="AA83" s="206"/>
      <c r="AB83" s="206">
        <f>(BaseLoad!D82*'Base Hours'!V83*'Base Hours'!$AA83)*-1</f>
        <v>0</v>
      </c>
      <c r="AC83" s="206"/>
      <c r="AD83" s="206">
        <f>(BaseLoad!E82*'Base Hours'!V83*'Base Hours'!$AA83)*-1</f>
        <v>0</v>
      </c>
      <c r="AE83" s="206"/>
      <c r="AF83" s="206">
        <f>(BaseLoad!F82*'Base Hours'!V83*'Base Hours'!$AA83)*-1</f>
        <v>0</v>
      </c>
      <c r="AG83" s="206"/>
    </row>
    <row r="84" spans="1:33" x14ac:dyDescent="0.2">
      <c r="A84" s="1">
        <f t="shared" si="3"/>
        <v>38790.858000000095</v>
      </c>
      <c r="B84" s="177" t="str">
        <f>IF($A$1="Peak","-",'Base Hours'!B84*BaseLoad!H83*'Base Hours'!$AA84)</f>
        <v>-</v>
      </c>
      <c r="C84" s="177" t="str">
        <f>IF($A$1="Peak","-",'Base Hours'!C84*BaseLoad!I83*'Base Hours'!$AA84)</f>
        <v>-</v>
      </c>
      <c r="D84" s="177" t="str">
        <f>IF($A$1="Peak","-",'Base Hours'!D84*BaseLoad!J83*'Base Hours'!$AA84)</f>
        <v>-</v>
      </c>
      <c r="E84" s="177" t="str">
        <f>IF($A$1="Peak","-",'Base Hours'!E84*BaseLoad!K83*'Base Hours'!$AA84)</f>
        <v>-</v>
      </c>
      <c r="F84" s="177" t="str">
        <f>IF($A$1="Peak","-",'Base Hours'!F84*BaseLoad!L83*'Base Hours'!$AA84)</f>
        <v>-</v>
      </c>
      <c r="G84" s="177" t="str">
        <f>IF($A$1="Peak","-",'Base Hours'!G84*BaseLoad!M83*'Base Hours'!$AA84)</f>
        <v>-</v>
      </c>
      <c r="H84" s="177" t="str">
        <f>IF($A$1="Peak","-",'Base Hours'!H84*BaseLoad!N83*'Base Hours'!$AA84)</f>
        <v>-</v>
      </c>
      <c r="I84" s="177" t="str">
        <f>IF($A$1="Peak","-",'Base Hours'!I84*BaseLoad!O83*'Base Hours'!$AA84)</f>
        <v>-</v>
      </c>
      <c r="J84" s="177" t="str">
        <f>IF($A$1="Peak","-",'Base Hours'!J84*BaseLoad!P83*'Base Hours'!$AA84)</f>
        <v>-</v>
      </c>
      <c r="K84" s="177" t="str">
        <f>IF($A$1="Peak","-",'Base Hours'!K84*BaseLoad!Q83*'Base Hours'!$AA84)</f>
        <v>-</v>
      </c>
      <c r="L84" s="177" t="str">
        <f>IF($A$1="Peak","-",'Base Hours'!L84*BaseLoad!R83*'Base Hours'!$AA84)</f>
        <v>-</v>
      </c>
      <c r="M84" s="177" t="str">
        <f>IF($A$1="Peak","-",'Base Hours'!M84*BaseLoad!S83*'Base Hours'!$AA84)</f>
        <v>-</v>
      </c>
      <c r="N84" s="177" t="str">
        <f>IF($A$1="Peak","-",'Base Hours'!N84*BaseLoad!T83*'Base Hours'!$AA84)</f>
        <v>-</v>
      </c>
      <c r="O84" s="177" t="str">
        <f>IF($A$1="Peak","-",'Base Hours'!O84*BaseLoad!U83*'Base Hours'!$AA84)</f>
        <v>-</v>
      </c>
      <c r="P84" s="177" t="str">
        <f>IF($A$1="Peak","-",'Base Hours'!P84*BaseLoad!V83*'Base Hours'!$AA84)</f>
        <v>-</v>
      </c>
      <c r="Q84" s="177" t="str">
        <f>IF($A$1="Peak","-",'Base Hours'!Q84*BaseLoad!W83*'Base Hours'!$AA84)</f>
        <v>-</v>
      </c>
      <c r="R84" s="177" t="str">
        <f>IF($A$1="Peak","-",'Base Hours'!R84*BaseLoad!X83*'Base Hours'!$AA84)</f>
        <v>-</v>
      </c>
      <c r="S84" s="177" t="str">
        <f>IF($A$1="Peak","-",'Base Hours'!S84*BaseLoad!Y83*'Base Hours'!$AA84)</f>
        <v>-</v>
      </c>
      <c r="T84" s="177" t="str">
        <f>IF($A$1="Peak","-",'Base Hours'!T84*BaseLoad!Z83*'Base Hours'!$AA84)</f>
        <v>-</v>
      </c>
      <c r="U84" s="177" t="str">
        <f>IF($A$1="Peak","-",'Base Hours'!U84*BaseLoad!AA83*'Base Hours'!$AA84)</f>
        <v>-</v>
      </c>
      <c r="V84" s="177">
        <f t="shared" si="4"/>
        <v>0</v>
      </c>
      <c r="W84" s="177"/>
      <c r="X84" s="177"/>
      <c r="Y84" s="206"/>
      <c r="Z84" s="206">
        <f>(BaseLoad!C83*'Base Hours'!V84*'Base Hours'!$AA84)*-1</f>
        <v>0</v>
      </c>
      <c r="AA84" s="206"/>
      <c r="AB84" s="206">
        <f>(BaseLoad!D83*'Base Hours'!V84*'Base Hours'!$AA84)*-1</f>
        <v>0</v>
      </c>
      <c r="AC84" s="206"/>
      <c r="AD84" s="206">
        <f>(BaseLoad!E83*'Base Hours'!V84*'Base Hours'!$AA84)*-1</f>
        <v>0</v>
      </c>
      <c r="AE84" s="206"/>
      <c r="AF84" s="206">
        <f>(BaseLoad!F83*'Base Hours'!V84*'Base Hours'!$AA84)*-1</f>
        <v>0</v>
      </c>
      <c r="AG84" s="206"/>
    </row>
    <row r="85" spans="1:33" x14ac:dyDescent="0.2">
      <c r="A85" s="1">
        <f t="shared" si="3"/>
        <v>38821.275000000096</v>
      </c>
      <c r="B85" s="177" t="str">
        <f>IF($A$1="Peak","-",'Base Hours'!B85*BaseLoad!H84*'Base Hours'!$AA85)</f>
        <v>-</v>
      </c>
      <c r="C85" s="177" t="str">
        <f>IF($A$1="Peak","-",'Base Hours'!C85*BaseLoad!I84*'Base Hours'!$AA85)</f>
        <v>-</v>
      </c>
      <c r="D85" s="177" t="str">
        <f>IF($A$1="Peak","-",'Base Hours'!D85*BaseLoad!J84*'Base Hours'!$AA85)</f>
        <v>-</v>
      </c>
      <c r="E85" s="177" t="str">
        <f>IF($A$1="Peak","-",'Base Hours'!E85*BaseLoad!K84*'Base Hours'!$AA85)</f>
        <v>-</v>
      </c>
      <c r="F85" s="177" t="str">
        <f>IF($A$1="Peak","-",'Base Hours'!F85*BaseLoad!L84*'Base Hours'!$AA85)</f>
        <v>-</v>
      </c>
      <c r="G85" s="177" t="str">
        <f>IF($A$1="Peak","-",'Base Hours'!G85*BaseLoad!M84*'Base Hours'!$AA85)</f>
        <v>-</v>
      </c>
      <c r="H85" s="177" t="str">
        <f>IF($A$1="Peak","-",'Base Hours'!H85*BaseLoad!N84*'Base Hours'!$AA85)</f>
        <v>-</v>
      </c>
      <c r="I85" s="177" t="str">
        <f>IF($A$1="Peak","-",'Base Hours'!I85*BaseLoad!O84*'Base Hours'!$AA85)</f>
        <v>-</v>
      </c>
      <c r="J85" s="177" t="str">
        <f>IF($A$1="Peak","-",'Base Hours'!J85*BaseLoad!P84*'Base Hours'!$AA85)</f>
        <v>-</v>
      </c>
      <c r="K85" s="177" t="str">
        <f>IF($A$1="Peak","-",'Base Hours'!K85*BaseLoad!Q84*'Base Hours'!$AA85)</f>
        <v>-</v>
      </c>
      <c r="L85" s="177" t="str">
        <f>IF($A$1="Peak","-",'Base Hours'!L85*BaseLoad!R84*'Base Hours'!$AA85)</f>
        <v>-</v>
      </c>
      <c r="M85" s="177" t="str">
        <f>IF($A$1="Peak","-",'Base Hours'!M85*BaseLoad!S84*'Base Hours'!$AA85)</f>
        <v>-</v>
      </c>
      <c r="N85" s="177" t="str">
        <f>IF($A$1="Peak","-",'Base Hours'!N85*BaseLoad!T84*'Base Hours'!$AA85)</f>
        <v>-</v>
      </c>
      <c r="O85" s="177" t="str">
        <f>IF($A$1="Peak","-",'Base Hours'!O85*BaseLoad!U84*'Base Hours'!$AA85)</f>
        <v>-</v>
      </c>
      <c r="P85" s="177" t="str">
        <f>IF($A$1="Peak","-",'Base Hours'!P85*BaseLoad!V84*'Base Hours'!$AA85)</f>
        <v>-</v>
      </c>
      <c r="Q85" s="177" t="str">
        <f>IF($A$1="Peak","-",'Base Hours'!Q85*BaseLoad!W84*'Base Hours'!$AA85)</f>
        <v>-</v>
      </c>
      <c r="R85" s="177" t="str">
        <f>IF($A$1="Peak","-",'Base Hours'!R85*BaseLoad!X84*'Base Hours'!$AA85)</f>
        <v>-</v>
      </c>
      <c r="S85" s="177" t="str">
        <f>IF($A$1="Peak","-",'Base Hours'!S85*BaseLoad!Y84*'Base Hours'!$AA85)</f>
        <v>-</v>
      </c>
      <c r="T85" s="177" t="str">
        <f>IF($A$1="Peak","-",'Base Hours'!T85*BaseLoad!Z84*'Base Hours'!$AA85)</f>
        <v>-</v>
      </c>
      <c r="U85" s="177" t="str">
        <f>IF($A$1="Peak","-",'Base Hours'!U85*BaseLoad!AA84*'Base Hours'!$AA85)</f>
        <v>-</v>
      </c>
      <c r="V85" s="177">
        <f t="shared" si="4"/>
        <v>0</v>
      </c>
      <c r="W85" s="177"/>
      <c r="X85" s="177"/>
      <c r="Y85" s="206"/>
      <c r="Z85" s="206">
        <f>(BaseLoad!C84*'Base Hours'!V85*'Base Hours'!$AA85)*-1</f>
        <v>0</v>
      </c>
      <c r="AA85" s="206"/>
      <c r="AB85" s="206">
        <f>(BaseLoad!D84*'Base Hours'!V85*'Base Hours'!$AA85)*-1</f>
        <v>0</v>
      </c>
      <c r="AC85" s="206"/>
      <c r="AD85" s="206">
        <f>(BaseLoad!E84*'Base Hours'!V85*'Base Hours'!$AA85)*-1</f>
        <v>0</v>
      </c>
      <c r="AE85" s="206"/>
      <c r="AF85" s="206">
        <f>(BaseLoad!F84*'Base Hours'!V85*'Base Hours'!$AA85)*-1</f>
        <v>0</v>
      </c>
      <c r="AG85" s="206"/>
    </row>
    <row r="86" spans="1:33" x14ac:dyDescent="0.2">
      <c r="A86" s="1">
        <f t="shared" si="3"/>
        <v>38851.692000000097</v>
      </c>
      <c r="B86" s="177" t="str">
        <f>IF($A$1="Peak","-",'Base Hours'!B86*BaseLoad!H85*'Base Hours'!$AA86)</f>
        <v>-</v>
      </c>
      <c r="C86" s="177" t="str">
        <f>IF($A$1="Peak","-",'Base Hours'!C86*BaseLoad!I85*'Base Hours'!$AA86)</f>
        <v>-</v>
      </c>
      <c r="D86" s="177" t="str">
        <f>IF($A$1="Peak","-",'Base Hours'!D86*BaseLoad!J85*'Base Hours'!$AA86)</f>
        <v>-</v>
      </c>
      <c r="E86" s="177" t="str">
        <f>IF($A$1="Peak","-",'Base Hours'!E86*BaseLoad!K85*'Base Hours'!$AA86)</f>
        <v>-</v>
      </c>
      <c r="F86" s="177" t="str">
        <f>IF($A$1="Peak","-",'Base Hours'!F86*BaseLoad!L85*'Base Hours'!$AA86)</f>
        <v>-</v>
      </c>
      <c r="G86" s="177" t="str">
        <f>IF($A$1="Peak","-",'Base Hours'!G86*BaseLoad!M85*'Base Hours'!$AA86)</f>
        <v>-</v>
      </c>
      <c r="H86" s="177" t="str">
        <f>IF($A$1="Peak","-",'Base Hours'!H86*BaseLoad!N85*'Base Hours'!$AA86)</f>
        <v>-</v>
      </c>
      <c r="I86" s="177" t="str">
        <f>IF($A$1="Peak","-",'Base Hours'!I86*BaseLoad!O85*'Base Hours'!$AA86)</f>
        <v>-</v>
      </c>
      <c r="J86" s="177" t="str">
        <f>IF($A$1="Peak","-",'Base Hours'!J86*BaseLoad!P85*'Base Hours'!$AA86)</f>
        <v>-</v>
      </c>
      <c r="K86" s="177" t="str">
        <f>IF($A$1="Peak","-",'Base Hours'!K86*BaseLoad!Q85*'Base Hours'!$AA86)</f>
        <v>-</v>
      </c>
      <c r="L86" s="177" t="str">
        <f>IF($A$1="Peak","-",'Base Hours'!L86*BaseLoad!R85*'Base Hours'!$AA86)</f>
        <v>-</v>
      </c>
      <c r="M86" s="177" t="str">
        <f>IF($A$1="Peak","-",'Base Hours'!M86*BaseLoad!S85*'Base Hours'!$AA86)</f>
        <v>-</v>
      </c>
      <c r="N86" s="177" t="str">
        <f>IF($A$1="Peak","-",'Base Hours'!N86*BaseLoad!T85*'Base Hours'!$AA86)</f>
        <v>-</v>
      </c>
      <c r="O86" s="177" t="str">
        <f>IF($A$1="Peak","-",'Base Hours'!O86*BaseLoad!U85*'Base Hours'!$AA86)</f>
        <v>-</v>
      </c>
      <c r="P86" s="177" t="str">
        <f>IF($A$1="Peak","-",'Base Hours'!P86*BaseLoad!V85*'Base Hours'!$AA86)</f>
        <v>-</v>
      </c>
      <c r="Q86" s="177" t="str">
        <f>IF($A$1="Peak","-",'Base Hours'!Q86*BaseLoad!W85*'Base Hours'!$AA86)</f>
        <v>-</v>
      </c>
      <c r="R86" s="177" t="str">
        <f>IF($A$1="Peak","-",'Base Hours'!R86*BaseLoad!X85*'Base Hours'!$AA86)</f>
        <v>-</v>
      </c>
      <c r="S86" s="177" t="str">
        <f>IF($A$1="Peak","-",'Base Hours'!S86*BaseLoad!Y85*'Base Hours'!$AA86)</f>
        <v>-</v>
      </c>
      <c r="T86" s="177" t="str">
        <f>IF($A$1="Peak","-",'Base Hours'!T86*BaseLoad!Z85*'Base Hours'!$AA86)</f>
        <v>-</v>
      </c>
      <c r="U86" s="177" t="str">
        <f>IF($A$1="Peak","-",'Base Hours'!U86*BaseLoad!AA85*'Base Hours'!$AA86)</f>
        <v>-</v>
      </c>
      <c r="V86" s="177">
        <f t="shared" si="4"/>
        <v>0</v>
      </c>
      <c r="W86" s="177"/>
      <c r="X86" s="177"/>
      <c r="Y86" s="206"/>
      <c r="Z86" s="206">
        <f>(BaseLoad!C85*'Base Hours'!V86*'Base Hours'!$AA86)*-1</f>
        <v>0</v>
      </c>
      <c r="AA86" s="206"/>
      <c r="AB86" s="206">
        <f>(BaseLoad!D85*'Base Hours'!V86*'Base Hours'!$AA86)*-1</f>
        <v>0</v>
      </c>
      <c r="AC86" s="206"/>
      <c r="AD86" s="206">
        <f>(BaseLoad!E85*'Base Hours'!V86*'Base Hours'!$AA86)*-1</f>
        <v>0</v>
      </c>
      <c r="AE86" s="206"/>
      <c r="AF86" s="206">
        <f>(BaseLoad!F85*'Base Hours'!V86*'Base Hours'!$AA86)*-1</f>
        <v>0</v>
      </c>
      <c r="AG86" s="206"/>
    </row>
    <row r="87" spans="1:33" x14ac:dyDescent="0.2">
      <c r="A87" s="1">
        <f t="shared" si="3"/>
        <v>38882.109000000099</v>
      </c>
      <c r="B87" s="177" t="str">
        <f>IF($A$1="Peak","-",'Base Hours'!B87*BaseLoad!H86*'Base Hours'!$AA87)</f>
        <v>-</v>
      </c>
      <c r="C87" s="177" t="str">
        <f>IF($A$1="Peak","-",'Base Hours'!C87*BaseLoad!I86*'Base Hours'!$AA87)</f>
        <v>-</v>
      </c>
      <c r="D87" s="177" t="str">
        <f>IF($A$1="Peak","-",'Base Hours'!D87*BaseLoad!J86*'Base Hours'!$AA87)</f>
        <v>-</v>
      </c>
      <c r="E87" s="177" t="str">
        <f>IF($A$1="Peak","-",'Base Hours'!E87*BaseLoad!K86*'Base Hours'!$AA87)</f>
        <v>-</v>
      </c>
      <c r="F87" s="177" t="str">
        <f>IF($A$1="Peak","-",'Base Hours'!F87*BaseLoad!L86*'Base Hours'!$AA87)</f>
        <v>-</v>
      </c>
      <c r="G87" s="177" t="str">
        <f>IF($A$1="Peak","-",'Base Hours'!G87*BaseLoad!M86*'Base Hours'!$AA87)</f>
        <v>-</v>
      </c>
      <c r="H87" s="177" t="str">
        <f>IF($A$1="Peak","-",'Base Hours'!H87*BaseLoad!N86*'Base Hours'!$AA87)</f>
        <v>-</v>
      </c>
      <c r="I87" s="177" t="str">
        <f>IF($A$1="Peak","-",'Base Hours'!I87*BaseLoad!O86*'Base Hours'!$AA87)</f>
        <v>-</v>
      </c>
      <c r="J87" s="177" t="str">
        <f>IF($A$1="Peak","-",'Base Hours'!J87*BaseLoad!P86*'Base Hours'!$AA87)</f>
        <v>-</v>
      </c>
      <c r="K87" s="177" t="str">
        <f>IF($A$1="Peak","-",'Base Hours'!K87*BaseLoad!Q86*'Base Hours'!$AA87)</f>
        <v>-</v>
      </c>
      <c r="L87" s="177" t="str">
        <f>IF($A$1="Peak","-",'Base Hours'!L87*BaseLoad!R86*'Base Hours'!$AA87)</f>
        <v>-</v>
      </c>
      <c r="M87" s="177" t="str">
        <f>IF($A$1="Peak","-",'Base Hours'!M87*BaseLoad!S86*'Base Hours'!$AA87)</f>
        <v>-</v>
      </c>
      <c r="N87" s="177" t="str">
        <f>IF($A$1="Peak","-",'Base Hours'!N87*BaseLoad!T86*'Base Hours'!$AA87)</f>
        <v>-</v>
      </c>
      <c r="O87" s="177" t="str">
        <f>IF($A$1="Peak","-",'Base Hours'!O87*BaseLoad!U86*'Base Hours'!$AA87)</f>
        <v>-</v>
      </c>
      <c r="P87" s="177" t="str">
        <f>IF($A$1="Peak","-",'Base Hours'!P87*BaseLoad!V86*'Base Hours'!$AA87)</f>
        <v>-</v>
      </c>
      <c r="Q87" s="177" t="str">
        <f>IF($A$1="Peak","-",'Base Hours'!Q87*BaseLoad!W86*'Base Hours'!$AA87)</f>
        <v>-</v>
      </c>
      <c r="R87" s="177" t="str">
        <f>IF($A$1="Peak","-",'Base Hours'!R87*BaseLoad!X86*'Base Hours'!$AA87)</f>
        <v>-</v>
      </c>
      <c r="S87" s="177" t="str">
        <f>IF($A$1="Peak","-",'Base Hours'!S87*BaseLoad!Y86*'Base Hours'!$AA87)</f>
        <v>-</v>
      </c>
      <c r="T87" s="177" t="str">
        <f>IF($A$1="Peak","-",'Base Hours'!T87*BaseLoad!Z86*'Base Hours'!$AA87)</f>
        <v>-</v>
      </c>
      <c r="U87" s="177" t="str">
        <f>IF($A$1="Peak","-",'Base Hours'!U87*BaseLoad!AA86*'Base Hours'!$AA87)</f>
        <v>-</v>
      </c>
      <c r="V87" s="177">
        <f t="shared" si="4"/>
        <v>0</v>
      </c>
      <c r="W87" s="177"/>
      <c r="X87" s="177"/>
      <c r="Y87" s="206"/>
      <c r="Z87" s="206">
        <f>(BaseLoad!C86*'Base Hours'!V87*'Base Hours'!$AA87)*-1</f>
        <v>0</v>
      </c>
      <c r="AA87" s="206"/>
      <c r="AB87" s="206">
        <f>(BaseLoad!D86*'Base Hours'!V87*'Base Hours'!$AA87)*-1</f>
        <v>0</v>
      </c>
      <c r="AC87" s="206"/>
      <c r="AD87" s="206">
        <f>(BaseLoad!E86*'Base Hours'!V87*'Base Hours'!$AA87)*-1</f>
        <v>0</v>
      </c>
      <c r="AE87" s="206"/>
      <c r="AF87" s="206">
        <f>(BaseLoad!F86*'Base Hours'!V87*'Base Hours'!$AA87)*-1</f>
        <v>0</v>
      </c>
      <c r="AG87" s="206"/>
    </row>
    <row r="88" spans="1:33" x14ac:dyDescent="0.2">
      <c r="A88" s="1">
        <f t="shared" si="3"/>
        <v>38912.5260000001</v>
      </c>
      <c r="B88" s="177" t="str">
        <f>IF($A$1="Peak","-",'Base Hours'!B88*BaseLoad!H87*'Base Hours'!$AA88)</f>
        <v>-</v>
      </c>
      <c r="C88" s="177" t="str">
        <f>IF($A$1="Peak","-",'Base Hours'!C88*BaseLoad!I87*'Base Hours'!$AA88)</f>
        <v>-</v>
      </c>
      <c r="D88" s="177" t="str">
        <f>IF($A$1="Peak","-",'Base Hours'!D88*BaseLoad!J87*'Base Hours'!$AA88)</f>
        <v>-</v>
      </c>
      <c r="E88" s="177" t="str">
        <f>IF($A$1="Peak","-",'Base Hours'!E88*BaseLoad!K87*'Base Hours'!$AA88)</f>
        <v>-</v>
      </c>
      <c r="F88" s="177" t="str">
        <f>IF($A$1="Peak","-",'Base Hours'!F88*BaseLoad!L87*'Base Hours'!$AA88)</f>
        <v>-</v>
      </c>
      <c r="G88" s="177" t="str">
        <f>IF($A$1="Peak","-",'Base Hours'!G88*BaseLoad!M87*'Base Hours'!$AA88)</f>
        <v>-</v>
      </c>
      <c r="H88" s="177" t="str">
        <f>IF($A$1="Peak","-",'Base Hours'!H88*BaseLoad!N87*'Base Hours'!$AA88)</f>
        <v>-</v>
      </c>
      <c r="I88" s="177" t="str">
        <f>IF($A$1="Peak","-",'Base Hours'!I88*BaseLoad!O87*'Base Hours'!$AA88)</f>
        <v>-</v>
      </c>
      <c r="J88" s="177" t="str">
        <f>IF($A$1="Peak","-",'Base Hours'!J88*BaseLoad!P87*'Base Hours'!$AA88)</f>
        <v>-</v>
      </c>
      <c r="K88" s="177" t="str">
        <f>IF($A$1="Peak","-",'Base Hours'!K88*BaseLoad!Q87*'Base Hours'!$AA88)</f>
        <v>-</v>
      </c>
      <c r="L88" s="177" t="str">
        <f>IF($A$1="Peak","-",'Base Hours'!L88*BaseLoad!R87*'Base Hours'!$AA88)</f>
        <v>-</v>
      </c>
      <c r="M88" s="177" t="str">
        <f>IF($A$1="Peak","-",'Base Hours'!M88*BaseLoad!S87*'Base Hours'!$AA88)</f>
        <v>-</v>
      </c>
      <c r="N88" s="177" t="str">
        <f>IF($A$1="Peak","-",'Base Hours'!N88*BaseLoad!T87*'Base Hours'!$AA88)</f>
        <v>-</v>
      </c>
      <c r="O88" s="177" t="str">
        <f>IF($A$1="Peak","-",'Base Hours'!O88*BaseLoad!U87*'Base Hours'!$AA88)</f>
        <v>-</v>
      </c>
      <c r="P88" s="177" t="str">
        <f>IF($A$1="Peak","-",'Base Hours'!P88*BaseLoad!V87*'Base Hours'!$AA88)</f>
        <v>-</v>
      </c>
      <c r="Q88" s="177" t="str">
        <f>IF($A$1="Peak","-",'Base Hours'!Q88*BaseLoad!W87*'Base Hours'!$AA88)</f>
        <v>-</v>
      </c>
      <c r="R88" s="177" t="str">
        <f>IF($A$1="Peak","-",'Base Hours'!R88*BaseLoad!X87*'Base Hours'!$AA88)</f>
        <v>-</v>
      </c>
      <c r="S88" s="177" t="str">
        <f>IF($A$1="Peak","-",'Base Hours'!S88*BaseLoad!Y87*'Base Hours'!$AA88)</f>
        <v>-</v>
      </c>
      <c r="T88" s="177" t="str">
        <f>IF($A$1="Peak","-",'Base Hours'!T88*BaseLoad!Z87*'Base Hours'!$AA88)</f>
        <v>-</v>
      </c>
      <c r="U88" s="177" t="str">
        <f>IF($A$1="Peak","-",'Base Hours'!U88*BaseLoad!AA87*'Base Hours'!$AA88)</f>
        <v>-</v>
      </c>
      <c r="V88" s="177">
        <f t="shared" si="4"/>
        <v>0</v>
      </c>
      <c r="W88" s="177"/>
      <c r="X88" s="177"/>
      <c r="Y88" s="206"/>
      <c r="Z88" s="206">
        <f>(BaseLoad!C87*'Base Hours'!V88*'Base Hours'!$AA88)*-1</f>
        <v>0</v>
      </c>
      <c r="AA88" s="206"/>
      <c r="AB88" s="206">
        <f>(BaseLoad!D87*'Base Hours'!V88*'Base Hours'!$AA88)*-1</f>
        <v>0</v>
      </c>
      <c r="AC88" s="206"/>
      <c r="AD88" s="206">
        <f>(BaseLoad!E87*'Base Hours'!V88*'Base Hours'!$AA88)*-1</f>
        <v>0</v>
      </c>
      <c r="AE88" s="206"/>
      <c r="AF88" s="206">
        <f>(BaseLoad!F87*'Base Hours'!V88*'Base Hours'!$AA88)*-1</f>
        <v>0</v>
      </c>
      <c r="AG88" s="206"/>
    </row>
    <row r="89" spans="1:33" x14ac:dyDescent="0.2">
      <c r="A89" s="1">
        <f t="shared" si="3"/>
        <v>38942.943000000101</v>
      </c>
      <c r="B89" s="177" t="str">
        <f>IF($A$1="Peak","-",'Base Hours'!B89*BaseLoad!H88*'Base Hours'!$AA89)</f>
        <v>-</v>
      </c>
      <c r="C89" s="177" t="str">
        <f>IF($A$1="Peak","-",'Base Hours'!C89*BaseLoad!I88*'Base Hours'!$AA89)</f>
        <v>-</v>
      </c>
      <c r="D89" s="177" t="str">
        <f>IF($A$1="Peak","-",'Base Hours'!D89*BaseLoad!J88*'Base Hours'!$AA89)</f>
        <v>-</v>
      </c>
      <c r="E89" s="177" t="str">
        <f>IF($A$1="Peak","-",'Base Hours'!E89*BaseLoad!K88*'Base Hours'!$AA89)</f>
        <v>-</v>
      </c>
      <c r="F89" s="177" t="str">
        <f>IF($A$1="Peak","-",'Base Hours'!F89*BaseLoad!L88*'Base Hours'!$AA89)</f>
        <v>-</v>
      </c>
      <c r="G89" s="177" t="str">
        <f>IF($A$1="Peak","-",'Base Hours'!G89*BaseLoad!M88*'Base Hours'!$AA89)</f>
        <v>-</v>
      </c>
      <c r="H89" s="177" t="str">
        <f>IF($A$1="Peak","-",'Base Hours'!H89*BaseLoad!N88*'Base Hours'!$AA89)</f>
        <v>-</v>
      </c>
      <c r="I89" s="177" t="str">
        <f>IF($A$1="Peak","-",'Base Hours'!I89*BaseLoad!O88*'Base Hours'!$AA89)</f>
        <v>-</v>
      </c>
      <c r="J89" s="177" t="str">
        <f>IF($A$1="Peak","-",'Base Hours'!J89*BaseLoad!P88*'Base Hours'!$AA89)</f>
        <v>-</v>
      </c>
      <c r="K89" s="177" t="str">
        <f>IF($A$1="Peak","-",'Base Hours'!K89*BaseLoad!Q88*'Base Hours'!$AA89)</f>
        <v>-</v>
      </c>
      <c r="L89" s="177" t="str">
        <f>IF($A$1="Peak","-",'Base Hours'!L89*BaseLoad!R88*'Base Hours'!$AA89)</f>
        <v>-</v>
      </c>
      <c r="M89" s="177" t="str">
        <f>IF($A$1="Peak","-",'Base Hours'!M89*BaseLoad!S88*'Base Hours'!$AA89)</f>
        <v>-</v>
      </c>
      <c r="N89" s="177" t="str">
        <f>IF($A$1="Peak","-",'Base Hours'!N89*BaseLoad!T88*'Base Hours'!$AA89)</f>
        <v>-</v>
      </c>
      <c r="O89" s="177" t="str">
        <f>IF($A$1="Peak","-",'Base Hours'!O89*BaseLoad!U88*'Base Hours'!$AA89)</f>
        <v>-</v>
      </c>
      <c r="P89" s="177" t="str">
        <f>IF($A$1="Peak","-",'Base Hours'!P89*BaseLoad!V88*'Base Hours'!$AA89)</f>
        <v>-</v>
      </c>
      <c r="Q89" s="177" t="str">
        <f>IF($A$1="Peak","-",'Base Hours'!Q89*BaseLoad!W88*'Base Hours'!$AA89)</f>
        <v>-</v>
      </c>
      <c r="R89" s="177" t="str">
        <f>IF($A$1="Peak","-",'Base Hours'!R89*BaseLoad!X88*'Base Hours'!$AA89)</f>
        <v>-</v>
      </c>
      <c r="S89" s="177" t="str">
        <f>IF($A$1="Peak","-",'Base Hours'!S89*BaseLoad!Y88*'Base Hours'!$AA89)</f>
        <v>-</v>
      </c>
      <c r="T89" s="177" t="str">
        <f>IF($A$1="Peak","-",'Base Hours'!T89*BaseLoad!Z88*'Base Hours'!$AA89)</f>
        <v>-</v>
      </c>
      <c r="U89" s="177" t="str">
        <f>IF($A$1="Peak","-",'Base Hours'!U89*BaseLoad!AA88*'Base Hours'!$AA89)</f>
        <v>-</v>
      </c>
      <c r="V89" s="177">
        <f t="shared" si="4"/>
        <v>0</v>
      </c>
      <c r="W89" s="177"/>
      <c r="X89" s="177"/>
      <c r="Y89" s="206"/>
      <c r="Z89" s="206">
        <f>(BaseLoad!C88*'Base Hours'!V89*'Base Hours'!$AA89)*-1</f>
        <v>0</v>
      </c>
      <c r="AA89" s="206"/>
      <c r="AB89" s="206">
        <f>(BaseLoad!D88*'Base Hours'!V89*'Base Hours'!$AA89)*-1</f>
        <v>0</v>
      </c>
      <c r="AC89" s="206"/>
      <c r="AD89" s="206">
        <f>(BaseLoad!E88*'Base Hours'!V89*'Base Hours'!$AA89)*-1</f>
        <v>0</v>
      </c>
      <c r="AE89" s="206"/>
      <c r="AF89" s="206">
        <f>(BaseLoad!F88*'Base Hours'!V89*'Base Hours'!$AA89)*-1</f>
        <v>0</v>
      </c>
      <c r="AG89" s="206"/>
    </row>
    <row r="90" spans="1:33" x14ac:dyDescent="0.2">
      <c r="A90" s="1">
        <f t="shared" si="3"/>
        <v>38973.360000000102</v>
      </c>
      <c r="B90" s="177" t="str">
        <f>IF($A$1="Peak","-",'Base Hours'!B90*BaseLoad!H89*'Base Hours'!$AA90)</f>
        <v>-</v>
      </c>
      <c r="C90" s="177" t="str">
        <f>IF($A$1="Peak","-",'Base Hours'!C90*BaseLoad!I89*'Base Hours'!$AA90)</f>
        <v>-</v>
      </c>
      <c r="D90" s="177" t="str">
        <f>IF($A$1="Peak","-",'Base Hours'!D90*BaseLoad!J89*'Base Hours'!$AA90)</f>
        <v>-</v>
      </c>
      <c r="E90" s="177" t="str">
        <f>IF($A$1="Peak","-",'Base Hours'!E90*BaseLoad!K89*'Base Hours'!$AA90)</f>
        <v>-</v>
      </c>
      <c r="F90" s="177" t="str">
        <f>IF($A$1="Peak","-",'Base Hours'!F90*BaseLoad!L89*'Base Hours'!$AA90)</f>
        <v>-</v>
      </c>
      <c r="G90" s="177" t="str">
        <f>IF($A$1="Peak","-",'Base Hours'!G90*BaseLoad!M89*'Base Hours'!$AA90)</f>
        <v>-</v>
      </c>
      <c r="H90" s="177" t="str">
        <f>IF($A$1="Peak","-",'Base Hours'!H90*BaseLoad!N89*'Base Hours'!$AA90)</f>
        <v>-</v>
      </c>
      <c r="I90" s="177" t="str">
        <f>IF($A$1="Peak","-",'Base Hours'!I90*BaseLoad!O89*'Base Hours'!$AA90)</f>
        <v>-</v>
      </c>
      <c r="J90" s="177" t="str">
        <f>IF($A$1="Peak","-",'Base Hours'!J90*BaseLoad!P89*'Base Hours'!$AA90)</f>
        <v>-</v>
      </c>
      <c r="K90" s="177" t="str">
        <f>IF($A$1="Peak","-",'Base Hours'!K90*BaseLoad!Q89*'Base Hours'!$AA90)</f>
        <v>-</v>
      </c>
      <c r="L90" s="177" t="str">
        <f>IF($A$1="Peak","-",'Base Hours'!L90*BaseLoad!R89*'Base Hours'!$AA90)</f>
        <v>-</v>
      </c>
      <c r="M90" s="177" t="str">
        <f>IF($A$1="Peak","-",'Base Hours'!M90*BaseLoad!S89*'Base Hours'!$AA90)</f>
        <v>-</v>
      </c>
      <c r="N90" s="177" t="str">
        <f>IF($A$1="Peak","-",'Base Hours'!N90*BaseLoad!T89*'Base Hours'!$AA90)</f>
        <v>-</v>
      </c>
      <c r="O90" s="177" t="str">
        <f>IF($A$1="Peak","-",'Base Hours'!O90*BaseLoad!U89*'Base Hours'!$AA90)</f>
        <v>-</v>
      </c>
      <c r="P90" s="177" t="str">
        <f>IF($A$1="Peak","-",'Base Hours'!P90*BaseLoad!V89*'Base Hours'!$AA90)</f>
        <v>-</v>
      </c>
      <c r="Q90" s="177" t="str">
        <f>IF($A$1="Peak","-",'Base Hours'!Q90*BaseLoad!W89*'Base Hours'!$AA90)</f>
        <v>-</v>
      </c>
      <c r="R90" s="177" t="str">
        <f>IF($A$1="Peak","-",'Base Hours'!R90*BaseLoad!X89*'Base Hours'!$AA90)</f>
        <v>-</v>
      </c>
      <c r="S90" s="177" t="str">
        <f>IF($A$1="Peak","-",'Base Hours'!S90*BaseLoad!Y89*'Base Hours'!$AA90)</f>
        <v>-</v>
      </c>
      <c r="T90" s="177" t="str">
        <f>IF($A$1="Peak","-",'Base Hours'!T90*BaseLoad!Z89*'Base Hours'!$AA90)</f>
        <v>-</v>
      </c>
      <c r="U90" s="177" t="str">
        <f>IF($A$1="Peak","-",'Base Hours'!U90*BaseLoad!AA89*'Base Hours'!$AA90)</f>
        <v>-</v>
      </c>
      <c r="V90" s="177">
        <f t="shared" si="4"/>
        <v>0</v>
      </c>
      <c r="W90" s="177"/>
      <c r="X90" s="177"/>
      <c r="Y90" s="206"/>
      <c r="Z90" s="206">
        <f>(BaseLoad!C89*'Base Hours'!V90*'Base Hours'!$AA90)*-1</f>
        <v>0</v>
      </c>
      <c r="AA90" s="206"/>
      <c r="AB90" s="206">
        <f>(BaseLoad!D89*'Base Hours'!V90*'Base Hours'!$AA90)*-1</f>
        <v>0</v>
      </c>
      <c r="AC90" s="206"/>
      <c r="AD90" s="206">
        <f>(BaseLoad!E89*'Base Hours'!V90*'Base Hours'!$AA90)*-1</f>
        <v>0</v>
      </c>
      <c r="AE90" s="206"/>
      <c r="AF90" s="206">
        <f>(BaseLoad!F89*'Base Hours'!V90*'Base Hours'!$AA90)*-1</f>
        <v>0</v>
      </c>
      <c r="AG90" s="206"/>
    </row>
    <row r="91" spans="1:33" x14ac:dyDescent="0.2">
      <c r="A91" s="1">
        <f t="shared" si="3"/>
        <v>39003.777000000104</v>
      </c>
      <c r="B91" s="177" t="str">
        <f>IF($A$1="Peak","-",'Base Hours'!B91*BaseLoad!H90*'Base Hours'!$AA91)</f>
        <v>-</v>
      </c>
      <c r="C91" s="177" t="str">
        <f>IF($A$1="Peak","-",'Base Hours'!C91*BaseLoad!I90*'Base Hours'!$AA91)</f>
        <v>-</v>
      </c>
      <c r="D91" s="177" t="str">
        <f>IF($A$1="Peak","-",'Base Hours'!D91*BaseLoad!J90*'Base Hours'!$AA91)</f>
        <v>-</v>
      </c>
      <c r="E91" s="177" t="str">
        <f>IF($A$1="Peak","-",'Base Hours'!E91*BaseLoad!K90*'Base Hours'!$AA91)</f>
        <v>-</v>
      </c>
      <c r="F91" s="177" t="str">
        <f>IF($A$1="Peak","-",'Base Hours'!F91*BaseLoad!L90*'Base Hours'!$AA91)</f>
        <v>-</v>
      </c>
      <c r="G91" s="177" t="str">
        <f>IF($A$1="Peak","-",'Base Hours'!G91*BaseLoad!M90*'Base Hours'!$AA91)</f>
        <v>-</v>
      </c>
      <c r="H91" s="177" t="str">
        <f>IF($A$1="Peak","-",'Base Hours'!H91*BaseLoad!N90*'Base Hours'!$AA91)</f>
        <v>-</v>
      </c>
      <c r="I91" s="177" t="str">
        <f>IF($A$1="Peak","-",'Base Hours'!I91*BaseLoad!O90*'Base Hours'!$AA91)</f>
        <v>-</v>
      </c>
      <c r="J91" s="177" t="str">
        <f>IF($A$1="Peak","-",'Base Hours'!J91*BaseLoad!P90*'Base Hours'!$AA91)</f>
        <v>-</v>
      </c>
      <c r="K91" s="177" t="str">
        <f>IF($A$1="Peak","-",'Base Hours'!K91*BaseLoad!Q90*'Base Hours'!$AA91)</f>
        <v>-</v>
      </c>
      <c r="L91" s="177" t="str">
        <f>IF($A$1="Peak","-",'Base Hours'!L91*BaseLoad!R90*'Base Hours'!$AA91)</f>
        <v>-</v>
      </c>
      <c r="M91" s="177" t="str">
        <f>IF($A$1="Peak","-",'Base Hours'!M91*BaseLoad!S90*'Base Hours'!$AA91)</f>
        <v>-</v>
      </c>
      <c r="N91" s="177" t="str">
        <f>IF($A$1="Peak","-",'Base Hours'!N91*BaseLoad!T90*'Base Hours'!$AA91)</f>
        <v>-</v>
      </c>
      <c r="O91" s="177" t="str">
        <f>IF($A$1="Peak","-",'Base Hours'!O91*BaseLoad!U90*'Base Hours'!$AA91)</f>
        <v>-</v>
      </c>
      <c r="P91" s="177" t="str">
        <f>IF($A$1="Peak","-",'Base Hours'!P91*BaseLoad!V90*'Base Hours'!$AA91)</f>
        <v>-</v>
      </c>
      <c r="Q91" s="177" t="str">
        <f>IF($A$1="Peak","-",'Base Hours'!Q91*BaseLoad!W90*'Base Hours'!$AA91)</f>
        <v>-</v>
      </c>
      <c r="R91" s="177" t="str">
        <f>IF($A$1="Peak","-",'Base Hours'!R91*BaseLoad!X90*'Base Hours'!$AA91)</f>
        <v>-</v>
      </c>
      <c r="S91" s="177" t="str">
        <f>IF($A$1="Peak","-",'Base Hours'!S91*BaseLoad!Y90*'Base Hours'!$AA91)</f>
        <v>-</v>
      </c>
      <c r="T91" s="177" t="str">
        <f>IF($A$1="Peak","-",'Base Hours'!T91*BaseLoad!Z90*'Base Hours'!$AA91)</f>
        <v>-</v>
      </c>
      <c r="U91" s="177" t="str">
        <f>IF($A$1="Peak","-",'Base Hours'!U91*BaseLoad!AA90*'Base Hours'!$AA91)</f>
        <v>-</v>
      </c>
      <c r="V91" s="177">
        <f t="shared" si="4"/>
        <v>0</v>
      </c>
      <c r="W91" s="177"/>
      <c r="X91" s="177"/>
      <c r="Y91" s="206"/>
      <c r="Z91" s="206">
        <f>(BaseLoad!C90*'Base Hours'!V91*'Base Hours'!$AA91)*-1</f>
        <v>0</v>
      </c>
      <c r="AA91" s="206"/>
      <c r="AB91" s="206">
        <f>(BaseLoad!D90*'Base Hours'!V91*'Base Hours'!$AA91)*-1</f>
        <v>0</v>
      </c>
      <c r="AC91" s="206"/>
      <c r="AD91" s="206">
        <f>(BaseLoad!E90*'Base Hours'!V91*'Base Hours'!$AA91)*-1</f>
        <v>0</v>
      </c>
      <c r="AE91" s="206"/>
      <c r="AF91" s="206">
        <f>(BaseLoad!F90*'Base Hours'!V91*'Base Hours'!$AA91)*-1</f>
        <v>0</v>
      </c>
      <c r="AG91" s="206"/>
    </row>
    <row r="92" spans="1:33" x14ac:dyDescent="0.2">
      <c r="A92" s="1">
        <f t="shared" si="3"/>
        <v>39034.194000000105</v>
      </c>
      <c r="B92" s="177" t="str">
        <f>IF($A$1="Peak","-",'Base Hours'!B92*BaseLoad!H91*'Base Hours'!$AA92)</f>
        <v>-</v>
      </c>
      <c r="C92" s="177" t="str">
        <f>IF($A$1="Peak","-",'Base Hours'!C92*BaseLoad!I91*'Base Hours'!$AA92)</f>
        <v>-</v>
      </c>
      <c r="D92" s="177" t="str">
        <f>IF($A$1="Peak","-",'Base Hours'!D92*BaseLoad!J91*'Base Hours'!$AA92)</f>
        <v>-</v>
      </c>
      <c r="E92" s="177" t="str">
        <f>IF($A$1="Peak","-",'Base Hours'!E92*BaseLoad!K91*'Base Hours'!$AA92)</f>
        <v>-</v>
      </c>
      <c r="F92" s="177" t="str">
        <f>IF($A$1="Peak","-",'Base Hours'!F92*BaseLoad!L91*'Base Hours'!$AA92)</f>
        <v>-</v>
      </c>
      <c r="G92" s="177" t="str">
        <f>IF($A$1="Peak","-",'Base Hours'!G92*BaseLoad!M91*'Base Hours'!$AA92)</f>
        <v>-</v>
      </c>
      <c r="H92" s="177" t="str">
        <f>IF($A$1="Peak","-",'Base Hours'!H92*BaseLoad!N91*'Base Hours'!$AA92)</f>
        <v>-</v>
      </c>
      <c r="I92" s="177" t="str">
        <f>IF($A$1="Peak","-",'Base Hours'!I92*BaseLoad!O91*'Base Hours'!$AA92)</f>
        <v>-</v>
      </c>
      <c r="J92" s="177" t="str">
        <f>IF($A$1="Peak","-",'Base Hours'!J92*BaseLoad!P91*'Base Hours'!$AA92)</f>
        <v>-</v>
      </c>
      <c r="K92" s="177" t="str">
        <f>IF($A$1="Peak","-",'Base Hours'!K92*BaseLoad!Q91*'Base Hours'!$AA92)</f>
        <v>-</v>
      </c>
      <c r="L92" s="177" t="str">
        <f>IF($A$1="Peak","-",'Base Hours'!L92*BaseLoad!R91*'Base Hours'!$AA92)</f>
        <v>-</v>
      </c>
      <c r="M92" s="177" t="str">
        <f>IF($A$1="Peak","-",'Base Hours'!M92*BaseLoad!S91*'Base Hours'!$AA92)</f>
        <v>-</v>
      </c>
      <c r="N92" s="177" t="str">
        <f>IF($A$1="Peak","-",'Base Hours'!N92*BaseLoad!T91*'Base Hours'!$AA92)</f>
        <v>-</v>
      </c>
      <c r="O92" s="177" t="str">
        <f>IF($A$1="Peak","-",'Base Hours'!O92*BaseLoad!U91*'Base Hours'!$AA92)</f>
        <v>-</v>
      </c>
      <c r="P92" s="177" t="str">
        <f>IF($A$1="Peak","-",'Base Hours'!P92*BaseLoad!V91*'Base Hours'!$AA92)</f>
        <v>-</v>
      </c>
      <c r="Q92" s="177" t="str">
        <f>IF($A$1="Peak","-",'Base Hours'!Q92*BaseLoad!W91*'Base Hours'!$AA92)</f>
        <v>-</v>
      </c>
      <c r="R92" s="177" t="str">
        <f>IF($A$1="Peak","-",'Base Hours'!R92*BaseLoad!X91*'Base Hours'!$AA92)</f>
        <v>-</v>
      </c>
      <c r="S92" s="177" t="str">
        <f>IF($A$1="Peak","-",'Base Hours'!S92*BaseLoad!Y91*'Base Hours'!$AA92)</f>
        <v>-</v>
      </c>
      <c r="T92" s="177" t="str">
        <f>IF($A$1="Peak","-",'Base Hours'!T92*BaseLoad!Z91*'Base Hours'!$AA92)</f>
        <v>-</v>
      </c>
      <c r="U92" s="177" t="str">
        <f>IF($A$1="Peak","-",'Base Hours'!U92*BaseLoad!AA91*'Base Hours'!$AA92)</f>
        <v>-</v>
      </c>
      <c r="V92" s="177">
        <f t="shared" si="4"/>
        <v>0</v>
      </c>
      <c r="W92" s="177"/>
      <c r="X92" s="177"/>
      <c r="Y92" s="206"/>
      <c r="Z92" s="206">
        <f>(BaseLoad!C91*'Base Hours'!V92*'Base Hours'!$AA92)*-1</f>
        <v>0</v>
      </c>
      <c r="AA92" s="206"/>
      <c r="AB92" s="206">
        <f>(BaseLoad!D91*'Base Hours'!V92*'Base Hours'!$AA92)*-1</f>
        <v>0</v>
      </c>
      <c r="AC92" s="206"/>
      <c r="AD92" s="206">
        <f>(BaseLoad!E91*'Base Hours'!V92*'Base Hours'!$AA92)*-1</f>
        <v>0</v>
      </c>
      <c r="AE92" s="206"/>
      <c r="AF92" s="206">
        <f>(BaseLoad!F91*'Base Hours'!V92*'Base Hours'!$AA92)*-1</f>
        <v>0</v>
      </c>
      <c r="AG92" s="206"/>
    </row>
    <row r="93" spans="1:33" x14ac:dyDescent="0.2">
      <c r="A93" s="1">
        <f t="shared" si="3"/>
        <v>39064.611000000106</v>
      </c>
      <c r="B93" s="177" t="str">
        <f>IF($A$1="Peak","-",'Base Hours'!B93*BaseLoad!H92*'Base Hours'!$AA93)</f>
        <v>-</v>
      </c>
      <c r="C93" s="177" t="str">
        <f>IF($A$1="Peak","-",'Base Hours'!C93*BaseLoad!I92*'Base Hours'!$AA93)</f>
        <v>-</v>
      </c>
      <c r="D93" s="177" t="str">
        <f>IF($A$1="Peak","-",'Base Hours'!D93*BaseLoad!J92*'Base Hours'!$AA93)</f>
        <v>-</v>
      </c>
      <c r="E93" s="177" t="str">
        <f>IF($A$1="Peak","-",'Base Hours'!E93*BaseLoad!K92*'Base Hours'!$AA93)</f>
        <v>-</v>
      </c>
      <c r="F93" s="177" t="str">
        <f>IF($A$1="Peak","-",'Base Hours'!F93*BaseLoad!L92*'Base Hours'!$AA93)</f>
        <v>-</v>
      </c>
      <c r="G93" s="177" t="str">
        <f>IF($A$1="Peak","-",'Base Hours'!G93*BaseLoad!M92*'Base Hours'!$AA93)</f>
        <v>-</v>
      </c>
      <c r="H93" s="177" t="str">
        <f>IF($A$1="Peak","-",'Base Hours'!H93*BaseLoad!N92*'Base Hours'!$AA93)</f>
        <v>-</v>
      </c>
      <c r="I93" s="177" t="str">
        <f>IF($A$1="Peak","-",'Base Hours'!I93*BaseLoad!O92*'Base Hours'!$AA93)</f>
        <v>-</v>
      </c>
      <c r="J93" s="177" t="str">
        <f>IF($A$1="Peak","-",'Base Hours'!J93*BaseLoad!P92*'Base Hours'!$AA93)</f>
        <v>-</v>
      </c>
      <c r="K93" s="177" t="str">
        <f>IF($A$1="Peak","-",'Base Hours'!K93*BaseLoad!Q92*'Base Hours'!$AA93)</f>
        <v>-</v>
      </c>
      <c r="L93" s="177" t="str">
        <f>IF($A$1="Peak","-",'Base Hours'!L93*BaseLoad!R92*'Base Hours'!$AA93)</f>
        <v>-</v>
      </c>
      <c r="M93" s="177" t="str">
        <f>IF($A$1="Peak","-",'Base Hours'!M93*BaseLoad!S92*'Base Hours'!$AA93)</f>
        <v>-</v>
      </c>
      <c r="N93" s="177" t="str">
        <f>IF($A$1="Peak","-",'Base Hours'!N93*BaseLoad!T92*'Base Hours'!$AA93)</f>
        <v>-</v>
      </c>
      <c r="O93" s="177" t="str">
        <f>IF($A$1="Peak","-",'Base Hours'!O93*BaseLoad!U92*'Base Hours'!$AA93)</f>
        <v>-</v>
      </c>
      <c r="P93" s="177" t="str">
        <f>IF($A$1="Peak","-",'Base Hours'!P93*BaseLoad!V92*'Base Hours'!$AA93)</f>
        <v>-</v>
      </c>
      <c r="Q93" s="177" t="str">
        <f>IF($A$1="Peak","-",'Base Hours'!Q93*BaseLoad!W92*'Base Hours'!$AA93)</f>
        <v>-</v>
      </c>
      <c r="R93" s="177" t="str">
        <f>IF($A$1="Peak","-",'Base Hours'!R93*BaseLoad!X92*'Base Hours'!$AA93)</f>
        <v>-</v>
      </c>
      <c r="S93" s="177" t="str">
        <f>IF($A$1="Peak","-",'Base Hours'!S93*BaseLoad!Y92*'Base Hours'!$AA93)</f>
        <v>-</v>
      </c>
      <c r="T93" s="177" t="str">
        <f>IF($A$1="Peak","-",'Base Hours'!T93*BaseLoad!Z92*'Base Hours'!$AA93)</f>
        <v>-</v>
      </c>
      <c r="U93" s="177" t="str">
        <f>IF($A$1="Peak","-",'Base Hours'!U93*BaseLoad!AA92*'Base Hours'!$AA93)</f>
        <v>-</v>
      </c>
      <c r="V93" s="177">
        <f t="shared" si="4"/>
        <v>0</v>
      </c>
      <c r="W93" s="177"/>
      <c r="X93" s="177"/>
      <c r="Y93" s="206">
        <f>SUM(B82:U93)</f>
        <v>0</v>
      </c>
      <c r="Z93" s="206">
        <f>(BaseLoad!C92*'Base Hours'!V93*'Base Hours'!$AA93)*-1</f>
        <v>0</v>
      </c>
      <c r="AA93" s="206">
        <f>SUM(Z82:Z93)</f>
        <v>0</v>
      </c>
      <c r="AB93" s="206">
        <f>(BaseLoad!D92*'Base Hours'!V93*'Base Hours'!$AA93)*-1</f>
        <v>0</v>
      </c>
      <c r="AC93" s="206">
        <f>SUM(AB82:AB93)</f>
        <v>0</v>
      </c>
      <c r="AD93" s="206">
        <f>(BaseLoad!E92*'Base Hours'!V93*'Base Hours'!$AA93)*-1</f>
        <v>0</v>
      </c>
      <c r="AE93" s="206">
        <f>SUM(AD82:AD93)</f>
        <v>0</v>
      </c>
      <c r="AF93" s="206">
        <f>(BaseLoad!F92*'Base Hours'!V93*'Base Hours'!$AA93)*-1</f>
        <v>0</v>
      </c>
      <c r="AG93" s="206">
        <f>SUM(AF82:AF93)</f>
        <v>0</v>
      </c>
    </row>
    <row r="94" spans="1:33" x14ac:dyDescent="0.2">
      <c r="A94" s="1">
        <f t="shared" si="3"/>
        <v>39095.028000000108</v>
      </c>
      <c r="B94" s="177" t="str">
        <f>IF($A$1="Peak","-",'Base Hours'!B94*BaseLoad!H93*'Base Hours'!$AA94)</f>
        <v>-</v>
      </c>
      <c r="C94" s="177" t="str">
        <f>IF($A$1="Peak","-",'Base Hours'!C94*BaseLoad!I93*'Base Hours'!$AA94)</f>
        <v>-</v>
      </c>
      <c r="D94" s="177" t="str">
        <f>IF($A$1="Peak","-",'Base Hours'!D94*BaseLoad!J93*'Base Hours'!$AA94)</f>
        <v>-</v>
      </c>
      <c r="E94" s="177" t="str">
        <f>IF($A$1="Peak","-",'Base Hours'!E94*BaseLoad!K93*'Base Hours'!$AA94)</f>
        <v>-</v>
      </c>
      <c r="F94" s="177" t="str">
        <f>IF($A$1="Peak","-",'Base Hours'!F94*BaseLoad!L93*'Base Hours'!$AA94)</f>
        <v>-</v>
      </c>
      <c r="G94" s="177" t="str">
        <f>IF($A$1="Peak","-",'Base Hours'!G94*BaseLoad!M93*'Base Hours'!$AA94)</f>
        <v>-</v>
      </c>
      <c r="H94" s="177" t="str">
        <f>IF($A$1="Peak","-",'Base Hours'!H94*BaseLoad!N93*'Base Hours'!$AA94)</f>
        <v>-</v>
      </c>
      <c r="I94" s="177" t="str">
        <f>IF($A$1="Peak","-",'Base Hours'!I94*BaseLoad!O93*'Base Hours'!$AA94)</f>
        <v>-</v>
      </c>
      <c r="J94" s="177" t="str">
        <f>IF($A$1="Peak","-",'Base Hours'!J94*BaseLoad!P93*'Base Hours'!$AA94)</f>
        <v>-</v>
      </c>
      <c r="K94" s="177" t="str">
        <f>IF($A$1="Peak","-",'Base Hours'!K94*BaseLoad!Q93*'Base Hours'!$AA94)</f>
        <v>-</v>
      </c>
      <c r="L94" s="177" t="str">
        <f>IF($A$1="Peak","-",'Base Hours'!L94*BaseLoad!R93*'Base Hours'!$AA94)</f>
        <v>-</v>
      </c>
      <c r="M94" s="177" t="str">
        <f>IF($A$1="Peak","-",'Base Hours'!M94*BaseLoad!S93*'Base Hours'!$AA94)</f>
        <v>-</v>
      </c>
      <c r="N94" s="177" t="str">
        <f>IF($A$1="Peak","-",'Base Hours'!N94*BaseLoad!T93*'Base Hours'!$AA94)</f>
        <v>-</v>
      </c>
      <c r="O94" s="177" t="str">
        <f>IF($A$1="Peak","-",'Base Hours'!O94*BaseLoad!U93*'Base Hours'!$AA94)</f>
        <v>-</v>
      </c>
      <c r="P94" s="177" t="str">
        <f>IF($A$1="Peak","-",'Base Hours'!P94*BaseLoad!V93*'Base Hours'!$AA94)</f>
        <v>-</v>
      </c>
      <c r="Q94" s="177" t="str">
        <f>IF($A$1="Peak","-",'Base Hours'!Q94*BaseLoad!W93*'Base Hours'!$AA94)</f>
        <v>-</v>
      </c>
      <c r="R94" s="177" t="str">
        <f>IF($A$1="Peak","-",'Base Hours'!R94*BaseLoad!X93*'Base Hours'!$AA94)</f>
        <v>-</v>
      </c>
      <c r="S94" s="177" t="str">
        <f>IF($A$1="Peak","-",'Base Hours'!S94*BaseLoad!Y93*'Base Hours'!$AA94)</f>
        <v>-</v>
      </c>
      <c r="T94" s="177" t="str">
        <f>IF($A$1="Peak","-",'Base Hours'!T94*BaseLoad!Z93*'Base Hours'!$AA94)</f>
        <v>-</v>
      </c>
      <c r="U94" s="177" t="str">
        <f>IF($A$1="Peak","-",'Base Hours'!U94*BaseLoad!AA93*'Base Hours'!$AA94)</f>
        <v>-</v>
      </c>
      <c r="V94" s="177">
        <f t="shared" si="4"/>
        <v>0</v>
      </c>
      <c r="W94" s="177"/>
      <c r="X94" s="177"/>
      <c r="Y94" s="206"/>
      <c r="Z94" s="206">
        <f>(BaseLoad!C93*'Base Hours'!V94*'Base Hours'!$AA94)*-1</f>
        <v>0</v>
      </c>
      <c r="AA94" s="206"/>
      <c r="AB94" s="206">
        <f>(BaseLoad!D93*'Base Hours'!V94*'Base Hours'!$AA94)*-1</f>
        <v>0</v>
      </c>
      <c r="AC94" s="206"/>
      <c r="AD94" s="206">
        <f>(BaseLoad!E93*'Base Hours'!V94*'Base Hours'!$AA94)*-1</f>
        <v>0</v>
      </c>
      <c r="AE94" s="206"/>
      <c r="AF94" s="206">
        <f>(BaseLoad!F93*'Base Hours'!V94*'Base Hours'!$AA94)*-1</f>
        <v>0</v>
      </c>
      <c r="AG94" s="206"/>
    </row>
    <row r="95" spans="1:33" x14ac:dyDescent="0.2">
      <c r="A95" s="1">
        <f t="shared" si="3"/>
        <v>39125.445000000109</v>
      </c>
      <c r="B95" s="177" t="str">
        <f>IF($A$1="Peak","-",'Base Hours'!B95*BaseLoad!H94*'Base Hours'!$AA95)</f>
        <v>-</v>
      </c>
      <c r="C95" s="177" t="str">
        <f>IF($A$1="Peak","-",'Base Hours'!C95*BaseLoad!I94*'Base Hours'!$AA95)</f>
        <v>-</v>
      </c>
      <c r="D95" s="177" t="str">
        <f>IF($A$1="Peak","-",'Base Hours'!D95*BaseLoad!J94*'Base Hours'!$AA95)</f>
        <v>-</v>
      </c>
      <c r="E95" s="177" t="str">
        <f>IF($A$1="Peak","-",'Base Hours'!E95*BaseLoad!K94*'Base Hours'!$AA95)</f>
        <v>-</v>
      </c>
      <c r="F95" s="177" t="str">
        <f>IF($A$1="Peak","-",'Base Hours'!F95*BaseLoad!L94*'Base Hours'!$AA95)</f>
        <v>-</v>
      </c>
      <c r="G95" s="177" t="str">
        <f>IF($A$1="Peak","-",'Base Hours'!G95*BaseLoad!M94*'Base Hours'!$AA95)</f>
        <v>-</v>
      </c>
      <c r="H95" s="177" t="str">
        <f>IF($A$1="Peak","-",'Base Hours'!H95*BaseLoad!N94*'Base Hours'!$AA95)</f>
        <v>-</v>
      </c>
      <c r="I95" s="177" t="str">
        <f>IF($A$1="Peak","-",'Base Hours'!I95*BaseLoad!O94*'Base Hours'!$AA95)</f>
        <v>-</v>
      </c>
      <c r="J95" s="177" t="str">
        <f>IF($A$1="Peak","-",'Base Hours'!J95*BaseLoad!P94*'Base Hours'!$AA95)</f>
        <v>-</v>
      </c>
      <c r="K95" s="177" t="str">
        <f>IF($A$1="Peak","-",'Base Hours'!K95*BaseLoad!Q94*'Base Hours'!$AA95)</f>
        <v>-</v>
      </c>
      <c r="L95" s="177" t="str">
        <f>IF($A$1="Peak","-",'Base Hours'!L95*BaseLoad!R94*'Base Hours'!$AA95)</f>
        <v>-</v>
      </c>
      <c r="M95" s="177" t="str">
        <f>IF($A$1="Peak","-",'Base Hours'!M95*BaseLoad!S94*'Base Hours'!$AA95)</f>
        <v>-</v>
      </c>
      <c r="N95" s="177" t="str">
        <f>IF($A$1="Peak","-",'Base Hours'!N95*BaseLoad!T94*'Base Hours'!$AA95)</f>
        <v>-</v>
      </c>
      <c r="O95" s="177" t="str">
        <f>IF($A$1="Peak","-",'Base Hours'!O95*BaseLoad!U94*'Base Hours'!$AA95)</f>
        <v>-</v>
      </c>
      <c r="P95" s="177" t="str">
        <f>IF($A$1="Peak","-",'Base Hours'!P95*BaseLoad!V94*'Base Hours'!$AA95)</f>
        <v>-</v>
      </c>
      <c r="Q95" s="177" t="str">
        <f>IF($A$1="Peak","-",'Base Hours'!Q95*BaseLoad!W94*'Base Hours'!$AA95)</f>
        <v>-</v>
      </c>
      <c r="R95" s="177" t="str">
        <f>IF($A$1="Peak","-",'Base Hours'!R95*BaseLoad!X94*'Base Hours'!$AA95)</f>
        <v>-</v>
      </c>
      <c r="S95" s="177" t="str">
        <f>IF($A$1="Peak","-",'Base Hours'!S95*BaseLoad!Y94*'Base Hours'!$AA95)</f>
        <v>-</v>
      </c>
      <c r="T95" s="177" t="str">
        <f>IF($A$1="Peak","-",'Base Hours'!T95*BaseLoad!Z94*'Base Hours'!$AA95)</f>
        <v>-</v>
      </c>
      <c r="U95" s="177" t="str">
        <f>IF($A$1="Peak","-",'Base Hours'!U95*BaseLoad!AA94*'Base Hours'!$AA95)</f>
        <v>-</v>
      </c>
      <c r="V95" s="177">
        <f t="shared" si="4"/>
        <v>0</v>
      </c>
      <c r="W95" s="177"/>
      <c r="X95" s="177"/>
      <c r="Y95" s="206"/>
      <c r="Z95" s="206">
        <f>(BaseLoad!C94*'Base Hours'!V95*'Base Hours'!$AA95)*-1</f>
        <v>0</v>
      </c>
      <c r="AA95" s="206"/>
      <c r="AB95" s="206">
        <f>(BaseLoad!D94*'Base Hours'!V95*'Base Hours'!$AA95)*-1</f>
        <v>0</v>
      </c>
      <c r="AC95" s="206"/>
      <c r="AD95" s="206">
        <f>(BaseLoad!E94*'Base Hours'!V95*'Base Hours'!$AA95)*-1</f>
        <v>0</v>
      </c>
      <c r="AE95" s="206"/>
      <c r="AF95" s="206">
        <f>(BaseLoad!F94*'Base Hours'!V95*'Base Hours'!$AA95)*-1</f>
        <v>0</v>
      </c>
      <c r="AG95" s="206"/>
    </row>
    <row r="96" spans="1:33" x14ac:dyDescent="0.2">
      <c r="A96" s="1">
        <f t="shared" si="3"/>
        <v>39155.86200000011</v>
      </c>
      <c r="B96" s="177" t="str">
        <f>IF($A$1="Peak","-",'Base Hours'!B96*BaseLoad!H95*'Base Hours'!$AA96)</f>
        <v>-</v>
      </c>
      <c r="C96" s="177" t="str">
        <f>IF($A$1="Peak","-",'Base Hours'!C96*BaseLoad!I95*'Base Hours'!$AA96)</f>
        <v>-</v>
      </c>
      <c r="D96" s="177" t="str">
        <f>IF($A$1="Peak","-",'Base Hours'!D96*BaseLoad!J95*'Base Hours'!$AA96)</f>
        <v>-</v>
      </c>
      <c r="E96" s="177" t="str">
        <f>IF($A$1="Peak","-",'Base Hours'!E96*BaseLoad!K95*'Base Hours'!$AA96)</f>
        <v>-</v>
      </c>
      <c r="F96" s="177" t="str">
        <f>IF($A$1="Peak","-",'Base Hours'!F96*BaseLoad!L95*'Base Hours'!$AA96)</f>
        <v>-</v>
      </c>
      <c r="G96" s="177" t="str">
        <f>IF($A$1="Peak","-",'Base Hours'!G96*BaseLoad!M95*'Base Hours'!$AA96)</f>
        <v>-</v>
      </c>
      <c r="H96" s="177" t="str">
        <f>IF($A$1="Peak","-",'Base Hours'!H96*BaseLoad!N95*'Base Hours'!$AA96)</f>
        <v>-</v>
      </c>
      <c r="I96" s="177" t="str">
        <f>IF($A$1="Peak","-",'Base Hours'!I96*BaseLoad!O95*'Base Hours'!$AA96)</f>
        <v>-</v>
      </c>
      <c r="J96" s="177" t="str">
        <f>IF($A$1="Peak","-",'Base Hours'!J96*BaseLoad!P95*'Base Hours'!$AA96)</f>
        <v>-</v>
      </c>
      <c r="K96" s="177" t="str">
        <f>IF($A$1="Peak","-",'Base Hours'!K96*BaseLoad!Q95*'Base Hours'!$AA96)</f>
        <v>-</v>
      </c>
      <c r="L96" s="177" t="str">
        <f>IF($A$1="Peak","-",'Base Hours'!L96*BaseLoad!R95*'Base Hours'!$AA96)</f>
        <v>-</v>
      </c>
      <c r="M96" s="177" t="str">
        <f>IF($A$1="Peak","-",'Base Hours'!M96*BaseLoad!S95*'Base Hours'!$AA96)</f>
        <v>-</v>
      </c>
      <c r="N96" s="177" t="str">
        <f>IF($A$1="Peak","-",'Base Hours'!N96*BaseLoad!T95*'Base Hours'!$AA96)</f>
        <v>-</v>
      </c>
      <c r="O96" s="177" t="str">
        <f>IF($A$1="Peak","-",'Base Hours'!O96*BaseLoad!U95*'Base Hours'!$AA96)</f>
        <v>-</v>
      </c>
      <c r="P96" s="177" t="str">
        <f>IF($A$1="Peak","-",'Base Hours'!P96*BaseLoad!V95*'Base Hours'!$AA96)</f>
        <v>-</v>
      </c>
      <c r="Q96" s="177" t="str">
        <f>IF($A$1="Peak","-",'Base Hours'!Q96*BaseLoad!W95*'Base Hours'!$AA96)</f>
        <v>-</v>
      </c>
      <c r="R96" s="177" t="str">
        <f>IF($A$1="Peak","-",'Base Hours'!R96*BaseLoad!X95*'Base Hours'!$AA96)</f>
        <v>-</v>
      </c>
      <c r="S96" s="177" t="str">
        <f>IF($A$1="Peak","-",'Base Hours'!S96*BaseLoad!Y95*'Base Hours'!$AA96)</f>
        <v>-</v>
      </c>
      <c r="T96" s="177" t="str">
        <f>IF($A$1="Peak","-",'Base Hours'!T96*BaseLoad!Z95*'Base Hours'!$AA96)</f>
        <v>-</v>
      </c>
      <c r="U96" s="177" t="str">
        <f>IF($A$1="Peak","-",'Base Hours'!U96*BaseLoad!AA95*'Base Hours'!$AA96)</f>
        <v>-</v>
      </c>
      <c r="V96" s="177">
        <f t="shared" si="4"/>
        <v>0</v>
      </c>
      <c r="W96" s="177"/>
      <c r="X96" s="177"/>
      <c r="Y96" s="206"/>
      <c r="Z96" s="206">
        <f>(BaseLoad!C95*'Base Hours'!V96*'Base Hours'!$AA96)*-1</f>
        <v>0</v>
      </c>
      <c r="AA96" s="206"/>
      <c r="AB96" s="206">
        <f>(BaseLoad!D95*'Base Hours'!V96*'Base Hours'!$AA96)*-1</f>
        <v>0</v>
      </c>
      <c r="AC96" s="206"/>
      <c r="AD96" s="206">
        <f>(BaseLoad!E95*'Base Hours'!V96*'Base Hours'!$AA96)*-1</f>
        <v>0</v>
      </c>
      <c r="AE96" s="206"/>
      <c r="AF96" s="206">
        <f>(BaseLoad!F95*'Base Hours'!V96*'Base Hours'!$AA96)*-1</f>
        <v>0</v>
      </c>
      <c r="AG96" s="206"/>
    </row>
    <row r="97" spans="1:33" x14ac:dyDescent="0.2">
      <c r="A97" s="1">
        <f t="shared" si="3"/>
        <v>39186.279000000111</v>
      </c>
      <c r="B97" s="177" t="str">
        <f>IF($A$1="Peak","-",'Base Hours'!B97*BaseLoad!H96*'Base Hours'!$AA97)</f>
        <v>-</v>
      </c>
      <c r="C97" s="177" t="str">
        <f>IF($A$1="Peak","-",'Base Hours'!C97*BaseLoad!I96*'Base Hours'!$AA97)</f>
        <v>-</v>
      </c>
      <c r="D97" s="177" t="str">
        <f>IF($A$1="Peak","-",'Base Hours'!D97*BaseLoad!J96*'Base Hours'!$AA97)</f>
        <v>-</v>
      </c>
      <c r="E97" s="177" t="str">
        <f>IF($A$1="Peak","-",'Base Hours'!E97*BaseLoad!K96*'Base Hours'!$AA97)</f>
        <v>-</v>
      </c>
      <c r="F97" s="177" t="str">
        <f>IF($A$1="Peak","-",'Base Hours'!F97*BaseLoad!L96*'Base Hours'!$AA97)</f>
        <v>-</v>
      </c>
      <c r="G97" s="177" t="str">
        <f>IF($A$1="Peak","-",'Base Hours'!G97*BaseLoad!M96*'Base Hours'!$AA97)</f>
        <v>-</v>
      </c>
      <c r="H97" s="177" t="str">
        <f>IF($A$1="Peak","-",'Base Hours'!H97*BaseLoad!N96*'Base Hours'!$AA97)</f>
        <v>-</v>
      </c>
      <c r="I97" s="177" t="str">
        <f>IF($A$1="Peak","-",'Base Hours'!I97*BaseLoad!O96*'Base Hours'!$AA97)</f>
        <v>-</v>
      </c>
      <c r="J97" s="177" t="str">
        <f>IF($A$1="Peak","-",'Base Hours'!J97*BaseLoad!P96*'Base Hours'!$AA97)</f>
        <v>-</v>
      </c>
      <c r="K97" s="177" t="str">
        <f>IF($A$1="Peak","-",'Base Hours'!K97*BaseLoad!Q96*'Base Hours'!$AA97)</f>
        <v>-</v>
      </c>
      <c r="L97" s="177" t="str">
        <f>IF($A$1="Peak","-",'Base Hours'!L97*BaseLoad!R96*'Base Hours'!$AA97)</f>
        <v>-</v>
      </c>
      <c r="M97" s="177" t="str">
        <f>IF($A$1="Peak","-",'Base Hours'!M97*BaseLoad!S96*'Base Hours'!$AA97)</f>
        <v>-</v>
      </c>
      <c r="N97" s="177" t="str">
        <f>IF($A$1="Peak","-",'Base Hours'!N97*BaseLoad!T96*'Base Hours'!$AA97)</f>
        <v>-</v>
      </c>
      <c r="O97" s="177" t="str">
        <f>IF($A$1="Peak","-",'Base Hours'!O97*BaseLoad!U96*'Base Hours'!$AA97)</f>
        <v>-</v>
      </c>
      <c r="P97" s="177" t="str">
        <f>IF($A$1="Peak","-",'Base Hours'!P97*BaseLoad!V96*'Base Hours'!$AA97)</f>
        <v>-</v>
      </c>
      <c r="Q97" s="177" t="str">
        <f>IF($A$1="Peak","-",'Base Hours'!Q97*BaseLoad!W96*'Base Hours'!$AA97)</f>
        <v>-</v>
      </c>
      <c r="R97" s="177" t="str">
        <f>IF($A$1="Peak","-",'Base Hours'!R97*BaseLoad!X96*'Base Hours'!$AA97)</f>
        <v>-</v>
      </c>
      <c r="S97" s="177" t="str">
        <f>IF($A$1="Peak","-",'Base Hours'!S97*BaseLoad!Y96*'Base Hours'!$AA97)</f>
        <v>-</v>
      </c>
      <c r="T97" s="177" t="str">
        <f>IF($A$1="Peak","-",'Base Hours'!T97*BaseLoad!Z96*'Base Hours'!$AA97)</f>
        <v>-</v>
      </c>
      <c r="U97" s="177" t="str">
        <f>IF($A$1="Peak","-",'Base Hours'!U97*BaseLoad!AA96*'Base Hours'!$AA97)</f>
        <v>-</v>
      </c>
      <c r="V97" s="177">
        <f t="shared" si="4"/>
        <v>0</v>
      </c>
      <c r="W97" s="177"/>
      <c r="X97" s="177"/>
      <c r="Y97" s="206"/>
      <c r="Z97" s="206">
        <f>(BaseLoad!C96*'Base Hours'!V97*'Base Hours'!$AA97)*-1</f>
        <v>0</v>
      </c>
      <c r="AA97" s="206"/>
      <c r="AB97" s="206">
        <f>(BaseLoad!D96*'Base Hours'!V97*'Base Hours'!$AA97)*-1</f>
        <v>0</v>
      </c>
      <c r="AC97" s="206"/>
      <c r="AD97" s="206">
        <f>(BaseLoad!E96*'Base Hours'!V97*'Base Hours'!$AA97)*-1</f>
        <v>0</v>
      </c>
      <c r="AE97" s="206"/>
      <c r="AF97" s="206">
        <f>(BaseLoad!F96*'Base Hours'!V97*'Base Hours'!$AA97)*-1</f>
        <v>0</v>
      </c>
      <c r="AG97" s="206"/>
    </row>
    <row r="98" spans="1:33" x14ac:dyDescent="0.2">
      <c r="A98" s="1">
        <f t="shared" si="3"/>
        <v>39216.696000000113</v>
      </c>
      <c r="B98" s="177" t="str">
        <f>IF($A$1="Peak","-",'Base Hours'!B98*BaseLoad!H97*'Base Hours'!$AA98)</f>
        <v>-</v>
      </c>
      <c r="C98" s="177" t="str">
        <f>IF($A$1="Peak","-",'Base Hours'!C98*BaseLoad!I97*'Base Hours'!$AA98)</f>
        <v>-</v>
      </c>
      <c r="D98" s="177" t="str">
        <f>IF($A$1="Peak","-",'Base Hours'!D98*BaseLoad!J97*'Base Hours'!$AA98)</f>
        <v>-</v>
      </c>
      <c r="E98" s="177" t="str">
        <f>IF($A$1="Peak","-",'Base Hours'!E98*BaseLoad!K97*'Base Hours'!$AA98)</f>
        <v>-</v>
      </c>
      <c r="F98" s="177" t="str">
        <f>IF($A$1="Peak","-",'Base Hours'!F98*BaseLoad!L97*'Base Hours'!$AA98)</f>
        <v>-</v>
      </c>
      <c r="G98" s="177" t="str">
        <f>IF($A$1="Peak","-",'Base Hours'!G98*BaseLoad!M97*'Base Hours'!$AA98)</f>
        <v>-</v>
      </c>
      <c r="H98" s="177" t="str">
        <f>IF($A$1="Peak","-",'Base Hours'!H98*BaseLoad!N97*'Base Hours'!$AA98)</f>
        <v>-</v>
      </c>
      <c r="I98" s="177" t="str">
        <f>IF($A$1="Peak","-",'Base Hours'!I98*BaseLoad!O97*'Base Hours'!$AA98)</f>
        <v>-</v>
      </c>
      <c r="J98" s="177" t="str">
        <f>IF($A$1="Peak","-",'Base Hours'!J98*BaseLoad!P97*'Base Hours'!$AA98)</f>
        <v>-</v>
      </c>
      <c r="K98" s="177" t="str">
        <f>IF($A$1="Peak","-",'Base Hours'!K98*BaseLoad!Q97*'Base Hours'!$AA98)</f>
        <v>-</v>
      </c>
      <c r="L98" s="177" t="str">
        <f>IF($A$1="Peak","-",'Base Hours'!L98*BaseLoad!R97*'Base Hours'!$AA98)</f>
        <v>-</v>
      </c>
      <c r="M98" s="177" t="str">
        <f>IF($A$1="Peak","-",'Base Hours'!M98*BaseLoad!S97*'Base Hours'!$AA98)</f>
        <v>-</v>
      </c>
      <c r="N98" s="177" t="str">
        <f>IF($A$1="Peak","-",'Base Hours'!N98*BaseLoad!T97*'Base Hours'!$AA98)</f>
        <v>-</v>
      </c>
      <c r="O98" s="177" t="str">
        <f>IF($A$1="Peak","-",'Base Hours'!O98*BaseLoad!U97*'Base Hours'!$AA98)</f>
        <v>-</v>
      </c>
      <c r="P98" s="177" t="str">
        <f>IF($A$1="Peak","-",'Base Hours'!P98*BaseLoad!V97*'Base Hours'!$AA98)</f>
        <v>-</v>
      </c>
      <c r="Q98" s="177" t="str">
        <f>IF($A$1="Peak","-",'Base Hours'!Q98*BaseLoad!W97*'Base Hours'!$AA98)</f>
        <v>-</v>
      </c>
      <c r="R98" s="177" t="str">
        <f>IF($A$1="Peak","-",'Base Hours'!R98*BaseLoad!X97*'Base Hours'!$AA98)</f>
        <v>-</v>
      </c>
      <c r="S98" s="177" t="str">
        <f>IF($A$1="Peak","-",'Base Hours'!S98*BaseLoad!Y97*'Base Hours'!$AA98)</f>
        <v>-</v>
      </c>
      <c r="T98" s="177" t="str">
        <f>IF($A$1="Peak","-",'Base Hours'!T98*BaseLoad!Z97*'Base Hours'!$AA98)</f>
        <v>-</v>
      </c>
      <c r="U98" s="177" t="str">
        <f>IF($A$1="Peak","-",'Base Hours'!U98*BaseLoad!AA97*'Base Hours'!$AA98)</f>
        <v>-</v>
      </c>
      <c r="V98" s="177">
        <f t="shared" si="4"/>
        <v>0</v>
      </c>
      <c r="W98" s="177"/>
      <c r="X98" s="177"/>
      <c r="Y98" s="206"/>
      <c r="Z98" s="206">
        <f>(BaseLoad!C97*'Base Hours'!V98*'Base Hours'!$AA98)*-1</f>
        <v>0</v>
      </c>
      <c r="AA98" s="206"/>
      <c r="AB98" s="206">
        <f>(BaseLoad!D97*'Base Hours'!V98*'Base Hours'!$AA98)*-1</f>
        <v>0</v>
      </c>
      <c r="AC98" s="206"/>
      <c r="AD98" s="206">
        <f>(BaseLoad!E97*'Base Hours'!V98*'Base Hours'!$AA98)*-1</f>
        <v>0</v>
      </c>
      <c r="AE98" s="206"/>
      <c r="AF98" s="206">
        <f>(BaseLoad!F97*'Base Hours'!V98*'Base Hours'!$AA98)*-1</f>
        <v>0</v>
      </c>
      <c r="AG98" s="206"/>
    </row>
    <row r="99" spans="1:33" x14ac:dyDescent="0.2">
      <c r="A99" s="1">
        <f t="shared" si="3"/>
        <v>39247.113000000114</v>
      </c>
      <c r="B99" s="177" t="str">
        <f>IF($A$1="Peak","-",'Base Hours'!B99*BaseLoad!H98*'Base Hours'!$AA99)</f>
        <v>-</v>
      </c>
      <c r="C99" s="177" t="str">
        <f>IF($A$1="Peak","-",'Base Hours'!C99*BaseLoad!I98*'Base Hours'!$AA99)</f>
        <v>-</v>
      </c>
      <c r="D99" s="177" t="str">
        <f>IF($A$1="Peak","-",'Base Hours'!D99*BaseLoad!J98*'Base Hours'!$AA99)</f>
        <v>-</v>
      </c>
      <c r="E99" s="177" t="str">
        <f>IF($A$1="Peak","-",'Base Hours'!E99*BaseLoad!K98*'Base Hours'!$AA99)</f>
        <v>-</v>
      </c>
      <c r="F99" s="177" t="str">
        <f>IF($A$1="Peak","-",'Base Hours'!F99*BaseLoad!L98*'Base Hours'!$AA99)</f>
        <v>-</v>
      </c>
      <c r="G99" s="177" t="str">
        <f>IF($A$1="Peak","-",'Base Hours'!G99*BaseLoad!M98*'Base Hours'!$AA99)</f>
        <v>-</v>
      </c>
      <c r="H99" s="177" t="str">
        <f>IF($A$1="Peak","-",'Base Hours'!H99*BaseLoad!N98*'Base Hours'!$AA99)</f>
        <v>-</v>
      </c>
      <c r="I99" s="177" t="str">
        <f>IF($A$1="Peak","-",'Base Hours'!I99*BaseLoad!O98*'Base Hours'!$AA99)</f>
        <v>-</v>
      </c>
      <c r="J99" s="177" t="str">
        <f>IF($A$1="Peak","-",'Base Hours'!J99*BaseLoad!P98*'Base Hours'!$AA99)</f>
        <v>-</v>
      </c>
      <c r="K99" s="177" t="str">
        <f>IF($A$1="Peak","-",'Base Hours'!K99*BaseLoad!Q98*'Base Hours'!$AA99)</f>
        <v>-</v>
      </c>
      <c r="L99" s="177" t="str">
        <f>IF($A$1="Peak","-",'Base Hours'!L99*BaseLoad!R98*'Base Hours'!$AA99)</f>
        <v>-</v>
      </c>
      <c r="M99" s="177" t="str">
        <f>IF($A$1="Peak","-",'Base Hours'!M99*BaseLoad!S98*'Base Hours'!$AA99)</f>
        <v>-</v>
      </c>
      <c r="N99" s="177" t="str">
        <f>IF($A$1="Peak","-",'Base Hours'!N99*BaseLoad!T98*'Base Hours'!$AA99)</f>
        <v>-</v>
      </c>
      <c r="O99" s="177" t="str">
        <f>IF($A$1="Peak","-",'Base Hours'!O99*BaseLoad!U98*'Base Hours'!$AA99)</f>
        <v>-</v>
      </c>
      <c r="P99" s="177" t="str">
        <f>IF($A$1="Peak","-",'Base Hours'!P99*BaseLoad!V98*'Base Hours'!$AA99)</f>
        <v>-</v>
      </c>
      <c r="Q99" s="177" t="str">
        <f>IF($A$1="Peak","-",'Base Hours'!Q99*BaseLoad!W98*'Base Hours'!$AA99)</f>
        <v>-</v>
      </c>
      <c r="R99" s="177" t="str">
        <f>IF($A$1="Peak","-",'Base Hours'!R99*BaseLoad!X98*'Base Hours'!$AA99)</f>
        <v>-</v>
      </c>
      <c r="S99" s="177" t="str">
        <f>IF($A$1="Peak","-",'Base Hours'!S99*BaseLoad!Y98*'Base Hours'!$AA99)</f>
        <v>-</v>
      </c>
      <c r="T99" s="177" t="str">
        <f>IF($A$1="Peak","-",'Base Hours'!T99*BaseLoad!Z98*'Base Hours'!$AA99)</f>
        <v>-</v>
      </c>
      <c r="U99" s="177" t="str">
        <f>IF($A$1="Peak","-",'Base Hours'!U99*BaseLoad!AA98*'Base Hours'!$AA99)</f>
        <v>-</v>
      </c>
      <c r="V99" s="177">
        <f t="shared" si="4"/>
        <v>0</v>
      </c>
      <c r="W99" s="177"/>
      <c r="X99" s="177"/>
      <c r="Y99" s="206"/>
      <c r="Z99" s="206">
        <f>(BaseLoad!C98*'Base Hours'!V99*'Base Hours'!$AA99)*-1</f>
        <v>0</v>
      </c>
      <c r="AA99" s="206"/>
      <c r="AB99" s="206">
        <f>(BaseLoad!D98*'Base Hours'!V99*'Base Hours'!$AA99)*-1</f>
        <v>0</v>
      </c>
      <c r="AC99" s="206"/>
      <c r="AD99" s="206">
        <f>(BaseLoad!E98*'Base Hours'!V99*'Base Hours'!$AA99)*-1</f>
        <v>0</v>
      </c>
      <c r="AE99" s="206"/>
      <c r="AF99" s="206">
        <f>(BaseLoad!F98*'Base Hours'!V99*'Base Hours'!$AA99)*-1</f>
        <v>0</v>
      </c>
      <c r="AG99" s="206"/>
    </row>
    <row r="100" spans="1:33" x14ac:dyDescent="0.2">
      <c r="A100" s="1">
        <f t="shared" si="3"/>
        <v>39277.530000000115</v>
      </c>
      <c r="B100" s="177" t="str">
        <f>IF($A$1="Peak","-",'Base Hours'!B100*BaseLoad!H99*'Base Hours'!$AA100)</f>
        <v>-</v>
      </c>
      <c r="C100" s="177" t="str">
        <f>IF($A$1="Peak","-",'Base Hours'!C100*BaseLoad!I99*'Base Hours'!$AA100)</f>
        <v>-</v>
      </c>
      <c r="D100" s="177" t="str">
        <f>IF($A$1="Peak","-",'Base Hours'!D100*BaseLoad!J99*'Base Hours'!$AA100)</f>
        <v>-</v>
      </c>
      <c r="E100" s="177" t="str">
        <f>IF($A$1="Peak","-",'Base Hours'!E100*BaseLoad!K99*'Base Hours'!$AA100)</f>
        <v>-</v>
      </c>
      <c r="F100" s="177" t="str">
        <f>IF($A$1="Peak","-",'Base Hours'!F100*BaseLoad!L99*'Base Hours'!$AA100)</f>
        <v>-</v>
      </c>
      <c r="G100" s="177" t="str">
        <f>IF($A$1="Peak","-",'Base Hours'!G100*BaseLoad!M99*'Base Hours'!$AA100)</f>
        <v>-</v>
      </c>
      <c r="H100" s="177" t="str">
        <f>IF($A$1="Peak","-",'Base Hours'!H100*BaseLoad!N99*'Base Hours'!$AA100)</f>
        <v>-</v>
      </c>
      <c r="I100" s="177" t="str">
        <f>IF($A$1="Peak","-",'Base Hours'!I100*BaseLoad!O99*'Base Hours'!$AA100)</f>
        <v>-</v>
      </c>
      <c r="J100" s="177" t="str">
        <f>IF($A$1="Peak","-",'Base Hours'!J100*BaseLoad!P99*'Base Hours'!$AA100)</f>
        <v>-</v>
      </c>
      <c r="K100" s="177" t="str">
        <f>IF($A$1="Peak","-",'Base Hours'!K100*BaseLoad!Q99*'Base Hours'!$AA100)</f>
        <v>-</v>
      </c>
      <c r="L100" s="177" t="str">
        <f>IF($A$1="Peak","-",'Base Hours'!L100*BaseLoad!R99*'Base Hours'!$AA100)</f>
        <v>-</v>
      </c>
      <c r="M100" s="177" t="str">
        <f>IF($A$1="Peak","-",'Base Hours'!M100*BaseLoad!S99*'Base Hours'!$AA100)</f>
        <v>-</v>
      </c>
      <c r="N100" s="177" t="str">
        <f>IF($A$1="Peak","-",'Base Hours'!N100*BaseLoad!T99*'Base Hours'!$AA100)</f>
        <v>-</v>
      </c>
      <c r="O100" s="177" t="str">
        <f>IF($A$1="Peak","-",'Base Hours'!O100*BaseLoad!U99*'Base Hours'!$AA100)</f>
        <v>-</v>
      </c>
      <c r="P100" s="177" t="str">
        <f>IF($A$1="Peak","-",'Base Hours'!P100*BaseLoad!V99*'Base Hours'!$AA100)</f>
        <v>-</v>
      </c>
      <c r="Q100" s="177" t="str">
        <f>IF($A$1="Peak","-",'Base Hours'!Q100*BaseLoad!W99*'Base Hours'!$AA100)</f>
        <v>-</v>
      </c>
      <c r="R100" s="177" t="str">
        <f>IF($A$1="Peak","-",'Base Hours'!R100*BaseLoad!X99*'Base Hours'!$AA100)</f>
        <v>-</v>
      </c>
      <c r="S100" s="177" t="str">
        <f>IF($A$1="Peak","-",'Base Hours'!S100*BaseLoad!Y99*'Base Hours'!$AA100)</f>
        <v>-</v>
      </c>
      <c r="T100" s="177" t="str">
        <f>IF($A$1="Peak","-",'Base Hours'!T100*BaseLoad!Z99*'Base Hours'!$AA100)</f>
        <v>-</v>
      </c>
      <c r="U100" s="177" t="str">
        <f>IF($A$1="Peak","-",'Base Hours'!U100*BaseLoad!AA99*'Base Hours'!$AA100)</f>
        <v>-</v>
      </c>
      <c r="V100" s="177">
        <f t="shared" si="4"/>
        <v>0</v>
      </c>
      <c r="W100" s="177"/>
      <c r="X100" s="177"/>
      <c r="Y100" s="206"/>
      <c r="Z100" s="206">
        <f>(BaseLoad!C99*'Base Hours'!V100*'Base Hours'!$AA100)*-1</f>
        <v>0</v>
      </c>
      <c r="AA100" s="206"/>
      <c r="AB100" s="206">
        <f>(BaseLoad!D99*'Base Hours'!V100*'Base Hours'!$AA100)*-1</f>
        <v>0</v>
      </c>
      <c r="AC100" s="206"/>
      <c r="AD100" s="206">
        <f>(BaseLoad!E99*'Base Hours'!V100*'Base Hours'!$AA100)*-1</f>
        <v>0</v>
      </c>
      <c r="AE100" s="206"/>
      <c r="AF100" s="206">
        <f>(BaseLoad!F99*'Base Hours'!V100*'Base Hours'!$AA100)*-1</f>
        <v>0</v>
      </c>
      <c r="AG100" s="206"/>
    </row>
    <row r="101" spans="1:33" x14ac:dyDescent="0.2">
      <c r="A101" s="1">
        <f t="shared" si="3"/>
        <v>39307.947000000117</v>
      </c>
      <c r="B101" s="177" t="str">
        <f>IF($A$1="Peak","-",'Base Hours'!B101*BaseLoad!H100*'Base Hours'!$AA101)</f>
        <v>-</v>
      </c>
      <c r="C101" s="177" t="str">
        <f>IF($A$1="Peak","-",'Base Hours'!C101*BaseLoad!I100*'Base Hours'!$AA101)</f>
        <v>-</v>
      </c>
      <c r="D101" s="177" t="str">
        <f>IF($A$1="Peak","-",'Base Hours'!D101*BaseLoad!J100*'Base Hours'!$AA101)</f>
        <v>-</v>
      </c>
      <c r="E101" s="177" t="str">
        <f>IF($A$1="Peak","-",'Base Hours'!E101*BaseLoad!K100*'Base Hours'!$AA101)</f>
        <v>-</v>
      </c>
      <c r="F101" s="177" t="str">
        <f>IF($A$1="Peak","-",'Base Hours'!F101*BaseLoad!L100*'Base Hours'!$AA101)</f>
        <v>-</v>
      </c>
      <c r="G101" s="177" t="str">
        <f>IF($A$1="Peak","-",'Base Hours'!G101*BaseLoad!M100*'Base Hours'!$AA101)</f>
        <v>-</v>
      </c>
      <c r="H101" s="177" t="str">
        <f>IF($A$1="Peak","-",'Base Hours'!H101*BaseLoad!N100*'Base Hours'!$AA101)</f>
        <v>-</v>
      </c>
      <c r="I101" s="177" t="str">
        <f>IF($A$1="Peak","-",'Base Hours'!I101*BaseLoad!O100*'Base Hours'!$AA101)</f>
        <v>-</v>
      </c>
      <c r="J101" s="177" t="str">
        <f>IF($A$1="Peak","-",'Base Hours'!J101*BaseLoad!P100*'Base Hours'!$AA101)</f>
        <v>-</v>
      </c>
      <c r="K101" s="177" t="str">
        <f>IF($A$1="Peak","-",'Base Hours'!K101*BaseLoad!Q100*'Base Hours'!$AA101)</f>
        <v>-</v>
      </c>
      <c r="L101" s="177" t="str">
        <f>IF($A$1="Peak","-",'Base Hours'!L101*BaseLoad!R100*'Base Hours'!$AA101)</f>
        <v>-</v>
      </c>
      <c r="M101" s="177" t="str">
        <f>IF($A$1="Peak","-",'Base Hours'!M101*BaseLoad!S100*'Base Hours'!$AA101)</f>
        <v>-</v>
      </c>
      <c r="N101" s="177" t="str">
        <f>IF($A$1="Peak","-",'Base Hours'!N101*BaseLoad!T100*'Base Hours'!$AA101)</f>
        <v>-</v>
      </c>
      <c r="O101" s="177" t="str">
        <f>IF($A$1="Peak","-",'Base Hours'!O101*BaseLoad!U100*'Base Hours'!$AA101)</f>
        <v>-</v>
      </c>
      <c r="P101" s="177" t="str">
        <f>IF($A$1="Peak","-",'Base Hours'!P101*BaseLoad!V100*'Base Hours'!$AA101)</f>
        <v>-</v>
      </c>
      <c r="Q101" s="177" t="str">
        <f>IF($A$1="Peak","-",'Base Hours'!Q101*BaseLoad!W100*'Base Hours'!$AA101)</f>
        <v>-</v>
      </c>
      <c r="R101" s="177" t="str">
        <f>IF($A$1="Peak","-",'Base Hours'!R101*BaseLoad!X100*'Base Hours'!$AA101)</f>
        <v>-</v>
      </c>
      <c r="S101" s="177" t="str">
        <f>IF($A$1="Peak","-",'Base Hours'!S101*BaseLoad!Y100*'Base Hours'!$AA101)</f>
        <v>-</v>
      </c>
      <c r="T101" s="177" t="str">
        <f>IF($A$1="Peak","-",'Base Hours'!T101*BaseLoad!Z100*'Base Hours'!$AA101)</f>
        <v>-</v>
      </c>
      <c r="U101" s="177" t="str">
        <f>IF($A$1="Peak","-",'Base Hours'!U101*BaseLoad!AA100*'Base Hours'!$AA101)</f>
        <v>-</v>
      </c>
      <c r="V101" s="177">
        <f t="shared" si="4"/>
        <v>0</v>
      </c>
      <c r="W101" s="177"/>
      <c r="X101" s="177"/>
      <c r="Y101" s="206"/>
      <c r="Z101" s="206">
        <f>(BaseLoad!C100*'Base Hours'!V101*'Base Hours'!$AA101)*-1</f>
        <v>0</v>
      </c>
      <c r="AA101" s="206"/>
      <c r="AB101" s="206">
        <f>(BaseLoad!D100*'Base Hours'!V101*'Base Hours'!$AA101)*-1</f>
        <v>0</v>
      </c>
      <c r="AC101" s="206"/>
      <c r="AD101" s="206">
        <f>(BaseLoad!E100*'Base Hours'!V101*'Base Hours'!$AA101)*-1</f>
        <v>0</v>
      </c>
      <c r="AE101" s="206"/>
      <c r="AF101" s="206">
        <f>(BaseLoad!F100*'Base Hours'!V101*'Base Hours'!$AA101)*-1</f>
        <v>0</v>
      </c>
      <c r="AG101" s="206"/>
    </row>
    <row r="102" spans="1:33" x14ac:dyDescent="0.2">
      <c r="A102" s="1">
        <f t="shared" si="3"/>
        <v>39338.364000000118</v>
      </c>
      <c r="B102" s="177" t="str">
        <f>IF($A$1="Peak","-",'Base Hours'!B102*BaseLoad!H101*'Base Hours'!$AA102)</f>
        <v>-</v>
      </c>
      <c r="C102" s="177" t="str">
        <f>IF($A$1="Peak","-",'Base Hours'!C102*BaseLoad!I101*'Base Hours'!$AA102)</f>
        <v>-</v>
      </c>
      <c r="D102" s="177" t="str">
        <f>IF($A$1="Peak","-",'Base Hours'!D102*BaseLoad!J101*'Base Hours'!$AA102)</f>
        <v>-</v>
      </c>
      <c r="E102" s="177" t="str">
        <f>IF($A$1="Peak","-",'Base Hours'!E102*BaseLoad!K101*'Base Hours'!$AA102)</f>
        <v>-</v>
      </c>
      <c r="F102" s="177" t="str">
        <f>IF($A$1="Peak","-",'Base Hours'!F102*BaseLoad!L101*'Base Hours'!$AA102)</f>
        <v>-</v>
      </c>
      <c r="G102" s="177" t="str">
        <f>IF($A$1="Peak","-",'Base Hours'!G102*BaseLoad!M101*'Base Hours'!$AA102)</f>
        <v>-</v>
      </c>
      <c r="H102" s="177" t="str">
        <f>IF($A$1="Peak","-",'Base Hours'!H102*BaseLoad!N101*'Base Hours'!$AA102)</f>
        <v>-</v>
      </c>
      <c r="I102" s="177" t="str">
        <f>IF($A$1="Peak","-",'Base Hours'!I102*BaseLoad!O101*'Base Hours'!$AA102)</f>
        <v>-</v>
      </c>
      <c r="J102" s="177" t="str">
        <f>IF($A$1="Peak","-",'Base Hours'!J102*BaseLoad!P101*'Base Hours'!$AA102)</f>
        <v>-</v>
      </c>
      <c r="K102" s="177" t="str">
        <f>IF($A$1="Peak","-",'Base Hours'!K102*BaseLoad!Q101*'Base Hours'!$AA102)</f>
        <v>-</v>
      </c>
      <c r="L102" s="177" t="str">
        <f>IF($A$1="Peak","-",'Base Hours'!L102*BaseLoad!R101*'Base Hours'!$AA102)</f>
        <v>-</v>
      </c>
      <c r="M102" s="177" t="str">
        <f>IF($A$1="Peak","-",'Base Hours'!M102*BaseLoad!S101*'Base Hours'!$AA102)</f>
        <v>-</v>
      </c>
      <c r="N102" s="177" t="str">
        <f>IF($A$1="Peak","-",'Base Hours'!N102*BaseLoad!T101*'Base Hours'!$AA102)</f>
        <v>-</v>
      </c>
      <c r="O102" s="177" t="str">
        <f>IF($A$1="Peak","-",'Base Hours'!O102*BaseLoad!U101*'Base Hours'!$AA102)</f>
        <v>-</v>
      </c>
      <c r="P102" s="177" t="str">
        <f>IF($A$1="Peak","-",'Base Hours'!P102*BaseLoad!V101*'Base Hours'!$AA102)</f>
        <v>-</v>
      </c>
      <c r="Q102" s="177" t="str">
        <f>IF($A$1="Peak","-",'Base Hours'!Q102*BaseLoad!W101*'Base Hours'!$AA102)</f>
        <v>-</v>
      </c>
      <c r="R102" s="177" t="str">
        <f>IF($A$1="Peak","-",'Base Hours'!R102*BaseLoad!X101*'Base Hours'!$AA102)</f>
        <v>-</v>
      </c>
      <c r="S102" s="177" t="str">
        <f>IF($A$1="Peak","-",'Base Hours'!S102*BaseLoad!Y101*'Base Hours'!$AA102)</f>
        <v>-</v>
      </c>
      <c r="T102" s="177" t="str">
        <f>IF($A$1="Peak","-",'Base Hours'!T102*BaseLoad!Z101*'Base Hours'!$AA102)</f>
        <v>-</v>
      </c>
      <c r="U102" s="177" t="str">
        <f>IF($A$1="Peak","-",'Base Hours'!U102*BaseLoad!AA101*'Base Hours'!$AA102)</f>
        <v>-</v>
      </c>
      <c r="V102" s="177">
        <f t="shared" si="4"/>
        <v>0</v>
      </c>
      <c r="W102" s="177"/>
      <c r="X102" s="177"/>
      <c r="Y102" s="206"/>
      <c r="Z102" s="206">
        <f>(BaseLoad!C101*'Base Hours'!V102*'Base Hours'!$AA102)*-1</f>
        <v>0</v>
      </c>
      <c r="AA102" s="206"/>
      <c r="AB102" s="206">
        <f>(BaseLoad!D101*'Base Hours'!V102*'Base Hours'!$AA102)*-1</f>
        <v>0</v>
      </c>
      <c r="AC102" s="206"/>
      <c r="AD102" s="206">
        <f>(BaseLoad!E101*'Base Hours'!V102*'Base Hours'!$AA102)*-1</f>
        <v>0</v>
      </c>
      <c r="AE102" s="206"/>
      <c r="AF102" s="206">
        <f>(BaseLoad!F101*'Base Hours'!V102*'Base Hours'!$AA102)*-1</f>
        <v>0</v>
      </c>
      <c r="AG102" s="206"/>
    </row>
    <row r="103" spans="1:33" x14ac:dyDescent="0.2">
      <c r="A103" s="1">
        <f t="shared" si="3"/>
        <v>39368.781000000119</v>
      </c>
      <c r="B103" s="177" t="str">
        <f>IF($A$1="Peak","-",'Base Hours'!B103*BaseLoad!H102*'Base Hours'!$AA103)</f>
        <v>-</v>
      </c>
      <c r="C103" s="177" t="str">
        <f>IF($A$1="Peak","-",'Base Hours'!C103*BaseLoad!I102*'Base Hours'!$AA103)</f>
        <v>-</v>
      </c>
      <c r="D103" s="177" t="str">
        <f>IF($A$1="Peak","-",'Base Hours'!D103*BaseLoad!J102*'Base Hours'!$AA103)</f>
        <v>-</v>
      </c>
      <c r="E103" s="177" t="str">
        <f>IF($A$1="Peak","-",'Base Hours'!E103*BaseLoad!K102*'Base Hours'!$AA103)</f>
        <v>-</v>
      </c>
      <c r="F103" s="177" t="str">
        <f>IF($A$1="Peak","-",'Base Hours'!F103*BaseLoad!L102*'Base Hours'!$AA103)</f>
        <v>-</v>
      </c>
      <c r="G103" s="177" t="str">
        <f>IF($A$1="Peak","-",'Base Hours'!G103*BaseLoad!M102*'Base Hours'!$AA103)</f>
        <v>-</v>
      </c>
      <c r="H103" s="177" t="str">
        <f>IF($A$1="Peak","-",'Base Hours'!H103*BaseLoad!N102*'Base Hours'!$AA103)</f>
        <v>-</v>
      </c>
      <c r="I103" s="177" t="str">
        <f>IF($A$1="Peak","-",'Base Hours'!I103*BaseLoad!O102*'Base Hours'!$AA103)</f>
        <v>-</v>
      </c>
      <c r="J103" s="177" t="str">
        <f>IF($A$1="Peak","-",'Base Hours'!J103*BaseLoad!P102*'Base Hours'!$AA103)</f>
        <v>-</v>
      </c>
      <c r="K103" s="177" t="str">
        <f>IF($A$1="Peak","-",'Base Hours'!K103*BaseLoad!Q102*'Base Hours'!$AA103)</f>
        <v>-</v>
      </c>
      <c r="L103" s="177" t="str">
        <f>IF($A$1="Peak","-",'Base Hours'!L103*BaseLoad!R102*'Base Hours'!$AA103)</f>
        <v>-</v>
      </c>
      <c r="M103" s="177" t="str">
        <f>IF($A$1="Peak","-",'Base Hours'!M103*BaseLoad!S102*'Base Hours'!$AA103)</f>
        <v>-</v>
      </c>
      <c r="N103" s="177" t="str">
        <f>IF($A$1="Peak","-",'Base Hours'!N103*BaseLoad!T102*'Base Hours'!$AA103)</f>
        <v>-</v>
      </c>
      <c r="O103" s="177" t="str">
        <f>IF($A$1="Peak","-",'Base Hours'!O103*BaseLoad!U102*'Base Hours'!$AA103)</f>
        <v>-</v>
      </c>
      <c r="P103" s="177" t="str">
        <f>IF($A$1="Peak","-",'Base Hours'!P103*BaseLoad!V102*'Base Hours'!$AA103)</f>
        <v>-</v>
      </c>
      <c r="Q103" s="177" t="str">
        <f>IF($A$1="Peak","-",'Base Hours'!Q103*BaseLoad!W102*'Base Hours'!$AA103)</f>
        <v>-</v>
      </c>
      <c r="R103" s="177" t="str">
        <f>IF($A$1="Peak","-",'Base Hours'!R103*BaseLoad!X102*'Base Hours'!$AA103)</f>
        <v>-</v>
      </c>
      <c r="S103" s="177" t="str">
        <f>IF($A$1="Peak","-",'Base Hours'!S103*BaseLoad!Y102*'Base Hours'!$AA103)</f>
        <v>-</v>
      </c>
      <c r="T103" s="177" t="str">
        <f>IF($A$1="Peak","-",'Base Hours'!T103*BaseLoad!Z102*'Base Hours'!$AA103)</f>
        <v>-</v>
      </c>
      <c r="U103" s="177" t="str">
        <f>IF($A$1="Peak","-",'Base Hours'!U103*BaseLoad!AA102*'Base Hours'!$AA103)</f>
        <v>-</v>
      </c>
      <c r="V103" s="177">
        <f t="shared" si="4"/>
        <v>0</v>
      </c>
      <c r="W103" s="177"/>
      <c r="X103" s="177"/>
      <c r="Y103" s="206"/>
      <c r="Z103" s="206">
        <f>(BaseLoad!C102*'Base Hours'!V103*'Base Hours'!$AA103)*-1</f>
        <v>0</v>
      </c>
      <c r="AA103" s="206"/>
      <c r="AB103" s="206">
        <f>(BaseLoad!D102*'Base Hours'!V103*'Base Hours'!$AA103)*-1</f>
        <v>0</v>
      </c>
      <c r="AC103" s="206"/>
      <c r="AD103" s="206">
        <f>(BaseLoad!E102*'Base Hours'!V103*'Base Hours'!$AA103)*-1</f>
        <v>0</v>
      </c>
      <c r="AE103" s="206"/>
      <c r="AF103" s="206">
        <f>(BaseLoad!F102*'Base Hours'!V103*'Base Hours'!$AA103)*-1</f>
        <v>0</v>
      </c>
      <c r="AG103" s="206"/>
    </row>
    <row r="104" spans="1:33" x14ac:dyDescent="0.2">
      <c r="A104" s="1">
        <f t="shared" si="3"/>
        <v>39399.19800000012</v>
      </c>
      <c r="B104" s="177" t="str">
        <f>IF($A$1="Peak","-",'Base Hours'!B104*BaseLoad!H103*'Base Hours'!$AA104)</f>
        <v>-</v>
      </c>
      <c r="C104" s="177" t="str">
        <f>IF($A$1="Peak","-",'Base Hours'!C104*BaseLoad!I103*'Base Hours'!$AA104)</f>
        <v>-</v>
      </c>
      <c r="D104" s="177" t="str">
        <f>IF($A$1="Peak","-",'Base Hours'!D104*BaseLoad!J103*'Base Hours'!$AA104)</f>
        <v>-</v>
      </c>
      <c r="E104" s="177" t="str">
        <f>IF($A$1="Peak","-",'Base Hours'!E104*BaseLoad!K103*'Base Hours'!$AA104)</f>
        <v>-</v>
      </c>
      <c r="F104" s="177" t="str">
        <f>IF($A$1="Peak","-",'Base Hours'!F104*BaseLoad!L103*'Base Hours'!$AA104)</f>
        <v>-</v>
      </c>
      <c r="G104" s="177" t="str">
        <f>IF($A$1="Peak","-",'Base Hours'!G104*BaseLoad!M103*'Base Hours'!$AA104)</f>
        <v>-</v>
      </c>
      <c r="H104" s="177" t="str">
        <f>IF($A$1="Peak","-",'Base Hours'!H104*BaseLoad!N103*'Base Hours'!$AA104)</f>
        <v>-</v>
      </c>
      <c r="I104" s="177" t="str">
        <f>IF($A$1="Peak","-",'Base Hours'!I104*BaseLoad!O103*'Base Hours'!$AA104)</f>
        <v>-</v>
      </c>
      <c r="J104" s="177" t="str">
        <f>IF($A$1="Peak","-",'Base Hours'!J104*BaseLoad!P103*'Base Hours'!$AA104)</f>
        <v>-</v>
      </c>
      <c r="K104" s="177" t="str">
        <f>IF($A$1="Peak","-",'Base Hours'!K104*BaseLoad!Q103*'Base Hours'!$AA104)</f>
        <v>-</v>
      </c>
      <c r="L104" s="177" t="str">
        <f>IF($A$1="Peak","-",'Base Hours'!L104*BaseLoad!R103*'Base Hours'!$AA104)</f>
        <v>-</v>
      </c>
      <c r="M104" s="177" t="str">
        <f>IF($A$1="Peak","-",'Base Hours'!M104*BaseLoad!S103*'Base Hours'!$AA104)</f>
        <v>-</v>
      </c>
      <c r="N104" s="177" t="str">
        <f>IF($A$1="Peak","-",'Base Hours'!N104*BaseLoad!T103*'Base Hours'!$AA104)</f>
        <v>-</v>
      </c>
      <c r="O104" s="177" t="str">
        <f>IF($A$1="Peak","-",'Base Hours'!O104*BaseLoad!U103*'Base Hours'!$AA104)</f>
        <v>-</v>
      </c>
      <c r="P104" s="177" t="str">
        <f>IF($A$1="Peak","-",'Base Hours'!P104*BaseLoad!V103*'Base Hours'!$AA104)</f>
        <v>-</v>
      </c>
      <c r="Q104" s="177" t="str">
        <f>IF($A$1="Peak","-",'Base Hours'!Q104*BaseLoad!W103*'Base Hours'!$AA104)</f>
        <v>-</v>
      </c>
      <c r="R104" s="177" t="str">
        <f>IF($A$1="Peak","-",'Base Hours'!R104*BaseLoad!X103*'Base Hours'!$AA104)</f>
        <v>-</v>
      </c>
      <c r="S104" s="177" t="str">
        <f>IF($A$1="Peak","-",'Base Hours'!S104*BaseLoad!Y103*'Base Hours'!$AA104)</f>
        <v>-</v>
      </c>
      <c r="T104" s="177" t="str">
        <f>IF($A$1="Peak","-",'Base Hours'!T104*BaseLoad!Z103*'Base Hours'!$AA104)</f>
        <v>-</v>
      </c>
      <c r="U104" s="177" t="str">
        <f>IF($A$1="Peak","-",'Base Hours'!U104*BaseLoad!AA103*'Base Hours'!$AA104)</f>
        <v>-</v>
      </c>
      <c r="V104" s="177">
        <f t="shared" si="4"/>
        <v>0</v>
      </c>
      <c r="W104" s="177"/>
      <c r="X104" s="177"/>
      <c r="Y104" s="206"/>
      <c r="Z104" s="206">
        <f>(BaseLoad!C103*'Base Hours'!V104*'Base Hours'!$AA104)*-1</f>
        <v>0</v>
      </c>
      <c r="AA104" s="206"/>
      <c r="AB104" s="206">
        <f>(BaseLoad!D103*'Base Hours'!V104*'Base Hours'!$AA104)*-1</f>
        <v>0</v>
      </c>
      <c r="AC104" s="206"/>
      <c r="AD104" s="206">
        <f>(BaseLoad!E103*'Base Hours'!V104*'Base Hours'!$AA104)*-1</f>
        <v>0</v>
      </c>
      <c r="AE104" s="206"/>
      <c r="AF104" s="206">
        <f>(BaseLoad!F103*'Base Hours'!V104*'Base Hours'!$AA104)*-1</f>
        <v>0</v>
      </c>
      <c r="AG104" s="206"/>
    </row>
    <row r="105" spans="1:33" x14ac:dyDescent="0.2">
      <c r="A105" s="1">
        <f t="shared" si="3"/>
        <v>39429.615000000122</v>
      </c>
      <c r="B105" s="177" t="str">
        <f>IF($A$1="Peak","-",'Base Hours'!B105*BaseLoad!H104*'Base Hours'!$AA105)</f>
        <v>-</v>
      </c>
      <c r="C105" s="177" t="str">
        <f>IF($A$1="Peak","-",'Base Hours'!C105*BaseLoad!I104*'Base Hours'!$AA105)</f>
        <v>-</v>
      </c>
      <c r="D105" s="177" t="str">
        <f>IF($A$1="Peak","-",'Base Hours'!D105*BaseLoad!J104*'Base Hours'!$AA105)</f>
        <v>-</v>
      </c>
      <c r="E105" s="177" t="str">
        <f>IF($A$1="Peak","-",'Base Hours'!E105*BaseLoad!K104*'Base Hours'!$AA105)</f>
        <v>-</v>
      </c>
      <c r="F105" s="177" t="str">
        <f>IF($A$1="Peak","-",'Base Hours'!F105*BaseLoad!L104*'Base Hours'!$AA105)</f>
        <v>-</v>
      </c>
      <c r="G105" s="177" t="str">
        <f>IF($A$1="Peak","-",'Base Hours'!G105*BaseLoad!M104*'Base Hours'!$AA105)</f>
        <v>-</v>
      </c>
      <c r="H105" s="177" t="str">
        <f>IF($A$1="Peak","-",'Base Hours'!H105*BaseLoad!N104*'Base Hours'!$AA105)</f>
        <v>-</v>
      </c>
      <c r="I105" s="177" t="str">
        <f>IF($A$1="Peak","-",'Base Hours'!I105*BaseLoad!O104*'Base Hours'!$AA105)</f>
        <v>-</v>
      </c>
      <c r="J105" s="177" t="str">
        <f>IF($A$1="Peak","-",'Base Hours'!J105*BaseLoad!P104*'Base Hours'!$AA105)</f>
        <v>-</v>
      </c>
      <c r="K105" s="177" t="str">
        <f>IF($A$1="Peak","-",'Base Hours'!K105*BaseLoad!Q104*'Base Hours'!$AA105)</f>
        <v>-</v>
      </c>
      <c r="L105" s="177" t="str">
        <f>IF($A$1="Peak","-",'Base Hours'!L105*BaseLoad!R104*'Base Hours'!$AA105)</f>
        <v>-</v>
      </c>
      <c r="M105" s="177" t="str">
        <f>IF($A$1="Peak","-",'Base Hours'!M105*BaseLoad!S104*'Base Hours'!$AA105)</f>
        <v>-</v>
      </c>
      <c r="N105" s="177" t="str">
        <f>IF($A$1="Peak","-",'Base Hours'!N105*BaseLoad!T104*'Base Hours'!$AA105)</f>
        <v>-</v>
      </c>
      <c r="O105" s="177" t="str">
        <f>IF($A$1="Peak","-",'Base Hours'!O105*BaseLoad!U104*'Base Hours'!$AA105)</f>
        <v>-</v>
      </c>
      <c r="P105" s="177" t="str">
        <f>IF($A$1="Peak","-",'Base Hours'!P105*BaseLoad!V104*'Base Hours'!$AA105)</f>
        <v>-</v>
      </c>
      <c r="Q105" s="177" t="str">
        <f>IF($A$1="Peak","-",'Base Hours'!Q105*BaseLoad!W104*'Base Hours'!$AA105)</f>
        <v>-</v>
      </c>
      <c r="R105" s="177" t="str">
        <f>IF($A$1="Peak","-",'Base Hours'!R105*BaseLoad!X104*'Base Hours'!$AA105)</f>
        <v>-</v>
      </c>
      <c r="S105" s="177" t="str">
        <f>IF($A$1="Peak","-",'Base Hours'!S105*BaseLoad!Y104*'Base Hours'!$AA105)</f>
        <v>-</v>
      </c>
      <c r="T105" s="177" t="str">
        <f>IF($A$1="Peak","-",'Base Hours'!T105*BaseLoad!Z104*'Base Hours'!$AA105)</f>
        <v>-</v>
      </c>
      <c r="U105" s="177" t="str">
        <f>IF($A$1="Peak","-",'Base Hours'!U105*BaseLoad!AA104*'Base Hours'!$AA105)</f>
        <v>-</v>
      </c>
      <c r="V105" s="177">
        <f t="shared" si="4"/>
        <v>0</v>
      </c>
      <c r="W105" s="177"/>
      <c r="X105" s="177"/>
      <c r="Y105" s="206">
        <f>SUM(B94:U105)</f>
        <v>0</v>
      </c>
      <c r="Z105" s="206">
        <f>(BaseLoad!C104*'Base Hours'!V105*'Base Hours'!$AA105)*-1</f>
        <v>0</v>
      </c>
      <c r="AA105" s="206">
        <f>SUM(Z94:Z105)</f>
        <v>0</v>
      </c>
      <c r="AB105" s="206">
        <f>(BaseLoad!D104*'Base Hours'!V105*'Base Hours'!$AA105)*-1</f>
        <v>0</v>
      </c>
      <c r="AC105" s="206">
        <f>SUM(AB94:AB105)</f>
        <v>0</v>
      </c>
      <c r="AD105" s="206">
        <f>(BaseLoad!E104*'Base Hours'!V105*'Base Hours'!$AA105)*-1</f>
        <v>0</v>
      </c>
      <c r="AE105" s="206">
        <f>SUM(AD94:AD105)</f>
        <v>0</v>
      </c>
      <c r="AF105" s="206">
        <f>(BaseLoad!F104*'Base Hours'!V105*'Base Hours'!$AA105)*-1</f>
        <v>0</v>
      </c>
      <c r="AG105" s="206">
        <f>SUM(AF94:AF105)</f>
        <v>0</v>
      </c>
    </row>
    <row r="106" spans="1:33" x14ac:dyDescent="0.2">
      <c r="A106" s="1">
        <f t="shared" si="3"/>
        <v>39460.032000000123</v>
      </c>
      <c r="B106" s="177" t="str">
        <f>IF($A$1="Peak","-",'Base Hours'!B106*BaseLoad!H105*'Base Hours'!$AA106)</f>
        <v>-</v>
      </c>
      <c r="C106" s="177" t="str">
        <f>IF($A$1="Peak","-",'Base Hours'!C106*BaseLoad!I105*'Base Hours'!$AA106)</f>
        <v>-</v>
      </c>
      <c r="D106" s="177" t="str">
        <f>IF($A$1="Peak","-",'Base Hours'!D106*BaseLoad!J105*'Base Hours'!$AA106)</f>
        <v>-</v>
      </c>
      <c r="E106" s="177" t="str">
        <f>IF($A$1="Peak","-",'Base Hours'!E106*BaseLoad!K105*'Base Hours'!$AA106)</f>
        <v>-</v>
      </c>
      <c r="F106" s="177" t="str">
        <f>IF($A$1="Peak","-",'Base Hours'!F106*BaseLoad!L105*'Base Hours'!$AA106)</f>
        <v>-</v>
      </c>
      <c r="G106" s="177" t="str">
        <f>IF($A$1="Peak","-",'Base Hours'!G106*BaseLoad!M105*'Base Hours'!$AA106)</f>
        <v>-</v>
      </c>
      <c r="H106" s="177" t="str">
        <f>IF($A$1="Peak","-",'Base Hours'!H106*BaseLoad!N105*'Base Hours'!$AA106)</f>
        <v>-</v>
      </c>
      <c r="I106" s="177" t="str">
        <f>IF($A$1="Peak","-",'Base Hours'!I106*BaseLoad!O105*'Base Hours'!$AA106)</f>
        <v>-</v>
      </c>
      <c r="J106" s="177" t="str">
        <f>IF($A$1="Peak","-",'Base Hours'!J106*BaseLoad!P105*'Base Hours'!$AA106)</f>
        <v>-</v>
      </c>
      <c r="K106" s="177" t="str">
        <f>IF($A$1="Peak","-",'Base Hours'!K106*BaseLoad!Q105*'Base Hours'!$AA106)</f>
        <v>-</v>
      </c>
      <c r="L106" s="177" t="str">
        <f>IF($A$1="Peak","-",'Base Hours'!L106*BaseLoad!R105*'Base Hours'!$AA106)</f>
        <v>-</v>
      </c>
      <c r="M106" s="177" t="str">
        <f>IF($A$1="Peak","-",'Base Hours'!M106*BaseLoad!S105*'Base Hours'!$AA106)</f>
        <v>-</v>
      </c>
      <c r="N106" s="177" t="str">
        <f>IF($A$1="Peak","-",'Base Hours'!N106*BaseLoad!T105*'Base Hours'!$AA106)</f>
        <v>-</v>
      </c>
      <c r="O106" s="177" t="str">
        <f>IF($A$1="Peak","-",'Base Hours'!O106*BaseLoad!U105*'Base Hours'!$AA106)</f>
        <v>-</v>
      </c>
      <c r="P106" s="177" t="str">
        <f>IF($A$1="Peak","-",'Base Hours'!P106*BaseLoad!V105*'Base Hours'!$AA106)</f>
        <v>-</v>
      </c>
      <c r="Q106" s="177" t="str">
        <f>IF($A$1="Peak","-",'Base Hours'!Q106*BaseLoad!W105*'Base Hours'!$AA106)</f>
        <v>-</v>
      </c>
      <c r="R106" s="177" t="str">
        <f>IF($A$1="Peak","-",'Base Hours'!R106*BaseLoad!X105*'Base Hours'!$AA106)</f>
        <v>-</v>
      </c>
      <c r="S106" s="177" t="str">
        <f>IF($A$1="Peak","-",'Base Hours'!S106*BaseLoad!Y105*'Base Hours'!$AA106)</f>
        <v>-</v>
      </c>
      <c r="T106" s="177" t="str">
        <f>IF($A$1="Peak","-",'Base Hours'!T106*BaseLoad!Z105*'Base Hours'!$AA106)</f>
        <v>-</v>
      </c>
      <c r="U106" s="177" t="str">
        <f>IF($A$1="Peak","-",'Base Hours'!U106*BaseLoad!AA105*'Base Hours'!$AA106)</f>
        <v>-</v>
      </c>
      <c r="V106" s="177">
        <f t="shared" si="4"/>
        <v>0</v>
      </c>
      <c r="W106" s="177"/>
      <c r="X106" s="177"/>
      <c r="Y106" s="206"/>
      <c r="Z106" s="206">
        <f>(BaseLoad!C105*'Base Hours'!V106*'Base Hours'!$AA106)*-1</f>
        <v>0</v>
      </c>
      <c r="AA106" s="206"/>
      <c r="AB106" s="206">
        <f>(BaseLoad!D105*'Base Hours'!V106*'Base Hours'!$AA106)*-1</f>
        <v>0</v>
      </c>
      <c r="AC106" s="206"/>
      <c r="AD106" s="206">
        <f>(BaseLoad!E105*'Base Hours'!V106*'Base Hours'!$AA106)*-1</f>
        <v>0</v>
      </c>
      <c r="AE106" s="206"/>
      <c r="AF106" s="206">
        <f>(BaseLoad!F105*'Base Hours'!V106*'Base Hours'!$AA106)*-1</f>
        <v>0</v>
      </c>
      <c r="AG106" s="206"/>
    </row>
    <row r="107" spans="1:33" x14ac:dyDescent="0.2">
      <c r="A107" s="1">
        <f t="shared" si="3"/>
        <v>39490.449000000124</v>
      </c>
      <c r="B107" s="177" t="str">
        <f>IF($A$1="Peak","-",'Base Hours'!B107*BaseLoad!H106*'Base Hours'!$AA107)</f>
        <v>-</v>
      </c>
      <c r="C107" s="177" t="str">
        <f>IF($A$1="Peak","-",'Base Hours'!C107*BaseLoad!I106*'Base Hours'!$AA107)</f>
        <v>-</v>
      </c>
      <c r="D107" s="177" t="str">
        <f>IF($A$1="Peak","-",'Base Hours'!D107*BaseLoad!J106*'Base Hours'!$AA107)</f>
        <v>-</v>
      </c>
      <c r="E107" s="177" t="str">
        <f>IF($A$1="Peak","-",'Base Hours'!E107*BaseLoad!K106*'Base Hours'!$AA107)</f>
        <v>-</v>
      </c>
      <c r="F107" s="177" t="str">
        <f>IF($A$1="Peak","-",'Base Hours'!F107*BaseLoad!L106*'Base Hours'!$AA107)</f>
        <v>-</v>
      </c>
      <c r="G107" s="177" t="str">
        <f>IF($A$1="Peak","-",'Base Hours'!G107*BaseLoad!M106*'Base Hours'!$AA107)</f>
        <v>-</v>
      </c>
      <c r="H107" s="177" t="str">
        <f>IF($A$1="Peak","-",'Base Hours'!H107*BaseLoad!N106*'Base Hours'!$AA107)</f>
        <v>-</v>
      </c>
      <c r="I107" s="177" t="str">
        <f>IF($A$1="Peak","-",'Base Hours'!I107*BaseLoad!O106*'Base Hours'!$AA107)</f>
        <v>-</v>
      </c>
      <c r="J107" s="177" t="str">
        <f>IF($A$1="Peak","-",'Base Hours'!J107*BaseLoad!P106*'Base Hours'!$AA107)</f>
        <v>-</v>
      </c>
      <c r="K107" s="177" t="str">
        <f>IF($A$1="Peak","-",'Base Hours'!K107*BaseLoad!Q106*'Base Hours'!$AA107)</f>
        <v>-</v>
      </c>
      <c r="L107" s="177" t="str">
        <f>IF($A$1="Peak","-",'Base Hours'!L107*BaseLoad!R106*'Base Hours'!$AA107)</f>
        <v>-</v>
      </c>
      <c r="M107" s="177" t="str">
        <f>IF($A$1="Peak","-",'Base Hours'!M107*BaseLoad!S106*'Base Hours'!$AA107)</f>
        <v>-</v>
      </c>
      <c r="N107" s="177" t="str">
        <f>IF($A$1="Peak","-",'Base Hours'!N107*BaseLoad!T106*'Base Hours'!$AA107)</f>
        <v>-</v>
      </c>
      <c r="O107" s="177" t="str">
        <f>IF($A$1="Peak","-",'Base Hours'!O107*BaseLoad!U106*'Base Hours'!$AA107)</f>
        <v>-</v>
      </c>
      <c r="P107" s="177" t="str">
        <f>IF($A$1="Peak","-",'Base Hours'!P107*BaseLoad!V106*'Base Hours'!$AA107)</f>
        <v>-</v>
      </c>
      <c r="Q107" s="177" t="str">
        <f>IF($A$1="Peak","-",'Base Hours'!Q107*BaseLoad!W106*'Base Hours'!$AA107)</f>
        <v>-</v>
      </c>
      <c r="R107" s="177" t="str">
        <f>IF($A$1="Peak","-",'Base Hours'!R107*BaseLoad!X106*'Base Hours'!$AA107)</f>
        <v>-</v>
      </c>
      <c r="S107" s="177" t="str">
        <f>IF($A$1="Peak","-",'Base Hours'!S107*BaseLoad!Y106*'Base Hours'!$AA107)</f>
        <v>-</v>
      </c>
      <c r="T107" s="177" t="str">
        <f>IF($A$1="Peak","-",'Base Hours'!T107*BaseLoad!Z106*'Base Hours'!$AA107)</f>
        <v>-</v>
      </c>
      <c r="U107" s="177" t="str">
        <f>IF($A$1="Peak","-",'Base Hours'!U107*BaseLoad!AA106*'Base Hours'!$AA107)</f>
        <v>-</v>
      </c>
      <c r="V107" s="177">
        <f t="shared" si="4"/>
        <v>0</v>
      </c>
      <c r="W107" s="177"/>
      <c r="X107" s="177"/>
      <c r="Y107" s="206"/>
      <c r="Z107" s="206">
        <f>(BaseLoad!C106*'Base Hours'!V107*'Base Hours'!$AA107)*-1</f>
        <v>0</v>
      </c>
      <c r="AA107" s="206"/>
      <c r="AB107" s="206">
        <f>(BaseLoad!D106*'Base Hours'!V107*'Base Hours'!$AA107)*-1</f>
        <v>0</v>
      </c>
      <c r="AC107" s="206"/>
      <c r="AD107" s="206">
        <f>(BaseLoad!E106*'Base Hours'!V107*'Base Hours'!$AA107)*-1</f>
        <v>0</v>
      </c>
      <c r="AE107" s="206"/>
      <c r="AF107" s="206">
        <f>(BaseLoad!F106*'Base Hours'!V107*'Base Hours'!$AA107)*-1</f>
        <v>0</v>
      </c>
      <c r="AG107" s="206"/>
    </row>
    <row r="108" spans="1:33" x14ac:dyDescent="0.2">
      <c r="A108" s="1">
        <f t="shared" si="3"/>
        <v>39520.866000000125</v>
      </c>
      <c r="B108" s="177" t="str">
        <f>IF($A$1="Peak","-",'Base Hours'!B108*BaseLoad!H107*'Base Hours'!$AA108)</f>
        <v>-</v>
      </c>
      <c r="C108" s="177" t="str">
        <f>IF($A$1="Peak","-",'Base Hours'!C108*BaseLoad!I107*'Base Hours'!$AA108)</f>
        <v>-</v>
      </c>
      <c r="D108" s="177" t="str">
        <f>IF($A$1="Peak","-",'Base Hours'!D108*BaseLoad!J107*'Base Hours'!$AA108)</f>
        <v>-</v>
      </c>
      <c r="E108" s="177" t="str">
        <f>IF($A$1="Peak","-",'Base Hours'!E108*BaseLoad!K107*'Base Hours'!$AA108)</f>
        <v>-</v>
      </c>
      <c r="F108" s="177" t="str">
        <f>IF($A$1="Peak","-",'Base Hours'!F108*BaseLoad!L107*'Base Hours'!$AA108)</f>
        <v>-</v>
      </c>
      <c r="G108" s="177" t="str">
        <f>IF($A$1="Peak","-",'Base Hours'!G108*BaseLoad!M107*'Base Hours'!$AA108)</f>
        <v>-</v>
      </c>
      <c r="H108" s="177" t="str">
        <f>IF($A$1="Peak","-",'Base Hours'!H108*BaseLoad!N107*'Base Hours'!$AA108)</f>
        <v>-</v>
      </c>
      <c r="I108" s="177" t="str">
        <f>IF($A$1="Peak","-",'Base Hours'!I108*BaseLoad!O107*'Base Hours'!$AA108)</f>
        <v>-</v>
      </c>
      <c r="J108" s="177" t="str">
        <f>IF($A$1="Peak","-",'Base Hours'!J108*BaseLoad!P107*'Base Hours'!$AA108)</f>
        <v>-</v>
      </c>
      <c r="K108" s="177" t="str">
        <f>IF($A$1="Peak","-",'Base Hours'!K108*BaseLoad!Q107*'Base Hours'!$AA108)</f>
        <v>-</v>
      </c>
      <c r="L108" s="177" t="str">
        <f>IF($A$1="Peak","-",'Base Hours'!L108*BaseLoad!R107*'Base Hours'!$AA108)</f>
        <v>-</v>
      </c>
      <c r="M108" s="177" t="str">
        <f>IF($A$1="Peak","-",'Base Hours'!M108*BaseLoad!S107*'Base Hours'!$AA108)</f>
        <v>-</v>
      </c>
      <c r="N108" s="177" t="str">
        <f>IF($A$1="Peak","-",'Base Hours'!N108*BaseLoad!T107*'Base Hours'!$AA108)</f>
        <v>-</v>
      </c>
      <c r="O108" s="177" t="str">
        <f>IF($A$1="Peak","-",'Base Hours'!O108*BaseLoad!U107*'Base Hours'!$AA108)</f>
        <v>-</v>
      </c>
      <c r="P108" s="177" t="str">
        <f>IF($A$1="Peak","-",'Base Hours'!P108*BaseLoad!V107*'Base Hours'!$AA108)</f>
        <v>-</v>
      </c>
      <c r="Q108" s="177" t="str">
        <f>IF($A$1="Peak","-",'Base Hours'!Q108*BaseLoad!W107*'Base Hours'!$AA108)</f>
        <v>-</v>
      </c>
      <c r="R108" s="177" t="str">
        <f>IF($A$1="Peak","-",'Base Hours'!R108*BaseLoad!X107*'Base Hours'!$AA108)</f>
        <v>-</v>
      </c>
      <c r="S108" s="177" t="str">
        <f>IF($A$1="Peak","-",'Base Hours'!S108*BaseLoad!Y107*'Base Hours'!$AA108)</f>
        <v>-</v>
      </c>
      <c r="T108" s="177" t="str">
        <f>IF($A$1="Peak","-",'Base Hours'!T108*BaseLoad!Z107*'Base Hours'!$AA108)</f>
        <v>-</v>
      </c>
      <c r="U108" s="177" t="str">
        <f>IF($A$1="Peak","-",'Base Hours'!U108*BaseLoad!AA107*'Base Hours'!$AA108)</f>
        <v>-</v>
      </c>
      <c r="V108" s="177">
        <f t="shared" si="4"/>
        <v>0</v>
      </c>
      <c r="W108" s="177"/>
      <c r="X108" s="177"/>
      <c r="Y108" s="206"/>
      <c r="Z108" s="206">
        <f>(BaseLoad!C107*'Base Hours'!V108*'Base Hours'!$AA108)*-1</f>
        <v>0</v>
      </c>
      <c r="AA108" s="206"/>
      <c r="AB108" s="206">
        <f>(BaseLoad!D107*'Base Hours'!V108*'Base Hours'!$AA108)*-1</f>
        <v>0</v>
      </c>
      <c r="AC108" s="206"/>
      <c r="AD108" s="206">
        <f>(BaseLoad!E107*'Base Hours'!V108*'Base Hours'!$AA108)*-1</f>
        <v>0</v>
      </c>
      <c r="AE108" s="206"/>
      <c r="AF108" s="206">
        <f>(BaseLoad!F107*'Base Hours'!V108*'Base Hours'!$AA108)*-1</f>
        <v>0</v>
      </c>
      <c r="AG108" s="206"/>
    </row>
    <row r="109" spans="1:33" x14ac:dyDescent="0.2">
      <c r="A109" s="1">
        <f t="shared" si="3"/>
        <v>39551.283000000127</v>
      </c>
      <c r="B109" s="177" t="str">
        <f>IF($A$1="Peak","-",'Base Hours'!B109*BaseLoad!H108*'Base Hours'!$AA109)</f>
        <v>-</v>
      </c>
      <c r="C109" s="177" t="str">
        <f>IF($A$1="Peak","-",'Base Hours'!C109*BaseLoad!I108*'Base Hours'!$AA109)</f>
        <v>-</v>
      </c>
      <c r="D109" s="177" t="str">
        <f>IF($A$1="Peak","-",'Base Hours'!D109*BaseLoad!J108*'Base Hours'!$AA109)</f>
        <v>-</v>
      </c>
      <c r="E109" s="177" t="str">
        <f>IF($A$1="Peak","-",'Base Hours'!E109*BaseLoad!K108*'Base Hours'!$AA109)</f>
        <v>-</v>
      </c>
      <c r="F109" s="177" t="str">
        <f>IF($A$1="Peak","-",'Base Hours'!F109*BaseLoad!L108*'Base Hours'!$AA109)</f>
        <v>-</v>
      </c>
      <c r="G109" s="177" t="str">
        <f>IF($A$1="Peak","-",'Base Hours'!G109*BaseLoad!M108*'Base Hours'!$AA109)</f>
        <v>-</v>
      </c>
      <c r="H109" s="177" t="str">
        <f>IF($A$1="Peak","-",'Base Hours'!H109*BaseLoad!N108*'Base Hours'!$AA109)</f>
        <v>-</v>
      </c>
      <c r="I109" s="177" t="str">
        <f>IF($A$1="Peak","-",'Base Hours'!I109*BaseLoad!O108*'Base Hours'!$AA109)</f>
        <v>-</v>
      </c>
      <c r="J109" s="177" t="str">
        <f>IF($A$1="Peak","-",'Base Hours'!J109*BaseLoad!P108*'Base Hours'!$AA109)</f>
        <v>-</v>
      </c>
      <c r="K109" s="177" t="str">
        <f>IF($A$1="Peak","-",'Base Hours'!K109*BaseLoad!Q108*'Base Hours'!$AA109)</f>
        <v>-</v>
      </c>
      <c r="L109" s="177" t="str">
        <f>IF($A$1="Peak","-",'Base Hours'!L109*BaseLoad!R108*'Base Hours'!$AA109)</f>
        <v>-</v>
      </c>
      <c r="M109" s="177" t="str">
        <f>IF($A$1="Peak","-",'Base Hours'!M109*BaseLoad!S108*'Base Hours'!$AA109)</f>
        <v>-</v>
      </c>
      <c r="N109" s="177" t="str">
        <f>IF($A$1="Peak","-",'Base Hours'!N109*BaseLoad!T108*'Base Hours'!$AA109)</f>
        <v>-</v>
      </c>
      <c r="O109" s="177" t="str">
        <f>IF($A$1="Peak","-",'Base Hours'!O109*BaseLoad!U108*'Base Hours'!$AA109)</f>
        <v>-</v>
      </c>
      <c r="P109" s="177" t="str">
        <f>IF($A$1="Peak","-",'Base Hours'!P109*BaseLoad!V108*'Base Hours'!$AA109)</f>
        <v>-</v>
      </c>
      <c r="Q109" s="177" t="str">
        <f>IF($A$1="Peak","-",'Base Hours'!Q109*BaseLoad!W108*'Base Hours'!$AA109)</f>
        <v>-</v>
      </c>
      <c r="R109" s="177" t="str">
        <f>IF($A$1="Peak","-",'Base Hours'!R109*BaseLoad!X108*'Base Hours'!$AA109)</f>
        <v>-</v>
      </c>
      <c r="S109" s="177" t="str">
        <f>IF($A$1="Peak","-",'Base Hours'!S109*BaseLoad!Y108*'Base Hours'!$AA109)</f>
        <v>-</v>
      </c>
      <c r="T109" s="177" t="str">
        <f>IF($A$1="Peak","-",'Base Hours'!T109*BaseLoad!Z108*'Base Hours'!$AA109)</f>
        <v>-</v>
      </c>
      <c r="U109" s="177" t="str">
        <f>IF($A$1="Peak","-",'Base Hours'!U109*BaseLoad!AA108*'Base Hours'!$AA109)</f>
        <v>-</v>
      </c>
      <c r="V109" s="177">
        <f t="shared" si="4"/>
        <v>0</v>
      </c>
      <c r="W109" s="177"/>
      <c r="X109" s="177"/>
      <c r="Y109" s="206"/>
      <c r="Z109" s="206">
        <f>(BaseLoad!C108*'Base Hours'!V109*'Base Hours'!$AA109)*-1</f>
        <v>0</v>
      </c>
      <c r="AA109" s="206"/>
      <c r="AB109" s="206">
        <f>(BaseLoad!D108*'Base Hours'!V109*'Base Hours'!$AA109)*-1</f>
        <v>0</v>
      </c>
      <c r="AC109" s="206"/>
      <c r="AD109" s="206">
        <f>(BaseLoad!E108*'Base Hours'!V109*'Base Hours'!$AA109)*-1</f>
        <v>0</v>
      </c>
      <c r="AE109" s="206"/>
      <c r="AF109" s="206">
        <f>(BaseLoad!F108*'Base Hours'!V109*'Base Hours'!$AA109)*-1</f>
        <v>0</v>
      </c>
      <c r="AG109" s="206"/>
    </row>
    <row r="110" spans="1:33" x14ac:dyDescent="0.2">
      <c r="A110" s="1">
        <f t="shared" si="3"/>
        <v>39581.700000000128</v>
      </c>
      <c r="B110" s="177" t="str">
        <f>IF($A$1="Peak","-",'Base Hours'!B110*BaseLoad!H109*'Base Hours'!$AA110)</f>
        <v>-</v>
      </c>
      <c r="C110" s="177" t="str">
        <f>IF($A$1="Peak","-",'Base Hours'!C110*BaseLoad!I109*'Base Hours'!$AA110)</f>
        <v>-</v>
      </c>
      <c r="D110" s="177" t="str">
        <f>IF($A$1="Peak","-",'Base Hours'!D110*BaseLoad!J109*'Base Hours'!$AA110)</f>
        <v>-</v>
      </c>
      <c r="E110" s="177" t="str">
        <f>IF($A$1="Peak","-",'Base Hours'!E110*BaseLoad!K109*'Base Hours'!$AA110)</f>
        <v>-</v>
      </c>
      <c r="F110" s="177" t="str">
        <f>IF($A$1="Peak","-",'Base Hours'!F110*BaseLoad!L109*'Base Hours'!$AA110)</f>
        <v>-</v>
      </c>
      <c r="G110" s="177" t="str">
        <f>IF($A$1="Peak","-",'Base Hours'!G110*BaseLoad!M109*'Base Hours'!$AA110)</f>
        <v>-</v>
      </c>
      <c r="H110" s="177" t="str">
        <f>IF($A$1="Peak","-",'Base Hours'!H110*BaseLoad!N109*'Base Hours'!$AA110)</f>
        <v>-</v>
      </c>
      <c r="I110" s="177" t="str">
        <f>IF($A$1="Peak","-",'Base Hours'!I110*BaseLoad!O109*'Base Hours'!$AA110)</f>
        <v>-</v>
      </c>
      <c r="J110" s="177" t="str">
        <f>IF($A$1="Peak","-",'Base Hours'!J110*BaseLoad!P109*'Base Hours'!$AA110)</f>
        <v>-</v>
      </c>
      <c r="K110" s="177" t="str">
        <f>IF($A$1="Peak","-",'Base Hours'!K110*BaseLoad!Q109*'Base Hours'!$AA110)</f>
        <v>-</v>
      </c>
      <c r="L110" s="177" t="str">
        <f>IF($A$1="Peak","-",'Base Hours'!L110*BaseLoad!R109*'Base Hours'!$AA110)</f>
        <v>-</v>
      </c>
      <c r="M110" s="177" t="str">
        <f>IF($A$1="Peak","-",'Base Hours'!M110*BaseLoad!S109*'Base Hours'!$AA110)</f>
        <v>-</v>
      </c>
      <c r="N110" s="177" t="str">
        <f>IF($A$1="Peak","-",'Base Hours'!N110*BaseLoad!T109*'Base Hours'!$AA110)</f>
        <v>-</v>
      </c>
      <c r="O110" s="177" t="str">
        <f>IF($A$1="Peak","-",'Base Hours'!O110*BaseLoad!U109*'Base Hours'!$AA110)</f>
        <v>-</v>
      </c>
      <c r="P110" s="177" t="str">
        <f>IF($A$1="Peak","-",'Base Hours'!P110*BaseLoad!V109*'Base Hours'!$AA110)</f>
        <v>-</v>
      </c>
      <c r="Q110" s="177" t="str">
        <f>IF($A$1="Peak","-",'Base Hours'!Q110*BaseLoad!W109*'Base Hours'!$AA110)</f>
        <v>-</v>
      </c>
      <c r="R110" s="177" t="str">
        <f>IF($A$1="Peak","-",'Base Hours'!R110*BaseLoad!X109*'Base Hours'!$AA110)</f>
        <v>-</v>
      </c>
      <c r="S110" s="177" t="str">
        <f>IF($A$1="Peak","-",'Base Hours'!S110*BaseLoad!Y109*'Base Hours'!$AA110)</f>
        <v>-</v>
      </c>
      <c r="T110" s="177" t="str">
        <f>IF($A$1="Peak","-",'Base Hours'!T110*BaseLoad!Z109*'Base Hours'!$AA110)</f>
        <v>-</v>
      </c>
      <c r="U110" s="177" t="str">
        <f>IF($A$1="Peak","-",'Base Hours'!U110*BaseLoad!AA109*'Base Hours'!$AA110)</f>
        <v>-</v>
      </c>
      <c r="V110" s="177">
        <f t="shared" si="4"/>
        <v>0</v>
      </c>
      <c r="W110" s="177"/>
      <c r="X110" s="177"/>
      <c r="Y110" s="206"/>
      <c r="Z110" s="206">
        <f>(BaseLoad!C109*'Base Hours'!V110*'Base Hours'!$AA110)*-1</f>
        <v>0</v>
      </c>
      <c r="AA110" s="206"/>
      <c r="AB110" s="206">
        <f>(BaseLoad!D109*'Base Hours'!V110*'Base Hours'!$AA110)*-1</f>
        <v>0</v>
      </c>
      <c r="AC110" s="206"/>
      <c r="AD110" s="206">
        <f>(BaseLoad!E109*'Base Hours'!V110*'Base Hours'!$AA110)*-1</f>
        <v>0</v>
      </c>
      <c r="AE110" s="206"/>
      <c r="AF110" s="206">
        <f>(BaseLoad!F109*'Base Hours'!V110*'Base Hours'!$AA110)*-1</f>
        <v>0</v>
      </c>
      <c r="AG110" s="206"/>
    </row>
    <row r="111" spans="1:33" x14ac:dyDescent="0.2">
      <c r="A111" s="1">
        <f t="shared" si="3"/>
        <v>39612.117000000129</v>
      </c>
      <c r="B111" s="177" t="str">
        <f>IF($A$1="Peak","-",'Base Hours'!B111*BaseLoad!H110*'Base Hours'!$AA111)</f>
        <v>-</v>
      </c>
      <c r="C111" s="177" t="str">
        <f>IF($A$1="Peak","-",'Base Hours'!C111*BaseLoad!I110*'Base Hours'!$AA111)</f>
        <v>-</v>
      </c>
      <c r="D111" s="177" t="str">
        <f>IF($A$1="Peak","-",'Base Hours'!D111*BaseLoad!J110*'Base Hours'!$AA111)</f>
        <v>-</v>
      </c>
      <c r="E111" s="177" t="str">
        <f>IF($A$1="Peak","-",'Base Hours'!E111*BaseLoad!K110*'Base Hours'!$AA111)</f>
        <v>-</v>
      </c>
      <c r="F111" s="177" t="str">
        <f>IF($A$1="Peak","-",'Base Hours'!F111*BaseLoad!L110*'Base Hours'!$AA111)</f>
        <v>-</v>
      </c>
      <c r="G111" s="177" t="str">
        <f>IF($A$1="Peak","-",'Base Hours'!G111*BaseLoad!M110*'Base Hours'!$AA111)</f>
        <v>-</v>
      </c>
      <c r="H111" s="177" t="str">
        <f>IF($A$1="Peak","-",'Base Hours'!H111*BaseLoad!N110*'Base Hours'!$AA111)</f>
        <v>-</v>
      </c>
      <c r="I111" s="177" t="str">
        <f>IF($A$1="Peak","-",'Base Hours'!I111*BaseLoad!O110*'Base Hours'!$AA111)</f>
        <v>-</v>
      </c>
      <c r="J111" s="177" t="str">
        <f>IF($A$1="Peak","-",'Base Hours'!J111*BaseLoad!P110*'Base Hours'!$AA111)</f>
        <v>-</v>
      </c>
      <c r="K111" s="177" t="str">
        <f>IF($A$1="Peak","-",'Base Hours'!K111*BaseLoad!Q110*'Base Hours'!$AA111)</f>
        <v>-</v>
      </c>
      <c r="L111" s="177" t="str">
        <f>IF($A$1="Peak","-",'Base Hours'!L111*BaseLoad!R110*'Base Hours'!$AA111)</f>
        <v>-</v>
      </c>
      <c r="M111" s="177" t="str">
        <f>IF($A$1="Peak","-",'Base Hours'!M111*BaseLoad!S110*'Base Hours'!$AA111)</f>
        <v>-</v>
      </c>
      <c r="N111" s="177" t="str">
        <f>IF($A$1="Peak","-",'Base Hours'!N111*BaseLoad!T110*'Base Hours'!$AA111)</f>
        <v>-</v>
      </c>
      <c r="O111" s="177" t="str">
        <f>IF($A$1="Peak","-",'Base Hours'!O111*BaseLoad!U110*'Base Hours'!$AA111)</f>
        <v>-</v>
      </c>
      <c r="P111" s="177" t="str">
        <f>IF($A$1="Peak","-",'Base Hours'!P111*BaseLoad!V110*'Base Hours'!$AA111)</f>
        <v>-</v>
      </c>
      <c r="Q111" s="177" t="str">
        <f>IF($A$1="Peak","-",'Base Hours'!Q111*BaseLoad!W110*'Base Hours'!$AA111)</f>
        <v>-</v>
      </c>
      <c r="R111" s="177" t="str">
        <f>IF($A$1="Peak","-",'Base Hours'!R111*BaseLoad!X110*'Base Hours'!$AA111)</f>
        <v>-</v>
      </c>
      <c r="S111" s="177" t="str">
        <f>IF($A$1="Peak","-",'Base Hours'!S111*BaseLoad!Y110*'Base Hours'!$AA111)</f>
        <v>-</v>
      </c>
      <c r="T111" s="177" t="str">
        <f>IF($A$1="Peak","-",'Base Hours'!T111*BaseLoad!Z110*'Base Hours'!$AA111)</f>
        <v>-</v>
      </c>
      <c r="U111" s="177" t="str">
        <f>IF($A$1="Peak","-",'Base Hours'!U111*BaseLoad!AA110*'Base Hours'!$AA111)</f>
        <v>-</v>
      </c>
      <c r="V111" s="177">
        <f t="shared" si="4"/>
        <v>0</v>
      </c>
      <c r="W111" s="177"/>
      <c r="X111" s="177"/>
      <c r="Y111" s="206"/>
      <c r="Z111" s="206">
        <f>(BaseLoad!C110*'Base Hours'!V111*'Base Hours'!$AA111)*-1</f>
        <v>0</v>
      </c>
      <c r="AA111" s="206"/>
      <c r="AB111" s="206">
        <f>(BaseLoad!D110*'Base Hours'!V111*'Base Hours'!$AA111)*-1</f>
        <v>0</v>
      </c>
      <c r="AC111" s="206"/>
      <c r="AD111" s="206">
        <f>(BaseLoad!E110*'Base Hours'!V111*'Base Hours'!$AA111)*-1</f>
        <v>0</v>
      </c>
      <c r="AE111" s="206"/>
      <c r="AF111" s="206">
        <f>(BaseLoad!F110*'Base Hours'!V111*'Base Hours'!$AA111)*-1</f>
        <v>0</v>
      </c>
      <c r="AG111" s="206"/>
    </row>
    <row r="112" spans="1:33" x14ac:dyDescent="0.2">
      <c r="A112" s="1">
        <f t="shared" si="3"/>
        <v>39642.534000000131</v>
      </c>
      <c r="B112" s="177" t="str">
        <f>IF($A$1="Peak","-",'Base Hours'!B112*BaseLoad!H111*'Base Hours'!$AA112)</f>
        <v>-</v>
      </c>
      <c r="C112" s="177" t="str">
        <f>IF($A$1="Peak","-",'Base Hours'!C112*BaseLoad!I111*'Base Hours'!$AA112)</f>
        <v>-</v>
      </c>
      <c r="D112" s="177" t="str">
        <f>IF($A$1="Peak","-",'Base Hours'!D112*BaseLoad!J111*'Base Hours'!$AA112)</f>
        <v>-</v>
      </c>
      <c r="E112" s="177" t="str">
        <f>IF($A$1="Peak","-",'Base Hours'!E112*BaseLoad!K111*'Base Hours'!$AA112)</f>
        <v>-</v>
      </c>
      <c r="F112" s="177" t="str">
        <f>IF($A$1="Peak","-",'Base Hours'!F112*BaseLoad!L111*'Base Hours'!$AA112)</f>
        <v>-</v>
      </c>
      <c r="G112" s="177" t="str">
        <f>IF($A$1="Peak","-",'Base Hours'!G112*BaseLoad!M111*'Base Hours'!$AA112)</f>
        <v>-</v>
      </c>
      <c r="H112" s="177" t="str">
        <f>IF($A$1="Peak","-",'Base Hours'!H112*BaseLoad!N111*'Base Hours'!$AA112)</f>
        <v>-</v>
      </c>
      <c r="I112" s="177" t="str">
        <f>IF($A$1="Peak","-",'Base Hours'!I112*BaseLoad!O111*'Base Hours'!$AA112)</f>
        <v>-</v>
      </c>
      <c r="J112" s="177" t="str">
        <f>IF($A$1="Peak","-",'Base Hours'!J112*BaseLoad!P111*'Base Hours'!$AA112)</f>
        <v>-</v>
      </c>
      <c r="K112" s="177" t="str">
        <f>IF($A$1="Peak","-",'Base Hours'!K112*BaseLoad!Q111*'Base Hours'!$AA112)</f>
        <v>-</v>
      </c>
      <c r="L112" s="177" t="str">
        <f>IF($A$1="Peak","-",'Base Hours'!L112*BaseLoad!R111*'Base Hours'!$AA112)</f>
        <v>-</v>
      </c>
      <c r="M112" s="177" t="str">
        <f>IF($A$1="Peak","-",'Base Hours'!M112*BaseLoad!S111*'Base Hours'!$AA112)</f>
        <v>-</v>
      </c>
      <c r="N112" s="177" t="str">
        <f>IF($A$1="Peak","-",'Base Hours'!N112*BaseLoad!T111*'Base Hours'!$AA112)</f>
        <v>-</v>
      </c>
      <c r="O112" s="177" t="str">
        <f>IF($A$1="Peak","-",'Base Hours'!O112*BaseLoad!U111*'Base Hours'!$AA112)</f>
        <v>-</v>
      </c>
      <c r="P112" s="177" t="str">
        <f>IF($A$1="Peak","-",'Base Hours'!P112*BaseLoad!V111*'Base Hours'!$AA112)</f>
        <v>-</v>
      </c>
      <c r="Q112" s="177" t="str">
        <f>IF($A$1="Peak","-",'Base Hours'!Q112*BaseLoad!W111*'Base Hours'!$AA112)</f>
        <v>-</v>
      </c>
      <c r="R112" s="177" t="str">
        <f>IF($A$1="Peak","-",'Base Hours'!R112*BaseLoad!X111*'Base Hours'!$AA112)</f>
        <v>-</v>
      </c>
      <c r="S112" s="177" t="str">
        <f>IF($A$1="Peak","-",'Base Hours'!S112*BaseLoad!Y111*'Base Hours'!$AA112)</f>
        <v>-</v>
      </c>
      <c r="T112" s="177" t="str">
        <f>IF($A$1="Peak","-",'Base Hours'!T112*BaseLoad!Z111*'Base Hours'!$AA112)</f>
        <v>-</v>
      </c>
      <c r="U112" s="177" t="str">
        <f>IF($A$1="Peak","-",'Base Hours'!U112*BaseLoad!AA111*'Base Hours'!$AA112)</f>
        <v>-</v>
      </c>
      <c r="V112" s="177">
        <f t="shared" si="4"/>
        <v>0</v>
      </c>
      <c r="W112" s="177"/>
      <c r="X112" s="177"/>
      <c r="Y112" s="206"/>
      <c r="Z112" s="206">
        <f>(BaseLoad!C111*'Base Hours'!V112*'Base Hours'!$AA112)*-1</f>
        <v>0</v>
      </c>
      <c r="AA112" s="206"/>
      <c r="AB112" s="206">
        <f>(BaseLoad!D111*'Base Hours'!V112*'Base Hours'!$AA112)*-1</f>
        <v>0</v>
      </c>
      <c r="AC112" s="206"/>
      <c r="AD112" s="206">
        <f>(BaseLoad!E111*'Base Hours'!V112*'Base Hours'!$AA112)*-1</f>
        <v>0</v>
      </c>
      <c r="AE112" s="206"/>
      <c r="AF112" s="206">
        <f>(BaseLoad!F111*'Base Hours'!V112*'Base Hours'!$AA112)*-1</f>
        <v>0</v>
      </c>
      <c r="AG112" s="206"/>
    </row>
    <row r="113" spans="1:33" x14ac:dyDescent="0.2">
      <c r="A113" s="1">
        <f t="shared" si="3"/>
        <v>39672.951000000132</v>
      </c>
      <c r="B113" s="177" t="str">
        <f>IF($A$1="Peak","-",'Base Hours'!B113*BaseLoad!H112*'Base Hours'!$AA113)</f>
        <v>-</v>
      </c>
      <c r="C113" s="177" t="str">
        <f>IF($A$1="Peak","-",'Base Hours'!C113*BaseLoad!I112*'Base Hours'!$AA113)</f>
        <v>-</v>
      </c>
      <c r="D113" s="177" t="str">
        <f>IF($A$1="Peak","-",'Base Hours'!D113*BaseLoad!J112*'Base Hours'!$AA113)</f>
        <v>-</v>
      </c>
      <c r="E113" s="177" t="str">
        <f>IF($A$1="Peak","-",'Base Hours'!E113*BaseLoad!K112*'Base Hours'!$AA113)</f>
        <v>-</v>
      </c>
      <c r="F113" s="177" t="str">
        <f>IF($A$1="Peak","-",'Base Hours'!F113*BaseLoad!L112*'Base Hours'!$AA113)</f>
        <v>-</v>
      </c>
      <c r="G113" s="177" t="str">
        <f>IF($A$1="Peak","-",'Base Hours'!G113*BaseLoad!M112*'Base Hours'!$AA113)</f>
        <v>-</v>
      </c>
      <c r="H113" s="177" t="str">
        <f>IF($A$1="Peak","-",'Base Hours'!H113*BaseLoad!N112*'Base Hours'!$AA113)</f>
        <v>-</v>
      </c>
      <c r="I113" s="177" t="str">
        <f>IF($A$1="Peak","-",'Base Hours'!I113*BaseLoad!O112*'Base Hours'!$AA113)</f>
        <v>-</v>
      </c>
      <c r="J113" s="177" t="str">
        <f>IF($A$1="Peak","-",'Base Hours'!J113*BaseLoad!P112*'Base Hours'!$AA113)</f>
        <v>-</v>
      </c>
      <c r="K113" s="177" t="str">
        <f>IF($A$1="Peak","-",'Base Hours'!K113*BaseLoad!Q112*'Base Hours'!$AA113)</f>
        <v>-</v>
      </c>
      <c r="L113" s="177" t="str">
        <f>IF($A$1="Peak","-",'Base Hours'!L113*BaseLoad!R112*'Base Hours'!$AA113)</f>
        <v>-</v>
      </c>
      <c r="M113" s="177" t="str">
        <f>IF($A$1="Peak","-",'Base Hours'!M113*BaseLoad!S112*'Base Hours'!$AA113)</f>
        <v>-</v>
      </c>
      <c r="N113" s="177" t="str">
        <f>IF($A$1="Peak","-",'Base Hours'!N113*BaseLoad!T112*'Base Hours'!$AA113)</f>
        <v>-</v>
      </c>
      <c r="O113" s="177" t="str">
        <f>IF($A$1="Peak","-",'Base Hours'!O113*BaseLoad!U112*'Base Hours'!$AA113)</f>
        <v>-</v>
      </c>
      <c r="P113" s="177" t="str">
        <f>IF($A$1="Peak","-",'Base Hours'!P113*BaseLoad!V112*'Base Hours'!$AA113)</f>
        <v>-</v>
      </c>
      <c r="Q113" s="177" t="str">
        <f>IF($A$1="Peak","-",'Base Hours'!Q113*BaseLoad!W112*'Base Hours'!$AA113)</f>
        <v>-</v>
      </c>
      <c r="R113" s="177" t="str">
        <f>IF($A$1="Peak","-",'Base Hours'!R113*BaseLoad!X112*'Base Hours'!$AA113)</f>
        <v>-</v>
      </c>
      <c r="S113" s="177" t="str">
        <f>IF($A$1="Peak","-",'Base Hours'!S113*BaseLoad!Y112*'Base Hours'!$AA113)</f>
        <v>-</v>
      </c>
      <c r="T113" s="177" t="str">
        <f>IF($A$1="Peak","-",'Base Hours'!T113*BaseLoad!Z112*'Base Hours'!$AA113)</f>
        <v>-</v>
      </c>
      <c r="U113" s="177" t="str">
        <f>IF($A$1="Peak","-",'Base Hours'!U113*BaseLoad!AA112*'Base Hours'!$AA113)</f>
        <v>-</v>
      </c>
      <c r="V113" s="177">
        <f t="shared" si="4"/>
        <v>0</v>
      </c>
      <c r="W113" s="177"/>
      <c r="X113" s="177"/>
      <c r="Y113" s="206"/>
      <c r="Z113" s="206">
        <f>(BaseLoad!C112*'Base Hours'!V113*'Base Hours'!$AA113)*-1</f>
        <v>0</v>
      </c>
      <c r="AA113" s="206"/>
      <c r="AB113" s="206">
        <f>(BaseLoad!D112*'Base Hours'!V113*'Base Hours'!$AA113)*-1</f>
        <v>0</v>
      </c>
      <c r="AC113" s="206"/>
      <c r="AD113" s="206">
        <f>(BaseLoad!E112*'Base Hours'!V113*'Base Hours'!$AA113)*-1</f>
        <v>0</v>
      </c>
      <c r="AE113" s="206"/>
      <c r="AF113" s="206">
        <f>(BaseLoad!F112*'Base Hours'!V113*'Base Hours'!$AA113)*-1</f>
        <v>0</v>
      </c>
      <c r="AG113" s="206"/>
    </row>
    <row r="114" spans="1:33" x14ac:dyDescent="0.2">
      <c r="A114" s="1">
        <f t="shared" si="3"/>
        <v>39703.368000000133</v>
      </c>
      <c r="B114" s="177" t="str">
        <f>IF($A$1="Peak","-",'Base Hours'!B114*BaseLoad!H113*'Base Hours'!$AA114)</f>
        <v>-</v>
      </c>
      <c r="C114" s="177" t="str">
        <f>IF($A$1="Peak","-",'Base Hours'!C114*BaseLoad!I113*'Base Hours'!$AA114)</f>
        <v>-</v>
      </c>
      <c r="D114" s="177" t="str">
        <f>IF($A$1="Peak","-",'Base Hours'!D114*BaseLoad!J113*'Base Hours'!$AA114)</f>
        <v>-</v>
      </c>
      <c r="E114" s="177" t="str">
        <f>IF($A$1="Peak","-",'Base Hours'!E114*BaseLoad!K113*'Base Hours'!$AA114)</f>
        <v>-</v>
      </c>
      <c r="F114" s="177" t="str">
        <f>IF($A$1="Peak","-",'Base Hours'!F114*BaseLoad!L113*'Base Hours'!$AA114)</f>
        <v>-</v>
      </c>
      <c r="G114" s="177" t="str">
        <f>IF($A$1="Peak","-",'Base Hours'!G114*BaseLoad!M113*'Base Hours'!$AA114)</f>
        <v>-</v>
      </c>
      <c r="H114" s="177" t="str">
        <f>IF($A$1="Peak","-",'Base Hours'!H114*BaseLoad!N113*'Base Hours'!$AA114)</f>
        <v>-</v>
      </c>
      <c r="I114" s="177" t="str">
        <f>IF($A$1="Peak","-",'Base Hours'!I114*BaseLoad!O113*'Base Hours'!$AA114)</f>
        <v>-</v>
      </c>
      <c r="J114" s="177" t="str">
        <f>IF($A$1="Peak","-",'Base Hours'!J114*BaseLoad!P113*'Base Hours'!$AA114)</f>
        <v>-</v>
      </c>
      <c r="K114" s="177" t="str">
        <f>IF($A$1="Peak","-",'Base Hours'!K114*BaseLoad!Q113*'Base Hours'!$AA114)</f>
        <v>-</v>
      </c>
      <c r="L114" s="177" t="str">
        <f>IF($A$1="Peak","-",'Base Hours'!L114*BaseLoad!R113*'Base Hours'!$AA114)</f>
        <v>-</v>
      </c>
      <c r="M114" s="177" t="str">
        <f>IF($A$1="Peak","-",'Base Hours'!M114*BaseLoad!S113*'Base Hours'!$AA114)</f>
        <v>-</v>
      </c>
      <c r="N114" s="177" t="str">
        <f>IF($A$1="Peak","-",'Base Hours'!N114*BaseLoad!T113*'Base Hours'!$AA114)</f>
        <v>-</v>
      </c>
      <c r="O114" s="177" t="str">
        <f>IF($A$1="Peak","-",'Base Hours'!O114*BaseLoad!U113*'Base Hours'!$AA114)</f>
        <v>-</v>
      </c>
      <c r="P114" s="177" t="str">
        <f>IF($A$1="Peak","-",'Base Hours'!P114*BaseLoad!V113*'Base Hours'!$AA114)</f>
        <v>-</v>
      </c>
      <c r="Q114" s="177" t="str">
        <f>IF($A$1="Peak","-",'Base Hours'!Q114*BaseLoad!W113*'Base Hours'!$AA114)</f>
        <v>-</v>
      </c>
      <c r="R114" s="177" t="str">
        <f>IF($A$1="Peak","-",'Base Hours'!R114*BaseLoad!X113*'Base Hours'!$AA114)</f>
        <v>-</v>
      </c>
      <c r="S114" s="177" t="str">
        <f>IF($A$1="Peak","-",'Base Hours'!S114*BaseLoad!Y113*'Base Hours'!$AA114)</f>
        <v>-</v>
      </c>
      <c r="T114" s="177" t="str">
        <f>IF($A$1="Peak","-",'Base Hours'!T114*BaseLoad!Z113*'Base Hours'!$AA114)</f>
        <v>-</v>
      </c>
      <c r="U114" s="177" t="str">
        <f>IF($A$1="Peak","-",'Base Hours'!U114*BaseLoad!AA113*'Base Hours'!$AA114)</f>
        <v>-</v>
      </c>
      <c r="V114" s="177">
        <f t="shared" si="4"/>
        <v>0</v>
      </c>
      <c r="W114" s="177"/>
      <c r="X114" s="177"/>
      <c r="Y114" s="206"/>
      <c r="Z114" s="206">
        <f>(BaseLoad!C113*'Base Hours'!V114*'Base Hours'!$AA114)*-1</f>
        <v>0</v>
      </c>
      <c r="AA114" s="206"/>
      <c r="AB114" s="206">
        <f>(BaseLoad!D113*'Base Hours'!V114*'Base Hours'!$AA114)*-1</f>
        <v>0</v>
      </c>
      <c r="AC114" s="206"/>
      <c r="AD114" s="206">
        <f>(BaseLoad!E113*'Base Hours'!V114*'Base Hours'!$AA114)*-1</f>
        <v>0</v>
      </c>
      <c r="AE114" s="206"/>
      <c r="AF114" s="206">
        <f>(BaseLoad!F113*'Base Hours'!V114*'Base Hours'!$AA114)*-1</f>
        <v>0</v>
      </c>
      <c r="AG114" s="206"/>
    </row>
    <row r="115" spans="1:33" x14ac:dyDescent="0.2">
      <c r="A115" s="1">
        <f t="shared" si="3"/>
        <v>39733.785000000134</v>
      </c>
      <c r="B115" s="177" t="str">
        <f>IF($A$1="Peak","-",'Base Hours'!B115*BaseLoad!H114*'Base Hours'!$AA115)</f>
        <v>-</v>
      </c>
      <c r="C115" s="177" t="str">
        <f>IF($A$1="Peak","-",'Base Hours'!C115*BaseLoad!I114*'Base Hours'!$AA115)</f>
        <v>-</v>
      </c>
      <c r="D115" s="177" t="str">
        <f>IF($A$1="Peak","-",'Base Hours'!D115*BaseLoad!J114*'Base Hours'!$AA115)</f>
        <v>-</v>
      </c>
      <c r="E115" s="177" t="str">
        <f>IF($A$1="Peak","-",'Base Hours'!E115*BaseLoad!K114*'Base Hours'!$AA115)</f>
        <v>-</v>
      </c>
      <c r="F115" s="177" t="str">
        <f>IF($A$1="Peak","-",'Base Hours'!F115*BaseLoad!L114*'Base Hours'!$AA115)</f>
        <v>-</v>
      </c>
      <c r="G115" s="177" t="str">
        <f>IF($A$1="Peak","-",'Base Hours'!G115*BaseLoad!M114*'Base Hours'!$AA115)</f>
        <v>-</v>
      </c>
      <c r="H115" s="177" t="str">
        <f>IF($A$1="Peak","-",'Base Hours'!H115*BaseLoad!N114*'Base Hours'!$AA115)</f>
        <v>-</v>
      </c>
      <c r="I115" s="177" t="str">
        <f>IF($A$1="Peak","-",'Base Hours'!I115*BaseLoad!O114*'Base Hours'!$AA115)</f>
        <v>-</v>
      </c>
      <c r="J115" s="177" t="str">
        <f>IF($A$1="Peak","-",'Base Hours'!J115*BaseLoad!P114*'Base Hours'!$AA115)</f>
        <v>-</v>
      </c>
      <c r="K115" s="177" t="str">
        <f>IF($A$1="Peak","-",'Base Hours'!K115*BaseLoad!Q114*'Base Hours'!$AA115)</f>
        <v>-</v>
      </c>
      <c r="L115" s="177" t="str">
        <f>IF($A$1="Peak","-",'Base Hours'!L115*BaseLoad!R114*'Base Hours'!$AA115)</f>
        <v>-</v>
      </c>
      <c r="M115" s="177" t="str">
        <f>IF($A$1="Peak","-",'Base Hours'!M115*BaseLoad!S114*'Base Hours'!$AA115)</f>
        <v>-</v>
      </c>
      <c r="N115" s="177" t="str">
        <f>IF($A$1="Peak","-",'Base Hours'!N115*BaseLoad!T114*'Base Hours'!$AA115)</f>
        <v>-</v>
      </c>
      <c r="O115" s="177" t="str">
        <f>IF($A$1="Peak","-",'Base Hours'!O115*BaseLoad!U114*'Base Hours'!$AA115)</f>
        <v>-</v>
      </c>
      <c r="P115" s="177" t="str">
        <f>IF($A$1="Peak","-",'Base Hours'!P115*BaseLoad!V114*'Base Hours'!$AA115)</f>
        <v>-</v>
      </c>
      <c r="Q115" s="177" t="str">
        <f>IF($A$1="Peak","-",'Base Hours'!Q115*BaseLoad!W114*'Base Hours'!$AA115)</f>
        <v>-</v>
      </c>
      <c r="R115" s="177" t="str">
        <f>IF($A$1="Peak","-",'Base Hours'!R115*BaseLoad!X114*'Base Hours'!$AA115)</f>
        <v>-</v>
      </c>
      <c r="S115" s="177" t="str">
        <f>IF($A$1="Peak","-",'Base Hours'!S115*BaseLoad!Y114*'Base Hours'!$AA115)</f>
        <v>-</v>
      </c>
      <c r="T115" s="177" t="str">
        <f>IF($A$1="Peak","-",'Base Hours'!T115*BaseLoad!Z114*'Base Hours'!$AA115)</f>
        <v>-</v>
      </c>
      <c r="U115" s="177" t="str">
        <f>IF($A$1="Peak","-",'Base Hours'!U115*BaseLoad!AA114*'Base Hours'!$AA115)</f>
        <v>-</v>
      </c>
      <c r="V115" s="177">
        <f t="shared" si="4"/>
        <v>0</v>
      </c>
      <c r="W115" s="177"/>
      <c r="X115" s="177"/>
      <c r="Y115" s="206"/>
      <c r="Z115" s="206">
        <f>(BaseLoad!C114*'Base Hours'!V115*'Base Hours'!$AA115)*-1</f>
        <v>0</v>
      </c>
      <c r="AA115" s="206"/>
      <c r="AB115" s="206">
        <f>(BaseLoad!D114*'Base Hours'!V115*'Base Hours'!$AA115)*-1</f>
        <v>0</v>
      </c>
      <c r="AC115" s="206"/>
      <c r="AD115" s="206">
        <f>(BaseLoad!E114*'Base Hours'!V115*'Base Hours'!$AA115)*-1</f>
        <v>0</v>
      </c>
      <c r="AE115" s="206"/>
      <c r="AF115" s="206">
        <f>(BaseLoad!F114*'Base Hours'!V115*'Base Hours'!$AA115)*-1</f>
        <v>0</v>
      </c>
      <c r="AG115" s="206"/>
    </row>
    <row r="116" spans="1:33" x14ac:dyDescent="0.2">
      <c r="A116" s="1">
        <f t="shared" si="3"/>
        <v>39764.202000000136</v>
      </c>
      <c r="B116" s="177" t="str">
        <f>IF($A$1="Peak","-",'Base Hours'!B116*BaseLoad!H115*'Base Hours'!$AA116)</f>
        <v>-</v>
      </c>
      <c r="C116" s="177" t="str">
        <f>IF($A$1="Peak","-",'Base Hours'!C116*BaseLoad!I115*'Base Hours'!$AA116)</f>
        <v>-</v>
      </c>
      <c r="D116" s="177" t="str">
        <f>IF($A$1="Peak","-",'Base Hours'!D116*BaseLoad!J115*'Base Hours'!$AA116)</f>
        <v>-</v>
      </c>
      <c r="E116" s="177" t="str">
        <f>IF($A$1="Peak","-",'Base Hours'!E116*BaseLoad!K115*'Base Hours'!$AA116)</f>
        <v>-</v>
      </c>
      <c r="F116" s="177" t="str">
        <f>IF($A$1="Peak","-",'Base Hours'!F116*BaseLoad!L115*'Base Hours'!$AA116)</f>
        <v>-</v>
      </c>
      <c r="G116" s="177" t="str">
        <f>IF($A$1="Peak","-",'Base Hours'!G116*BaseLoad!M115*'Base Hours'!$AA116)</f>
        <v>-</v>
      </c>
      <c r="H116" s="177" t="str">
        <f>IF($A$1="Peak","-",'Base Hours'!H116*BaseLoad!N115*'Base Hours'!$AA116)</f>
        <v>-</v>
      </c>
      <c r="I116" s="177" t="str">
        <f>IF($A$1="Peak","-",'Base Hours'!I116*BaseLoad!O115*'Base Hours'!$AA116)</f>
        <v>-</v>
      </c>
      <c r="J116" s="177" t="str">
        <f>IF($A$1="Peak","-",'Base Hours'!J116*BaseLoad!P115*'Base Hours'!$AA116)</f>
        <v>-</v>
      </c>
      <c r="K116" s="177" t="str">
        <f>IF($A$1="Peak","-",'Base Hours'!K116*BaseLoad!Q115*'Base Hours'!$AA116)</f>
        <v>-</v>
      </c>
      <c r="L116" s="177" t="str">
        <f>IF($A$1="Peak","-",'Base Hours'!L116*BaseLoad!R115*'Base Hours'!$AA116)</f>
        <v>-</v>
      </c>
      <c r="M116" s="177" t="str">
        <f>IF($A$1="Peak","-",'Base Hours'!M116*BaseLoad!S115*'Base Hours'!$AA116)</f>
        <v>-</v>
      </c>
      <c r="N116" s="177" t="str">
        <f>IF($A$1="Peak","-",'Base Hours'!N116*BaseLoad!T115*'Base Hours'!$AA116)</f>
        <v>-</v>
      </c>
      <c r="O116" s="177" t="str">
        <f>IF($A$1="Peak","-",'Base Hours'!O116*BaseLoad!U115*'Base Hours'!$AA116)</f>
        <v>-</v>
      </c>
      <c r="P116" s="177" t="str">
        <f>IF($A$1="Peak","-",'Base Hours'!P116*BaseLoad!V115*'Base Hours'!$AA116)</f>
        <v>-</v>
      </c>
      <c r="Q116" s="177" t="str">
        <f>IF($A$1="Peak","-",'Base Hours'!Q116*BaseLoad!W115*'Base Hours'!$AA116)</f>
        <v>-</v>
      </c>
      <c r="R116" s="177" t="str">
        <f>IF($A$1="Peak","-",'Base Hours'!R116*BaseLoad!X115*'Base Hours'!$AA116)</f>
        <v>-</v>
      </c>
      <c r="S116" s="177" t="str">
        <f>IF($A$1="Peak","-",'Base Hours'!S116*BaseLoad!Y115*'Base Hours'!$AA116)</f>
        <v>-</v>
      </c>
      <c r="T116" s="177" t="str">
        <f>IF($A$1="Peak","-",'Base Hours'!T116*BaseLoad!Z115*'Base Hours'!$AA116)</f>
        <v>-</v>
      </c>
      <c r="U116" s="177" t="str">
        <f>IF($A$1="Peak","-",'Base Hours'!U116*BaseLoad!AA115*'Base Hours'!$AA116)</f>
        <v>-</v>
      </c>
      <c r="V116" s="177">
        <f t="shared" si="4"/>
        <v>0</v>
      </c>
      <c r="W116" s="177"/>
      <c r="X116" s="177"/>
      <c r="Y116" s="206"/>
      <c r="Z116" s="206">
        <f>(BaseLoad!C115*'Base Hours'!V116*'Base Hours'!$AA116)*-1</f>
        <v>0</v>
      </c>
      <c r="AA116" s="206"/>
      <c r="AB116" s="206">
        <f>(BaseLoad!D115*'Base Hours'!V116*'Base Hours'!$AA116)*-1</f>
        <v>0</v>
      </c>
      <c r="AC116" s="206"/>
      <c r="AD116" s="206">
        <f>(BaseLoad!E115*'Base Hours'!V116*'Base Hours'!$AA116)*-1</f>
        <v>0</v>
      </c>
      <c r="AE116" s="206"/>
      <c r="AF116" s="206">
        <f>(BaseLoad!F115*'Base Hours'!V116*'Base Hours'!$AA116)*-1</f>
        <v>0</v>
      </c>
      <c r="AG116" s="206"/>
    </row>
    <row r="117" spans="1:33" x14ac:dyDescent="0.2">
      <c r="A117" s="1">
        <f t="shared" si="3"/>
        <v>39794.619000000137</v>
      </c>
      <c r="B117" s="177" t="str">
        <f>IF($A$1="Peak","-",'Base Hours'!B117*BaseLoad!H116*'Base Hours'!$AA117)</f>
        <v>-</v>
      </c>
      <c r="C117" s="177" t="str">
        <f>IF($A$1="Peak","-",'Base Hours'!C117*BaseLoad!I116*'Base Hours'!$AA117)</f>
        <v>-</v>
      </c>
      <c r="D117" s="177" t="str">
        <f>IF($A$1="Peak","-",'Base Hours'!D117*BaseLoad!J116*'Base Hours'!$AA117)</f>
        <v>-</v>
      </c>
      <c r="E117" s="177" t="str">
        <f>IF($A$1="Peak","-",'Base Hours'!E117*BaseLoad!K116*'Base Hours'!$AA117)</f>
        <v>-</v>
      </c>
      <c r="F117" s="177" t="str">
        <f>IF($A$1="Peak","-",'Base Hours'!F117*BaseLoad!L116*'Base Hours'!$AA117)</f>
        <v>-</v>
      </c>
      <c r="G117" s="177" t="str">
        <f>IF($A$1="Peak","-",'Base Hours'!G117*BaseLoad!M116*'Base Hours'!$AA117)</f>
        <v>-</v>
      </c>
      <c r="H117" s="177" t="str">
        <f>IF($A$1="Peak","-",'Base Hours'!H117*BaseLoad!N116*'Base Hours'!$AA117)</f>
        <v>-</v>
      </c>
      <c r="I117" s="177" t="str">
        <f>IF($A$1="Peak","-",'Base Hours'!I117*BaseLoad!O116*'Base Hours'!$AA117)</f>
        <v>-</v>
      </c>
      <c r="J117" s="177" t="str">
        <f>IF($A$1="Peak","-",'Base Hours'!J117*BaseLoad!P116*'Base Hours'!$AA117)</f>
        <v>-</v>
      </c>
      <c r="K117" s="177" t="str">
        <f>IF($A$1="Peak","-",'Base Hours'!K117*BaseLoad!Q116*'Base Hours'!$AA117)</f>
        <v>-</v>
      </c>
      <c r="L117" s="177" t="str">
        <f>IF($A$1="Peak","-",'Base Hours'!L117*BaseLoad!R116*'Base Hours'!$AA117)</f>
        <v>-</v>
      </c>
      <c r="M117" s="177" t="str">
        <f>IF($A$1="Peak","-",'Base Hours'!M117*BaseLoad!S116*'Base Hours'!$AA117)</f>
        <v>-</v>
      </c>
      <c r="N117" s="177" t="str">
        <f>IF($A$1="Peak","-",'Base Hours'!N117*BaseLoad!T116*'Base Hours'!$AA117)</f>
        <v>-</v>
      </c>
      <c r="O117" s="177" t="str">
        <f>IF($A$1="Peak","-",'Base Hours'!O117*BaseLoad!U116*'Base Hours'!$AA117)</f>
        <v>-</v>
      </c>
      <c r="P117" s="177" t="str">
        <f>IF($A$1="Peak","-",'Base Hours'!P117*BaseLoad!V116*'Base Hours'!$AA117)</f>
        <v>-</v>
      </c>
      <c r="Q117" s="177" t="str">
        <f>IF($A$1="Peak","-",'Base Hours'!Q117*BaseLoad!W116*'Base Hours'!$AA117)</f>
        <v>-</v>
      </c>
      <c r="R117" s="177" t="str">
        <f>IF($A$1="Peak","-",'Base Hours'!R117*BaseLoad!X116*'Base Hours'!$AA117)</f>
        <v>-</v>
      </c>
      <c r="S117" s="177" t="str">
        <f>IF($A$1="Peak","-",'Base Hours'!S117*BaseLoad!Y116*'Base Hours'!$AA117)</f>
        <v>-</v>
      </c>
      <c r="T117" s="177" t="str">
        <f>IF($A$1="Peak","-",'Base Hours'!T117*BaseLoad!Z116*'Base Hours'!$AA117)</f>
        <v>-</v>
      </c>
      <c r="U117" s="177" t="str">
        <f>IF($A$1="Peak","-",'Base Hours'!U117*BaseLoad!AA116*'Base Hours'!$AA117)</f>
        <v>-</v>
      </c>
      <c r="V117" s="177">
        <f t="shared" si="4"/>
        <v>0</v>
      </c>
      <c r="W117" s="177"/>
      <c r="X117" s="177"/>
      <c r="Y117" s="206">
        <f>SUM(B106:U117)</f>
        <v>0</v>
      </c>
      <c r="Z117" s="206">
        <f>(BaseLoad!C116*'Base Hours'!V117*'Base Hours'!$AA117)*-1</f>
        <v>0</v>
      </c>
      <c r="AA117" s="206">
        <f>SUM(Z106:Z117)</f>
        <v>0</v>
      </c>
      <c r="AB117" s="206">
        <f>(BaseLoad!D116*'Base Hours'!V117*'Base Hours'!$AA117)*-1</f>
        <v>0</v>
      </c>
      <c r="AC117" s="206">
        <f>SUM(AB106:AB117)</f>
        <v>0</v>
      </c>
      <c r="AD117" s="206">
        <f>(BaseLoad!E116*'Base Hours'!V117*'Base Hours'!$AA117)*-1</f>
        <v>0</v>
      </c>
      <c r="AE117" s="206">
        <f>SUM(AD106:AD117)</f>
        <v>0</v>
      </c>
      <c r="AF117" s="206">
        <f>(BaseLoad!F116*'Base Hours'!V117*'Base Hours'!$AA117)*-1</f>
        <v>0</v>
      </c>
      <c r="AG117" s="206">
        <f>SUM(AF106:AF117)</f>
        <v>0</v>
      </c>
    </row>
    <row r="118" spans="1:33" x14ac:dyDescent="0.2">
      <c r="A118" s="1">
        <f t="shared" si="3"/>
        <v>39825.036000000138</v>
      </c>
      <c r="B118" s="177" t="str">
        <f>IF($A$1="Peak","-",'Base Hours'!B118*BaseLoad!H117*'Base Hours'!$AA118)</f>
        <v>-</v>
      </c>
      <c r="C118" s="177" t="str">
        <f>IF($A$1="Peak","-",'Base Hours'!C118*BaseLoad!I117*'Base Hours'!$AA118)</f>
        <v>-</v>
      </c>
      <c r="D118" s="177" t="str">
        <f>IF($A$1="Peak","-",'Base Hours'!D118*BaseLoad!J117*'Base Hours'!$AA118)</f>
        <v>-</v>
      </c>
      <c r="E118" s="177" t="str">
        <f>IF($A$1="Peak","-",'Base Hours'!E118*BaseLoad!K117*'Base Hours'!$AA118)</f>
        <v>-</v>
      </c>
      <c r="F118" s="177" t="str">
        <f>IF($A$1="Peak","-",'Base Hours'!F118*BaseLoad!L117*'Base Hours'!$AA118)</f>
        <v>-</v>
      </c>
      <c r="G118" s="177" t="str">
        <f>IF($A$1="Peak","-",'Base Hours'!G118*BaseLoad!M117*'Base Hours'!$AA118)</f>
        <v>-</v>
      </c>
      <c r="H118" s="177" t="str">
        <f>IF($A$1="Peak","-",'Base Hours'!H118*BaseLoad!N117*'Base Hours'!$AA118)</f>
        <v>-</v>
      </c>
      <c r="I118" s="177" t="str">
        <f>IF($A$1="Peak","-",'Base Hours'!I118*BaseLoad!O117*'Base Hours'!$AA118)</f>
        <v>-</v>
      </c>
      <c r="J118" s="177" t="str">
        <f>IF($A$1="Peak","-",'Base Hours'!J118*BaseLoad!P117*'Base Hours'!$AA118)</f>
        <v>-</v>
      </c>
      <c r="K118" s="177" t="str">
        <f>IF($A$1="Peak","-",'Base Hours'!K118*BaseLoad!Q117*'Base Hours'!$AA118)</f>
        <v>-</v>
      </c>
      <c r="L118" s="177" t="str">
        <f>IF($A$1="Peak","-",'Base Hours'!L118*BaseLoad!R117*'Base Hours'!$AA118)</f>
        <v>-</v>
      </c>
      <c r="M118" s="177" t="str">
        <f>IF($A$1="Peak","-",'Base Hours'!M118*BaseLoad!S117*'Base Hours'!$AA118)</f>
        <v>-</v>
      </c>
      <c r="N118" s="177" t="str">
        <f>IF($A$1="Peak","-",'Base Hours'!N118*BaseLoad!T117*'Base Hours'!$AA118)</f>
        <v>-</v>
      </c>
      <c r="O118" s="177" t="str">
        <f>IF($A$1="Peak","-",'Base Hours'!O118*BaseLoad!U117*'Base Hours'!$AA118)</f>
        <v>-</v>
      </c>
      <c r="P118" s="177" t="str">
        <f>IF($A$1="Peak","-",'Base Hours'!P118*BaseLoad!V117*'Base Hours'!$AA118)</f>
        <v>-</v>
      </c>
      <c r="Q118" s="177" t="str">
        <f>IF($A$1="Peak","-",'Base Hours'!Q118*BaseLoad!W117*'Base Hours'!$AA118)</f>
        <v>-</v>
      </c>
      <c r="R118" s="177" t="str">
        <f>IF($A$1="Peak","-",'Base Hours'!R118*BaseLoad!X117*'Base Hours'!$AA118)</f>
        <v>-</v>
      </c>
      <c r="S118" s="177" t="str">
        <f>IF($A$1="Peak","-",'Base Hours'!S118*BaseLoad!Y117*'Base Hours'!$AA118)</f>
        <v>-</v>
      </c>
      <c r="T118" s="177" t="str">
        <f>IF($A$1="Peak","-",'Base Hours'!T118*BaseLoad!Z117*'Base Hours'!$AA118)</f>
        <v>-</v>
      </c>
      <c r="U118" s="177" t="str">
        <f>IF($A$1="Peak","-",'Base Hours'!U118*BaseLoad!AA117*'Base Hours'!$AA118)</f>
        <v>-</v>
      </c>
      <c r="V118" s="177">
        <f t="shared" si="4"/>
        <v>0</v>
      </c>
      <c r="W118" s="177"/>
      <c r="X118" s="177"/>
      <c r="Y118" s="206"/>
      <c r="Z118" s="206">
        <f>(BaseLoad!C117*'Base Hours'!V118*'Base Hours'!$AA118)*-1</f>
        <v>0</v>
      </c>
      <c r="AA118" s="206"/>
      <c r="AB118" s="206">
        <f>(BaseLoad!D117*'Base Hours'!V118*'Base Hours'!$AA118)*-1</f>
        <v>0</v>
      </c>
      <c r="AC118" s="206"/>
      <c r="AD118" s="206">
        <f>(BaseLoad!E117*'Base Hours'!V118*'Base Hours'!$AA118)*-1</f>
        <v>0</v>
      </c>
      <c r="AE118" s="206"/>
      <c r="AF118" s="206">
        <f>(BaseLoad!F117*'Base Hours'!V118*'Base Hours'!$AA118)*-1</f>
        <v>0</v>
      </c>
      <c r="AG118" s="206"/>
    </row>
    <row r="119" spans="1:33" x14ac:dyDescent="0.2">
      <c r="A119" s="1">
        <f t="shared" si="3"/>
        <v>39855.45300000014</v>
      </c>
      <c r="B119" s="177" t="str">
        <f>IF($A$1="Peak","-",'Base Hours'!B119*BaseLoad!H118*'Base Hours'!$AA119)</f>
        <v>-</v>
      </c>
      <c r="C119" s="177" t="str">
        <f>IF($A$1="Peak","-",'Base Hours'!C119*BaseLoad!I118*'Base Hours'!$AA119)</f>
        <v>-</v>
      </c>
      <c r="D119" s="177" t="str">
        <f>IF($A$1="Peak","-",'Base Hours'!D119*BaseLoad!J118*'Base Hours'!$AA119)</f>
        <v>-</v>
      </c>
      <c r="E119" s="177" t="str">
        <f>IF($A$1="Peak","-",'Base Hours'!E119*BaseLoad!K118*'Base Hours'!$AA119)</f>
        <v>-</v>
      </c>
      <c r="F119" s="177" t="str">
        <f>IF($A$1="Peak","-",'Base Hours'!F119*BaseLoad!L118*'Base Hours'!$AA119)</f>
        <v>-</v>
      </c>
      <c r="G119" s="177" t="str">
        <f>IF($A$1="Peak","-",'Base Hours'!G119*BaseLoad!M118*'Base Hours'!$AA119)</f>
        <v>-</v>
      </c>
      <c r="H119" s="177" t="str">
        <f>IF($A$1="Peak","-",'Base Hours'!H119*BaseLoad!N118*'Base Hours'!$AA119)</f>
        <v>-</v>
      </c>
      <c r="I119" s="177" t="str">
        <f>IF($A$1="Peak","-",'Base Hours'!I119*BaseLoad!O118*'Base Hours'!$AA119)</f>
        <v>-</v>
      </c>
      <c r="J119" s="177" t="str">
        <f>IF($A$1="Peak","-",'Base Hours'!J119*BaseLoad!P118*'Base Hours'!$AA119)</f>
        <v>-</v>
      </c>
      <c r="K119" s="177" t="str">
        <f>IF($A$1="Peak","-",'Base Hours'!K119*BaseLoad!Q118*'Base Hours'!$AA119)</f>
        <v>-</v>
      </c>
      <c r="L119" s="177" t="str">
        <f>IF($A$1="Peak","-",'Base Hours'!L119*BaseLoad!R118*'Base Hours'!$AA119)</f>
        <v>-</v>
      </c>
      <c r="M119" s="177" t="str">
        <f>IF($A$1="Peak","-",'Base Hours'!M119*BaseLoad!S118*'Base Hours'!$AA119)</f>
        <v>-</v>
      </c>
      <c r="N119" s="177" t="str">
        <f>IF($A$1="Peak","-",'Base Hours'!N119*BaseLoad!T118*'Base Hours'!$AA119)</f>
        <v>-</v>
      </c>
      <c r="O119" s="177" t="str">
        <f>IF($A$1="Peak","-",'Base Hours'!O119*BaseLoad!U118*'Base Hours'!$AA119)</f>
        <v>-</v>
      </c>
      <c r="P119" s="177" t="str">
        <f>IF($A$1="Peak","-",'Base Hours'!P119*BaseLoad!V118*'Base Hours'!$AA119)</f>
        <v>-</v>
      </c>
      <c r="Q119" s="177" t="str">
        <f>IF($A$1="Peak","-",'Base Hours'!Q119*BaseLoad!W118*'Base Hours'!$AA119)</f>
        <v>-</v>
      </c>
      <c r="R119" s="177" t="str">
        <f>IF($A$1="Peak","-",'Base Hours'!R119*BaseLoad!X118*'Base Hours'!$AA119)</f>
        <v>-</v>
      </c>
      <c r="S119" s="177" t="str">
        <f>IF($A$1="Peak","-",'Base Hours'!S119*BaseLoad!Y118*'Base Hours'!$AA119)</f>
        <v>-</v>
      </c>
      <c r="T119" s="177" t="str">
        <f>IF($A$1="Peak","-",'Base Hours'!T119*BaseLoad!Z118*'Base Hours'!$AA119)</f>
        <v>-</v>
      </c>
      <c r="U119" s="177" t="str">
        <f>IF($A$1="Peak","-",'Base Hours'!U119*BaseLoad!AA118*'Base Hours'!$AA119)</f>
        <v>-</v>
      </c>
      <c r="V119" s="177">
        <f t="shared" si="4"/>
        <v>0</v>
      </c>
      <c r="W119" s="177"/>
      <c r="X119" s="177"/>
      <c r="Y119" s="206"/>
      <c r="Z119" s="206">
        <f>(BaseLoad!C118*'Base Hours'!V119*'Base Hours'!$AA119)*-1</f>
        <v>0</v>
      </c>
      <c r="AA119" s="206"/>
      <c r="AB119" s="206">
        <f>(BaseLoad!D118*'Base Hours'!V119*'Base Hours'!$AA119)*-1</f>
        <v>0</v>
      </c>
      <c r="AC119" s="206"/>
      <c r="AD119" s="206">
        <f>(BaseLoad!E118*'Base Hours'!V119*'Base Hours'!$AA119)*-1</f>
        <v>0</v>
      </c>
      <c r="AE119" s="206"/>
      <c r="AF119" s="206">
        <f>(BaseLoad!F118*'Base Hours'!V119*'Base Hours'!$AA119)*-1</f>
        <v>0</v>
      </c>
      <c r="AG119" s="206"/>
    </row>
    <row r="120" spans="1:33" x14ac:dyDescent="0.2">
      <c r="A120" s="1">
        <f t="shared" si="3"/>
        <v>39885.870000000141</v>
      </c>
      <c r="B120" s="177" t="str">
        <f>IF($A$1="Peak","-",'Base Hours'!B120*BaseLoad!H119*'Base Hours'!$AA120)</f>
        <v>-</v>
      </c>
      <c r="C120" s="177" t="str">
        <f>IF($A$1="Peak","-",'Base Hours'!C120*BaseLoad!I119*'Base Hours'!$AA120)</f>
        <v>-</v>
      </c>
      <c r="D120" s="177" t="str">
        <f>IF($A$1="Peak","-",'Base Hours'!D120*BaseLoad!J119*'Base Hours'!$AA120)</f>
        <v>-</v>
      </c>
      <c r="E120" s="177" t="str">
        <f>IF($A$1="Peak","-",'Base Hours'!E120*BaseLoad!K119*'Base Hours'!$AA120)</f>
        <v>-</v>
      </c>
      <c r="F120" s="177" t="str">
        <f>IF($A$1="Peak","-",'Base Hours'!F120*BaseLoad!L119*'Base Hours'!$AA120)</f>
        <v>-</v>
      </c>
      <c r="G120" s="177" t="str">
        <f>IF($A$1="Peak","-",'Base Hours'!G120*BaseLoad!M119*'Base Hours'!$AA120)</f>
        <v>-</v>
      </c>
      <c r="H120" s="177" t="str">
        <f>IF($A$1="Peak","-",'Base Hours'!H120*BaseLoad!N119*'Base Hours'!$AA120)</f>
        <v>-</v>
      </c>
      <c r="I120" s="177" t="str">
        <f>IF($A$1="Peak","-",'Base Hours'!I120*BaseLoad!O119*'Base Hours'!$AA120)</f>
        <v>-</v>
      </c>
      <c r="J120" s="177" t="str">
        <f>IF($A$1="Peak","-",'Base Hours'!J120*BaseLoad!P119*'Base Hours'!$AA120)</f>
        <v>-</v>
      </c>
      <c r="K120" s="177" t="str">
        <f>IF($A$1="Peak","-",'Base Hours'!K120*BaseLoad!Q119*'Base Hours'!$AA120)</f>
        <v>-</v>
      </c>
      <c r="L120" s="177" t="str">
        <f>IF($A$1="Peak","-",'Base Hours'!L120*BaseLoad!R119*'Base Hours'!$AA120)</f>
        <v>-</v>
      </c>
      <c r="M120" s="177" t="str">
        <f>IF($A$1="Peak","-",'Base Hours'!M120*BaseLoad!S119*'Base Hours'!$AA120)</f>
        <v>-</v>
      </c>
      <c r="N120" s="177" t="str">
        <f>IF($A$1="Peak","-",'Base Hours'!N120*BaseLoad!T119*'Base Hours'!$AA120)</f>
        <v>-</v>
      </c>
      <c r="O120" s="177" t="str">
        <f>IF($A$1="Peak","-",'Base Hours'!O120*BaseLoad!U119*'Base Hours'!$AA120)</f>
        <v>-</v>
      </c>
      <c r="P120" s="177" t="str">
        <f>IF($A$1="Peak","-",'Base Hours'!P120*BaseLoad!V119*'Base Hours'!$AA120)</f>
        <v>-</v>
      </c>
      <c r="Q120" s="177" t="str">
        <f>IF($A$1="Peak","-",'Base Hours'!Q120*BaseLoad!W119*'Base Hours'!$AA120)</f>
        <v>-</v>
      </c>
      <c r="R120" s="177" t="str">
        <f>IF($A$1="Peak","-",'Base Hours'!R120*BaseLoad!X119*'Base Hours'!$AA120)</f>
        <v>-</v>
      </c>
      <c r="S120" s="177" t="str">
        <f>IF($A$1="Peak","-",'Base Hours'!S120*BaseLoad!Y119*'Base Hours'!$AA120)</f>
        <v>-</v>
      </c>
      <c r="T120" s="177" t="str">
        <f>IF($A$1="Peak","-",'Base Hours'!T120*BaseLoad!Z119*'Base Hours'!$AA120)</f>
        <v>-</v>
      </c>
      <c r="U120" s="177" t="str">
        <f>IF($A$1="Peak","-",'Base Hours'!U120*BaseLoad!AA119*'Base Hours'!$AA120)</f>
        <v>-</v>
      </c>
      <c r="V120" s="177">
        <f t="shared" si="4"/>
        <v>0</v>
      </c>
      <c r="W120" s="177"/>
      <c r="X120" s="177"/>
      <c r="Y120" s="206"/>
      <c r="Z120" s="206">
        <f>(BaseLoad!C119*'Base Hours'!V120*'Base Hours'!$AA120)*-1</f>
        <v>0</v>
      </c>
      <c r="AA120" s="206"/>
      <c r="AB120" s="206">
        <f>(BaseLoad!D119*'Base Hours'!V120*'Base Hours'!$AA120)*-1</f>
        <v>0</v>
      </c>
      <c r="AC120" s="206"/>
      <c r="AD120" s="206">
        <f>(BaseLoad!E119*'Base Hours'!V120*'Base Hours'!$AA120)*-1</f>
        <v>0</v>
      </c>
      <c r="AE120" s="206"/>
      <c r="AF120" s="206">
        <f>(BaseLoad!F119*'Base Hours'!V120*'Base Hours'!$AA120)*-1</f>
        <v>0</v>
      </c>
      <c r="AG120" s="206"/>
    </row>
    <row r="121" spans="1:33" x14ac:dyDescent="0.2">
      <c r="A121" s="1">
        <f t="shared" si="3"/>
        <v>39916.287000000142</v>
      </c>
      <c r="B121" s="177" t="str">
        <f>IF($A$1="Peak","-",'Base Hours'!B121*BaseLoad!H120*'Base Hours'!$AA121)</f>
        <v>-</v>
      </c>
      <c r="C121" s="177" t="str">
        <f>IF($A$1="Peak","-",'Base Hours'!C121*BaseLoad!I120*'Base Hours'!$AA121)</f>
        <v>-</v>
      </c>
      <c r="D121" s="177" t="str">
        <f>IF($A$1="Peak","-",'Base Hours'!D121*BaseLoad!J120*'Base Hours'!$AA121)</f>
        <v>-</v>
      </c>
      <c r="E121" s="177" t="str">
        <f>IF($A$1="Peak","-",'Base Hours'!E121*BaseLoad!K120*'Base Hours'!$AA121)</f>
        <v>-</v>
      </c>
      <c r="F121" s="177" t="str">
        <f>IF($A$1="Peak","-",'Base Hours'!F121*BaseLoad!L120*'Base Hours'!$AA121)</f>
        <v>-</v>
      </c>
      <c r="G121" s="177" t="str">
        <f>IF($A$1="Peak","-",'Base Hours'!G121*BaseLoad!M120*'Base Hours'!$AA121)</f>
        <v>-</v>
      </c>
      <c r="H121" s="177" t="str">
        <f>IF($A$1="Peak","-",'Base Hours'!H121*BaseLoad!N120*'Base Hours'!$AA121)</f>
        <v>-</v>
      </c>
      <c r="I121" s="177" t="str">
        <f>IF($A$1="Peak","-",'Base Hours'!I121*BaseLoad!O120*'Base Hours'!$AA121)</f>
        <v>-</v>
      </c>
      <c r="J121" s="177" t="str">
        <f>IF($A$1="Peak","-",'Base Hours'!J121*BaseLoad!P120*'Base Hours'!$AA121)</f>
        <v>-</v>
      </c>
      <c r="K121" s="177" t="str">
        <f>IF($A$1="Peak","-",'Base Hours'!K121*BaseLoad!Q120*'Base Hours'!$AA121)</f>
        <v>-</v>
      </c>
      <c r="L121" s="177" t="str">
        <f>IF($A$1="Peak","-",'Base Hours'!L121*BaseLoad!R120*'Base Hours'!$AA121)</f>
        <v>-</v>
      </c>
      <c r="M121" s="177" t="str">
        <f>IF($A$1="Peak","-",'Base Hours'!M121*BaseLoad!S120*'Base Hours'!$AA121)</f>
        <v>-</v>
      </c>
      <c r="N121" s="177" t="str">
        <f>IF($A$1="Peak","-",'Base Hours'!N121*BaseLoad!T120*'Base Hours'!$AA121)</f>
        <v>-</v>
      </c>
      <c r="O121" s="177" t="str">
        <f>IF($A$1="Peak","-",'Base Hours'!O121*BaseLoad!U120*'Base Hours'!$AA121)</f>
        <v>-</v>
      </c>
      <c r="P121" s="177" t="str">
        <f>IF($A$1="Peak","-",'Base Hours'!P121*BaseLoad!V120*'Base Hours'!$AA121)</f>
        <v>-</v>
      </c>
      <c r="Q121" s="177" t="str">
        <f>IF($A$1="Peak","-",'Base Hours'!Q121*BaseLoad!W120*'Base Hours'!$AA121)</f>
        <v>-</v>
      </c>
      <c r="R121" s="177" t="str">
        <f>IF($A$1="Peak","-",'Base Hours'!R121*BaseLoad!X120*'Base Hours'!$AA121)</f>
        <v>-</v>
      </c>
      <c r="S121" s="177" t="str">
        <f>IF($A$1="Peak","-",'Base Hours'!S121*BaseLoad!Y120*'Base Hours'!$AA121)</f>
        <v>-</v>
      </c>
      <c r="T121" s="177" t="str">
        <f>IF($A$1="Peak","-",'Base Hours'!T121*BaseLoad!Z120*'Base Hours'!$AA121)</f>
        <v>-</v>
      </c>
      <c r="U121" s="177" t="str">
        <f>IF($A$1="Peak","-",'Base Hours'!U121*BaseLoad!AA120*'Base Hours'!$AA121)</f>
        <v>-</v>
      </c>
      <c r="V121" s="177">
        <f t="shared" si="4"/>
        <v>0</v>
      </c>
      <c r="W121" s="177"/>
      <c r="X121" s="177"/>
      <c r="Y121" s="206"/>
      <c r="Z121" s="206">
        <f>(BaseLoad!C120*'Base Hours'!V121*'Base Hours'!$AA121)*-1</f>
        <v>0</v>
      </c>
      <c r="AA121" s="206"/>
      <c r="AB121" s="206">
        <f>(BaseLoad!D120*'Base Hours'!V121*'Base Hours'!$AA121)*-1</f>
        <v>0</v>
      </c>
      <c r="AC121" s="206"/>
      <c r="AD121" s="206">
        <f>(BaseLoad!E120*'Base Hours'!V121*'Base Hours'!$AA121)*-1</f>
        <v>0</v>
      </c>
      <c r="AE121" s="206"/>
      <c r="AF121" s="206">
        <f>(BaseLoad!F120*'Base Hours'!V121*'Base Hours'!$AA121)*-1</f>
        <v>0</v>
      </c>
      <c r="AG121" s="206"/>
    </row>
    <row r="122" spans="1:33" x14ac:dyDescent="0.2">
      <c r="A122" s="1">
        <f t="shared" si="3"/>
        <v>39946.704000000143</v>
      </c>
      <c r="B122" s="177" t="str">
        <f>IF($A$1="Peak","-",'Base Hours'!B122*BaseLoad!H121*'Base Hours'!$AA122)</f>
        <v>-</v>
      </c>
      <c r="C122" s="177" t="str">
        <f>IF($A$1="Peak","-",'Base Hours'!C122*BaseLoad!I121*'Base Hours'!$AA122)</f>
        <v>-</v>
      </c>
      <c r="D122" s="177" t="str">
        <f>IF($A$1="Peak","-",'Base Hours'!D122*BaseLoad!J121*'Base Hours'!$AA122)</f>
        <v>-</v>
      </c>
      <c r="E122" s="177" t="str">
        <f>IF($A$1="Peak","-",'Base Hours'!E122*BaseLoad!K121*'Base Hours'!$AA122)</f>
        <v>-</v>
      </c>
      <c r="F122" s="177" t="str">
        <f>IF($A$1="Peak","-",'Base Hours'!F122*BaseLoad!L121*'Base Hours'!$AA122)</f>
        <v>-</v>
      </c>
      <c r="G122" s="177" t="str">
        <f>IF($A$1="Peak","-",'Base Hours'!G122*BaseLoad!M121*'Base Hours'!$AA122)</f>
        <v>-</v>
      </c>
      <c r="H122" s="177" t="str">
        <f>IF($A$1="Peak","-",'Base Hours'!H122*BaseLoad!N121*'Base Hours'!$AA122)</f>
        <v>-</v>
      </c>
      <c r="I122" s="177" t="str">
        <f>IF($A$1="Peak","-",'Base Hours'!I122*BaseLoad!O121*'Base Hours'!$AA122)</f>
        <v>-</v>
      </c>
      <c r="J122" s="177" t="str">
        <f>IF($A$1="Peak","-",'Base Hours'!J122*BaseLoad!P121*'Base Hours'!$AA122)</f>
        <v>-</v>
      </c>
      <c r="K122" s="177" t="str">
        <f>IF($A$1="Peak","-",'Base Hours'!K122*BaseLoad!Q121*'Base Hours'!$AA122)</f>
        <v>-</v>
      </c>
      <c r="L122" s="177" t="str">
        <f>IF($A$1="Peak","-",'Base Hours'!L122*BaseLoad!R121*'Base Hours'!$AA122)</f>
        <v>-</v>
      </c>
      <c r="M122" s="177" t="str">
        <f>IF($A$1="Peak","-",'Base Hours'!M122*BaseLoad!S121*'Base Hours'!$AA122)</f>
        <v>-</v>
      </c>
      <c r="N122" s="177" t="str">
        <f>IF($A$1="Peak","-",'Base Hours'!N122*BaseLoad!T121*'Base Hours'!$AA122)</f>
        <v>-</v>
      </c>
      <c r="O122" s="177" t="str">
        <f>IF($A$1="Peak","-",'Base Hours'!O122*BaseLoad!U121*'Base Hours'!$AA122)</f>
        <v>-</v>
      </c>
      <c r="P122" s="177" t="str">
        <f>IF($A$1="Peak","-",'Base Hours'!P122*BaseLoad!V121*'Base Hours'!$AA122)</f>
        <v>-</v>
      </c>
      <c r="Q122" s="177" t="str">
        <f>IF($A$1="Peak","-",'Base Hours'!Q122*BaseLoad!W121*'Base Hours'!$AA122)</f>
        <v>-</v>
      </c>
      <c r="R122" s="177" t="str">
        <f>IF($A$1="Peak","-",'Base Hours'!R122*BaseLoad!X121*'Base Hours'!$AA122)</f>
        <v>-</v>
      </c>
      <c r="S122" s="177" t="str">
        <f>IF($A$1="Peak","-",'Base Hours'!S122*BaseLoad!Y121*'Base Hours'!$AA122)</f>
        <v>-</v>
      </c>
      <c r="T122" s="177" t="str">
        <f>IF($A$1="Peak","-",'Base Hours'!T122*BaseLoad!Z121*'Base Hours'!$AA122)</f>
        <v>-</v>
      </c>
      <c r="U122" s="177" t="str">
        <f>IF($A$1="Peak","-",'Base Hours'!U122*BaseLoad!AA121*'Base Hours'!$AA122)</f>
        <v>-</v>
      </c>
      <c r="V122" s="177">
        <f t="shared" si="4"/>
        <v>0</v>
      </c>
      <c r="W122" s="177"/>
      <c r="X122" s="177"/>
      <c r="Y122" s="206"/>
      <c r="Z122" s="206">
        <f>(BaseLoad!C121*'Base Hours'!V122*'Base Hours'!$AA122)*-1</f>
        <v>0</v>
      </c>
      <c r="AA122" s="206"/>
      <c r="AB122" s="206">
        <f>(BaseLoad!D121*'Base Hours'!V122*'Base Hours'!$AA122)*-1</f>
        <v>0</v>
      </c>
      <c r="AC122" s="206"/>
      <c r="AD122" s="206">
        <f>(BaseLoad!E121*'Base Hours'!V122*'Base Hours'!$AA122)*-1</f>
        <v>0</v>
      </c>
      <c r="AE122" s="206"/>
      <c r="AF122" s="206">
        <f>(BaseLoad!F121*'Base Hours'!V122*'Base Hours'!$AA122)*-1</f>
        <v>0</v>
      </c>
      <c r="AG122" s="206"/>
    </row>
    <row r="123" spans="1:33" x14ac:dyDescent="0.2">
      <c r="A123" s="1">
        <f t="shared" si="3"/>
        <v>39977.121000000145</v>
      </c>
      <c r="B123" s="177" t="str">
        <f>IF($A$1="Peak","-",'Base Hours'!B123*BaseLoad!H122*'Base Hours'!$AA123)</f>
        <v>-</v>
      </c>
      <c r="C123" s="177" t="str">
        <f>IF($A$1="Peak","-",'Base Hours'!C123*BaseLoad!I122*'Base Hours'!$AA123)</f>
        <v>-</v>
      </c>
      <c r="D123" s="177" t="str">
        <f>IF($A$1="Peak","-",'Base Hours'!D123*BaseLoad!J122*'Base Hours'!$AA123)</f>
        <v>-</v>
      </c>
      <c r="E123" s="177" t="str">
        <f>IF($A$1="Peak","-",'Base Hours'!E123*BaseLoad!K122*'Base Hours'!$AA123)</f>
        <v>-</v>
      </c>
      <c r="F123" s="177" t="str">
        <f>IF($A$1="Peak","-",'Base Hours'!F123*BaseLoad!L122*'Base Hours'!$AA123)</f>
        <v>-</v>
      </c>
      <c r="G123" s="177" t="str">
        <f>IF($A$1="Peak","-",'Base Hours'!G123*BaseLoad!M122*'Base Hours'!$AA123)</f>
        <v>-</v>
      </c>
      <c r="H123" s="177" t="str">
        <f>IF($A$1="Peak","-",'Base Hours'!H123*BaseLoad!N122*'Base Hours'!$AA123)</f>
        <v>-</v>
      </c>
      <c r="I123" s="177" t="str">
        <f>IF($A$1="Peak","-",'Base Hours'!I123*BaseLoad!O122*'Base Hours'!$AA123)</f>
        <v>-</v>
      </c>
      <c r="J123" s="177" t="str">
        <f>IF($A$1="Peak","-",'Base Hours'!J123*BaseLoad!P122*'Base Hours'!$AA123)</f>
        <v>-</v>
      </c>
      <c r="K123" s="177" t="str">
        <f>IF($A$1="Peak","-",'Base Hours'!K123*BaseLoad!Q122*'Base Hours'!$AA123)</f>
        <v>-</v>
      </c>
      <c r="L123" s="177" t="str">
        <f>IF($A$1="Peak","-",'Base Hours'!L123*BaseLoad!R122*'Base Hours'!$AA123)</f>
        <v>-</v>
      </c>
      <c r="M123" s="177" t="str">
        <f>IF($A$1="Peak","-",'Base Hours'!M123*BaseLoad!S122*'Base Hours'!$AA123)</f>
        <v>-</v>
      </c>
      <c r="N123" s="177" t="str">
        <f>IF($A$1="Peak","-",'Base Hours'!N123*BaseLoad!T122*'Base Hours'!$AA123)</f>
        <v>-</v>
      </c>
      <c r="O123" s="177" t="str">
        <f>IF($A$1="Peak","-",'Base Hours'!O123*BaseLoad!U122*'Base Hours'!$AA123)</f>
        <v>-</v>
      </c>
      <c r="P123" s="177" t="str">
        <f>IF($A$1="Peak","-",'Base Hours'!P123*BaseLoad!V122*'Base Hours'!$AA123)</f>
        <v>-</v>
      </c>
      <c r="Q123" s="177" t="str">
        <f>IF($A$1="Peak","-",'Base Hours'!Q123*BaseLoad!W122*'Base Hours'!$AA123)</f>
        <v>-</v>
      </c>
      <c r="R123" s="177" t="str">
        <f>IF($A$1="Peak","-",'Base Hours'!R123*BaseLoad!X122*'Base Hours'!$AA123)</f>
        <v>-</v>
      </c>
      <c r="S123" s="177" t="str">
        <f>IF($A$1="Peak","-",'Base Hours'!S123*BaseLoad!Y122*'Base Hours'!$AA123)</f>
        <v>-</v>
      </c>
      <c r="T123" s="177" t="str">
        <f>IF($A$1="Peak","-",'Base Hours'!T123*BaseLoad!Z122*'Base Hours'!$AA123)</f>
        <v>-</v>
      </c>
      <c r="U123" s="177" t="str">
        <f>IF($A$1="Peak","-",'Base Hours'!U123*BaseLoad!AA122*'Base Hours'!$AA123)</f>
        <v>-</v>
      </c>
      <c r="V123" s="177">
        <f t="shared" si="4"/>
        <v>0</v>
      </c>
      <c r="W123" s="177"/>
      <c r="X123" s="177"/>
      <c r="Y123" s="206"/>
      <c r="Z123" s="206">
        <f>(BaseLoad!C122*'Base Hours'!V123*'Base Hours'!$AA123)*-1</f>
        <v>0</v>
      </c>
      <c r="AA123" s="206"/>
      <c r="AB123" s="206">
        <f>(BaseLoad!D122*'Base Hours'!V123*'Base Hours'!$AA123)*-1</f>
        <v>0</v>
      </c>
      <c r="AC123" s="206"/>
      <c r="AD123" s="206">
        <f>(BaseLoad!E122*'Base Hours'!V123*'Base Hours'!$AA123)*-1</f>
        <v>0</v>
      </c>
      <c r="AE123" s="206"/>
      <c r="AF123" s="206">
        <f>(BaseLoad!F122*'Base Hours'!V123*'Base Hours'!$AA123)*-1</f>
        <v>0</v>
      </c>
      <c r="AG123" s="206"/>
    </row>
    <row r="124" spans="1:33" x14ac:dyDescent="0.2">
      <c r="A124" s="1">
        <f t="shared" si="3"/>
        <v>40007.538000000146</v>
      </c>
      <c r="B124" s="177" t="str">
        <f>IF($A$1="Peak","-",'Base Hours'!B124*BaseLoad!H123*'Base Hours'!$AA124)</f>
        <v>-</v>
      </c>
      <c r="C124" s="177" t="str">
        <f>IF($A$1="Peak","-",'Base Hours'!C124*BaseLoad!I123*'Base Hours'!$AA124)</f>
        <v>-</v>
      </c>
      <c r="D124" s="177" t="str">
        <f>IF($A$1="Peak","-",'Base Hours'!D124*BaseLoad!J123*'Base Hours'!$AA124)</f>
        <v>-</v>
      </c>
      <c r="E124" s="177" t="str">
        <f>IF($A$1="Peak","-",'Base Hours'!E124*BaseLoad!K123*'Base Hours'!$AA124)</f>
        <v>-</v>
      </c>
      <c r="F124" s="177" t="str">
        <f>IF($A$1="Peak","-",'Base Hours'!F124*BaseLoad!L123*'Base Hours'!$AA124)</f>
        <v>-</v>
      </c>
      <c r="G124" s="177" t="str">
        <f>IF($A$1="Peak","-",'Base Hours'!G124*BaseLoad!M123*'Base Hours'!$AA124)</f>
        <v>-</v>
      </c>
      <c r="H124" s="177" t="str">
        <f>IF($A$1="Peak","-",'Base Hours'!H124*BaseLoad!N123*'Base Hours'!$AA124)</f>
        <v>-</v>
      </c>
      <c r="I124" s="177" t="str">
        <f>IF($A$1="Peak","-",'Base Hours'!I124*BaseLoad!O123*'Base Hours'!$AA124)</f>
        <v>-</v>
      </c>
      <c r="J124" s="177" t="str">
        <f>IF($A$1="Peak","-",'Base Hours'!J124*BaseLoad!P123*'Base Hours'!$AA124)</f>
        <v>-</v>
      </c>
      <c r="K124" s="177" t="str">
        <f>IF($A$1="Peak","-",'Base Hours'!K124*BaseLoad!Q123*'Base Hours'!$AA124)</f>
        <v>-</v>
      </c>
      <c r="L124" s="177" t="str">
        <f>IF($A$1="Peak","-",'Base Hours'!L124*BaseLoad!R123*'Base Hours'!$AA124)</f>
        <v>-</v>
      </c>
      <c r="M124" s="177" t="str">
        <f>IF($A$1="Peak","-",'Base Hours'!M124*BaseLoad!S123*'Base Hours'!$AA124)</f>
        <v>-</v>
      </c>
      <c r="N124" s="177" t="str">
        <f>IF($A$1="Peak","-",'Base Hours'!N124*BaseLoad!T123*'Base Hours'!$AA124)</f>
        <v>-</v>
      </c>
      <c r="O124" s="177" t="str">
        <f>IF($A$1="Peak","-",'Base Hours'!O124*BaseLoad!U123*'Base Hours'!$AA124)</f>
        <v>-</v>
      </c>
      <c r="P124" s="177" t="str">
        <f>IF($A$1="Peak","-",'Base Hours'!P124*BaseLoad!V123*'Base Hours'!$AA124)</f>
        <v>-</v>
      </c>
      <c r="Q124" s="177" t="str">
        <f>IF($A$1="Peak","-",'Base Hours'!Q124*BaseLoad!W123*'Base Hours'!$AA124)</f>
        <v>-</v>
      </c>
      <c r="R124" s="177" t="str">
        <f>IF($A$1="Peak","-",'Base Hours'!R124*BaseLoad!X123*'Base Hours'!$AA124)</f>
        <v>-</v>
      </c>
      <c r="S124" s="177" t="str">
        <f>IF($A$1="Peak","-",'Base Hours'!S124*BaseLoad!Y123*'Base Hours'!$AA124)</f>
        <v>-</v>
      </c>
      <c r="T124" s="177" t="str">
        <f>IF($A$1="Peak","-",'Base Hours'!T124*BaseLoad!Z123*'Base Hours'!$AA124)</f>
        <v>-</v>
      </c>
      <c r="U124" s="177" t="str">
        <f>IF($A$1="Peak","-",'Base Hours'!U124*BaseLoad!AA123*'Base Hours'!$AA124)</f>
        <v>-</v>
      </c>
      <c r="V124" s="177">
        <f t="shared" si="4"/>
        <v>0</v>
      </c>
      <c r="W124" s="177"/>
      <c r="X124" s="177"/>
      <c r="Y124" s="206"/>
      <c r="Z124" s="206">
        <f>(BaseLoad!C123*'Base Hours'!V124*'Base Hours'!$AA124)*-1</f>
        <v>0</v>
      </c>
      <c r="AA124" s="206"/>
      <c r="AB124" s="206">
        <f>(BaseLoad!D123*'Base Hours'!V124*'Base Hours'!$AA124)*-1</f>
        <v>0</v>
      </c>
      <c r="AC124" s="206"/>
      <c r="AD124" s="206">
        <f>(BaseLoad!E123*'Base Hours'!V124*'Base Hours'!$AA124)*-1</f>
        <v>0</v>
      </c>
      <c r="AE124" s="206"/>
      <c r="AF124" s="206">
        <f>(BaseLoad!F123*'Base Hours'!V124*'Base Hours'!$AA124)*-1</f>
        <v>0</v>
      </c>
      <c r="AG124" s="206"/>
    </row>
    <row r="125" spans="1:33" x14ac:dyDescent="0.2">
      <c r="A125" s="1">
        <f t="shared" si="3"/>
        <v>40037.955000000147</v>
      </c>
      <c r="B125" s="177" t="str">
        <f>IF($A$1="Peak","-",'Base Hours'!B125*BaseLoad!H124*'Base Hours'!$AA125)</f>
        <v>-</v>
      </c>
      <c r="C125" s="177" t="str">
        <f>IF($A$1="Peak","-",'Base Hours'!C125*BaseLoad!I124*'Base Hours'!$AA125)</f>
        <v>-</v>
      </c>
      <c r="D125" s="177" t="str">
        <f>IF($A$1="Peak","-",'Base Hours'!D125*BaseLoad!J124*'Base Hours'!$AA125)</f>
        <v>-</v>
      </c>
      <c r="E125" s="177" t="str">
        <f>IF($A$1="Peak","-",'Base Hours'!E125*BaseLoad!K124*'Base Hours'!$AA125)</f>
        <v>-</v>
      </c>
      <c r="F125" s="177" t="str">
        <f>IF($A$1="Peak","-",'Base Hours'!F125*BaseLoad!L124*'Base Hours'!$AA125)</f>
        <v>-</v>
      </c>
      <c r="G125" s="177" t="str">
        <f>IF($A$1="Peak","-",'Base Hours'!G125*BaseLoad!M124*'Base Hours'!$AA125)</f>
        <v>-</v>
      </c>
      <c r="H125" s="177" t="str">
        <f>IF($A$1="Peak","-",'Base Hours'!H125*BaseLoad!N124*'Base Hours'!$AA125)</f>
        <v>-</v>
      </c>
      <c r="I125" s="177" t="str">
        <f>IF($A$1="Peak","-",'Base Hours'!I125*BaseLoad!O124*'Base Hours'!$AA125)</f>
        <v>-</v>
      </c>
      <c r="J125" s="177" t="str">
        <f>IF($A$1="Peak","-",'Base Hours'!J125*BaseLoad!P124*'Base Hours'!$AA125)</f>
        <v>-</v>
      </c>
      <c r="K125" s="177" t="str">
        <f>IF($A$1="Peak","-",'Base Hours'!K125*BaseLoad!Q124*'Base Hours'!$AA125)</f>
        <v>-</v>
      </c>
      <c r="L125" s="177" t="str">
        <f>IF($A$1="Peak","-",'Base Hours'!L125*BaseLoad!R124*'Base Hours'!$AA125)</f>
        <v>-</v>
      </c>
      <c r="M125" s="177" t="str">
        <f>IF($A$1="Peak","-",'Base Hours'!M125*BaseLoad!S124*'Base Hours'!$AA125)</f>
        <v>-</v>
      </c>
      <c r="N125" s="177" t="str">
        <f>IF($A$1="Peak","-",'Base Hours'!N125*BaseLoad!T124*'Base Hours'!$AA125)</f>
        <v>-</v>
      </c>
      <c r="O125" s="177" t="str">
        <f>IF($A$1="Peak","-",'Base Hours'!O125*BaseLoad!U124*'Base Hours'!$AA125)</f>
        <v>-</v>
      </c>
      <c r="P125" s="177" t="str">
        <f>IF($A$1="Peak","-",'Base Hours'!P125*BaseLoad!V124*'Base Hours'!$AA125)</f>
        <v>-</v>
      </c>
      <c r="Q125" s="177" t="str">
        <f>IF($A$1="Peak","-",'Base Hours'!Q125*BaseLoad!W124*'Base Hours'!$AA125)</f>
        <v>-</v>
      </c>
      <c r="R125" s="177" t="str">
        <f>IF($A$1="Peak","-",'Base Hours'!R125*BaseLoad!X124*'Base Hours'!$AA125)</f>
        <v>-</v>
      </c>
      <c r="S125" s="177" t="str">
        <f>IF($A$1="Peak","-",'Base Hours'!S125*BaseLoad!Y124*'Base Hours'!$AA125)</f>
        <v>-</v>
      </c>
      <c r="T125" s="177" t="str">
        <f>IF($A$1="Peak","-",'Base Hours'!T125*BaseLoad!Z124*'Base Hours'!$AA125)</f>
        <v>-</v>
      </c>
      <c r="U125" s="177" t="str">
        <f>IF($A$1="Peak","-",'Base Hours'!U125*BaseLoad!AA124*'Base Hours'!$AA125)</f>
        <v>-</v>
      </c>
      <c r="V125" s="177">
        <f t="shared" si="4"/>
        <v>0</v>
      </c>
      <c r="W125" s="177"/>
      <c r="X125" s="177"/>
      <c r="Y125" s="206"/>
      <c r="Z125" s="206">
        <f>(BaseLoad!C124*'Base Hours'!V125*'Base Hours'!$AA125)*-1</f>
        <v>0</v>
      </c>
      <c r="AA125" s="206"/>
      <c r="AB125" s="206">
        <f>(BaseLoad!D124*'Base Hours'!V125*'Base Hours'!$AA125)*-1</f>
        <v>0</v>
      </c>
      <c r="AC125" s="206"/>
      <c r="AD125" s="206">
        <f>(BaseLoad!E124*'Base Hours'!V125*'Base Hours'!$AA125)*-1</f>
        <v>0</v>
      </c>
      <c r="AE125" s="206"/>
      <c r="AF125" s="206">
        <f>(BaseLoad!F124*'Base Hours'!V125*'Base Hours'!$AA125)*-1</f>
        <v>0</v>
      </c>
      <c r="AG125" s="206"/>
    </row>
    <row r="126" spans="1:33" x14ac:dyDescent="0.2">
      <c r="A126" s="1">
        <f t="shared" si="3"/>
        <v>40068.372000000149</v>
      </c>
      <c r="B126" s="177" t="str">
        <f>IF($A$1="Peak","-",'Base Hours'!B126*BaseLoad!H125*'Base Hours'!$AA126)</f>
        <v>-</v>
      </c>
      <c r="C126" s="177" t="str">
        <f>IF($A$1="Peak","-",'Base Hours'!C126*BaseLoad!I125*'Base Hours'!$AA126)</f>
        <v>-</v>
      </c>
      <c r="D126" s="177" t="str">
        <f>IF($A$1="Peak","-",'Base Hours'!D126*BaseLoad!J125*'Base Hours'!$AA126)</f>
        <v>-</v>
      </c>
      <c r="E126" s="177" t="str">
        <f>IF($A$1="Peak","-",'Base Hours'!E126*BaseLoad!K125*'Base Hours'!$AA126)</f>
        <v>-</v>
      </c>
      <c r="F126" s="177" t="str">
        <f>IF($A$1="Peak","-",'Base Hours'!F126*BaseLoad!L125*'Base Hours'!$AA126)</f>
        <v>-</v>
      </c>
      <c r="G126" s="177" t="str">
        <f>IF($A$1="Peak","-",'Base Hours'!G126*BaseLoad!M125*'Base Hours'!$AA126)</f>
        <v>-</v>
      </c>
      <c r="H126" s="177" t="str">
        <f>IF($A$1="Peak","-",'Base Hours'!H126*BaseLoad!N125*'Base Hours'!$AA126)</f>
        <v>-</v>
      </c>
      <c r="I126" s="177" t="str">
        <f>IF($A$1="Peak","-",'Base Hours'!I126*BaseLoad!O125*'Base Hours'!$AA126)</f>
        <v>-</v>
      </c>
      <c r="J126" s="177" t="str">
        <f>IF($A$1="Peak","-",'Base Hours'!J126*BaseLoad!P125*'Base Hours'!$AA126)</f>
        <v>-</v>
      </c>
      <c r="K126" s="177" t="str">
        <f>IF($A$1="Peak","-",'Base Hours'!K126*BaseLoad!Q125*'Base Hours'!$AA126)</f>
        <v>-</v>
      </c>
      <c r="L126" s="177" t="str">
        <f>IF($A$1="Peak","-",'Base Hours'!L126*BaseLoad!R125*'Base Hours'!$AA126)</f>
        <v>-</v>
      </c>
      <c r="M126" s="177" t="str">
        <f>IF($A$1="Peak","-",'Base Hours'!M126*BaseLoad!S125*'Base Hours'!$AA126)</f>
        <v>-</v>
      </c>
      <c r="N126" s="177" t="str">
        <f>IF($A$1="Peak","-",'Base Hours'!N126*BaseLoad!T125*'Base Hours'!$AA126)</f>
        <v>-</v>
      </c>
      <c r="O126" s="177" t="str">
        <f>IF($A$1="Peak","-",'Base Hours'!O126*BaseLoad!U125*'Base Hours'!$AA126)</f>
        <v>-</v>
      </c>
      <c r="P126" s="177" t="str">
        <f>IF($A$1="Peak","-",'Base Hours'!P126*BaseLoad!V125*'Base Hours'!$AA126)</f>
        <v>-</v>
      </c>
      <c r="Q126" s="177" t="str">
        <f>IF($A$1="Peak","-",'Base Hours'!Q126*BaseLoad!W125*'Base Hours'!$AA126)</f>
        <v>-</v>
      </c>
      <c r="R126" s="177" t="str">
        <f>IF($A$1="Peak","-",'Base Hours'!R126*BaseLoad!X125*'Base Hours'!$AA126)</f>
        <v>-</v>
      </c>
      <c r="S126" s="177" t="str">
        <f>IF($A$1="Peak","-",'Base Hours'!S126*BaseLoad!Y125*'Base Hours'!$AA126)</f>
        <v>-</v>
      </c>
      <c r="T126" s="177" t="str">
        <f>IF($A$1="Peak","-",'Base Hours'!T126*BaseLoad!Z125*'Base Hours'!$AA126)</f>
        <v>-</v>
      </c>
      <c r="U126" s="177" t="str">
        <f>IF($A$1="Peak","-",'Base Hours'!U126*BaseLoad!AA125*'Base Hours'!$AA126)</f>
        <v>-</v>
      </c>
      <c r="V126" s="177">
        <f t="shared" si="4"/>
        <v>0</v>
      </c>
      <c r="W126" s="177"/>
      <c r="X126" s="177"/>
      <c r="Y126" s="206"/>
      <c r="Z126" s="206">
        <f>(BaseLoad!C125*'Base Hours'!V126*'Base Hours'!$AA126)*-1</f>
        <v>0</v>
      </c>
      <c r="AA126" s="206"/>
      <c r="AB126" s="206">
        <f>(BaseLoad!D125*'Base Hours'!V126*'Base Hours'!$AA126)*-1</f>
        <v>0</v>
      </c>
      <c r="AC126" s="206"/>
      <c r="AD126" s="206">
        <f>(BaseLoad!E125*'Base Hours'!V126*'Base Hours'!$AA126)*-1</f>
        <v>0</v>
      </c>
      <c r="AE126" s="206"/>
      <c r="AF126" s="206">
        <f>(BaseLoad!F125*'Base Hours'!V126*'Base Hours'!$AA126)*-1</f>
        <v>0</v>
      </c>
      <c r="AG126" s="206"/>
    </row>
    <row r="127" spans="1:33" x14ac:dyDescent="0.2">
      <c r="A127" s="1">
        <f t="shared" si="3"/>
        <v>40098.78900000015</v>
      </c>
      <c r="B127" s="177" t="str">
        <f>IF($A$1="Peak","-",'Base Hours'!B127*BaseLoad!H126*'Base Hours'!$AA127)</f>
        <v>-</v>
      </c>
      <c r="C127" s="177" t="str">
        <f>IF($A$1="Peak","-",'Base Hours'!C127*BaseLoad!I126*'Base Hours'!$AA127)</f>
        <v>-</v>
      </c>
      <c r="D127" s="177" t="str">
        <f>IF($A$1="Peak","-",'Base Hours'!D127*BaseLoad!J126*'Base Hours'!$AA127)</f>
        <v>-</v>
      </c>
      <c r="E127" s="177" t="str">
        <f>IF($A$1="Peak","-",'Base Hours'!E127*BaseLoad!K126*'Base Hours'!$AA127)</f>
        <v>-</v>
      </c>
      <c r="F127" s="177" t="str">
        <f>IF($A$1="Peak","-",'Base Hours'!F127*BaseLoad!L126*'Base Hours'!$AA127)</f>
        <v>-</v>
      </c>
      <c r="G127" s="177" t="str">
        <f>IF($A$1="Peak","-",'Base Hours'!G127*BaseLoad!M126*'Base Hours'!$AA127)</f>
        <v>-</v>
      </c>
      <c r="H127" s="177" t="str">
        <f>IF($A$1="Peak","-",'Base Hours'!H127*BaseLoad!N126*'Base Hours'!$AA127)</f>
        <v>-</v>
      </c>
      <c r="I127" s="177" t="str">
        <f>IF($A$1="Peak","-",'Base Hours'!I127*BaseLoad!O126*'Base Hours'!$AA127)</f>
        <v>-</v>
      </c>
      <c r="J127" s="177" t="str">
        <f>IF($A$1="Peak","-",'Base Hours'!J127*BaseLoad!P126*'Base Hours'!$AA127)</f>
        <v>-</v>
      </c>
      <c r="K127" s="177" t="str">
        <f>IF($A$1="Peak","-",'Base Hours'!K127*BaseLoad!Q126*'Base Hours'!$AA127)</f>
        <v>-</v>
      </c>
      <c r="L127" s="177" t="str">
        <f>IF($A$1="Peak","-",'Base Hours'!L127*BaseLoad!R126*'Base Hours'!$AA127)</f>
        <v>-</v>
      </c>
      <c r="M127" s="177" t="str">
        <f>IF($A$1="Peak","-",'Base Hours'!M127*BaseLoad!S126*'Base Hours'!$AA127)</f>
        <v>-</v>
      </c>
      <c r="N127" s="177" t="str">
        <f>IF($A$1="Peak","-",'Base Hours'!N127*BaseLoad!T126*'Base Hours'!$AA127)</f>
        <v>-</v>
      </c>
      <c r="O127" s="177" t="str">
        <f>IF($A$1="Peak","-",'Base Hours'!O127*BaseLoad!U126*'Base Hours'!$AA127)</f>
        <v>-</v>
      </c>
      <c r="P127" s="177" t="str">
        <f>IF($A$1="Peak","-",'Base Hours'!P127*BaseLoad!V126*'Base Hours'!$AA127)</f>
        <v>-</v>
      </c>
      <c r="Q127" s="177" t="str">
        <f>IF($A$1="Peak","-",'Base Hours'!Q127*BaseLoad!W126*'Base Hours'!$AA127)</f>
        <v>-</v>
      </c>
      <c r="R127" s="177" t="str">
        <f>IF($A$1="Peak","-",'Base Hours'!R127*BaseLoad!X126*'Base Hours'!$AA127)</f>
        <v>-</v>
      </c>
      <c r="S127" s="177" t="str">
        <f>IF($A$1="Peak","-",'Base Hours'!S127*BaseLoad!Y126*'Base Hours'!$AA127)</f>
        <v>-</v>
      </c>
      <c r="T127" s="177" t="str">
        <f>IF($A$1="Peak","-",'Base Hours'!T127*BaseLoad!Z126*'Base Hours'!$AA127)</f>
        <v>-</v>
      </c>
      <c r="U127" s="177" t="str">
        <f>IF($A$1="Peak","-",'Base Hours'!U127*BaseLoad!AA126*'Base Hours'!$AA127)</f>
        <v>-</v>
      </c>
      <c r="V127" s="177">
        <f t="shared" si="4"/>
        <v>0</v>
      </c>
      <c r="W127" s="177"/>
      <c r="X127" s="177"/>
      <c r="Y127" s="206"/>
      <c r="Z127" s="206">
        <f>(BaseLoad!C126*'Base Hours'!V127*'Base Hours'!$AA127)*-1</f>
        <v>0</v>
      </c>
      <c r="AA127" s="206"/>
      <c r="AB127" s="206">
        <f>(BaseLoad!D126*'Base Hours'!V127*'Base Hours'!$AA127)*-1</f>
        <v>0</v>
      </c>
      <c r="AC127" s="206"/>
      <c r="AD127" s="206">
        <f>(BaseLoad!E126*'Base Hours'!V127*'Base Hours'!$AA127)*-1</f>
        <v>0</v>
      </c>
      <c r="AE127" s="206"/>
      <c r="AF127" s="206">
        <f>(BaseLoad!F126*'Base Hours'!V127*'Base Hours'!$AA127)*-1</f>
        <v>0</v>
      </c>
      <c r="AG127" s="206"/>
    </row>
    <row r="128" spans="1:33" x14ac:dyDescent="0.2">
      <c r="A128" s="1">
        <f t="shared" si="3"/>
        <v>40129.206000000151</v>
      </c>
      <c r="B128" s="177" t="str">
        <f>IF($A$1="Peak","-",'Base Hours'!B128*BaseLoad!H127*'Base Hours'!$AA128)</f>
        <v>-</v>
      </c>
      <c r="C128" s="177" t="str">
        <f>IF($A$1="Peak","-",'Base Hours'!C128*BaseLoad!I127*'Base Hours'!$AA128)</f>
        <v>-</v>
      </c>
      <c r="D128" s="177" t="str">
        <f>IF($A$1="Peak","-",'Base Hours'!D128*BaseLoad!J127*'Base Hours'!$AA128)</f>
        <v>-</v>
      </c>
      <c r="E128" s="177" t="str">
        <f>IF($A$1="Peak","-",'Base Hours'!E128*BaseLoad!K127*'Base Hours'!$AA128)</f>
        <v>-</v>
      </c>
      <c r="F128" s="177" t="str">
        <f>IF($A$1="Peak","-",'Base Hours'!F128*BaseLoad!L127*'Base Hours'!$AA128)</f>
        <v>-</v>
      </c>
      <c r="G128" s="177" t="str">
        <f>IF($A$1="Peak","-",'Base Hours'!G128*BaseLoad!M127*'Base Hours'!$AA128)</f>
        <v>-</v>
      </c>
      <c r="H128" s="177" t="str">
        <f>IF($A$1="Peak","-",'Base Hours'!H128*BaseLoad!N127*'Base Hours'!$AA128)</f>
        <v>-</v>
      </c>
      <c r="I128" s="177" t="str">
        <f>IF($A$1="Peak","-",'Base Hours'!I128*BaseLoad!O127*'Base Hours'!$AA128)</f>
        <v>-</v>
      </c>
      <c r="J128" s="177" t="str">
        <f>IF($A$1="Peak","-",'Base Hours'!J128*BaseLoad!P127*'Base Hours'!$AA128)</f>
        <v>-</v>
      </c>
      <c r="K128" s="177" t="str">
        <f>IF($A$1="Peak","-",'Base Hours'!K128*BaseLoad!Q127*'Base Hours'!$AA128)</f>
        <v>-</v>
      </c>
      <c r="L128" s="177" t="str">
        <f>IF($A$1="Peak","-",'Base Hours'!L128*BaseLoad!R127*'Base Hours'!$AA128)</f>
        <v>-</v>
      </c>
      <c r="M128" s="177" t="str">
        <f>IF($A$1="Peak","-",'Base Hours'!M128*BaseLoad!S127*'Base Hours'!$AA128)</f>
        <v>-</v>
      </c>
      <c r="N128" s="177" t="str">
        <f>IF($A$1="Peak","-",'Base Hours'!N128*BaseLoad!T127*'Base Hours'!$AA128)</f>
        <v>-</v>
      </c>
      <c r="O128" s="177" t="str">
        <f>IF($A$1="Peak","-",'Base Hours'!O128*BaseLoad!U127*'Base Hours'!$AA128)</f>
        <v>-</v>
      </c>
      <c r="P128" s="177" t="str">
        <f>IF($A$1="Peak","-",'Base Hours'!P128*BaseLoad!V127*'Base Hours'!$AA128)</f>
        <v>-</v>
      </c>
      <c r="Q128" s="177" t="str">
        <f>IF($A$1="Peak","-",'Base Hours'!Q128*BaseLoad!W127*'Base Hours'!$AA128)</f>
        <v>-</v>
      </c>
      <c r="R128" s="177" t="str">
        <f>IF($A$1="Peak","-",'Base Hours'!R128*BaseLoad!X127*'Base Hours'!$AA128)</f>
        <v>-</v>
      </c>
      <c r="S128" s="177" t="str">
        <f>IF($A$1="Peak","-",'Base Hours'!S128*BaseLoad!Y127*'Base Hours'!$AA128)</f>
        <v>-</v>
      </c>
      <c r="T128" s="177" t="str">
        <f>IF($A$1="Peak","-",'Base Hours'!T128*BaseLoad!Z127*'Base Hours'!$AA128)</f>
        <v>-</v>
      </c>
      <c r="U128" s="177" t="str">
        <f>IF($A$1="Peak","-",'Base Hours'!U128*BaseLoad!AA127*'Base Hours'!$AA128)</f>
        <v>-</v>
      </c>
      <c r="V128" s="177">
        <f t="shared" si="4"/>
        <v>0</v>
      </c>
      <c r="W128" s="177"/>
      <c r="X128" s="177"/>
      <c r="Y128" s="206"/>
      <c r="Z128" s="206">
        <f>(BaseLoad!C127*'Base Hours'!V128*'Base Hours'!$AA128)*-1</f>
        <v>0</v>
      </c>
      <c r="AA128" s="206"/>
      <c r="AB128" s="206">
        <f>(BaseLoad!D127*'Base Hours'!V128*'Base Hours'!$AA128)*-1</f>
        <v>0</v>
      </c>
      <c r="AC128" s="206"/>
      <c r="AD128" s="206">
        <f>(BaseLoad!E127*'Base Hours'!V128*'Base Hours'!$AA128)*-1</f>
        <v>0</v>
      </c>
      <c r="AE128" s="206"/>
      <c r="AF128" s="206">
        <f>(BaseLoad!F127*'Base Hours'!V128*'Base Hours'!$AA128)*-1</f>
        <v>0</v>
      </c>
      <c r="AG128" s="206"/>
    </row>
    <row r="129" spans="1:33" x14ac:dyDescent="0.2">
      <c r="A129" s="1">
        <f t="shared" si="3"/>
        <v>40159.623000000152</v>
      </c>
      <c r="B129" s="177" t="str">
        <f>IF($A$1="Peak","-",'Base Hours'!B129*BaseLoad!H128*'Base Hours'!$AA129)</f>
        <v>-</v>
      </c>
      <c r="C129" s="177" t="str">
        <f>IF($A$1="Peak","-",'Base Hours'!C129*BaseLoad!I128*'Base Hours'!$AA129)</f>
        <v>-</v>
      </c>
      <c r="D129" s="177" t="str">
        <f>IF($A$1="Peak","-",'Base Hours'!D129*BaseLoad!J128*'Base Hours'!$AA129)</f>
        <v>-</v>
      </c>
      <c r="E129" s="177" t="str">
        <f>IF($A$1="Peak","-",'Base Hours'!E129*BaseLoad!K128*'Base Hours'!$AA129)</f>
        <v>-</v>
      </c>
      <c r="F129" s="177" t="str">
        <f>IF($A$1="Peak","-",'Base Hours'!F129*BaseLoad!L128*'Base Hours'!$AA129)</f>
        <v>-</v>
      </c>
      <c r="G129" s="177" t="str">
        <f>IF($A$1="Peak","-",'Base Hours'!G129*BaseLoad!M128*'Base Hours'!$AA129)</f>
        <v>-</v>
      </c>
      <c r="H129" s="177" t="str">
        <f>IF($A$1="Peak","-",'Base Hours'!H129*BaseLoad!N128*'Base Hours'!$AA129)</f>
        <v>-</v>
      </c>
      <c r="I129" s="177" t="str">
        <f>IF($A$1="Peak","-",'Base Hours'!I129*BaseLoad!O128*'Base Hours'!$AA129)</f>
        <v>-</v>
      </c>
      <c r="J129" s="177" t="str">
        <f>IF($A$1="Peak","-",'Base Hours'!J129*BaseLoad!P128*'Base Hours'!$AA129)</f>
        <v>-</v>
      </c>
      <c r="K129" s="177" t="str">
        <f>IF($A$1="Peak","-",'Base Hours'!K129*BaseLoad!Q128*'Base Hours'!$AA129)</f>
        <v>-</v>
      </c>
      <c r="L129" s="177" t="str">
        <f>IF($A$1="Peak","-",'Base Hours'!L129*BaseLoad!R128*'Base Hours'!$AA129)</f>
        <v>-</v>
      </c>
      <c r="M129" s="177" t="str">
        <f>IF($A$1="Peak","-",'Base Hours'!M129*BaseLoad!S128*'Base Hours'!$AA129)</f>
        <v>-</v>
      </c>
      <c r="N129" s="177" t="str">
        <f>IF($A$1="Peak","-",'Base Hours'!N129*BaseLoad!T128*'Base Hours'!$AA129)</f>
        <v>-</v>
      </c>
      <c r="O129" s="177" t="str">
        <f>IF($A$1="Peak","-",'Base Hours'!O129*BaseLoad!U128*'Base Hours'!$AA129)</f>
        <v>-</v>
      </c>
      <c r="P129" s="177" t="str">
        <f>IF($A$1="Peak","-",'Base Hours'!P129*BaseLoad!V128*'Base Hours'!$AA129)</f>
        <v>-</v>
      </c>
      <c r="Q129" s="177" t="str">
        <f>IF($A$1="Peak","-",'Base Hours'!Q129*BaseLoad!W128*'Base Hours'!$AA129)</f>
        <v>-</v>
      </c>
      <c r="R129" s="177" t="str">
        <f>IF($A$1="Peak","-",'Base Hours'!R129*BaseLoad!X128*'Base Hours'!$AA129)</f>
        <v>-</v>
      </c>
      <c r="S129" s="177" t="str">
        <f>IF($A$1="Peak","-",'Base Hours'!S129*BaseLoad!Y128*'Base Hours'!$AA129)</f>
        <v>-</v>
      </c>
      <c r="T129" s="177" t="str">
        <f>IF($A$1="Peak","-",'Base Hours'!T129*BaseLoad!Z128*'Base Hours'!$AA129)</f>
        <v>-</v>
      </c>
      <c r="U129" s="177" t="str">
        <f>IF($A$1="Peak","-",'Base Hours'!U129*BaseLoad!AA128*'Base Hours'!$AA129)</f>
        <v>-</v>
      </c>
      <c r="V129" s="177">
        <f t="shared" si="4"/>
        <v>0</v>
      </c>
      <c r="W129" s="177"/>
      <c r="X129" s="177"/>
      <c r="Y129" s="206">
        <f>SUM(B118:U129)</f>
        <v>0</v>
      </c>
      <c r="Z129" s="206">
        <f>(BaseLoad!C128*'Base Hours'!V129*'Base Hours'!$AA129)*-1</f>
        <v>0</v>
      </c>
      <c r="AA129" s="206">
        <f>SUM(Z118:Z129)</f>
        <v>0</v>
      </c>
      <c r="AB129" s="206">
        <f>(BaseLoad!D128*'Base Hours'!V129*'Base Hours'!$AA129)*-1</f>
        <v>0</v>
      </c>
      <c r="AC129" s="206">
        <f>SUM(AB118:AB129)</f>
        <v>0</v>
      </c>
      <c r="AD129" s="206">
        <f>(BaseLoad!E128*'Base Hours'!V129*'Base Hours'!$AA129)*-1</f>
        <v>0</v>
      </c>
      <c r="AE129" s="206">
        <f>SUM(AD118:AD129)</f>
        <v>0</v>
      </c>
      <c r="AF129" s="206">
        <f>(BaseLoad!F128*'Base Hours'!V129*'Base Hours'!$AA129)*-1</f>
        <v>0</v>
      </c>
      <c r="AG129" s="206">
        <f>SUM(AF118:AF129)</f>
        <v>0</v>
      </c>
    </row>
    <row r="130" spans="1:33" x14ac:dyDescent="0.2">
      <c r="A130" s="1">
        <f t="shared" si="3"/>
        <v>40190.040000000154</v>
      </c>
      <c r="B130" s="177" t="str">
        <f>IF($A$1="Peak","-",'Base Hours'!B130*BaseLoad!H129*'Base Hours'!$AA130)</f>
        <v>-</v>
      </c>
      <c r="C130" s="177" t="str">
        <f>IF($A$1="Peak","-",'Base Hours'!C130*BaseLoad!I129*'Base Hours'!$AA130)</f>
        <v>-</v>
      </c>
      <c r="D130" s="177" t="str">
        <f>IF($A$1="Peak","-",'Base Hours'!D130*BaseLoad!J129*'Base Hours'!$AA130)</f>
        <v>-</v>
      </c>
      <c r="E130" s="177" t="str">
        <f>IF($A$1="Peak","-",'Base Hours'!E130*BaseLoad!K129*'Base Hours'!$AA130)</f>
        <v>-</v>
      </c>
      <c r="F130" s="177" t="str">
        <f>IF($A$1="Peak","-",'Base Hours'!F130*BaseLoad!L129*'Base Hours'!$AA130)</f>
        <v>-</v>
      </c>
      <c r="G130" s="177" t="str">
        <f>IF($A$1="Peak","-",'Base Hours'!G130*BaseLoad!M129*'Base Hours'!$AA130)</f>
        <v>-</v>
      </c>
      <c r="H130" s="177" t="str">
        <f>IF($A$1="Peak","-",'Base Hours'!H130*BaseLoad!N129*'Base Hours'!$AA130)</f>
        <v>-</v>
      </c>
      <c r="I130" s="177" t="str">
        <f>IF($A$1="Peak","-",'Base Hours'!I130*BaseLoad!O129*'Base Hours'!$AA130)</f>
        <v>-</v>
      </c>
      <c r="J130" s="177" t="str">
        <f>IF($A$1="Peak","-",'Base Hours'!J130*BaseLoad!P129*'Base Hours'!$AA130)</f>
        <v>-</v>
      </c>
      <c r="K130" s="177" t="str">
        <f>IF($A$1="Peak","-",'Base Hours'!K130*BaseLoad!Q129*'Base Hours'!$AA130)</f>
        <v>-</v>
      </c>
      <c r="L130" s="177" t="str">
        <f>IF($A$1="Peak","-",'Base Hours'!L130*BaseLoad!R129*'Base Hours'!$AA130)</f>
        <v>-</v>
      </c>
      <c r="M130" s="177" t="str">
        <f>IF($A$1="Peak","-",'Base Hours'!M130*BaseLoad!S129*'Base Hours'!$AA130)</f>
        <v>-</v>
      </c>
      <c r="N130" s="177" t="str">
        <f>IF($A$1="Peak","-",'Base Hours'!N130*BaseLoad!T129*'Base Hours'!$AA130)</f>
        <v>-</v>
      </c>
      <c r="O130" s="177" t="str">
        <f>IF($A$1="Peak","-",'Base Hours'!O130*BaseLoad!U129*'Base Hours'!$AA130)</f>
        <v>-</v>
      </c>
      <c r="P130" s="177" t="str">
        <f>IF($A$1="Peak","-",'Base Hours'!P130*BaseLoad!V129*'Base Hours'!$AA130)</f>
        <v>-</v>
      </c>
      <c r="Q130" s="177" t="str">
        <f>IF($A$1="Peak","-",'Base Hours'!Q130*BaseLoad!W129*'Base Hours'!$AA130)</f>
        <v>-</v>
      </c>
      <c r="R130" s="177" t="str">
        <f>IF($A$1="Peak","-",'Base Hours'!R130*BaseLoad!X129*'Base Hours'!$AA130)</f>
        <v>-</v>
      </c>
      <c r="S130" s="177" t="str">
        <f>IF($A$1="Peak","-",'Base Hours'!S130*BaseLoad!Y129*'Base Hours'!$AA130)</f>
        <v>-</v>
      </c>
      <c r="T130" s="177" t="str">
        <f>IF($A$1="Peak","-",'Base Hours'!T130*BaseLoad!Z129*'Base Hours'!$AA130)</f>
        <v>-</v>
      </c>
      <c r="U130" s="177" t="str">
        <f>IF($A$1="Peak","-",'Base Hours'!U130*BaseLoad!AA129*'Base Hours'!$AA130)</f>
        <v>-</v>
      </c>
      <c r="V130" s="177">
        <f t="shared" si="4"/>
        <v>0</v>
      </c>
      <c r="W130" s="177"/>
      <c r="X130" s="177"/>
      <c r="Y130" s="206"/>
      <c r="Z130" s="206">
        <f>(BaseLoad!C129*'Base Hours'!V130*'Base Hours'!$AA130)*-1</f>
        <v>0</v>
      </c>
      <c r="AA130" s="206"/>
      <c r="AB130" s="206">
        <f>(BaseLoad!D129*'Base Hours'!V130*'Base Hours'!$AA130)*-1</f>
        <v>0</v>
      </c>
      <c r="AC130" s="206"/>
      <c r="AD130" s="206">
        <f>(BaseLoad!E129*'Base Hours'!V130*'Base Hours'!$AA130)*-1</f>
        <v>0</v>
      </c>
      <c r="AE130" s="206"/>
      <c r="AF130" s="206">
        <f>(BaseLoad!F129*'Base Hours'!V130*'Base Hours'!$AA130)*-1</f>
        <v>0</v>
      </c>
      <c r="AG130" s="206"/>
    </row>
    <row r="131" spans="1:33" x14ac:dyDescent="0.2">
      <c r="A131" s="1">
        <f t="shared" si="3"/>
        <v>40220.457000000155</v>
      </c>
      <c r="B131" s="177" t="str">
        <f>IF($A$1="Peak","-",'Base Hours'!B131*BaseLoad!H130*'Base Hours'!$AA131)</f>
        <v>-</v>
      </c>
      <c r="C131" s="177" t="str">
        <f>IF($A$1="Peak","-",'Base Hours'!C131*BaseLoad!I130*'Base Hours'!$AA131)</f>
        <v>-</v>
      </c>
      <c r="D131" s="177" t="str">
        <f>IF($A$1="Peak","-",'Base Hours'!D131*BaseLoad!J130*'Base Hours'!$AA131)</f>
        <v>-</v>
      </c>
      <c r="E131" s="177" t="str">
        <f>IF($A$1="Peak","-",'Base Hours'!E131*BaseLoad!K130*'Base Hours'!$AA131)</f>
        <v>-</v>
      </c>
      <c r="F131" s="177" t="str">
        <f>IF($A$1="Peak","-",'Base Hours'!F131*BaseLoad!L130*'Base Hours'!$AA131)</f>
        <v>-</v>
      </c>
      <c r="G131" s="177" t="str">
        <f>IF($A$1="Peak","-",'Base Hours'!G131*BaseLoad!M130*'Base Hours'!$AA131)</f>
        <v>-</v>
      </c>
      <c r="H131" s="177" t="str">
        <f>IF($A$1="Peak","-",'Base Hours'!H131*BaseLoad!N130*'Base Hours'!$AA131)</f>
        <v>-</v>
      </c>
      <c r="I131" s="177" t="str">
        <f>IF($A$1="Peak","-",'Base Hours'!I131*BaseLoad!O130*'Base Hours'!$AA131)</f>
        <v>-</v>
      </c>
      <c r="J131" s="177" t="str">
        <f>IF($A$1="Peak","-",'Base Hours'!J131*BaseLoad!P130*'Base Hours'!$AA131)</f>
        <v>-</v>
      </c>
      <c r="K131" s="177" t="str">
        <f>IF($A$1="Peak","-",'Base Hours'!K131*BaseLoad!Q130*'Base Hours'!$AA131)</f>
        <v>-</v>
      </c>
      <c r="L131" s="177" t="str">
        <f>IF($A$1="Peak","-",'Base Hours'!L131*BaseLoad!R130*'Base Hours'!$AA131)</f>
        <v>-</v>
      </c>
      <c r="M131" s="177" t="str">
        <f>IF($A$1="Peak","-",'Base Hours'!M131*BaseLoad!S130*'Base Hours'!$AA131)</f>
        <v>-</v>
      </c>
      <c r="N131" s="177" t="str">
        <f>IF($A$1="Peak","-",'Base Hours'!N131*BaseLoad!T130*'Base Hours'!$AA131)</f>
        <v>-</v>
      </c>
      <c r="O131" s="177" t="str">
        <f>IF($A$1="Peak","-",'Base Hours'!O131*BaseLoad!U130*'Base Hours'!$AA131)</f>
        <v>-</v>
      </c>
      <c r="P131" s="177" t="str">
        <f>IF($A$1="Peak","-",'Base Hours'!P131*BaseLoad!V130*'Base Hours'!$AA131)</f>
        <v>-</v>
      </c>
      <c r="Q131" s="177" t="str">
        <f>IF($A$1="Peak","-",'Base Hours'!Q131*BaseLoad!W130*'Base Hours'!$AA131)</f>
        <v>-</v>
      </c>
      <c r="R131" s="177" t="str">
        <f>IF($A$1="Peak","-",'Base Hours'!R131*BaseLoad!X130*'Base Hours'!$AA131)</f>
        <v>-</v>
      </c>
      <c r="S131" s="177" t="str">
        <f>IF($A$1="Peak","-",'Base Hours'!S131*BaseLoad!Y130*'Base Hours'!$AA131)</f>
        <v>-</v>
      </c>
      <c r="T131" s="177" t="str">
        <f>IF($A$1="Peak","-",'Base Hours'!T131*BaseLoad!Z130*'Base Hours'!$AA131)</f>
        <v>-</v>
      </c>
      <c r="U131" s="177" t="str">
        <f>IF($A$1="Peak","-",'Base Hours'!U131*BaseLoad!AA130*'Base Hours'!$AA131)</f>
        <v>-</v>
      </c>
      <c r="V131" s="177">
        <f t="shared" si="4"/>
        <v>0</v>
      </c>
      <c r="W131" s="177"/>
      <c r="X131" s="177"/>
      <c r="Y131" s="206"/>
      <c r="Z131" s="206">
        <f>(BaseLoad!C130*'Base Hours'!V131*'Base Hours'!$AA131)*-1</f>
        <v>0</v>
      </c>
      <c r="AA131" s="206"/>
      <c r="AB131" s="206">
        <f>(BaseLoad!D130*'Base Hours'!V131*'Base Hours'!$AA131)*-1</f>
        <v>0</v>
      </c>
      <c r="AC131" s="206"/>
      <c r="AD131" s="206">
        <f>(BaseLoad!E130*'Base Hours'!V131*'Base Hours'!$AA131)*-1</f>
        <v>0</v>
      </c>
      <c r="AE131" s="206"/>
      <c r="AF131" s="206">
        <f>(BaseLoad!F130*'Base Hours'!V131*'Base Hours'!$AA131)*-1</f>
        <v>0</v>
      </c>
      <c r="AG131" s="206"/>
    </row>
    <row r="132" spans="1:33" x14ac:dyDescent="0.2">
      <c r="A132" s="1">
        <f t="shared" si="3"/>
        <v>40250.874000000156</v>
      </c>
      <c r="B132" s="177" t="str">
        <f>IF($A$1="Peak","-",'Base Hours'!B132*BaseLoad!H131*'Base Hours'!$AA132)</f>
        <v>-</v>
      </c>
      <c r="C132" s="177" t="str">
        <f>IF($A$1="Peak","-",'Base Hours'!C132*BaseLoad!I131*'Base Hours'!$AA132)</f>
        <v>-</v>
      </c>
      <c r="D132" s="177" t="str">
        <f>IF($A$1="Peak","-",'Base Hours'!D132*BaseLoad!J131*'Base Hours'!$AA132)</f>
        <v>-</v>
      </c>
      <c r="E132" s="177" t="str">
        <f>IF($A$1="Peak","-",'Base Hours'!E132*BaseLoad!K131*'Base Hours'!$AA132)</f>
        <v>-</v>
      </c>
      <c r="F132" s="177" t="str">
        <f>IF($A$1="Peak","-",'Base Hours'!F132*BaseLoad!L131*'Base Hours'!$AA132)</f>
        <v>-</v>
      </c>
      <c r="G132" s="177" t="str">
        <f>IF($A$1="Peak","-",'Base Hours'!G132*BaseLoad!M131*'Base Hours'!$AA132)</f>
        <v>-</v>
      </c>
      <c r="H132" s="177" t="str">
        <f>IF($A$1="Peak","-",'Base Hours'!H132*BaseLoad!N131*'Base Hours'!$AA132)</f>
        <v>-</v>
      </c>
      <c r="I132" s="177" t="str">
        <f>IF($A$1="Peak","-",'Base Hours'!I132*BaseLoad!O131*'Base Hours'!$AA132)</f>
        <v>-</v>
      </c>
      <c r="J132" s="177" t="str">
        <f>IF($A$1="Peak","-",'Base Hours'!J132*BaseLoad!P131*'Base Hours'!$AA132)</f>
        <v>-</v>
      </c>
      <c r="K132" s="177" t="str">
        <f>IF($A$1="Peak","-",'Base Hours'!K132*BaseLoad!Q131*'Base Hours'!$AA132)</f>
        <v>-</v>
      </c>
      <c r="L132" s="177" t="str">
        <f>IF($A$1="Peak","-",'Base Hours'!L132*BaseLoad!R131*'Base Hours'!$AA132)</f>
        <v>-</v>
      </c>
      <c r="M132" s="177" t="str">
        <f>IF($A$1="Peak","-",'Base Hours'!M132*BaseLoad!S131*'Base Hours'!$AA132)</f>
        <v>-</v>
      </c>
      <c r="N132" s="177" t="str">
        <f>IF($A$1="Peak","-",'Base Hours'!N132*BaseLoad!T131*'Base Hours'!$AA132)</f>
        <v>-</v>
      </c>
      <c r="O132" s="177" t="str">
        <f>IF($A$1="Peak","-",'Base Hours'!O132*BaseLoad!U131*'Base Hours'!$AA132)</f>
        <v>-</v>
      </c>
      <c r="P132" s="177" t="str">
        <f>IF($A$1="Peak","-",'Base Hours'!P132*BaseLoad!V131*'Base Hours'!$AA132)</f>
        <v>-</v>
      </c>
      <c r="Q132" s="177" t="str">
        <f>IF($A$1="Peak","-",'Base Hours'!Q132*BaseLoad!W131*'Base Hours'!$AA132)</f>
        <v>-</v>
      </c>
      <c r="R132" s="177" t="str">
        <f>IF($A$1="Peak","-",'Base Hours'!R132*BaseLoad!X131*'Base Hours'!$AA132)</f>
        <v>-</v>
      </c>
      <c r="S132" s="177" t="str">
        <f>IF($A$1="Peak","-",'Base Hours'!S132*BaseLoad!Y131*'Base Hours'!$AA132)</f>
        <v>-</v>
      </c>
      <c r="T132" s="177" t="str">
        <f>IF($A$1="Peak","-",'Base Hours'!T132*BaseLoad!Z131*'Base Hours'!$AA132)</f>
        <v>-</v>
      </c>
      <c r="U132" s="177" t="str">
        <f>IF($A$1="Peak","-",'Base Hours'!U132*BaseLoad!AA131*'Base Hours'!$AA132)</f>
        <v>-</v>
      </c>
      <c r="V132" s="177">
        <f t="shared" si="4"/>
        <v>0</v>
      </c>
      <c r="W132" s="177"/>
      <c r="X132" s="177"/>
      <c r="Y132" s="206"/>
      <c r="Z132" s="206">
        <f>(BaseLoad!C131*'Base Hours'!V132*'Base Hours'!$AA132)*-1</f>
        <v>0</v>
      </c>
      <c r="AA132" s="206"/>
      <c r="AB132" s="206">
        <f>(BaseLoad!D131*'Base Hours'!V132*'Base Hours'!$AA132)*-1</f>
        <v>0</v>
      </c>
      <c r="AC132" s="206"/>
      <c r="AD132" s="206">
        <f>(BaseLoad!E131*'Base Hours'!V132*'Base Hours'!$AA132)*-1</f>
        <v>0</v>
      </c>
      <c r="AE132" s="206"/>
      <c r="AF132" s="206">
        <f>(BaseLoad!F131*'Base Hours'!V132*'Base Hours'!$AA132)*-1</f>
        <v>0</v>
      </c>
      <c r="AG132" s="206"/>
    </row>
    <row r="133" spans="1:33" x14ac:dyDescent="0.2">
      <c r="A133" s="1">
        <f t="shared" si="3"/>
        <v>40281.291000000158</v>
      </c>
      <c r="B133" s="177" t="str">
        <f>IF($A$1="Peak","-",'Base Hours'!B133*BaseLoad!H132*'Base Hours'!$AA133)</f>
        <v>-</v>
      </c>
      <c r="C133" s="177" t="str">
        <f>IF($A$1="Peak","-",'Base Hours'!C133*BaseLoad!I132*'Base Hours'!$AA133)</f>
        <v>-</v>
      </c>
      <c r="D133" s="177" t="str">
        <f>IF($A$1="Peak","-",'Base Hours'!D133*BaseLoad!J132*'Base Hours'!$AA133)</f>
        <v>-</v>
      </c>
      <c r="E133" s="177" t="str">
        <f>IF($A$1="Peak","-",'Base Hours'!E133*BaseLoad!K132*'Base Hours'!$AA133)</f>
        <v>-</v>
      </c>
      <c r="F133" s="177" t="str">
        <f>IF($A$1="Peak","-",'Base Hours'!F133*BaseLoad!L132*'Base Hours'!$AA133)</f>
        <v>-</v>
      </c>
      <c r="G133" s="177" t="str">
        <f>IF($A$1="Peak","-",'Base Hours'!G133*BaseLoad!M132*'Base Hours'!$AA133)</f>
        <v>-</v>
      </c>
      <c r="H133" s="177" t="str">
        <f>IF($A$1="Peak","-",'Base Hours'!H133*BaseLoad!N132*'Base Hours'!$AA133)</f>
        <v>-</v>
      </c>
      <c r="I133" s="177" t="str">
        <f>IF($A$1="Peak","-",'Base Hours'!I133*BaseLoad!O132*'Base Hours'!$AA133)</f>
        <v>-</v>
      </c>
      <c r="J133" s="177" t="str">
        <f>IF($A$1="Peak","-",'Base Hours'!J133*BaseLoad!P132*'Base Hours'!$AA133)</f>
        <v>-</v>
      </c>
      <c r="K133" s="177" t="str">
        <f>IF($A$1="Peak","-",'Base Hours'!K133*BaseLoad!Q132*'Base Hours'!$AA133)</f>
        <v>-</v>
      </c>
      <c r="L133" s="177" t="str">
        <f>IF($A$1="Peak","-",'Base Hours'!L133*BaseLoad!R132*'Base Hours'!$AA133)</f>
        <v>-</v>
      </c>
      <c r="M133" s="177" t="str">
        <f>IF($A$1="Peak","-",'Base Hours'!M133*BaseLoad!S132*'Base Hours'!$AA133)</f>
        <v>-</v>
      </c>
      <c r="N133" s="177" t="str">
        <f>IF($A$1="Peak","-",'Base Hours'!N133*BaseLoad!T132*'Base Hours'!$AA133)</f>
        <v>-</v>
      </c>
      <c r="O133" s="177" t="str">
        <f>IF($A$1="Peak","-",'Base Hours'!O133*BaseLoad!U132*'Base Hours'!$AA133)</f>
        <v>-</v>
      </c>
      <c r="P133" s="177" t="str">
        <f>IF($A$1="Peak","-",'Base Hours'!P133*BaseLoad!V132*'Base Hours'!$AA133)</f>
        <v>-</v>
      </c>
      <c r="Q133" s="177" t="str">
        <f>IF($A$1="Peak","-",'Base Hours'!Q133*BaseLoad!W132*'Base Hours'!$AA133)</f>
        <v>-</v>
      </c>
      <c r="R133" s="177" t="str">
        <f>IF($A$1="Peak","-",'Base Hours'!R133*BaseLoad!X132*'Base Hours'!$AA133)</f>
        <v>-</v>
      </c>
      <c r="S133" s="177" t="str">
        <f>IF($A$1="Peak","-",'Base Hours'!S133*BaseLoad!Y132*'Base Hours'!$AA133)</f>
        <v>-</v>
      </c>
      <c r="T133" s="177" t="str">
        <f>IF($A$1="Peak","-",'Base Hours'!T133*BaseLoad!Z132*'Base Hours'!$AA133)</f>
        <v>-</v>
      </c>
      <c r="U133" s="177" t="str">
        <f>IF($A$1="Peak","-",'Base Hours'!U133*BaseLoad!AA132*'Base Hours'!$AA133)</f>
        <v>-</v>
      </c>
      <c r="V133" s="177">
        <f t="shared" si="4"/>
        <v>0</v>
      </c>
      <c r="W133" s="177"/>
      <c r="X133" s="177"/>
      <c r="Y133" s="206"/>
      <c r="Z133" s="206">
        <f>(BaseLoad!C132*'Base Hours'!V133*'Base Hours'!$AA133)*-1</f>
        <v>0</v>
      </c>
      <c r="AA133" s="206"/>
      <c r="AB133" s="206">
        <f>(BaseLoad!D132*'Base Hours'!V133*'Base Hours'!$AA133)*-1</f>
        <v>0</v>
      </c>
      <c r="AC133" s="206"/>
      <c r="AD133" s="206">
        <f>(BaseLoad!E132*'Base Hours'!V133*'Base Hours'!$AA133)*-1</f>
        <v>0</v>
      </c>
      <c r="AE133" s="206"/>
      <c r="AF133" s="206">
        <f>(BaseLoad!F132*'Base Hours'!V133*'Base Hours'!$AA133)*-1</f>
        <v>0</v>
      </c>
      <c r="AG133" s="206"/>
    </row>
    <row r="134" spans="1:33" x14ac:dyDescent="0.2">
      <c r="A134" s="1">
        <f t="shared" si="3"/>
        <v>40311.708000000159</v>
      </c>
      <c r="B134" s="177" t="str">
        <f>IF($A$1="Peak","-",'Base Hours'!B134*BaseLoad!H133*'Base Hours'!$AA134)</f>
        <v>-</v>
      </c>
      <c r="C134" s="177" t="str">
        <f>IF($A$1="Peak","-",'Base Hours'!C134*BaseLoad!I133*'Base Hours'!$AA134)</f>
        <v>-</v>
      </c>
      <c r="D134" s="177" t="str">
        <f>IF($A$1="Peak","-",'Base Hours'!D134*BaseLoad!J133*'Base Hours'!$AA134)</f>
        <v>-</v>
      </c>
      <c r="E134" s="177" t="str">
        <f>IF($A$1="Peak","-",'Base Hours'!E134*BaseLoad!K133*'Base Hours'!$AA134)</f>
        <v>-</v>
      </c>
      <c r="F134" s="177" t="str">
        <f>IF($A$1="Peak","-",'Base Hours'!F134*BaseLoad!L133*'Base Hours'!$AA134)</f>
        <v>-</v>
      </c>
      <c r="G134" s="177" t="str">
        <f>IF($A$1="Peak","-",'Base Hours'!G134*BaseLoad!M133*'Base Hours'!$AA134)</f>
        <v>-</v>
      </c>
      <c r="H134" s="177" t="str">
        <f>IF($A$1="Peak","-",'Base Hours'!H134*BaseLoad!N133*'Base Hours'!$AA134)</f>
        <v>-</v>
      </c>
      <c r="I134" s="177" t="str">
        <f>IF($A$1="Peak","-",'Base Hours'!I134*BaseLoad!O133*'Base Hours'!$AA134)</f>
        <v>-</v>
      </c>
      <c r="J134" s="177" t="str">
        <f>IF($A$1="Peak","-",'Base Hours'!J134*BaseLoad!P133*'Base Hours'!$AA134)</f>
        <v>-</v>
      </c>
      <c r="K134" s="177" t="str">
        <f>IF($A$1="Peak","-",'Base Hours'!K134*BaseLoad!Q133*'Base Hours'!$AA134)</f>
        <v>-</v>
      </c>
      <c r="L134" s="177" t="str">
        <f>IF($A$1="Peak","-",'Base Hours'!L134*BaseLoad!R133*'Base Hours'!$AA134)</f>
        <v>-</v>
      </c>
      <c r="M134" s="177" t="str">
        <f>IF($A$1="Peak","-",'Base Hours'!M134*BaseLoad!S133*'Base Hours'!$AA134)</f>
        <v>-</v>
      </c>
      <c r="N134" s="177" t="str">
        <f>IF($A$1="Peak","-",'Base Hours'!N134*BaseLoad!T133*'Base Hours'!$AA134)</f>
        <v>-</v>
      </c>
      <c r="O134" s="177" t="str">
        <f>IF($A$1="Peak","-",'Base Hours'!O134*BaseLoad!U133*'Base Hours'!$AA134)</f>
        <v>-</v>
      </c>
      <c r="P134" s="177" t="str">
        <f>IF($A$1="Peak","-",'Base Hours'!P134*BaseLoad!V133*'Base Hours'!$AA134)</f>
        <v>-</v>
      </c>
      <c r="Q134" s="177" t="str">
        <f>IF($A$1="Peak","-",'Base Hours'!Q134*BaseLoad!W133*'Base Hours'!$AA134)</f>
        <v>-</v>
      </c>
      <c r="R134" s="177" t="str">
        <f>IF($A$1="Peak","-",'Base Hours'!R134*BaseLoad!X133*'Base Hours'!$AA134)</f>
        <v>-</v>
      </c>
      <c r="S134" s="177" t="str">
        <f>IF($A$1="Peak","-",'Base Hours'!S134*BaseLoad!Y133*'Base Hours'!$AA134)</f>
        <v>-</v>
      </c>
      <c r="T134" s="177" t="str">
        <f>IF($A$1="Peak","-",'Base Hours'!T134*BaseLoad!Z133*'Base Hours'!$AA134)</f>
        <v>-</v>
      </c>
      <c r="U134" s="177" t="str">
        <f>IF($A$1="Peak","-",'Base Hours'!U134*BaseLoad!AA133*'Base Hours'!$AA134)</f>
        <v>-</v>
      </c>
      <c r="V134" s="177">
        <f t="shared" si="4"/>
        <v>0</v>
      </c>
      <c r="W134" s="177"/>
      <c r="X134" s="177"/>
      <c r="Y134" s="206"/>
      <c r="Z134" s="206">
        <f>(BaseLoad!C133*'Base Hours'!V134*'Base Hours'!$AA134)*-1</f>
        <v>0</v>
      </c>
      <c r="AA134" s="206"/>
      <c r="AB134" s="206">
        <f>(BaseLoad!D133*'Base Hours'!V134*'Base Hours'!$AA134)*-1</f>
        <v>0</v>
      </c>
      <c r="AC134" s="206"/>
      <c r="AD134" s="206">
        <f>(BaseLoad!E133*'Base Hours'!V134*'Base Hours'!$AA134)*-1</f>
        <v>0</v>
      </c>
      <c r="AE134" s="206"/>
      <c r="AF134" s="206">
        <f>(BaseLoad!F133*'Base Hours'!V134*'Base Hours'!$AA134)*-1</f>
        <v>0</v>
      </c>
      <c r="AG134" s="206"/>
    </row>
    <row r="135" spans="1:33" x14ac:dyDescent="0.2">
      <c r="A135" s="1">
        <f t="shared" si="3"/>
        <v>40342.12500000016</v>
      </c>
      <c r="B135" s="177" t="str">
        <f>IF($A$1="Peak","-",'Base Hours'!B135*BaseLoad!H134*'Base Hours'!$AA135)</f>
        <v>-</v>
      </c>
      <c r="C135" s="177" t="str">
        <f>IF($A$1="Peak","-",'Base Hours'!C135*BaseLoad!I134*'Base Hours'!$AA135)</f>
        <v>-</v>
      </c>
      <c r="D135" s="177" t="str">
        <f>IF($A$1="Peak","-",'Base Hours'!D135*BaseLoad!J134*'Base Hours'!$AA135)</f>
        <v>-</v>
      </c>
      <c r="E135" s="177" t="str">
        <f>IF($A$1="Peak","-",'Base Hours'!E135*BaseLoad!K134*'Base Hours'!$AA135)</f>
        <v>-</v>
      </c>
      <c r="F135" s="177" t="str">
        <f>IF($A$1="Peak","-",'Base Hours'!F135*BaseLoad!L134*'Base Hours'!$AA135)</f>
        <v>-</v>
      </c>
      <c r="G135" s="177" t="str">
        <f>IF($A$1="Peak","-",'Base Hours'!G135*BaseLoad!M134*'Base Hours'!$AA135)</f>
        <v>-</v>
      </c>
      <c r="H135" s="177" t="str">
        <f>IF($A$1="Peak","-",'Base Hours'!H135*BaseLoad!N134*'Base Hours'!$AA135)</f>
        <v>-</v>
      </c>
      <c r="I135" s="177" t="str">
        <f>IF($A$1="Peak","-",'Base Hours'!I135*BaseLoad!O134*'Base Hours'!$AA135)</f>
        <v>-</v>
      </c>
      <c r="J135" s="177" t="str">
        <f>IF($A$1="Peak","-",'Base Hours'!J135*BaseLoad!P134*'Base Hours'!$AA135)</f>
        <v>-</v>
      </c>
      <c r="K135" s="177" t="str">
        <f>IF($A$1="Peak","-",'Base Hours'!K135*BaseLoad!Q134*'Base Hours'!$AA135)</f>
        <v>-</v>
      </c>
      <c r="L135" s="177" t="str">
        <f>IF($A$1="Peak","-",'Base Hours'!L135*BaseLoad!R134*'Base Hours'!$AA135)</f>
        <v>-</v>
      </c>
      <c r="M135" s="177" t="str">
        <f>IF($A$1="Peak","-",'Base Hours'!M135*BaseLoad!S134*'Base Hours'!$AA135)</f>
        <v>-</v>
      </c>
      <c r="N135" s="177" t="str">
        <f>IF($A$1="Peak","-",'Base Hours'!N135*BaseLoad!T134*'Base Hours'!$AA135)</f>
        <v>-</v>
      </c>
      <c r="O135" s="177" t="str">
        <f>IF($A$1="Peak","-",'Base Hours'!O135*BaseLoad!U134*'Base Hours'!$AA135)</f>
        <v>-</v>
      </c>
      <c r="P135" s="177" t="str">
        <f>IF($A$1="Peak","-",'Base Hours'!P135*BaseLoad!V134*'Base Hours'!$AA135)</f>
        <v>-</v>
      </c>
      <c r="Q135" s="177" t="str">
        <f>IF($A$1="Peak","-",'Base Hours'!Q135*BaseLoad!W134*'Base Hours'!$AA135)</f>
        <v>-</v>
      </c>
      <c r="R135" s="177" t="str">
        <f>IF($A$1="Peak","-",'Base Hours'!R135*BaseLoad!X134*'Base Hours'!$AA135)</f>
        <v>-</v>
      </c>
      <c r="S135" s="177" t="str">
        <f>IF($A$1="Peak","-",'Base Hours'!S135*BaseLoad!Y134*'Base Hours'!$AA135)</f>
        <v>-</v>
      </c>
      <c r="T135" s="177" t="str">
        <f>IF($A$1="Peak","-",'Base Hours'!T135*BaseLoad!Z134*'Base Hours'!$AA135)</f>
        <v>-</v>
      </c>
      <c r="U135" s="177" t="str">
        <f>IF($A$1="Peak","-",'Base Hours'!U135*BaseLoad!AA134*'Base Hours'!$AA135)</f>
        <v>-</v>
      </c>
      <c r="V135" s="177">
        <f t="shared" si="4"/>
        <v>0</v>
      </c>
      <c r="W135" s="177"/>
      <c r="X135" s="177"/>
      <c r="Y135" s="206"/>
      <c r="Z135" s="206">
        <f>(BaseLoad!C134*'Base Hours'!V135*'Base Hours'!$AA135)*-1</f>
        <v>0</v>
      </c>
      <c r="AA135" s="206"/>
      <c r="AB135" s="206">
        <f>(BaseLoad!D134*'Base Hours'!V135*'Base Hours'!$AA135)*-1</f>
        <v>0</v>
      </c>
      <c r="AC135" s="206"/>
      <c r="AD135" s="206">
        <f>(BaseLoad!E134*'Base Hours'!V135*'Base Hours'!$AA135)*-1</f>
        <v>0</v>
      </c>
      <c r="AE135" s="206"/>
      <c r="AF135" s="206">
        <f>(BaseLoad!F134*'Base Hours'!V135*'Base Hours'!$AA135)*-1</f>
        <v>0</v>
      </c>
      <c r="AG135" s="206"/>
    </row>
    <row r="136" spans="1:33" x14ac:dyDescent="0.2">
      <c r="A136" s="1">
        <f t="shared" si="3"/>
        <v>40372.542000000161</v>
      </c>
      <c r="B136" s="177" t="str">
        <f>IF($A$1="Peak","-",'Base Hours'!B136*BaseLoad!H135*'Base Hours'!$AA136)</f>
        <v>-</v>
      </c>
      <c r="C136" s="177" t="str">
        <f>IF($A$1="Peak","-",'Base Hours'!C136*BaseLoad!I135*'Base Hours'!$AA136)</f>
        <v>-</v>
      </c>
      <c r="D136" s="177" t="str">
        <f>IF($A$1="Peak","-",'Base Hours'!D136*BaseLoad!J135*'Base Hours'!$AA136)</f>
        <v>-</v>
      </c>
      <c r="E136" s="177" t="str">
        <f>IF($A$1="Peak","-",'Base Hours'!E136*BaseLoad!K135*'Base Hours'!$AA136)</f>
        <v>-</v>
      </c>
      <c r="F136" s="177" t="str">
        <f>IF($A$1="Peak","-",'Base Hours'!F136*BaseLoad!L135*'Base Hours'!$AA136)</f>
        <v>-</v>
      </c>
      <c r="G136" s="177" t="str">
        <f>IF($A$1="Peak","-",'Base Hours'!G136*BaseLoad!M135*'Base Hours'!$AA136)</f>
        <v>-</v>
      </c>
      <c r="H136" s="177" t="str">
        <f>IF($A$1="Peak","-",'Base Hours'!H136*BaseLoad!N135*'Base Hours'!$AA136)</f>
        <v>-</v>
      </c>
      <c r="I136" s="177" t="str">
        <f>IF($A$1="Peak","-",'Base Hours'!I136*BaseLoad!O135*'Base Hours'!$AA136)</f>
        <v>-</v>
      </c>
      <c r="J136" s="177" t="str">
        <f>IF($A$1="Peak","-",'Base Hours'!J136*BaseLoad!P135*'Base Hours'!$AA136)</f>
        <v>-</v>
      </c>
      <c r="K136" s="177" t="str">
        <f>IF($A$1="Peak","-",'Base Hours'!K136*BaseLoad!Q135*'Base Hours'!$AA136)</f>
        <v>-</v>
      </c>
      <c r="L136" s="177" t="str">
        <f>IF($A$1="Peak","-",'Base Hours'!L136*BaseLoad!R135*'Base Hours'!$AA136)</f>
        <v>-</v>
      </c>
      <c r="M136" s="177" t="str">
        <f>IF($A$1="Peak","-",'Base Hours'!M136*BaseLoad!S135*'Base Hours'!$AA136)</f>
        <v>-</v>
      </c>
      <c r="N136" s="177" t="str">
        <f>IF($A$1="Peak","-",'Base Hours'!N136*BaseLoad!T135*'Base Hours'!$AA136)</f>
        <v>-</v>
      </c>
      <c r="O136" s="177" t="str">
        <f>IF($A$1="Peak","-",'Base Hours'!O136*BaseLoad!U135*'Base Hours'!$AA136)</f>
        <v>-</v>
      </c>
      <c r="P136" s="177" t="str">
        <f>IF($A$1="Peak","-",'Base Hours'!P136*BaseLoad!V135*'Base Hours'!$AA136)</f>
        <v>-</v>
      </c>
      <c r="Q136" s="177" t="str">
        <f>IF($A$1="Peak","-",'Base Hours'!Q136*BaseLoad!W135*'Base Hours'!$AA136)</f>
        <v>-</v>
      </c>
      <c r="R136" s="177" t="str">
        <f>IF($A$1="Peak","-",'Base Hours'!R136*BaseLoad!X135*'Base Hours'!$AA136)</f>
        <v>-</v>
      </c>
      <c r="S136" s="177" t="str">
        <f>IF($A$1="Peak","-",'Base Hours'!S136*BaseLoad!Y135*'Base Hours'!$AA136)</f>
        <v>-</v>
      </c>
      <c r="T136" s="177" t="str">
        <f>IF($A$1="Peak","-",'Base Hours'!T136*BaseLoad!Z135*'Base Hours'!$AA136)</f>
        <v>-</v>
      </c>
      <c r="U136" s="177" t="str">
        <f>IF($A$1="Peak","-",'Base Hours'!U136*BaseLoad!AA135*'Base Hours'!$AA136)</f>
        <v>-</v>
      </c>
      <c r="V136" s="177">
        <f t="shared" si="4"/>
        <v>0</v>
      </c>
      <c r="W136" s="177"/>
      <c r="X136" s="177"/>
      <c r="Y136" s="206"/>
      <c r="Z136" s="206">
        <f>(BaseLoad!C135*'Base Hours'!V136*'Base Hours'!$AA136)*-1</f>
        <v>0</v>
      </c>
      <c r="AA136" s="206"/>
      <c r="AB136" s="206">
        <f>(BaseLoad!D135*'Base Hours'!V136*'Base Hours'!$AA136)*-1</f>
        <v>0</v>
      </c>
      <c r="AC136" s="206"/>
      <c r="AD136" s="206">
        <f>(BaseLoad!E135*'Base Hours'!V136*'Base Hours'!$AA136)*-1</f>
        <v>0</v>
      </c>
      <c r="AE136" s="206"/>
      <c r="AF136" s="206">
        <f>(BaseLoad!F135*'Base Hours'!V136*'Base Hours'!$AA136)*-1</f>
        <v>0</v>
      </c>
      <c r="AG136" s="206"/>
    </row>
    <row r="137" spans="1:33" x14ac:dyDescent="0.2">
      <c r="A137" s="1">
        <f t="shared" si="3"/>
        <v>40402.959000000163</v>
      </c>
      <c r="B137" s="177" t="str">
        <f>IF($A$1="Peak","-",'Base Hours'!B137*BaseLoad!H136*'Base Hours'!$AA137)</f>
        <v>-</v>
      </c>
      <c r="C137" s="177" t="str">
        <f>IF($A$1="Peak","-",'Base Hours'!C137*BaseLoad!I136*'Base Hours'!$AA137)</f>
        <v>-</v>
      </c>
      <c r="D137" s="177" t="str">
        <f>IF($A$1="Peak","-",'Base Hours'!D137*BaseLoad!J136*'Base Hours'!$AA137)</f>
        <v>-</v>
      </c>
      <c r="E137" s="177" t="str">
        <f>IF($A$1="Peak","-",'Base Hours'!E137*BaseLoad!K136*'Base Hours'!$AA137)</f>
        <v>-</v>
      </c>
      <c r="F137" s="177" t="str">
        <f>IF($A$1="Peak","-",'Base Hours'!F137*BaseLoad!L136*'Base Hours'!$AA137)</f>
        <v>-</v>
      </c>
      <c r="G137" s="177" t="str">
        <f>IF($A$1="Peak","-",'Base Hours'!G137*BaseLoad!M136*'Base Hours'!$AA137)</f>
        <v>-</v>
      </c>
      <c r="H137" s="177" t="str">
        <f>IF($A$1="Peak","-",'Base Hours'!H137*BaseLoad!N136*'Base Hours'!$AA137)</f>
        <v>-</v>
      </c>
      <c r="I137" s="177" t="str">
        <f>IF($A$1="Peak","-",'Base Hours'!I137*BaseLoad!O136*'Base Hours'!$AA137)</f>
        <v>-</v>
      </c>
      <c r="J137" s="177" t="str">
        <f>IF($A$1="Peak","-",'Base Hours'!J137*BaseLoad!P136*'Base Hours'!$AA137)</f>
        <v>-</v>
      </c>
      <c r="K137" s="177" t="str">
        <f>IF($A$1="Peak","-",'Base Hours'!K137*BaseLoad!Q136*'Base Hours'!$AA137)</f>
        <v>-</v>
      </c>
      <c r="L137" s="177" t="str">
        <f>IF($A$1="Peak","-",'Base Hours'!L137*BaseLoad!R136*'Base Hours'!$AA137)</f>
        <v>-</v>
      </c>
      <c r="M137" s="177" t="str">
        <f>IF($A$1="Peak","-",'Base Hours'!M137*BaseLoad!S136*'Base Hours'!$AA137)</f>
        <v>-</v>
      </c>
      <c r="N137" s="177" t="str">
        <f>IF($A$1="Peak","-",'Base Hours'!N137*BaseLoad!T136*'Base Hours'!$AA137)</f>
        <v>-</v>
      </c>
      <c r="O137" s="177" t="str">
        <f>IF($A$1="Peak","-",'Base Hours'!O137*BaseLoad!U136*'Base Hours'!$AA137)</f>
        <v>-</v>
      </c>
      <c r="P137" s="177" t="str">
        <f>IF($A$1="Peak","-",'Base Hours'!P137*BaseLoad!V136*'Base Hours'!$AA137)</f>
        <v>-</v>
      </c>
      <c r="Q137" s="177" t="str">
        <f>IF($A$1="Peak","-",'Base Hours'!Q137*BaseLoad!W136*'Base Hours'!$AA137)</f>
        <v>-</v>
      </c>
      <c r="R137" s="177" t="str">
        <f>IF($A$1="Peak","-",'Base Hours'!R137*BaseLoad!X136*'Base Hours'!$AA137)</f>
        <v>-</v>
      </c>
      <c r="S137" s="177" t="str">
        <f>IF($A$1="Peak","-",'Base Hours'!S137*BaseLoad!Y136*'Base Hours'!$AA137)</f>
        <v>-</v>
      </c>
      <c r="T137" s="177" t="str">
        <f>IF($A$1="Peak","-",'Base Hours'!T137*BaseLoad!Z136*'Base Hours'!$AA137)</f>
        <v>-</v>
      </c>
      <c r="U137" s="177" t="str">
        <f>IF($A$1="Peak","-",'Base Hours'!U137*BaseLoad!AA136*'Base Hours'!$AA137)</f>
        <v>-</v>
      </c>
      <c r="V137" s="177">
        <f t="shared" si="4"/>
        <v>0</v>
      </c>
      <c r="W137" s="177"/>
      <c r="X137" s="177"/>
      <c r="Y137" s="206"/>
      <c r="Z137" s="206">
        <f>(BaseLoad!C136*'Base Hours'!V137*'Base Hours'!$AA137)*-1</f>
        <v>0</v>
      </c>
      <c r="AA137" s="206"/>
      <c r="AB137" s="206">
        <f>(BaseLoad!D136*'Base Hours'!V137*'Base Hours'!$AA137)*-1</f>
        <v>0</v>
      </c>
      <c r="AC137" s="206"/>
      <c r="AD137" s="206">
        <f>(BaseLoad!E136*'Base Hours'!V137*'Base Hours'!$AA137)*-1</f>
        <v>0</v>
      </c>
      <c r="AE137" s="206"/>
      <c r="AF137" s="206">
        <f>(BaseLoad!F136*'Base Hours'!V137*'Base Hours'!$AA137)*-1</f>
        <v>0</v>
      </c>
      <c r="AG137" s="206"/>
    </row>
    <row r="138" spans="1:33" x14ac:dyDescent="0.2">
      <c r="A138" s="1">
        <f t="shared" si="3"/>
        <v>40433.376000000164</v>
      </c>
      <c r="B138" s="177" t="str">
        <f>IF($A$1="Peak","-",'Base Hours'!B138*BaseLoad!H137*'Base Hours'!$AA138)</f>
        <v>-</v>
      </c>
      <c r="C138" s="177" t="str">
        <f>IF($A$1="Peak","-",'Base Hours'!C138*BaseLoad!I137*'Base Hours'!$AA138)</f>
        <v>-</v>
      </c>
      <c r="D138" s="177" t="str">
        <f>IF($A$1="Peak","-",'Base Hours'!D138*BaseLoad!J137*'Base Hours'!$AA138)</f>
        <v>-</v>
      </c>
      <c r="E138" s="177" t="str">
        <f>IF($A$1="Peak","-",'Base Hours'!E138*BaseLoad!K137*'Base Hours'!$AA138)</f>
        <v>-</v>
      </c>
      <c r="F138" s="177" t="str">
        <f>IF($A$1="Peak","-",'Base Hours'!F138*BaseLoad!L137*'Base Hours'!$AA138)</f>
        <v>-</v>
      </c>
      <c r="G138" s="177" t="str">
        <f>IF($A$1="Peak","-",'Base Hours'!G138*BaseLoad!M137*'Base Hours'!$AA138)</f>
        <v>-</v>
      </c>
      <c r="H138" s="177" t="str">
        <f>IF($A$1="Peak","-",'Base Hours'!H138*BaseLoad!N137*'Base Hours'!$AA138)</f>
        <v>-</v>
      </c>
      <c r="I138" s="177" t="str">
        <f>IF($A$1="Peak","-",'Base Hours'!I138*BaseLoad!O137*'Base Hours'!$AA138)</f>
        <v>-</v>
      </c>
      <c r="J138" s="177" t="str">
        <f>IF($A$1="Peak","-",'Base Hours'!J138*BaseLoad!P137*'Base Hours'!$AA138)</f>
        <v>-</v>
      </c>
      <c r="K138" s="177" t="str">
        <f>IF($A$1="Peak","-",'Base Hours'!K138*BaseLoad!Q137*'Base Hours'!$AA138)</f>
        <v>-</v>
      </c>
      <c r="L138" s="177" t="str">
        <f>IF($A$1="Peak","-",'Base Hours'!L138*BaseLoad!R137*'Base Hours'!$AA138)</f>
        <v>-</v>
      </c>
      <c r="M138" s="177" t="str">
        <f>IF($A$1="Peak","-",'Base Hours'!M138*BaseLoad!S137*'Base Hours'!$AA138)</f>
        <v>-</v>
      </c>
      <c r="N138" s="177" t="str">
        <f>IF($A$1="Peak","-",'Base Hours'!N138*BaseLoad!T137*'Base Hours'!$AA138)</f>
        <v>-</v>
      </c>
      <c r="O138" s="177" t="str">
        <f>IF($A$1="Peak","-",'Base Hours'!O138*BaseLoad!U137*'Base Hours'!$AA138)</f>
        <v>-</v>
      </c>
      <c r="P138" s="177" t="str">
        <f>IF($A$1="Peak","-",'Base Hours'!P138*BaseLoad!V137*'Base Hours'!$AA138)</f>
        <v>-</v>
      </c>
      <c r="Q138" s="177" t="str">
        <f>IF($A$1="Peak","-",'Base Hours'!Q138*BaseLoad!W137*'Base Hours'!$AA138)</f>
        <v>-</v>
      </c>
      <c r="R138" s="177" t="str">
        <f>IF($A$1="Peak","-",'Base Hours'!R138*BaseLoad!X137*'Base Hours'!$AA138)</f>
        <v>-</v>
      </c>
      <c r="S138" s="177" t="str">
        <f>IF($A$1="Peak","-",'Base Hours'!S138*BaseLoad!Y137*'Base Hours'!$AA138)</f>
        <v>-</v>
      </c>
      <c r="T138" s="177" t="str">
        <f>IF($A$1="Peak","-",'Base Hours'!T138*BaseLoad!Z137*'Base Hours'!$AA138)</f>
        <v>-</v>
      </c>
      <c r="U138" s="177" t="str">
        <f>IF($A$1="Peak","-",'Base Hours'!U138*BaseLoad!AA137*'Base Hours'!$AA138)</f>
        <v>-</v>
      </c>
      <c r="V138" s="177">
        <f t="shared" si="4"/>
        <v>0</v>
      </c>
      <c r="W138" s="177"/>
      <c r="X138" s="177"/>
      <c r="Y138" s="206"/>
      <c r="Z138" s="206">
        <f>(BaseLoad!C137*'Base Hours'!V138*'Base Hours'!$AA138)*-1</f>
        <v>0</v>
      </c>
      <c r="AA138" s="206"/>
      <c r="AB138" s="206">
        <f>(BaseLoad!D137*'Base Hours'!V138*'Base Hours'!$AA138)*-1</f>
        <v>0</v>
      </c>
      <c r="AC138" s="206"/>
      <c r="AD138" s="206">
        <f>(BaseLoad!E137*'Base Hours'!V138*'Base Hours'!$AA138)*-1</f>
        <v>0</v>
      </c>
      <c r="AE138" s="206"/>
      <c r="AF138" s="206">
        <f>(BaseLoad!F137*'Base Hours'!V138*'Base Hours'!$AA138)*-1</f>
        <v>0</v>
      </c>
      <c r="AG138" s="206"/>
    </row>
    <row r="139" spans="1:33" x14ac:dyDescent="0.2">
      <c r="A139" s="1">
        <f t="shared" si="3"/>
        <v>40463.793000000165</v>
      </c>
      <c r="B139" s="177" t="str">
        <f>IF($A$1="Peak","-",'Base Hours'!B139*BaseLoad!H138*'Base Hours'!$AA139)</f>
        <v>-</v>
      </c>
      <c r="C139" s="177" t="str">
        <f>IF($A$1="Peak","-",'Base Hours'!C139*BaseLoad!I138*'Base Hours'!$AA139)</f>
        <v>-</v>
      </c>
      <c r="D139" s="177" t="str">
        <f>IF($A$1="Peak","-",'Base Hours'!D139*BaseLoad!J138*'Base Hours'!$AA139)</f>
        <v>-</v>
      </c>
      <c r="E139" s="177" t="str">
        <f>IF($A$1="Peak","-",'Base Hours'!E139*BaseLoad!K138*'Base Hours'!$AA139)</f>
        <v>-</v>
      </c>
      <c r="F139" s="177" t="str">
        <f>IF($A$1="Peak","-",'Base Hours'!F139*BaseLoad!L138*'Base Hours'!$AA139)</f>
        <v>-</v>
      </c>
      <c r="G139" s="177" t="str">
        <f>IF($A$1="Peak","-",'Base Hours'!G139*BaseLoad!M138*'Base Hours'!$AA139)</f>
        <v>-</v>
      </c>
      <c r="H139" s="177" t="str">
        <f>IF($A$1="Peak","-",'Base Hours'!H139*BaseLoad!N138*'Base Hours'!$AA139)</f>
        <v>-</v>
      </c>
      <c r="I139" s="177" t="str">
        <f>IF($A$1="Peak","-",'Base Hours'!I139*BaseLoad!O138*'Base Hours'!$AA139)</f>
        <v>-</v>
      </c>
      <c r="J139" s="177" t="str">
        <f>IF($A$1="Peak","-",'Base Hours'!J139*BaseLoad!P138*'Base Hours'!$AA139)</f>
        <v>-</v>
      </c>
      <c r="K139" s="177" t="str">
        <f>IF($A$1="Peak","-",'Base Hours'!K139*BaseLoad!Q138*'Base Hours'!$AA139)</f>
        <v>-</v>
      </c>
      <c r="L139" s="177" t="str">
        <f>IF($A$1="Peak","-",'Base Hours'!L139*BaseLoad!R138*'Base Hours'!$AA139)</f>
        <v>-</v>
      </c>
      <c r="M139" s="177" t="str">
        <f>IF($A$1="Peak","-",'Base Hours'!M139*BaseLoad!S138*'Base Hours'!$AA139)</f>
        <v>-</v>
      </c>
      <c r="N139" s="177" t="str">
        <f>IF($A$1="Peak","-",'Base Hours'!N139*BaseLoad!T138*'Base Hours'!$AA139)</f>
        <v>-</v>
      </c>
      <c r="O139" s="177" t="str">
        <f>IF($A$1="Peak","-",'Base Hours'!O139*BaseLoad!U138*'Base Hours'!$AA139)</f>
        <v>-</v>
      </c>
      <c r="P139" s="177" t="str">
        <f>IF($A$1="Peak","-",'Base Hours'!P139*BaseLoad!V138*'Base Hours'!$AA139)</f>
        <v>-</v>
      </c>
      <c r="Q139" s="177" t="str">
        <f>IF($A$1="Peak","-",'Base Hours'!Q139*BaseLoad!W138*'Base Hours'!$AA139)</f>
        <v>-</v>
      </c>
      <c r="R139" s="177" t="str">
        <f>IF($A$1="Peak","-",'Base Hours'!R139*BaseLoad!X138*'Base Hours'!$AA139)</f>
        <v>-</v>
      </c>
      <c r="S139" s="177" t="str">
        <f>IF($A$1="Peak","-",'Base Hours'!S139*BaseLoad!Y138*'Base Hours'!$AA139)</f>
        <v>-</v>
      </c>
      <c r="T139" s="177" t="str">
        <f>IF($A$1="Peak","-",'Base Hours'!T139*BaseLoad!Z138*'Base Hours'!$AA139)</f>
        <v>-</v>
      </c>
      <c r="U139" s="177" t="str">
        <f>IF($A$1="Peak","-",'Base Hours'!U139*BaseLoad!AA138*'Base Hours'!$AA139)</f>
        <v>-</v>
      </c>
      <c r="V139" s="177">
        <f t="shared" si="4"/>
        <v>0</v>
      </c>
      <c r="W139" s="177"/>
      <c r="X139" s="177"/>
      <c r="Y139" s="206"/>
      <c r="Z139" s="206">
        <f>(BaseLoad!C138*'Base Hours'!V139*'Base Hours'!$AA139)*-1</f>
        <v>0</v>
      </c>
      <c r="AA139" s="206"/>
      <c r="AB139" s="206">
        <f>(BaseLoad!D138*'Base Hours'!V139*'Base Hours'!$AA139)*-1</f>
        <v>0</v>
      </c>
      <c r="AC139" s="206"/>
      <c r="AD139" s="206">
        <f>(BaseLoad!E138*'Base Hours'!V139*'Base Hours'!$AA139)*-1</f>
        <v>0</v>
      </c>
      <c r="AE139" s="206"/>
      <c r="AF139" s="206">
        <f>(BaseLoad!F138*'Base Hours'!V139*'Base Hours'!$AA139)*-1</f>
        <v>0</v>
      </c>
      <c r="AG139" s="206"/>
    </row>
    <row r="140" spans="1:33" x14ac:dyDescent="0.2">
      <c r="A140" s="1">
        <f t="shared" ref="A140:A203" si="5">A139+30.417</f>
        <v>40494.210000000166</v>
      </c>
      <c r="B140" s="177" t="str">
        <f>IF($A$1="Peak","-",'Base Hours'!B140*BaseLoad!H139*'Base Hours'!$AA140)</f>
        <v>-</v>
      </c>
      <c r="C140" s="177" t="str">
        <f>IF($A$1="Peak","-",'Base Hours'!C140*BaseLoad!I139*'Base Hours'!$AA140)</f>
        <v>-</v>
      </c>
      <c r="D140" s="177" t="str">
        <f>IF($A$1="Peak","-",'Base Hours'!D140*BaseLoad!J139*'Base Hours'!$AA140)</f>
        <v>-</v>
      </c>
      <c r="E140" s="177" t="str">
        <f>IF($A$1="Peak","-",'Base Hours'!E140*BaseLoad!K139*'Base Hours'!$AA140)</f>
        <v>-</v>
      </c>
      <c r="F140" s="177" t="str">
        <f>IF($A$1="Peak","-",'Base Hours'!F140*BaseLoad!L139*'Base Hours'!$AA140)</f>
        <v>-</v>
      </c>
      <c r="G140" s="177" t="str">
        <f>IF($A$1="Peak","-",'Base Hours'!G140*BaseLoad!M139*'Base Hours'!$AA140)</f>
        <v>-</v>
      </c>
      <c r="H140" s="177" t="str">
        <f>IF($A$1="Peak","-",'Base Hours'!H140*BaseLoad!N139*'Base Hours'!$AA140)</f>
        <v>-</v>
      </c>
      <c r="I140" s="177" t="str">
        <f>IF($A$1="Peak","-",'Base Hours'!I140*BaseLoad!O139*'Base Hours'!$AA140)</f>
        <v>-</v>
      </c>
      <c r="J140" s="177" t="str">
        <f>IF($A$1="Peak","-",'Base Hours'!J140*BaseLoad!P139*'Base Hours'!$AA140)</f>
        <v>-</v>
      </c>
      <c r="K140" s="177" t="str">
        <f>IF($A$1="Peak","-",'Base Hours'!K140*BaseLoad!Q139*'Base Hours'!$AA140)</f>
        <v>-</v>
      </c>
      <c r="L140" s="177" t="str">
        <f>IF($A$1="Peak","-",'Base Hours'!L140*BaseLoad!R139*'Base Hours'!$AA140)</f>
        <v>-</v>
      </c>
      <c r="M140" s="177" t="str">
        <f>IF($A$1="Peak","-",'Base Hours'!M140*BaseLoad!S139*'Base Hours'!$AA140)</f>
        <v>-</v>
      </c>
      <c r="N140" s="177" t="str">
        <f>IF($A$1="Peak","-",'Base Hours'!N140*BaseLoad!T139*'Base Hours'!$AA140)</f>
        <v>-</v>
      </c>
      <c r="O140" s="177" t="str">
        <f>IF($A$1="Peak","-",'Base Hours'!O140*BaseLoad!U139*'Base Hours'!$AA140)</f>
        <v>-</v>
      </c>
      <c r="P140" s="177" t="str">
        <f>IF($A$1="Peak","-",'Base Hours'!P140*BaseLoad!V139*'Base Hours'!$AA140)</f>
        <v>-</v>
      </c>
      <c r="Q140" s="177" t="str">
        <f>IF($A$1="Peak","-",'Base Hours'!Q140*BaseLoad!W139*'Base Hours'!$AA140)</f>
        <v>-</v>
      </c>
      <c r="R140" s="177" t="str">
        <f>IF($A$1="Peak","-",'Base Hours'!R140*BaseLoad!X139*'Base Hours'!$AA140)</f>
        <v>-</v>
      </c>
      <c r="S140" s="177" t="str">
        <f>IF($A$1="Peak","-",'Base Hours'!S140*BaseLoad!Y139*'Base Hours'!$AA140)</f>
        <v>-</v>
      </c>
      <c r="T140" s="177" t="str">
        <f>IF($A$1="Peak","-",'Base Hours'!T140*BaseLoad!Z139*'Base Hours'!$AA140)</f>
        <v>-</v>
      </c>
      <c r="U140" s="177" t="str">
        <f>IF($A$1="Peak","-",'Base Hours'!U140*BaseLoad!AA139*'Base Hours'!$AA140)</f>
        <v>-</v>
      </c>
      <c r="V140" s="177">
        <f t="shared" ref="V140:V203" si="6">SUM(B140:U140)-(MAX(B140:U140))</f>
        <v>0</v>
      </c>
      <c r="W140" s="177"/>
      <c r="X140" s="177"/>
      <c r="Y140" s="206"/>
      <c r="Z140" s="206">
        <f>(BaseLoad!C139*'Base Hours'!V140*'Base Hours'!$AA140)*-1</f>
        <v>0</v>
      </c>
      <c r="AA140" s="206"/>
      <c r="AB140" s="206">
        <f>(BaseLoad!D139*'Base Hours'!V140*'Base Hours'!$AA140)*-1</f>
        <v>0</v>
      </c>
      <c r="AC140" s="206"/>
      <c r="AD140" s="206">
        <f>(BaseLoad!E139*'Base Hours'!V140*'Base Hours'!$AA140)*-1</f>
        <v>0</v>
      </c>
      <c r="AE140" s="206"/>
      <c r="AF140" s="206">
        <f>(BaseLoad!F139*'Base Hours'!V140*'Base Hours'!$AA140)*-1</f>
        <v>0</v>
      </c>
      <c r="AG140" s="206"/>
    </row>
    <row r="141" spans="1:33" x14ac:dyDescent="0.2">
      <c r="A141" s="1">
        <f t="shared" si="5"/>
        <v>40524.627000000168</v>
      </c>
      <c r="B141" s="177" t="str">
        <f>IF($A$1="Peak","-",'Base Hours'!B141*BaseLoad!H140*'Base Hours'!$AA141)</f>
        <v>-</v>
      </c>
      <c r="C141" s="177" t="str">
        <f>IF($A$1="Peak","-",'Base Hours'!C141*BaseLoad!I140*'Base Hours'!$AA141)</f>
        <v>-</v>
      </c>
      <c r="D141" s="177" t="str">
        <f>IF($A$1="Peak","-",'Base Hours'!D141*BaseLoad!J140*'Base Hours'!$AA141)</f>
        <v>-</v>
      </c>
      <c r="E141" s="177" t="str">
        <f>IF($A$1="Peak","-",'Base Hours'!E141*BaseLoad!K140*'Base Hours'!$AA141)</f>
        <v>-</v>
      </c>
      <c r="F141" s="177" t="str">
        <f>IF($A$1="Peak","-",'Base Hours'!F141*BaseLoad!L140*'Base Hours'!$AA141)</f>
        <v>-</v>
      </c>
      <c r="G141" s="177" t="str">
        <f>IF($A$1="Peak","-",'Base Hours'!G141*BaseLoad!M140*'Base Hours'!$AA141)</f>
        <v>-</v>
      </c>
      <c r="H141" s="177" t="str">
        <f>IF($A$1="Peak","-",'Base Hours'!H141*BaseLoad!N140*'Base Hours'!$AA141)</f>
        <v>-</v>
      </c>
      <c r="I141" s="177" t="str">
        <f>IF($A$1="Peak","-",'Base Hours'!I141*BaseLoad!O140*'Base Hours'!$AA141)</f>
        <v>-</v>
      </c>
      <c r="J141" s="177" t="str">
        <f>IF($A$1="Peak","-",'Base Hours'!J141*BaseLoad!P140*'Base Hours'!$AA141)</f>
        <v>-</v>
      </c>
      <c r="K141" s="177" t="str">
        <f>IF($A$1="Peak","-",'Base Hours'!K141*BaseLoad!Q140*'Base Hours'!$AA141)</f>
        <v>-</v>
      </c>
      <c r="L141" s="177" t="str">
        <f>IF($A$1="Peak","-",'Base Hours'!L141*BaseLoad!R140*'Base Hours'!$AA141)</f>
        <v>-</v>
      </c>
      <c r="M141" s="177" t="str">
        <f>IF($A$1="Peak","-",'Base Hours'!M141*BaseLoad!S140*'Base Hours'!$AA141)</f>
        <v>-</v>
      </c>
      <c r="N141" s="177" t="str">
        <f>IF($A$1="Peak","-",'Base Hours'!N141*BaseLoad!T140*'Base Hours'!$AA141)</f>
        <v>-</v>
      </c>
      <c r="O141" s="177" t="str">
        <f>IF($A$1="Peak","-",'Base Hours'!O141*BaseLoad!U140*'Base Hours'!$AA141)</f>
        <v>-</v>
      </c>
      <c r="P141" s="177" t="str">
        <f>IF($A$1="Peak","-",'Base Hours'!P141*BaseLoad!V140*'Base Hours'!$AA141)</f>
        <v>-</v>
      </c>
      <c r="Q141" s="177" t="str">
        <f>IF($A$1="Peak","-",'Base Hours'!Q141*BaseLoad!W140*'Base Hours'!$AA141)</f>
        <v>-</v>
      </c>
      <c r="R141" s="177" t="str">
        <f>IF($A$1="Peak","-",'Base Hours'!R141*BaseLoad!X140*'Base Hours'!$AA141)</f>
        <v>-</v>
      </c>
      <c r="S141" s="177" t="str">
        <f>IF($A$1="Peak","-",'Base Hours'!S141*BaseLoad!Y140*'Base Hours'!$AA141)</f>
        <v>-</v>
      </c>
      <c r="T141" s="177" t="str">
        <f>IF($A$1="Peak","-",'Base Hours'!T141*BaseLoad!Z140*'Base Hours'!$AA141)</f>
        <v>-</v>
      </c>
      <c r="U141" s="177" t="str">
        <f>IF($A$1="Peak","-",'Base Hours'!U141*BaseLoad!AA140*'Base Hours'!$AA141)</f>
        <v>-</v>
      </c>
      <c r="V141" s="177">
        <f t="shared" si="6"/>
        <v>0</v>
      </c>
      <c r="W141" s="177"/>
      <c r="X141" s="177"/>
      <c r="Y141" s="206">
        <f>SUM(B130:U141)</f>
        <v>0</v>
      </c>
      <c r="Z141" s="206">
        <f>(BaseLoad!C140*'Base Hours'!V141*'Base Hours'!$AA141)*-1</f>
        <v>0</v>
      </c>
      <c r="AA141" s="206">
        <f>SUM(Z130:Z141)</f>
        <v>0</v>
      </c>
      <c r="AB141" s="206">
        <f>(BaseLoad!D140*'Base Hours'!V141*'Base Hours'!$AA141)*-1</f>
        <v>0</v>
      </c>
      <c r="AC141" s="206">
        <f>SUM(AB130:AB141)</f>
        <v>0</v>
      </c>
      <c r="AD141" s="206">
        <f>(BaseLoad!E140*'Base Hours'!V141*'Base Hours'!$AA141)*-1</f>
        <v>0</v>
      </c>
      <c r="AE141" s="206">
        <f>SUM(AD130:AD141)</f>
        <v>0</v>
      </c>
      <c r="AF141" s="206">
        <f>(BaseLoad!F140*'Base Hours'!V141*'Base Hours'!$AA141)*-1</f>
        <v>0</v>
      </c>
      <c r="AG141" s="206">
        <f>SUM(AF130:AF141)</f>
        <v>0</v>
      </c>
    </row>
    <row r="142" spans="1:33" x14ac:dyDescent="0.2">
      <c r="A142" s="1">
        <f t="shared" si="5"/>
        <v>40555.044000000169</v>
      </c>
      <c r="B142" s="177" t="str">
        <f>IF($A$1="Peak","-",'Base Hours'!B142*BaseLoad!H141*'Base Hours'!$AA142)</f>
        <v>-</v>
      </c>
      <c r="C142" s="177" t="str">
        <f>IF($A$1="Peak","-",'Base Hours'!C142*BaseLoad!I141*'Base Hours'!$AA142)</f>
        <v>-</v>
      </c>
      <c r="D142" s="177" t="str">
        <f>IF($A$1="Peak","-",'Base Hours'!D142*BaseLoad!J141*'Base Hours'!$AA142)</f>
        <v>-</v>
      </c>
      <c r="E142" s="177" t="str">
        <f>IF($A$1="Peak","-",'Base Hours'!E142*BaseLoad!K141*'Base Hours'!$AA142)</f>
        <v>-</v>
      </c>
      <c r="F142" s="177" t="str">
        <f>IF($A$1="Peak","-",'Base Hours'!F142*BaseLoad!L141*'Base Hours'!$AA142)</f>
        <v>-</v>
      </c>
      <c r="G142" s="177" t="str">
        <f>IF($A$1="Peak","-",'Base Hours'!G142*BaseLoad!M141*'Base Hours'!$AA142)</f>
        <v>-</v>
      </c>
      <c r="H142" s="177" t="str">
        <f>IF($A$1="Peak","-",'Base Hours'!H142*BaseLoad!N141*'Base Hours'!$AA142)</f>
        <v>-</v>
      </c>
      <c r="I142" s="177" t="str">
        <f>IF($A$1="Peak","-",'Base Hours'!I142*BaseLoad!O141*'Base Hours'!$AA142)</f>
        <v>-</v>
      </c>
      <c r="J142" s="177" t="str">
        <f>IF($A$1="Peak","-",'Base Hours'!J142*BaseLoad!P141*'Base Hours'!$AA142)</f>
        <v>-</v>
      </c>
      <c r="K142" s="177" t="str">
        <f>IF($A$1="Peak","-",'Base Hours'!K142*BaseLoad!Q141*'Base Hours'!$AA142)</f>
        <v>-</v>
      </c>
      <c r="L142" s="177" t="str">
        <f>IF($A$1="Peak","-",'Base Hours'!L142*BaseLoad!R141*'Base Hours'!$AA142)</f>
        <v>-</v>
      </c>
      <c r="M142" s="177" t="str">
        <f>IF($A$1="Peak","-",'Base Hours'!M142*BaseLoad!S141*'Base Hours'!$AA142)</f>
        <v>-</v>
      </c>
      <c r="N142" s="177" t="str">
        <f>IF($A$1="Peak","-",'Base Hours'!N142*BaseLoad!T141*'Base Hours'!$AA142)</f>
        <v>-</v>
      </c>
      <c r="O142" s="177" t="str">
        <f>IF($A$1="Peak","-",'Base Hours'!O142*BaseLoad!U141*'Base Hours'!$AA142)</f>
        <v>-</v>
      </c>
      <c r="P142" s="177" t="str">
        <f>IF($A$1="Peak","-",'Base Hours'!P142*BaseLoad!V141*'Base Hours'!$AA142)</f>
        <v>-</v>
      </c>
      <c r="Q142" s="177" t="str">
        <f>IF($A$1="Peak","-",'Base Hours'!Q142*BaseLoad!W141*'Base Hours'!$AA142)</f>
        <v>-</v>
      </c>
      <c r="R142" s="177" t="str">
        <f>IF($A$1="Peak","-",'Base Hours'!R142*BaseLoad!X141*'Base Hours'!$AA142)</f>
        <v>-</v>
      </c>
      <c r="S142" s="177" t="str">
        <f>IF($A$1="Peak","-",'Base Hours'!S142*BaseLoad!Y141*'Base Hours'!$AA142)</f>
        <v>-</v>
      </c>
      <c r="T142" s="177" t="str">
        <f>IF($A$1="Peak","-",'Base Hours'!T142*BaseLoad!Z141*'Base Hours'!$AA142)</f>
        <v>-</v>
      </c>
      <c r="U142" s="177" t="str">
        <f>IF($A$1="Peak","-",'Base Hours'!U142*BaseLoad!AA141*'Base Hours'!$AA142)</f>
        <v>-</v>
      </c>
      <c r="V142" s="177">
        <f t="shared" si="6"/>
        <v>0</v>
      </c>
      <c r="W142" s="177"/>
      <c r="X142" s="177"/>
      <c r="Y142" s="206"/>
      <c r="Z142" s="206">
        <f>(BaseLoad!C141*'Base Hours'!V142*'Base Hours'!$AA142)*-1</f>
        <v>0</v>
      </c>
      <c r="AA142" s="206"/>
      <c r="AB142" s="206">
        <f>(BaseLoad!D141*'Base Hours'!V142*'Base Hours'!$AA142)*-1</f>
        <v>0</v>
      </c>
      <c r="AC142" s="206"/>
      <c r="AD142" s="206">
        <f>(BaseLoad!E141*'Base Hours'!V142*'Base Hours'!$AA142)*-1</f>
        <v>0</v>
      </c>
      <c r="AE142" s="206"/>
      <c r="AF142" s="206">
        <f>(BaseLoad!F141*'Base Hours'!V142*'Base Hours'!$AA142)*-1</f>
        <v>0</v>
      </c>
      <c r="AG142" s="206"/>
    </row>
    <row r="143" spans="1:33" x14ac:dyDescent="0.2">
      <c r="A143" s="1">
        <f t="shared" si="5"/>
        <v>40585.46100000017</v>
      </c>
      <c r="B143" s="177" t="str">
        <f>IF($A$1="Peak","-",'Base Hours'!B143*BaseLoad!H142*'Base Hours'!$AA143)</f>
        <v>-</v>
      </c>
      <c r="C143" s="177" t="str">
        <f>IF($A$1="Peak","-",'Base Hours'!C143*BaseLoad!I142*'Base Hours'!$AA143)</f>
        <v>-</v>
      </c>
      <c r="D143" s="177" t="str">
        <f>IF($A$1="Peak","-",'Base Hours'!D143*BaseLoad!J142*'Base Hours'!$AA143)</f>
        <v>-</v>
      </c>
      <c r="E143" s="177" t="str">
        <f>IF($A$1="Peak","-",'Base Hours'!E143*BaseLoad!K142*'Base Hours'!$AA143)</f>
        <v>-</v>
      </c>
      <c r="F143" s="177" t="str">
        <f>IF($A$1="Peak","-",'Base Hours'!F143*BaseLoad!L142*'Base Hours'!$AA143)</f>
        <v>-</v>
      </c>
      <c r="G143" s="177" t="str">
        <f>IF($A$1="Peak","-",'Base Hours'!G143*BaseLoad!M142*'Base Hours'!$AA143)</f>
        <v>-</v>
      </c>
      <c r="H143" s="177" t="str">
        <f>IF($A$1="Peak","-",'Base Hours'!H143*BaseLoad!N142*'Base Hours'!$AA143)</f>
        <v>-</v>
      </c>
      <c r="I143" s="177" t="str">
        <f>IF($A$1="Peak","-",'Base Hours'!I143*BaseLoad!O142*'Base Hours'!$AA143)</f>
        <v>-</v>
      </c>
      <c r="J143" s="177" t="str">
        <f>IF($A$1="Peak","-",'Base Hours'!J143*BaseLoad!P142*'Base Hours'!$AA143)</f>
        <v>-</v>
      </c>
      <c r="K143" s="177" t="str">
        <f>IF($A$1="Peak","-",'Base Hours'!K143*BaseLoad!Q142*'Base Hours'!$AA143)</f>
        <v>-</v>
      </c>
      <c r="L143" s="177" t="str">
        <f>IF($A$1="Peak","-",'Base Hours'!L143*BaseLoad!R142*'Base Hours'!$AA143)</f>
        <v>-</v>
      </c>
      <c r="M143" s="177" t="str">
        <f>IF($A$1="Peak","-",'Base Hours'!M143*BaseLoad!S142*'Base Hours'!$AA143)</f>
        <v>-</v>
      </c>
      <c r="N143" s="177" t="str">
        <f>IF($A$1="Peak","-",'Base Hours'!N143*BaseLoad!T142*'Base Hours'!$AA143)</f>
        <v>-</v>
      </c>
      <c r="O143" s="177" t="str">
        <f>IF($A$1="Peak","-",'Base Hours'!O143*BaseLoad!U142*'Base Hours'!$AA143)</f>
        <v>-</v>
      </c>
      <c r="P143" s="177" t="str">
        <f>IF($A$1="Peak","-",'Base Hours'!P143*BaseLoad!V142*'Base Hours'!$AA143)</f>
        <v>-</v>
      </c>
      <c r="Q143" s="177" t="str">
        <f>IF($A$1="Peak","-",'Base Hours'!Q143*BaseLoad!W142*'Base Hours'!$AA143)</f>
        <v>-</v>
      </c>
      <c r="R143" s="177" t="str">
        <f>IF($A$1="Peak","-",'Base Hours'!R143*BaseLoad!X142*'Base Hours'!$AA143)</f>
        <v>-</v>
      </c>
      <c r="S143" s="177" t="str">
        <f>IF($A$1="Peak","-",'Base Hours'!S143*BaseLoad!Y142*'Base Hours'!$AA143)</f>
        <v>-</v>
      </c>
      <c r="T143" s="177" t="str">
        <f>IF($A$1="Peak","-",'Base Hours'!T143*BaseLoad!Z142*'Base Hours'!$AA143)</f>
        <v>-</v>
      </c>
      <c r="U143" s="177" t="str">
        <f>IF($A$1="Peak","-",'Base Hours'!U143*BaseLoad!AA142*'Base Hours'!$AA143)</f>
        <v>-</v>
      </c>
      <c r="V143" s="177">
        <f t="shared" si="6"/>
        <v>0</v>
      </c>
      <c r="W143" s="177"/>
      <c r="X143" s="177"/>
      <c r="Y143" s="206"/>
      <c r="Z143" s="206">
        <f>(BaseLoad!C142*'Base Hours'!V143*'Base Hours'!$AA143)*-1</f>
        <v>0</v>
      </c>
      <c r="AA143" s="206"/>
      <c r="AB143" s="206">
        <f>(BaseLoad!D142*'Base Hours'!V143*'Base Hours'!$AA143)*-1</f>
        <v>0</v>
      </c>
      <c r="AC143" s="206"/>
      <c r="AD143" s="206">
        <f>(BaseLoad!E142*'Base Hours'!V143*'Base Hours'!$AA143)*-1</f>
        <v>0</v>
      </c>
      <c r="AE143" s="206"/>
      <c r="AF143" s="206">
        <f>(BaseLoad!F142*'Base Hours'!V143*'Base Hours'!$AA143)*-1</f>
        <v>0</v>
      </c>
      <c r="AG143" s="206"/>
    </row>
    <row r="144" spans="1:33" x14ac:dyDescent="0.2">
      <c r="A144" s="1">
        <f t="shared" si="5"/>
        <v>40615.878000000172</v>
      </c>
      <c r="B144" s="177" t="str">
        <f>IF($A$1="Peak","-",'Base Hours'!B144*BaseLoad!H143*'Base Hours'!$AA144)</f>
        <v>-</v>
      </c>
      <c r="C144" s="177" t="str">
        <f>IF($A$1="Peak","-",'Base Hours'!C144*BaseLoad!I143*'Base Hours'!$AA144)</f>
        <v>-</v>
      </c>
      <c r="D144" s="177" t="str">
        <f>IF($A$1="Peak","-",'Base Hours'!D144*BaseLoad!J143*'Base Hours'!$AA144)</f>
        <v>-</v>
      </c>
      <c r="E144" s="177" t="str">
        <f>IF($A$1="Peak","-",'Base Hours'!E144*BaseLoad!K143*'Base Hours'!$AA144)</f>
        <v>-</v>
      </c>
      <c r="F144" s="177" t="str">
        <f>IF($A$1="Peak","-",'Base Hours'!F144*BaseLoad!L143*'Base Hours'!$AA144)</f>
        <v>-</v>
      </c>
      <c r="G144" s="177" t="str">
        <f>IF($A$1="Peak","-",'Base Hours'!G144*BaseLoad!M143*'Base Hours'!$AA144)</f>
        <v>-</v>
      </c>
      <c r="H144" s="177" t="str">
        <f>IF($A$1="Peak","-",'Base Hours'!H144*BaseLoad!N143*'Base Hours'!$AA144)</f>
        <v>-</v>
      </c>
      <c r="I144" s="177" t="str">
        <f>IF($A$1="Peak","-",'Base Hours'!I144*BaseLoad!O143*'Base Hours'!$AA144)</f>
        <v>-</v>
      </c>
      <c r="J144" s="177" t="str">
        <f>IF($A$1="Peak","-",'Base Hours'!J144*BaseLoad!P143*'Base Hours'!$AA144)</f>
        <v>-</v>
      </c>
      <c r="K144" s="177" t="str">
        <f>IF($A$1="Peak","-",'Base Hours'!K144*BaseLoad!Q143*'Base Hours'!$AA144)</f>
        <v>-</v>
      </c>
      <c r="L144" s="177" t="str">
        <f>IF($A$1="Peak","-",'Base Hours'!L144*BaseLoad!R143*'Base Hours'!$AA144)</f>
        <v>-</v>
      </c>
      <c r="M144" s="177" t="str">
        <f>IF($A$1="Peak","-",'Base Hours'!M144*BaseLoad!S143*'Base Hours'!$AA144)</f>
        <v>-</v>
      </c>
      <c r="N144" s="177" t="str">
        <f>IF($A$1="Peak","-",'Base Hours'!N144*BaseLoad!T143*'Base Hours'!$AA144)</f>
        <v>-</v>
      </c>
      <c r="O144" s="177" t="str">
        <f>IF($A$1="Peak","-",'Base Hours'!O144*BaseLoad!U143*'Base Hours'!$AA144)</f>
        <v>-</v>
      </c>
      <c r="P144" s="177" t="str">
        <f>IF($A$1="Peak","-",'Base Hours'!P144*BaseLoad!V143*'Base Hours'!$AA144)</f>
        <v>-</v>
      </c>
      <c r="Q144" s="177" t="str">
        <f>IF($A$1="Peak","-",'Base Hours'!Q144*BaseLoad!W143*'Base Hours'!$AA144)</f>
        <v>-</v>
      </c>
      <c r="R144" s="177" t="str">
        <f>IF($A$1="Peak","-",'Base Hours'!R144*BaseLoad!X143*'Base Hours'!$AA144)</f>
        <v>-</v>
      </c>
      <c r="S144" s="177" t="str">
        <f>IF($A$1="Peak","-",'Base Hours'!S144*BaseLoad!Y143*'Base Hours'!$AA144)</f>
        <v>-</v>
      </c>
      <c r="T144" s="177" t="str">
        <f>IF($A$1="Peak","-",'Base Hours'!T144*BaseLoad!Z143*'Base Hours'!$AA144)</f>
        <v>-</v>
      </c>
      <c r="U144" s="177" t="str">
        <f>IF($A$1="Peak","-",'Base Hours'!U144*BaseLoad!AA143*'Base Hours'!$AA144)</f>
        <v>-</v>
      </c>
      <c r="V144" s="177">
        <f t="shared" si="6"/>
        <v>0</v>
      </c>
      <c r="W144" s="177"/>
      <c r="X144" s="177"/>
      <c r="Y144" s="206"/>
      <c r="Z144" s="206">
        <f>(BaseLoad!C143*'Base Hours'!V144*'Base Hours'!$AA144)*-1</f>
        <v>0</v>
      </c>
      <c r="AA144" s="206"/>
      <c r="AB144" s="206">
        <f>(BaseLoad!D143*'Base Hours'!V144*'Base Hours'!$AA144)*-1</f>
        <v>0</v>
      </c>
      <c r="AC144" s="206"/>
      <c r="AD144" s="206">
        <f>(BaseLoad!E143*'Base Hours'!V144*'Base Hours'!$AA144)*-1</f>
        <v>0</v>
      </c>
      <c r="AE144" s="206"/>
      <c r="AF144" s="206">
        <f>(BaseLoad!F143*'Base Hours'!V144*'Base Hours'!$AA144)*-1</f>
        <v>0</v>
      </c>
      <c r="AG144" s="206"/>
    </row>
    <row r="145" spans="1:33" x14ac:dyDescent="0.2">
      <c r="A145" s="1">
        <f t="shared" si="5"/>
        <v>40646.295000000173</v>
      </c>
      <c r="B145" s="177" t="str">
        <f>IF($A$1="Peak","-",'Base Hours'!B145*BaseLoad!H144*'Base Hours'!$AA145)</f>
        <v>-</v>
      </c>
      <c r="C145" s="177" t="str">
        <f>IF($A$1="Peak","-",'Base Hours'!C145*BaseLoad!I144*'Base Hours'!$AA145)</f>
        <v>-</v>
      </c>
      <c r="D145" s="177" t="str">
        <f>IF($A$1="Peak","-",'Base Hours'!D145*BaseLoad!J144*'Base Hours'!$AA145)</f>
        <v>-</v>
      </c>
      <c r="E145" s="177" t="str">
        <f>IF($A$1="Peak","-",'Base Hours'!E145*BaseLoad!K144*'Base Hours'!$AA145)</f>
        <v>-</v>
      </c>
      <c r="F145" s="177" t="str">
        <f>IF($A$1="Peak","-",'Base Hours'!F145*BaseLoad!L144*'Base Hours'!$AA145)</f>
        <v>-</v>
      </c>
      <c r="G145" s="177" t="str">
        <f>IF($A$1="Peak","-",'Base Hours'!G145*BaseLoad!M144*'Base Hours'!$AA145)</f>
        <v>-</v>
      </c>
      <c r="H145" s="177" t="str">
        <f>IF($A$1="Peak","-",'Base Hours'!H145*BaseLoad!N144*'Base Hours'!$AA145)</f>
        <v>-</v>
      </c>
      <c r="I145" s="177" t="str">
        <f>IF($A$1="Peak","-",'Base Hours'!I145*BaseLoad!O144*'Base Hours'!$AA145)</f>
        <v>-</v>
      </c>
      <c r="J145" s="177" t="str">
        <f>IF($A$1="Peak","-",'Base Hours'!J145*BaseLoad!P144*'Base Hours'!$AA145)</f>
        <v>-</v>
      </c>
      <c r="K145" s="177" t="str">
        <f>IF($A$1="Peak","-",'Base Hours'!K145*BaseLoad!Q144*'Base Hours'!$AA145)</f>
        <v>-</v>
      </c>
      <c r="L145" s="177" t="str">
        <f>IF($A$1="Peak","-",'Base Hours'!L145*BaseLoad!R144*'Base Hours'!$AA145)</f>
        <v>-</v>
      </c>
      <c r="M145" s="177" t="str">
        <f>IF($A$1="Peak","-",'Base Hours'!M145*BaseLoad!S144*'Base Hours'!$AA145)</f>
        <v>-</v>
      </c>
      <c r="N145" s="177" t="str">
        <f>IF($A$1="Peak","-",'Base Hours'!N145*BaseLoad!T144*'Base Hours'!$AA145)</f>
        <v>-</v>
      </c>
      <c r="O145" s="177" t="str">
        <f>IF($A$1="Peak","-",'Base Hours'!O145*BaseLoad!U144*'Base Hours'!$AA145)</f>
        <v>-</v>
      </c>
      <c r="P145" s="177" t="str">
        <f>IF($A$1="Peak","-",'Base Hours'!P145*BaseLoad!V144*'Base Hours'!$AA145)</f>
        <v>-</v>
      </c>
      <c r="Q145" s="177" t="str">
        <f>IF($A$1="Peak","-",'Base Hours'!Q145*BaseLoad!W144*'Base Hours'!$AA145)</f>
        <v>-</v>
      </c>
      <c r="R145" s="177" t="str">
        <f>IF($A$1="Peak","-",'Base Hours'!R145*BaseLoad!X144*'Base Hours'!$AA145)</f>
        <v>-</v>
      </c>
      <c r="S145" s="177" t="str">
        <f>IF($A$1="Peak","-",'Base Hours'!S145*BaseLoad!Y144*'Base Hours'!$AA145)</f>
        <v>-</v>
      </c>
      <c r="T145" s="177" t="str">
        <f>IF($A$1="Peak","-",'Base Hours'!T145*BaseLoad!Z144*'Base Hours'!$AA145)</f>
        <v>-</v>
      </c>
      <c r="U145" s="177" t="str">
        <f>IF($A$1="Peak","-",'Base Hours'!U145*BaseLoad!AA144*'Base Hours'!$AA145)</f>
        <v>-</v>
      </c>
      <c r="V145" s="177">
        <f t="shared" si="6"/>
        <v>0</v>
      </c>
      <c r="W145" s="177"/>
      <c r="X145" s="177"/>
      <c r="Y145" s="206"/>
      <c r="Z145" s="206">
        <f>(BaseLoad!C144*'Base Hours'!V145*'Base Hours'!$AA145)*-1</f>
        <v>0</v>
      </c>
      <c r="AA145" s="206"/>
      <c r="AB145" s="206">
        <f>(BaseLoad!D144*'Base Hours'!V145*'Base Hours'!$AA145)*-1</f>
        <v>0</v>
      </c>
      <c r="AC145" s="206"/>
      <c r="AD145" s="206">
        <f>(BaseLoad!E144*'Base Hours'!V145*'Base Hours'!$AA145)*-1</f>
        <v>0</v>
      </c>
      <c r="AE145" s="206"/>
      <c r="AF145" s="206">
        <f>(BaseLoad!F144*'Base Hours'!V145*'Base Hours'!$AA145)*-1</f>
        <v>0</v>
      </c>
      <c r="AG145" s="206"/>
    </row>
    <row r="146" spans="1:33" x14ac:dyDescent="0.2">
      <c r="A146" s="1">
        <f t="shared" si="5"/>
        <v>40676.712000000174</v>
      </c>
      <c r="B146" s="177" t="str">
        <f>IF($A$1="Peak","-",'Base Hours'!B146*BaseLoad!H145*'Base Hours'!$AA146)</f>
        <v>-</v>
      </c>
      <c r="C146" s="177" t="str">
        <f>IF($A$1="Peak","-",'Base Hours'!C146*BaseLoad!I145*'Base Hours'!$AA146)</f>
        <v>-</v>
      </c>
      <c r="D146" s="177" t="str">
        <f>IF($A$1="Peak","-",'Base Hours'!D146*BaseLoad!J145*'Base Hours'!$AA146)</f>
        <v>-</v>
      </c>
      <c r="E146" s="177" t="str">
        <f>IF($A$1="Peak","-",'Base Hours'!E146*BaseLoad!K145*'Base Hours'!$AA146)</f>
        <v>-</v>
      </c>
      <c r="F146" s="177" t="str">
        <f>IF($A$1="Peak","-",'Base Hours'!F146*BaseLoad!L145*'Base Hours'!$AA146)</f>
        <v>-</v>
      </c>
      <c r="G146" s="177" t="str">
        <f>IF($A$1="Peak","-",'Base Hours'!G146*BaseLoad!M145*'Base Hours'!$AA146)</f>
        <v>-</v>
      </c>
      <c r="H146" s="177" t="str">
        <f>IF($A$1="Peak","-",'Base Hours'!H146*BaseLoad!N145*'Base Hours'!$AA146)</f>
        <v>-</v>
      </c>
      <c r="I146" s="177" t="str">
        <f>IF($A$1="Peak","-",'Base Hours'!I146*BaseLoad!O145*'Base Hours'!$AA146)</f>
        <v>-</v>
      </c>
      <c r="J146" s="177" t="str">
        <f>IF($A$1="Peak","-",'Base Hours'!J146*BaseLoad!P145*'Base Hours'!$AA146)</f>
        <v>-</v>
      </c>
      <c r="K146" s="177" t="str">
        <f>IF($A$1="Peak","-",'Base Hours'!K146*BaseLoad!Q145*'Base Hours'!$AA146)</f>
        <v>-</v>
      </c>
      <c r="L146" s="177" t="str">
        <f>IF($A$1="Peak","-",'Base Hours'!L146*BaseLoad!R145*'Base Hours'!$AA146)</f>
        <v>-</v>
      </c>
      <c r="M146" s="177" t="str">
        <f>IF($A$1="Peak","-",'Base Hours'!M146*BaseLoad!S145*'Base Hours'!$AA146)</f>
        <v>-</v>
      </c>
      <c r="N146" s="177" t="str">
        <f>IF($A$1="Peak","-",'Base Hours'!N146*BaseLoad!T145*'Base Hours'!$AA146)</f>
        <v>-</v>
      </c>
      <c r="O146" s="177" t="str">
        <f>IF($A$1="Peak","-",'Base Hours'!O146*BaseLoad!U145*'Base Hours'!$AA146)</f>
        <v>-</v>
      </c>
      <c r="P146" s="177" t="str">
        <f>IF($A$1="Peak","-",'Base Hours'!P146*BaseLoad!V145*'Base Hours'!$AA146)</f>
        <v>-</v>
      </c>
      <c r="Q146" s="177" t="str">
        <f>IF($A$1="Peak","-",'Base Hours'!Q146*BaseLoad!W145*'Base Hours'!$AA146)</f>
        <v>-</v>
      </c>
      <c r="R146" s="177" t="str">
        <f>IF($A$1="Peak","-",'Base Hours'!R146*BaseLoad!X145*'Base Hours'!$AA146)</f>
        <v>-</v>
      </c>
      <c r="S146" s="177" t="str">
        <f>IF($A$1="Peak","-",'Base Hours'!S146*BaseLoad!Y145*'Base Hours'!$AA146)</f>
        <v>-</v>
      </c>
      <c r="T146" s="177" t="str">
        <f>IF($A$1="Peak","-",'Base Hours'!T146*BaseLoad!Z145*'Base Hours'!$AA146)</f>
        <v>-</v>
      </c>
      <c r="U146" s="177" t="str">
        <f>IF($A$1="Peak","-",'Base Hours'!U146*BaseLoad!AA145*'Base Hours'!$AA146)</f>
        <v>-</v>
      </c>
      <c r="V146" s="177">
        <f t="shared" si="6"/>
        <v>0</v>
      </c>
      <c r="W146" s="177"/>
      <c r="X146" s="177"/>
      <c r="Y146" s="206"/>
      <c r="Z146" s="206">
        <f>(BaseLoad!C145*'Base Hours'!V146*'Base Hours'!$AA146)*-1</f>
        <v>0</v>
      </c>
      <c r="AA146" s="206"/>
      <c r="AB146" s="206">
        <f>(BaseLoad!D145*'Base Hours'!V146*'Base Hours'!$AA146)*-1</f>
        <v>0</v>
      </c>
      <c r="AC146" s="206"/>
      <c r="AD146" s="206">
        <f>(BaseLoad!E145*'Base Hours'!V146*'Base Hours'!$AA146)*-1</f>
        <v>0</v>
      </c>
      <c r="AE146" s="206"/>
      <c r="AF146" s="206">
        <f>(BaseLoad!F145*'Base Hours'!V146*'Base Hours'!$AA146)*-1</f>
        <v>0</v>
      </c>
      <c r="AG146" s="206"/>
    </row>
    <row r="147" spans="1:33" x14ac:dyDescent="0.2">
      <c r="A147" s="1">
        <f t="shared" si="5"/>
        <v>40707.129000000175</v>
      </c>
      <c r="B147" s="177" t="str">
        <f>IF($A$1="Peak","-",'Base Hours'!B147*BaseLoad!H146*'Base Hours'!$AA147)</f>
        <v>-</v>
      </c>
      <c r="C147" s="177" t="str">
        <f>IF($A$1="Peak","-",'Base Hours'!C147*BaseLoad!I146*'Base Hours'!$AA147)</f>
        <v>-</v>
      </c>
      <c r="D147" s="177" t="str">
        <f>IF($A$1="Peak","-",'Base Hours'!D147*BaseLoad!J146*'Base Hours'!$AA147)</f>
        <v>-</v>
      </c>
      <c r="E147" s="177" t="str">
        <f>IF($A$1="Peak","-",'Base Hours'!E147*BaseLoad!K146*'Base Hours'!$AA147)</f>
        <v>-</v>
      </c>
      <c r="F147" s="177" t="str">
        <f>IF($A$1="Peak","-",'Base Hours'!F147*BaseLoad!L146*'Base Hours'!$AA147)</f>
        <v>-</v>
      </c>
      <c r="G147" s="177" t="str">
        <f>IF($A$1="Peak","-",'Base Hours'!G147*BaseLoad!M146*'Base Hours'!$AA147)</f>
        <v>-</v>
      </c>
      <c r="H147" s="177" t="str">
        <f>IF($A$1="Peak","-",'Base Hours'!H147*BaseLoad!N146*'Base Hours'!$AA147)</f>
        <v>-</v>
      </c>
      <c r="I147" s="177" t="str">
        <f>IF($A$1="Peak","-",'Base Hours'!I147*BaseLoad!O146*'Base Hours'!$AA147)</f>
        <v>-</v>
      </c>
      <c r="J147" s="177" t="str">
        <f>IF($A$1="Peak","-",'Base Hours'!J147*BaseLoad!P146*'Base Hours'!$AA147)</f>
        <v>-</v>
      </c>
      <c r="K147" s="177" t="str">
        <f>IF($A$1="Peak","-",'Base Hours'!K147*BaseLoad!Q146*'Base Hours'!$AA147)</f>
        <v>-</v>
      </c>
      <c r="L147" s="177" t="str">
        <f>IF($A$1="Peak","-",'Base Hours'!L147*BaseLoad!R146*'Base Hours'!$AA147)</f>
        <v>-</v>
      </c>
      <c r="M147" s="177" t="str">
        <f>IF($A$1="Peak","-",'Base Hours'!M147*BaseLoad!S146*'Base Hours'!$AA147)</f>
        <v>-</v>
      </c>
      <c r="N147" s="177" t="str">
        <f>IF($A$1="Peak","-",'Base Hours'!N147*BaseLoad!T146*'Base Hours'!$AA147)</f>
        <v>-</v>
      </c>
      <c r="O147" s="177" t="str">
        <f>IF($A$1="Peak","-",'Base Hours'!O147*BaseLoad!U146*'Base Hours'!$AA147)</f>
        <v>-</v>
      </c>
      <c r="P147" s="177" t="str">
        <f>IF($A$1="Peak","-",'Base Hours'!P147*BaseLoad!V146*'Base Hours'!$AA147)</f>
        <v>-</v>
      </c>
      <c r="Q147" s="177" t="str">
        <f>IF($A$1="Peak","-",'Base Hours'!Q147*BaseLoad!W146*'Base Hours'!$AA147)</f>
        <v>-</v>
      </c>
      <c r="R147" s="177" t="str">
        <f>IF($A$1="Peak","-",'Base Hours'!R147*BaseLoad!X146*'Base Hours'!$AA147)</f>
        <v>-</v>
      </c>
      <c r="S147" s="177" t="str">
        <f>IF($A$1="Peak","-",'Base Hours'!S147*BaseLoad!Y146*'Base Hours'!$AA147)</f>
        <v>-</v>
      </c>
      <c r="T147" s="177" t="str">
        <f>IF($A$1="Peak","-",'Base Hours'!T147*BaseLoad!Z146*'Base Hours'!$AA147)</f>
        <v>-</v>
      </c>
      <c r="U147" s="177" t="str">
        <f>IF($A$1="Peak","-",'Base Hours'!U147*BaseLoad!AA146*'Base Hours'!$AA147)</f>
        <v>-</v>
      </c>
      <c r="V147" s="177">
        <f t="shared" si="6"/>
        <v>0</v>
      </c>
      <c r="W147" s="177"/>
      <c r="X147" s="177"/>
      <c r="Y147" s="206"/>
      <c r="Z147" s="206">
        <f>(BaseLoad!C146*'Base Hours'!V147*'Base Hours'!$AA147)*-1</f>
        <v>0</v>
      </c>
      <c r="AA147" s="206"/>
      <c r="AB147" s="206">
        <f>(BaseLoad!D146*'Base Hours'!V147*'Base Hours'!$AA147)*-1</f>
        <v>0</v>
      </c>
      <c r="AC147" s="206"/>
      <c r="AD147" s="206">
        <f>(BaseLoad!E146*'Base Hours'!V147*'Base Hours'!$AA147)*-1</f>
        <v>0</v>
      </c>
      <c r="AE147" s="206"/>
      <c r="AF147" s="206">
        <f>(BaseLoad!F146*'Base Hours'!V147*'Base Hours'!$AA147)*-1</f>
        <v>0</v>
      </c>
      <c r="AG147" s="206"/>
    </row>
    <row r="148" spans="1:33" x14ac:dyDescent="0.2">
      <c r="A148" s="1">
        <f t="shared" si="5"/>
        <v>40737.546000000177</v>
      </c>
      <c r="B148" s="177" t="str">
        <f>IF($A$1="Peak","-",'Base Hours'!B148*BaseLoad!H147*'Base Hours'!$AA148)</f>
        <v>-</v>
      </c>
      <c r="C148" s="177" t="str">
        <f>IF($A$1="Peak","-",'Base Hours'!C148*BaseLoad!I147*'Base Hours'!$AA148)</f>
        <v>-</v>
      </c>
      <c r="D148" s="177" t="str">
        <f>IF($A$1="Peak","-",'Base Hours'!D148*BaseLoad!J147*'Base Hours'!$AA148)</f>
        <v>-</v>
      </c>
      <c r="E148" s="177" t="str">
        <f>IF($A$1="Peak","-",'Base Hours'!E148*BaseLoad!K147*'Base Hours'!$AA148)</f>
        <v>-</v>
      </c>
      <c r="F148" s="177" t="str">
        <f>IF($A$1="Peak","-",'Base Hours'!F148*BaseLoad!L147*'Base Hours'!$AA148)</f>
        <v>-</v>
      </c>
      <c r="G148" s="177" t="str">
        <f>IF($A$1="Peak","-",'Base Hours'!G148*BaseLoad!M147*'Base Hours'!$AA148)</f>
        <v>-</v>
      </c>
      <c r="H148" s="177" t="str">
        <f>IF($A$1="Peak","-",'Base Hours'!H148*BaseLoad!N147*'Base Hours'!$AA148)</f>
        <v>-</v>
      </c>
      <c r="I148" s="177" t="str">
        <f>IF($A$1="Peak","-",'Base Hours'!I148*BaseLoad!O147*'Base Hours'!$AA148)</f>
        <v>-</v>
      </c>
      <c r="J148" s="177" t="str">
        <f>IF($A$1="Peak","-",'Base Hours'!J148*BaseLoad!P147*'Base Hours'!$AA148)</f>
        <v>-</v>
      </c>
      <c r="K148" s="177" t="str">
        <f>IF($A$1="Peak","-",'Base Hours'!K148*BaseLoad!Q147*'Base Hours'!$AA148)</f>
        <v>-</v>
      </c>
      <c r="L148" s="177" t="str">
        <f>IF($A$1="Peak","-",'Base Hours'!L148*BaseLoad!R147*'Base Hours'!$AA148)</f>
        <v>-</v>
      </c>
      <c r="M148" s="177" t="str">
        <f>IF($A$1="Peak","-",'Base Hours'!M148*BaseLoad!S147*'Base Hours'!$AA148)</f>
        <v>-</v>
      </c>
      <c r="N148" s="177" t="str">
        <f>IF($A$1="Peak","-",'Base Hours'!N148*BaseLoad!T147*'Base Hours'!$AA148)</f>
        <v>-</v>
      </c>
      <c r="O148" s="177" t="str">
        <f>IF($A$1="Peak","-",'Base Hours'!O148*BaseLoad!U147*'Base Hours'!$AA148)</f>
        <v>-</v>
      </c>
      <c r="P148" s="177" t="str">
        <f>IF($A$1="Peak","-",'Base Hours'!P148*BaseLoad!V147*'Base Hours'!$AA148)</f>
        <v>-</v>
      </c>
      <c r="Q148" s="177" t="str">
        <f>IF($A$1="Peak","-",'Base Hours'!Q148*BaseLoad!W147*'Base Hours'!$AA148)</f>
        <v>-</v>
      </c>
      <c r="R148" s="177" t="str">
        <f>IF($A$1="Peak","-",'Base Hours'!R148*BaseLoad!X147*'Base Hours'!$AA148)</f>
        <v>-</v>
      </c>
      <c r="S148" s="177" t="str">
        <f>IF($A$1="Peak","-",'Base Hours'!S148*BaseLoad!Y147*'Base Hours'!$AA148)</f>
        <v>-</v>
      </c>
      <c r="T148" s="177" t="str">
        <f>IF($A$1="Peak","-",'Base Hours'!T148*BaseLoad!Z147*'Base Hours'!$AA148)</f>
        <v>-</v>
      </c>
      <c r="U148" s="177" t="str">
        <f>IF($A$1="Peak","-",'Base Hours'!U148*BaseLoad!AA147*'Base Hours'!$AA148)</f>
        <v>-</v>
      </c>
      <c r="V148" s="177">
        <f t="shared" si="6"/>
        <v>0</v>
      </c>
      <c r="W148" s="177"/>
      <c r="X148" s="177"/>
      <c r="Y148" s="206"/>
      <c r="Z148" s="206">
        <f>(BaseLoad!C147*'Base Hours'!V148*'Base Hours'!$AA148)*-1</f>
        <v>0</v>
      </c>
      <c r="AA148" s="206"/>
      <c r="AB148" s="206">
        <f>(BaseLoad!D147*'Base Hours'!V148*'Base Hours'!$AA148)*-1</f>
        <v>0</v>
      </c>
      <c r="AC148" s="206"/>
      <c r="AD148" s="206">
        <f>(BaseLoad!E147*'Base Hours'!V148*'Base Hours'!$AA148)*-1</f>
        <v>0</v>
      </c>
      <c r="AE148" s="206"/>
      <c r="AF148" s="206">
        <f>(BaseLoad!F147*'Base Hours'!V148*'Base Hours'!$AA148)*-1</f>
        <v>0</v>
      </c>
      <c r="AG148" s="206"/>
    </row>
    <row r="149" spans="1:33" x14ac:dyDescent="0.2">
      <c r="A149" s="1">
        <f t="shared" si="5"/>
        <v>40767.963000000178</v>
      </c>
      <c r="B149" s="177" t="str">
        <f>IF($A$1="Peak","-",'Base Hours'!B149*BaseLoad!H148*'Base Hours'!$AA149)</f>
        <v>-</v>
      </c>
      <c r="C149" s="177" t="str">
        <f>IF($A$1="Peak","-",'Base Hours'!C149*BaseLoad!I148*'Base Hours'!$AA149)</f>
        <v>-</v>
      </c>
      <c r="D149" s="177" t="str">
        <f>IF($A$1="Peak","-",'Base Hours'!D149*BaseLoad!J148*'Base Hours'!$AA149)</f>
        <v>-</v>
      </c>
      <c r="E149" s="177" t="str">
        <f>IF($A$1="Peak","-",'Base Hours'!E149*BaseLoad!K148*'Base Hours'!$AA149)</f>
        <v>-</v>
      </c>
      <c r="F149" s="177" t="str">
        <f>IF($A$1="Peak","-",'Base Hours'!F149*BaseLoad!L148*'Base Hours'!$AA149)</f>
        <v>-</v>
      </c>
      <c r="G149" s="177" t="str">
        <f>IF($A$1="Peak","-",'Base Hours'!G149*BaseLoad!M148*'Base Hours'!$AA149)</f>
        <v>-</v>
      </c>
      <c r="H149" s="177" t="str">
        <f>IF($A$1="Peak","-",'Base Hours'!H149*BaseLoad!N148*'Base Hours'!$AA149)</f>
        <v>-</v>
      </c>
      <c r="I149" s="177" t="str">
        <f>IF($A$1="Peak","-",'Base Hours'!I149*BaseLoad!O148*'Base Hours'!$AA149)</f>
        <v>-</v>
      </c>
      <c r="J149" s="177" t="str">
        <f>IF($A$1="Peak","-",'Base Hours'!J149*BaseLoad!P148*'Base Hours'!$AA149)</f>
        <v>-</v>
      </c>
      <c r="K149" s="177" t="str">
        <f>IF($A$1="Peak","-",'Base Hours'!K149*BaseLoad!Q148*'Base Hours'!$AA149)</f>
        <v>-</v>
      </c>
      <c r="L149" s="177" t="str">
        <f>IF($A$1="Peak","-",'Base Hours'!L149*BaseLoad!R148*'Base Hours'!$AA149)</f>
        <v>-</v>
      </c>
      <c r="M149" s="177" t="str">
        <f>IF($A$1="Peak","-",'Base Hours'!M149*BaseLoad!S148*'Base Hours'!$AA149)</f>
        <v>-</v>
      </c>
      <c r="N149" s="177" t="str">
        <f>IF($A$1="Peak","-",'Base Hours'!N149*BaseLoad!T148*'Base Hours'!$AA149)</f>
        <v>-</v>
      </c>
      <c r="O149" s="177" t="str">
        <f>IF($A$1="Peak","-",'Base Hours'!O149*BaseLoad!U148*'Base Hours'!$AA149)</f>
        <v>-</v>
      </c>
      <c r="P149" s="177" t="str">
        <f>IF($A$1="Peak","-",'Base Hours'!P149*BaseLoad!V148*'Base Hours'!$AA149)</f>
        <v>-</v>
      </c>
      <c r="Q149" s="177" t="str">
        <f>IF($A$1="Peak","-",'Base Hours'!Q149*BaseLoad!W148*'Base Hours'!$AA149)</f>
        <v>-</v>
      </c>
      <c r="R149" s="177" t="str">
        <f>IF($A$1="Peak","-",'Base Hours'!R149*BaseLoad!X148*'Base Hours'!$AA149)</f>
        <v>-</v>
      </c>
      <c r="S149" s="177" t="str">
        <f>IF($A$1="Peak","-",'Base Hours'!S149*BaseLoad!Y148*'Base Hours'!$AA149)</f>
        <v>-</v>
      </c>
      <c r="T149" s="177" t="str">
        <f>IF($A$1="Peak","-",'Base Hours'!T149*BaseLoad!Z148*'Base Hours'!$AA149)</f>
        <v>-</v>
      </c>
      <c r="U149" s="177" t="str">
        <f>IF($A$1="Peak","-",'Base Hours'!U149*BaseLoad!AA148*'Base Hours'!$AA149)</f>
        <v>-</v>
      </c>
      <c r="V149" s="177">
        <f t="shared" si="6"/>
        <v>0</v>
      </c>
      <c r="W149" s="177"/>
      <c r="X149" s="177"/>
      <c r="Y149" s="206"/>
      <c r="Z149" s="206">
        <f>(BaseLoad!C148*'Base Hours'!V149*'Base Hours'!$AA149)*-1</f>
        <v>0</v>
      </c>
      <c r="AA149" s="206"/>
      <c r="AB149" s="206">
        <f>(BaseLoad!D148*'Base Hours'!V149*'Base Hours'!$AA149)*-1</f>
        <v>0</v>
      </c>
      <c r="AC149" s="206"/>
      <c r="AD149" s="206">
        <f>(BaseLoad!E148*'Base Hours'!V149*'Base Hours'!$AA149)*-1</f>
        <v>0</v>
      </c>
      <c r="AE149" s="206"/>
      <c r="AF149" s="206">
        <f>(BaseLoad!F148*'Base Hours'!V149*'Base Hours'!$AA149)*-1</f>
        <v>0</v>
      </c>
      <c r="AG149" s="206"/>
    </row>
    <row r="150" spans="1:33" x14ac:dyDescent="0.2">
      <c r="A150" s="1">
        <f t="shared" si="5"/>
        <v>40798.380000000179</v>
      </c>
      <c r="B150" s="177" t="str">
        <f>IF($A$1="Peak","-",'Base Hours'!B150*BaseLoad!H149*'Base Hours'!$AA150)</f>
        <v>-</v>
      </c>
      <c r="C150" s="177" t="str">
        <f>IF($A$1="Peak","-",'Base Hours'!C150*BaseLoad!I149*'Base Hours'!$AA150)</f>
        <v>-</v>
      </c>
      <c r="D150" s="177" t="str">
        <f>IF($A$1="Peak","-",'Base Hours'!D150*BaseLoad!J149*'Base Hours'!$AA150)</f>
        <v>-</v>
      </c>
      <c r="E150" s="177" t="str">
        <f>IF($A$1="Peak","-",'Base Hours'!E150*BaseLoad!K149*'Base Hours'!$AA150)</f>
        <v>-</v>
      </c>
      <c r="F150" s="177" t="str">
        <f>IF($A$1="Peak","-",'Base Hours'!F150*BaseLoad!L149*'Base Hours'!$AA150)</f>
        <v>-</v>
      </c>
      <c r="G150" s="177" t="str">
        <f>IF($A$1="Peak","-",'Base Hours'!G150*BaseLoad!M149*'Base Hours'!$AA150)</f>
        <v>-</v>
      </c>
      <c r="H150" s="177" t="str">
        <f>IF($A$1="Peak","-",'Base Hours'!H150*BaseLoad!N149*'Base Hours'!$AA150)</f>
        <v>-</v>
      </c>
      <c r="I150" s="177" t="str">
        <f>IF($A$1="Peak","-",'Base Hours'!I150*BaseLoad!O149*'Base Hours'!$AA150)</f>
        <v>-</v>
      </c>
      <c r="J150" s="177" t="str">
        <f>IF($A$1="Peak","-",'Base Hours'!J150*BaseLoad!P149*'Base Hours'!$AA150)</f>
        <v>-</v>
      </c>
      <c r="K150" s="177" t="str">
        <f>IF($A$1="Peak","-",'Base Hours'!K150*BaseLoad!Q149*'Base Hours'!$AA150)</f>
        <v>-</v>
      </c>
      <c r="L150" s="177" t="str">
        <f>IF($A$1="Peak","-",'Base Hours'!L150*BaseLoad!R149*'Base Hours'!$AA150)</f>
        <v>-</v>
      </c>
      <c r="M150" s="177" t="str">
        <f>IF($A$1="Peak","-",'Base Hours'!M150*BaseLoad!S149*'Base Hours'!$AA150)</f>
        <v>-</v>
      </c>
      <c r="N150" s="177" t="str">
        <f>IF($A$1="Peak","-",'Base Hours'!N150*BaseLoad!T149*'Base Hours'!$AA150)</f>
        <v>-</v>
      </c>
      <c r="O150" s="177" t="str">
        <f>IF($A$1="Peak","-",'Base Hours'!O150*BaseLoad!U149*'Base Hours'!$AA150)</f>
        <v>-</v>
      </c>
      <c r="P150" s="177" t="str">
        <f>IF($A$1="Peak","-",'Base Hours'!P150*BaseLoad!V149*'Base Hours'!$AA150)</f>
        <v>-</v>
      </c>
      <c r="Q150" s="177" t="str">
        <f>IF($A$1="Peak","-",'Base Hours'!Q150*BaseLoad!W149*'Base Hours'!$AA150)</f>
        <v>-</v>
      </c>
      <c r="R150" s="177" t="str">
        <f>IF($A$1="Peak","-",'Base Hours'!R150*BaseLoad!X149*'Base Hours'!$AA150)</f>
        <v>-</v>
      </c>
      <c r="S150" s="177" t="str">
        <f>IF($A$1="Peak","-",'Base Hours'!S150*BaseLoad!Y149*'Base Hours'!$AA150)</f>
        <v>-</v>
      </c>
      <c r="T150" s="177" t="str">
        <f>IF($A$1="Peak","-",'Base Hours'!T150*BaseLoad!Z149*'Base Hours'!$AA150)</f>
        <v>-</v>
      </c>
      <c r="U150" s="177" t="str">
        <f>IF($A$1="Peak","-",'Base Hours'!U150*BaseLoad!AA149*'Base Hours'!$AA150)</f>
        <v>-</v>
      </c>
      <c r="V150" s="177">
        <f t="shared" si="6"/>
        <v>0</v>
      </c>
      <c r="W150" s="177"/>
      <c r="X150" s="177"/>
      <c r="Y150" s="206"/>
      <c r="Z150" s="206">
        <f>(BaseLoad!C149*'Base Hours'!V150*'Base Hours'!$AA150)*-1</f>
        <v>0</v>
      </c>
      <c r="AA150" s="206"/>
      <c r="AB150" s="206">
        <f>(BaseLoad!D149*'Base Hours'!V150*'Base Hours'!$AA150)*-1</f>
        <v>0</v>
      </c>
      <c r="AC150" s="206"/>
      <c r="AD150" s="206">
        <f>(BaseLoad!E149*'Base Hours'!V150*'Base Hours'!$AA150)*-1</f>
        <v>0</v>
      </c>
      <c r="AE150" s="206"/>
      <c r="AF150" s="206">
        <f>(BaseLoad!F149*'Base Hours'!V150*'Base Hours'!$AA150)*-1</f>
        <v>0</v>
      </c>
      <c r="AG150" s="206"/>
    </row>
    <row r="151" spans="1:33" x14ac:dyDescent="0.2">
      <c r="A151" s="1">
        <f t="shared" si="5"/>
        <v>40828.797000000181</v>
      </c>
      <c r="B151" s="177" t="str">
        <f>IF($A$1="Peak","-",'Base Hours'!B151*BaseLoad!H150*'Base Hours'!$AA151)</f>
        <v>-</v>
      </c>
      <c r="C151" s="177" t="str">
        <f>IF($A$1="Peak","-",'Base Hours'!C151*BaseLoad!I150*'Base Hours'!$AA151)</f>
        <v>-</v>
      </c>
      <c r="D151" s="177" t="str">
        <f>IF($A$1="Peak","-",'Base Hours'!D151*BaseLoad!J150*'Base Hours'!$AA151)</f>
        <v>-</v>
      </c>
      <c r="E151" s="177" t="str">
        <f>IF($A$1="Peak","-",'Base Hours'!E151*BaseLoad!K150*'Base Hours'!$AA151)</f>
        <v>-</v>
      </c>
      <c r="F151" s="177" t="str">
        <f>IF($A$1="Peak","-",'Base Hours'!F151*BaseLoad!L150*'Base Hours'!$AA151)</f>
        <v>-</v>
      </c>
      <c r="G151" s="177" t="str">
        <f>IF($A$1="Peak","-",'Base Hours'!G151*BaseLoad!M150*'Base Hours'!$AA151)</f>
        <v>-</v>
      </c>
      <c r="H151" s="177" t="str">
        <f>IF($A$1="Peak","-",'Base Hours'!H151*BaseLoad!N150*'Base Hours'!$AA151)</f>
        <v>-</v>
      </c>
      <c r="I151" s="177" t="str">
        <f>IF($A$1="Peak","-",'Base Hours'!I151*BaseLoad!O150*'Base Hours'!$AA151)</f>
        <v>-</v>
      </c>
      <c r="J151" s="177" t="str">
        <f>IF($A$1="Peak","-",'Base Hours'!J151*BaseLoad!P150*'Base Hours'!$AA151)</f>
        <v>-</v>
      </c>
      <c r="K151" s="177" t="str">
        <f>IF($A$1="Peak","-",'Base Hours'!K151*BaseLoad!Q150*'Base Hours'!$AA151)</f>
        <v>-</v>
      </c>
      <c r="L151" s="177" t="str">
        <f>IF($A$1="Peak","-",'Base Hours'!L151*BaseLoad!R150*'Base Hours'!$AA151)</f>
        <v>-</v>
      </c>
      <c r="M151" s="177" t="str">
        <f>IF($A$1="Peak","-",'Base Hours'!M151*BaseLoad!S150*'Base Hours'!$AA151)</f>
        <v>-</v>
      </c>
      <c r="N151" s="177" t="str">
        <f>IF($A$1="Peak","-",'Base Hours'!N151*BaseLoad!T150*'Base Hours'!$AA151)</f>
        <v>-</v>
      </c>
      <c r="O151" s="177" t="str">
        <f>IF($A$1="Peak","-",'Base Hours'!O151*BaseLoad!U150*'Base Hours'!$AA151)</f>
        <v>-</v>
      </c>
      <c r="P151" s="177" t="str">
        <f>IF($A$1="Peak","-",'Base Hours'!P151*BaseLoad!V150*'Base Hours'!$AA151)</f>
        <v>-</v>
      </c>
      <c r="Q151" s="177" t="str">
        <f>IF($A$1="Peak","-",'Base Hours'!Q151*BaseLoad!W150*'Base Hours'!$AA151)</f>
        <v>-</v>
      </c>
      <c r="R151" s="177" t="str">
        <f>IF($A$1="Peak","-",'Base Hours'!R151*BaseLoad!X150*'Base Hours'!$AA151)</f>
        <v>-</v>
      </c>
      <c r="S151" s="177" t="str">
        <f>IF($A$1="Peak","-",'Base Hours'!S151*BaseLoad!Y150*'Base Hours'!$AA151)</f>
        <v>-</v>
      </c>
      <c r="T151" s="177" t="str">
        <f>IF($A$1="Peak","-",'Base Hours'!T151*BaseLoad!Z150*'Base Hours'!$AA151)</f>
        <v>-</v>
      </c>
      <c r="U151" s="177" t="str">
        <f>IF($A$1="Peak","-",'Base Hours'!U151*BaseLoad!AA150*'Base Hours'!$AA151)</f>
        <v>-</v>
      </c>
      <c r="V151" s="177">
        <f t="shared" si="6"/>
        <v>0</v>
      </c>
      <c r="W151" s="177"/>
      <c r="X151" s="177"/>
      <c r="Y151" s="206"/>
      <c r="Z151" s="206">
        <f>(BaseLoad!C150*'Base Hours'!V151*'Base Hours'!$AA151)*-1</f>
        <v>0</v>
      </c>
      <c r="AA151" s="206"/>
      <c r="AB151" s="206">
        <f>(BaseLoad!D150*'Base Hours'!V151*'Base Hours'!$AA151)*-1</f>
        <v>0</v>
      </c>
      <c r="AC151" s="206"/>
      <c r="AD151" s="206">
        <f>(BaseLoad!E150*'Base Hours'!V151*'Base Hours'!$AA151)*-1</f>
        <v>0</v>
      </c>
      <c r="AE151" s="206"/>
      <c r="AF151" s="206">
        <f>(BaseLoad!F150*'Base Hours'!V151*'Base Hours'!$AA151)*-1</f>
        <v>0</v>
      </c>
      <c r="AG151" s="206"/>
    </row>
    <row r="152" spans="1:33" x14ac:dyDescent="0.2">
      <c r="A152" s="1">
        <f t="shared" si="5"/>
        <v>40859.214000000182</v>
      </c>
      <c r="B152" s="177" t="str">
        <f>IF($A$1="Peak","-",'Base Hours'!B152*BaseLoad!H151*'Base Hours'!$AA152)</f>
        <v>-</v>
      </c>
      <c r="C152" s="177" t="str">
        <f>IF($A$1="Peak","-",'Base Hours'!C152*BaseLoad!I151*'Base Hours'!$AA152)</f>
        <v>-</v>
      </c>
      <c r="D152" s="177" t="str">
        <f>IF($A$1="Peak","-",'Base Hours'!D152*BaseLoad!J151*'Base Hours'!$AA152)</f>
        <v>-</v>
      </c>
      <c r="E152" s="177" t="str">
        <f>IF($A$1="Peak","-",'Base Hours'!E152*BaseLoad!K151*'Base Hours'!$AA152)</f>
        <v>-</v>
      </c>
      <c r="F152" s="177" t="str">
        <f>IF($A$1="Peak","-",'Base Hours'!F152*BaseLoad!L151*'Base Hours'!$AA152)</f>
        <v>-</v>
      </c>
      <c r="G152" s="177" t="str">
        <f>IF($A$1="Peak","-",'Base Hours'!G152*BaseLoad!M151*'Base Hours'!$AA152)</f>
        <v>-</v>
      </c>
      <c r="H152" s="177" t="str">
        <f>IF($A$1="Peak","-",'Base Hours'!H152*BaseLoad!N151*'Base Hours'!$AA152)</f>
        <v>-</v>
      </c>
      <c r="I152" s="177" t="str">
        <f>IF($A$1="Peak","-",'Base Hours'!I152*BaseLoad!O151*'Base Hours'!$AA152)</f>
        <v>-</v>
      </c>
      <c r="J152" s="177" t="str">
        <f>IF($A$1="Peak","-",'Base Hours'!J152*BaseLoad!P151*'Base Hours'!$AA152)</f>
        <v>-</v>
      </c>
      <c r="K152" s="177" t="str">
        <f>IF($A$1="Peak","-",'Base Hours'!K152*BaseLoad!Q151*'Base Hours'!$AA152)</f>
        <v>-</v>
      </c>
      <c r="L152" s="177" t="str">
        <f>IF($A$1="Peak","-",'Base Hours'!L152*BaseLoad!R151*'Base Hours'!$AA152)</f>
        <v>-</v>
      </c>
      <c r="M152" s="177" t="str">
        <f>IF($A$1="Peak","-",'Base Hours'!M152*BaseLoad!S151*'Base Hours'!$AA152)</f>
        <v>-</v>
      </c>
      <c r="N152" s="177" t="str">
        <f>IF($A$1="Peak","-",'Base Hours'!N152*BaseLoad!T151*'Base Hours'!$AA152)</f>
        <v>-</v>
      </c>
      <c r="O152" s="177" t="str">
        <f>IF($A$1="Peak","-",'Base Hours'!O152*BaseLoad!U151*'Base Hours'!$AA152)</f>
        <v>-</v>
      </c>
      <c r="P152" s="177" t="str">
        <f>IF($A$1="Peak","-",'Base Hours'!P152*BaseLoad!V151*'Base Hours'!$AA152)</f>
        <v>-</v>
      </c>
      <c r="Q152" s="177" t="str">
        <f>IF($A$1="Peak","-",'Base Hours'!Q152*BaseLoad!W151*'Base Hours'!$AA152)</f>
        <v>-</v>
      </c>
      <c r="R152" s="177" t="str">
        <f>IF($A$1="Peak","-",'Base Hours'!R152*BaseLoad!X151*'Base Hours'!$AA152)</f>
        <v>-</v>
      </c>
      <c r="S152" s="177" t="str">
        <f>IF($A$1="Peak","-",'Base Hours'!S152*BaseLoad!Y151*'Base Hours'!$AA152)</f>
        <v>-</v>
      </c>
      <c r="T152" s="177" t="str">
        <f>IF($A$1="Peak","-",'Base Hours'!T152*BaseLoad!Z151*'Base Hours'!$AA152)</f>
        <v>-</v>
      </c>
      <c r="U152" s="177" t="str">
        <f>IF($A$1="Peak","-",'Base Hours'!U152*BaseLoad!AA151*'Base Hours'!$AA152)</f>
        <v>-</v>
      </c>
      <c r="V152" s="177">
        <f t="shared" si="6"/>
        <v>0</v>
      </c>
      <c r="W152" s="177"/>
      <c r="X152" s="177"/>
      <c r="Y152" s="206"/>
      <c r="Z152" s="206">
        <f>(BaseLoad!C151*'Base Hours'!V152*'Base Hours'!$AA152)*-1</f>
        <v>0</v>
      </c>
      <c r="AA152" s="206"/>
      <c r="AB152" s="206">
        <f>(BaseLoad!D151*'Base Hours'!V152*'Base Hours'!$AA152)*-1</f>
        <v>0</v>
      </c>
      <c r="AC152" s="206"/>
      <c r="AD152" s="206">
        <f>(BaseLoad!E151*'Base Hours'!V152*'Base Hours'!$AA152)*-1</f>
        <v>0</v>
      </c>
      <c r="AE152" s="206"/>
      <c r="AF152" s="206">
        <f>(BaseLoad!F151*'Base Hours'!V152*'Base Hours'!$AA152)*-1</f>
        <v>0</v>
      </c>
      <c r="AG152" s="206"/>
    </row>
    <row r="153" spans="1:33" x14ac:dyDescent="0.2">
      <c r="A153" s="1">
        <f t="shared" si="5"/>
        <v>40889.631000000183</v>
      </c>
      <c r="B153" s="177" t="str">
        <f>IF($A$1="Peak","-",'Base Hours'!B153*BaseLoad!H152*'Base Hours'!$AA153)</f>
        <v>-</v>
      </c>
      <c r="C153" s="177" t="str">
        <f>IF($A$1="Peak","-",'Base Hours'!C153*BaseLoad!I152*'Base Hours'!$AA153)</f>
        <v>-</v>
      </c>
      <c r="D153" s="177" t="str">
        <f>IF($A$1="Peak","-",'Base Hours'!D153*BaseLoad!J152*'Base Hours'!$AA153)</f>
        <v>-</v>
      </c>
      <c r="E153" s="177" t="str">
        <f>IF($A$1="Peak","-",'Base Hours'!E153*BaseLoad!K152*'Base Hours'!$AA153)</f>
        <v>-</v>
      </c>
      <c r="F153" s="177" t="str">
        <f>IF($A$1="Peak","-",'Base Hours'!F153*BaseLoad!L152*'Base Hours'!$AA153)</f>
        <v>-</v>
      </c>
      <c r="G153" s="177" t="str">
        <f>IF($A$1="Peak","-",'Base Hours'!G153*BaseLoad!M152*'Base Hours'!$AA153)</f>
        <v>-</v>
      </c>
      <c r="H153" s="177" t="str">
        <f>IF($A$1="Peak","-",'Base Hours'!H153*BaseLoad!N152*'Base Hours'!$AA153)</f>
        <v>-</v>
      </c>
      <c r="I153" s="177" t="str">
        <f>IF($A$1="Peak","-",'Base Hours'!I153*BaseLoad!O152*'Base Hours'!$AA153)</f>
        <v>-</v>
      </c>
      <c r="J153" s="177" t="str">
        <f>IF($A$1="Peak","-",'Base Hours'!J153*BaseLoad!P152*'Base Hours'!$AA153)</f>
        <v>-</v>
      </c>
      <c r="K153" s="177" t="str">
        <f>IF($A$1="Peak","-",'Base Hours'!K153*BaseLoad!Q152*'Base Hours'!$AA153)</f>
        <v>-</v>
      </c>
      <c r="L153" s="177" t="str">
        <f>IF($A$1="Peak","-",'Base Hours'!L153*BaseLoad!R152*'Base Hours'!$AA153)</f>
        <v>-</v>
      </c>
      <c r="M153" s="177" t="str">
        <f>IF($A$1="Peak","-",'Base Hours'!M153*BaseLoad!S152*'Base Hours'!$AA153)</f>
        <v>-</v>
      </c>
      <c r="N153" s="177" t="str">
        <f>IF($A$1="Peak","-",'Base Hours'!N153*BaseLoad!T152*'Base Hours'!$AA153)</f>
        <v>-</v>
      </c>
      <c r="O153" s="177" t="str">
        <f>IF($A$1="Peak","-",'Base Hours'!O153*BaseLoad!U152*'Base Hours'!$AA153)</f>
        <v>-</v>
      </c>
      <c r="P153" s="177" t="str">
        <f>IF($A$1="Peak","-",'Base Hours'!P153*BaseLoad!V152*'Base Hours'!$AA153)</f>
        <v>-</v>
      </c>
      <c r="Q153" s="177" t="str">
        <f>IF($A$1="Peak","-",'Base Hours'!Q153*BaseLoad!W152*'Base Hours'!$AA153)</f>
        <v>-</v>
      </c>
      <c r="R153" s="177" t="str">
        <f>IF($A$1="Peak","-",'Base Hours'!R153*BaseLoad!X152*'Base Hours'!$AA153)</f>
        <v>-</v>
      </c>
      <c r="S153" s="177" t="str">
        <f>IF($A$1="Peak","-",'Base Hours'!S153*BaseLoad!Y152*'Base Hours'!$AA153)</f>
        <v>-</v>
      </c>
      <c r="T153" s="177" t="str">
        <f>IF($A$1="Peak","-",'Base Hours'!T153*BaseLoad!Z152*'Base Hours'!$AA153)</f>
        <v>-</v>
      </c>
      <c r="U153" s="177" t="str">
        <f>IF($A$1="Peak","-",'Base Hours'!U153*BaseLoad!AA152*'Base Hours'!$AA153)</f>
        <v>-</v>
      </c>
      <c r="V153" s="177">
        <f t="shared" si="6"/>
        <v>0</v>
      </c>
      <c r="W153" s="177"/>
      <c r="X153" s="177"/>
      <c r="Y153" s="206">
        <f>SUM(B142:U153)</f>
        <v>0</v>
      </c>
      <c r="Z153" s="206">
        <f>(BaseLoad!C152*'Base Hours'!V153*'Base Hours'!$AA153)*-1</f>
        <v>0</v>
      </c>
      <c r="AA153" s="206">
        <f>SUM(Z142:Z153)</f>
        <v>0</v>
      </c>
      <c r="AB153" s="206">
        <f>(BaseLoad!D152*'Base Hours'!V153*'Base Hours'!$AA153)*-1</f>
        <v>0</v>
      </c>
      <c r="AC153" s="206">
        <f>SUM(AB142:AB153)</f>
        <v>0</v>
      </c>
      <c r="AD153" s="206">
        <f>(BaseLoad!E152*'Base Hours'!V153*'Base Hours'!$AA153)*-1</f>
        <v>0</v>
      </c>
      <c r="AE153" s="206">
        <f>SUM(AD142:AD153)</f>
        <v>0</v>
      </c>
      <c r="AF153" s="206">
        <f>(BaseLoad!F152*'Base Hours'!V153*'Base Hours'!$AA153)*-1</f>
        <v>0</v>
      </c>
      <c r="AG153" s="206">
        <f>SUM(AF142:AF153)</f>
        <v>0</v>
      </c>
    </row>
    <row r="154" spans="1:33" x14ac:dyDescent="0.2">
      <c r="A154" s="1">
        <f t="shared" si="5"/>
        <v>40920.048000000184</v>
      </c>
      <c r="B154" s="177" t="str">
        <f>IF($A$1="Peak","-",'Base Hours'!B154*BaseLoad!H153*'Base Hours'!$AA154)</f>
        <v>-</v>
      </c>
      <c r="C154" s="177" t="str">
        <f>IF($A$1="Peak","-",'Base Hours'!C154*BaseLoad!I153*'Base Hours'!$AA154)</f>
        <v>-</v>
      </c>
      <c r="D154" s="177" t="str">
        <f>IF($A$1="Peak","-",'Base Hours'!D154*BaseLoad!J153*'Base Hours'!$AA154)</f>
        <v>-</v>
      </c>
      <c r="E154" s="177" t="str">
        <f>IF($A$1="Peak","-",'Base Hours'!E154*BaseLoad!K153*'Base Hours'!$AA154)</f>
        <v>-</v>
      </c>
      <c r="F154" s="177" t="str">
        <f>IF($A$1="Peak","-",'Base Hours'!F154*BaseLoad!L153*'Base Hours'!$AA154)</f>
        <v>-</v>
      </c>
      <c r="G154" s="177" t="str">
        <f>IF($A$1="Peak","-",'Base Hours'!G154*BaseLoad!M153*'Base Hours'!$AA154)</f>
        <v>-</v>
      </c>
      <c r="H154" s="177" t="str">
        <f>IF($A$1="Peak","-",'Base Hours'!H154*BaseLoad!N153*'Base Hours'!$AA154)</f>
        <v>-</v>
      </c>
      <c r="I154" s="177" t="str">
        <f>IF($A$1="Peak","-",'Base Hours'!I154*BaseLoad!O153*'Base Hours'!$AA154)</f>
        <v>-</v>
      </c>
      <c r="J154" s="177" t="str">
        <f>IF($A$1="Peak","-",'Base Hours'!J154*BaseLoad!P153*'Base Hours'!$AA154)</f>
        <v>-</v>
      </c>
      <c r="K154" s="177" t="str">
        <f>IF($A$1="Peak","-",'Base Hours'!K154*BaseLoad!Q153*'Base Hours'!$AA154)</f>
        <v>-</v>
      </c>
      <c r="L154" s="177" t="str">
        <f>IF($A$1="Peak","-",'Base Hours'!L154*BaseLoad!R153*'Base Hours'!$AA154)</f>
        <v>-</v>
      </c>
      <c r="M154" s="177" t="str">
        <f>IF($A$1="Peak","-",'Base Hours'!M154*BaseLoad!S153*'Base Hours'!$AA154)</f>
        <v>-</v>
      </c>
      <c r="N154" s="177" t="str">
        <f>IF($A$1="Peak","-",'Base Hours'!N154*BaseLoad!T153*'Base Hours'!$AA154)</f>
        <v>-</v>
      </c>
      <c r="O154" s="177" t="str">
        <f>IF($A$1="Peak","-",'Base Hours'!O154*BaseLoad!U153*'Base Hours'!$AA154)</f>
        <v>-</v>
      </c>
      <c r="P154" s="177" t="str">
        <f>IF($A$1="Peak","-",'Base Hours'!P154*BaseLoad!V153*'Base Hours'!$AA154)</f>
        <v>-</v>
      </c>
      <c r="Q154" s="177" t="str">
        <f>IF($A$1="Peak","-",'Base Hours'!Q154*BaseLoad!W153*'Base Hours'!$AA154)</f>
        <v>-</v>
      </c>
      <c r="R154" s="177" t="str">
        <f>IF($A$1="Peak","-",'Base Hours'!R154*BaseLoad!X153*'Base Hours'!$AA154)</f>
        <v>-</v>
      </c>
      <c r="S154" s="177" t="str">
        <f>IF($A$1="Peak","-",'Base Hours'!S154*BaseLoad!Y153*'Base Hours'!$AA154)</f>
        <v>-</v>
      </c>
      <c r="T154" s="177" t="str">
        <f>IF($A$1="Peak","-",'Base Hours'!T154*BaseLoad!Z153*'Base Hours'!$AA154)</f>
        <v>-</v>
      </c>
      <c r="U154" s="177" t="str">
        <f>IF($A$1="Peak","-",'Base Hours'!U154*BaseLoad!AA153*'Base Hours'!$AA154)</f>
        <v>-</v>
      </c>
      <c r="V154" s="177">
        <f t="shared" si="6"/>
        <v>0</v>
      </c>
      <c r="W154" s="177"/>
      <c r="X154" s="177"/>
      <c r="Y154" s="206"/>
      <c r="Z154" s="206">
        <f>(BaseLoad!C153*'Base Hours'!V154*'Base Hours'!$AA154)*-1</f>
        <v>0</v>
      </c>
      <c r="AA154" s="206"/>
      <c r="AB154" s="206">
        <f>(BaseLoad!D153*'Base Hours'!V154*'Base Hours'!$AA154)*-1</f>
        <v>0</v>
      </c>
      <c r="AC154" s="206"/>
      <c r="AD154" s="206">
        <f>(BaseLoad!E153*'Base Hours'!V154*'Base Hours'!$AA154)*-1</f>
        <v>0</v>
      </c>
      <c r="AE154" s="206"/>
      <c r="AF154" s="206">
        <f>(BaseLoad!F153*'Base Hours'!V154*'Base Hours'!$AA154)*-1</f>
        <v>0</v>
      </c>
      <c r="AG154" s="206"/>
    </row>
    <row r="155" spans="1:33" x14ac:dyDescent="0.2">
      <c r="A155" s="1">
        <f t="shared" si="5"/>
        <v>40950.465000000186</v>
      </c>
      <c r="B155" s="177" t="str">
        <f>IF($A$1="Peak","-",'Base Hours'!B155*BaseLoad!H154*'Base Hours'!$AA155)</f>
        <v>-</v>
      </c>
      <c r="C155" s="177" t="str">
        <f>IF($A$1="Peak","-",'Base Hours'!C155*BaseLoad!I154*'Base Hours'!$AA155)</f>
        <v>-</v>
      </c>
      <c r="D155" s="177" t="str">
        <f>IF($A$1="Peak","-",'Base Hours'!D155*BaseLoad!J154*'Base Hours'!$AA155)</f>
        <v>-</v>
      </c>
      <c r="E155" s="177" t="str">
        <f>IF($A$1="Peak","-",'Base Hours'!E155*BaseLoad!K154*'Base Hours'!$AA155)</f>
        <v>-</v>
      </c>
      <c r="F155" s="177" t="str">
        <f>IF($A$1="Peak","-",'Base Hours'!F155*BaseLoad!L154*'Base Hours'!$AA155)</f>
        <v>-</v>
      </c>
      <c r="G155" s="177" t="str">
        <f>IF($A$1="Peak","-",'Base Hours'!G155*BaseLoad!M154*'Base Hours'!$AA155)</f>
        <v>-</v>
      </c>
      <c r="H155" s="177" t="str">
        <f>IF($A$1="Peak","-",'Base Hours'!H155*BaseLoad!N154*'Base Hours'!$AA155)</f>
        <v>-</v>
      </c>
      <c r="I155" s="177" t="str">
        <f>IF($A$1="Peak","-",'Base Hours'!I155*BaseLoad!O154*'Base Hours'!$AA155)</f>
        <v>-</v>
      </c>
      <c r="J155" s="177" t="str">
        <f>IF($A$1="Peak","-",'Base Hours'!J155*BaseLoad!P154*'Base Hours'!$AA155)</f>
        <v>-</v>
      </c>
      <c r="K155" s="177" t="str">
        <f>IF($A$1="Peak","-",'Base Hours'!K155*BaseLoad!Q154*'Base Hours'!$AA155)</f>
        <v>-</v>
      </c>
      <c r="L155" s="177" t="str">
        <f>IF($A$1="Peak","-",'Base Hours'!L155*BaseLoad!R154*'Base Hours'!$AA155)</f>
        <v>-</v>
      </c>
      <c r="M155" s="177" t="str">
        <f>IF($A$1="Peak","-",'Base Hours'!M155*BaseLoad!S154*'Base Hours'!$AA155)</f>
        <v>-</v>
      </c>
      <c r="N155" s="177" t="str">
        <f>IF($A$1="Peak","-",'Base Hours'!N155*BaseLoad!T154*'Base Hours'!$AA155)</f>
        <v>-</v>
      </c>
      <c r="O155" s="177" t="str">
        <f>IF($A$1="Peak","-",'Base Hours'!O155*BaseLoad!U154*'Base Hours'!$AA155)</f>
        <v>-</v>
      </c>
      <c r="P155" s="177" t="str">
        <f>IF($A$1="Peak","-",'Base Hours'!P155*BaseLoad!V154*'Base Hours'!$AA155)</f>
        <v>-</v>
      </c>
      <c r="Q155" s="177" t="str">
        <f>IF($A$1="Peak","-",'Base Hours'!Q155*BaseLoad!W154*'Base Hours'!$AA155)</f>
        <v>-</v>
      </c>
      <c r="R155" s="177" t="str">
        <f>IF($A$1="Peak","-",'Base Hours'!R155*BaseLoad!X154*'Base Hours'!$AA155)</f>
        <v>-</v>
      </c>
      <c r="S155" s="177" t="str">
        <f>IF($A$1="Peak","-",'Base Hours'!S155*BaseLoad!Y154*'Base Hours'!$AA155)</f>
        <v>-</v>
      </c>
      <c r="T155" s="177" t="str">
        <f>IF($A$1="Peak","-",'Base Hours'!T155*BaseLoad!Z154*'Base Hours'!$AA155)</f>
        <v>-</v>
      </c>
      <c r="U155" s="177" t="str">
        <f>IF($A$1="Peak","-",'Base Hours'!U155*BaseLoad!AA154*'Base Hours'!$AA155)</f>
        <v>-</v>
      </c>
      <c r="V155" s="177">
        <f t="shared" si="6"/>
        <v>0</v>
      </c>
      <c r="W155" s="177"/>
      <c r="X155" s="177"/>
      <c r="Y155" s="206"/>
      <c r="Z155" s="206">
        <f>(BaseLoad!C154*'Base Hours'!V155*'Base Hours'!$AA155)*-1</f>
        <v>0</v>
      </c>
      <c r="AA155" s="206"/>
      <c r="AB155" s="206">
        <f>(BaseLoad!D154*'Base Hours'!V155*'Base Hours'!$AA155)*-1</f>
        <v>0</v>
      </c>
      <c r="AC155" s="206"/>
      <c r="AD155" s="206">
        <f>(BaseLoad!E154*'Base Hours'!V155*'Base Hours'!$AA155)*-1</f>
        <v>0</v>
      </c>
      <c r="AE155" s="206"/>
      <c r="AF155" s="206">
        <f>(BaseLoad!F154*'Base Hours'!V155*'Base Hours'!$AA155)*-1</f>
        <v>0</v>
      </c>
      <c r="AG155" s="206"/>
    </row>
    <row r="156" spans="1:33" x14ac:dyDescent="0.2">
      <c r="A156" s="1">
        <f t="shared" si="5"/>
        <v>40980.882000000187</v>
      </c>
      <c r="B156" s="177" t="str">
        <f>IF($A$1="Peak","-",'Base Hours'!B156*BaseLoad!H155*'Base Hours'!$AA156)</f>
        <v>-</v>
      </c>
      <c r="C156" s="177" t="str">
        <f>IF($A$1="Peak","-",'Base Hours'!C156*BaseLoad!I155*'Base Hours'!$AA156)</f>
        <v>-</v>
      </c>
      <c r="D156" s="177" t="str">
        <f>IF($A$1="Peak","-",'Base Hours'!D156*BaseLoad!J155*'Base Hours'!$AA156)</f>
        <v>-</v>
      </c>
      <c r="E156" s="177" t="str">
        <f>IF($A$1="Peak","-",'Base Hours'!E156*BaseLoad!K155*'Base Hours'!$AA156)</f>
        <v>-</v>
      </c>
      <c r="F156" s="177" t="str">
        <f>IF($A$1="Peak","-",'Base Hours'!F156*BaseLoad!L155*'Base Hours'!$AA156)</f>
        <v>-</v>
      </c>
      <c r="G156" s="177" t="str">
        <f>IF($A$1="Peak","-",'Base Hours'!G156*BaseLoad!M155*'Base Hours'!$AA156)</f>
        <v>-</v>
      </c>
      <c r="H156" s="177" t="str">
        <f>IF($A$1="Peak","-",'Base Hours'!H156*BaseLoad!N155*'Base Hours'!$AA156)</f>
        <v>-</v>
      </c>
      <c r="I156" s="177" t="str">
        <f>IF($A$1="Peak","-",'Base Hours'!I156*BaseLoad!O155*'Base Hours'!$AA156)</f>
        <v>-</v>
      </c>
      <c r="J156" s="177" t="str">
        <f>IF($A$1="Peak","-",'Base Hours'!J156*BaseLoad!P155*'Base Hours'!$AA156)</f>
        <v>-</v>
      </c>
      <c r="K156" s="177" t="str">
        <f>IF($A$1="Peak","-",'Base Hours'!K156*BaseLoad!Q155*'Base Hours'!$AA156)</f>
        <v>-</v>
      </c>
      <c r="L156" s="177" t="str">
        <f>IF($A$1="Peak","-",'Base Hours'!L156*BaseLoad!R155*'Base Hours'!$AA156)</f>
        <v>-</v>
      </c>
      <c r="M156" s="177" t="str">
        <f>IF($A$1="Peak","-",'Base Hours'!M156*BaseLoad!S155*'Base Hours'!$AA156)</f>
        <v>-</v>
      </c>
      <c r="N156" s="177" t="str">
        <f>IF($A$1="Peak","-",'Base Hours'!N156*BaseLoad!T155*'Base Hours'!$AA156)</f>
        <v>-</v>
      </c>
      <c r="O156" s="177" t="str">
        <f>IF($A$1="Peak","-",'Base Hours'!O156*BaseLoad!U155*'Base Hours'!$AA156)</f>
        <v>-</v>
      </c>
      <c r="P156" s="177" t="str">
        <f>IF($A$1="Peak","-",'Base Hours'!P156*BaseLoad!V155*'Base Hours'!$AA156)</f>
        <v>-</v>
      </c>
      <c r="Q156" s="177" t="str">
        <f>IF($A$1="Peak","-",'Base Hours'!Q156*BaseLoad!W155*'Base Hours'!$AA156)</f>
        <v>-</v>
      </c>
      <c r="R156" s="177" t="str">
        <f>IF($A$1="Peak","-",'Base Hours'!R156*BaseLoad!X155*'Base Hours'!$AA156)</f>
        <v>-</v>
      </c>
      <c r="S156" s="177" t="str">
        <f>IF($A$1="Peak","-",'Base Hours'!S156*BaseLoad!Y155*'Base Hours'!$AA156)</f>
        <v>-</v>
      </c>
      <c r="T156" s="177" t="str">
        <f>IF($A$1="Peak","-",'Base Hours'!T156*BaseLoad!Z155*'Base Hours'!$AA156)</f>
        <v>-</v>
      </c>
      <c r="U156" s="177" t="str">
        <f>IF($A$1="Peak","-",'Base Hours'!U156*BaseLoad!AA155*'Base Hours'!$AA156)</f>
        <v>-</v>
      </c>
      <c r="V156" s="177">
        <f t="shared" si="6"/>
        <v>0</v>
      </c>
      <c r="W156" s="177"/>
      <c r="X156" s="177"/>
      <c r="Y156" s="206"/>
      <c r="Z156" s="206">
        <f>(BaseLoad!C155*'Base Hours'!V156*'Base Hours'!$AA156)*-1</f>
        <v>0</v>
      </c>
      <c r="AA156" s="206"/>
      <c r="AB156" s="206">
        <f>(BaseLoad!D155*'Base Hours'!V156*'Base Hours'!$AA156)*-1</f>
        <v>0</v>
      </c>
      <c r="AC156" s="206"/>
      <c r="AD156" s="206">
        <f>(BaseLoad!E155*'Base Hours'!V156*'Base Hours'!$AA156)*-1</f>
        <v>0</v>
      </c>
      <c r="AE156" s="206"/>
      <c r="AF156" s="206">
        <f>(BaseLoad!F155*'Base Hours'!V156*'Base Hours'!$AA156)*-1</f>
        <v>0</v>
      </c>
      <c r="AG156" s="206"/>
    </row>
    <row r="157" spans="1:33" x14ac:dyDescent="0.2">
      <c r="A157" s="1">
        <f t="shared" si="5"/>
        <v>41011.299000000188</v>
      </c>
      <c r="B157" s="177" t="str">
        <f>IF($A$1="Peak","-",'Base Hours'!B157*BaseLoad!H156*'Base Hours'!$AA157)</f>
        <v>-</v>
      </c>
      <c r="C157" s="177" t="str">
        <f>IF($A$1="Peak","-",'Base Hours'!C157*BaseLoad!I156*'Base Hours'!$AA157)</f>
        <v>-</v>
      </c>
      <c r="D157" s="177" t="str">
        <f>IF($A$1="Peak","-",'Base Hours'!D157*BaseLoad!J156*'Base Hours'!$AA157)</f>
        <v>-</v>
      </c>
      <c r="E157" s="177" t="str">
        <f>IF($A$1="Peak","-",'Base Hours'!E157*BaseLoad!K156*'Base Hours'!$AA157)</f>
        <v>-</v>
      </c>
      <c r="F157" s="177" t="str">
        <f>IF($A$1="Peak","-",'Base Hours'!F157*BaseLoad!L156*'Base Hours'!$AA157)</f>
        <v>-</v>
      </c>
      <c r="G157" s="177" t="str">
        <f>IF($A$1="Peak","-",'Base Hours'!G157*BaseLoad!M156*'Base Hours'!$AA157)</f>
        <v>-</v>
      </c>
      <c r="H157" s="177" t="str">
        <f>IF($A$1="Peak","-",'Base Hours'!H157*BaseLoad!N156*'Base Hours'!$AA157)</f>
        <v>-</v>
      </c>
      <c r="I157" s="177" t="str">
        <f>IF($A$1="Peak","-",'Base Hours'!I157*BaseLoad!O156*'Base Hours'!$AA157)</f>
        <v>-</v>
      </c>
      <c r="J157" s="177" t="str">
        <f>IF($A$1="Peak","-",'Base Hours'!J157*BaseLoad!P156*'Base Hours'!$AA157)</f>
        <v>-</v>
      </c>
      <c r="K157" s="177" t="str">
        <f>IF($A$1="Peak","-",'Base Hours'!K157*BaseLoad!Q156*'Base Hours'!$AA157)</f>
        <v>-</v>
      </c>
      <c r="L157" s="177" t="str">
        <f>IF($A$1="Peak","-",'Base Hours'!L157*BaseLoad!R156*'Base Hours'!$AA157)</f>
        <v>-</v>
      </c>
      <c r="M157" s="177" t="str">
        <f>IF($A$1="Peak","-",'Base Hours'!M157*BaseLoad!S156*'Base Hours'!$AA157)</f>
        <v>-</v>
      </c>
      <c r="N157" s="177" t="str">
        <f>IF($A$1="Peak","-",'Base Hours'!N157*BaseLoad!T156*'Base Hours'!$AA157)</f>
        <v>-</v>
      </c>
      <c r="O157" s="177" t="str">
        <f>IF($A$1="Peak","-",'Base Hours'!O157*BaseLoad!U156*'Base Hours'!$AA157)</f>
        <v>-</v>
      </c>
      <c r="P157" s="177" t="str">
        <f>IF($A$1="Peak","-",'Base Hours'!P157*BaseLoad!V156*'Base Hours'!$AA157)</f>
        <v>-</v>
      </c>
      <c r="Q157" s="177" t="str">
        <f>IF($A$1="Peak","-",'Base Hours'!Q157*BaseLoad!W156*'Base Hours'!$AA157)</f>
        <v>-</v>
      </c>
      <c r="R157" s="177" t="str">
        <f>IF($A$1="Peak","-",'Base Hours'!R157*BaseLoad!X156*'Base Hours'!$AA157)</f>
        <v>-</v>
      </c>
      <c r="S157" s="177" t="str">
        <f>IF($A$1="Peak","-",'Base Hours'!S157*BaseLoad!Y156*'Base Hours'!$AA157)</f>
        <v>-</v>
      </c>
      <c r="T157" s="177" t="str">
        <f>IF($A$1="Peak","-",'Base Hours'!T157*BaseLoad!Z156*'Base Hours'!$AA157)</f>
        <v>-</v>
      </c>
      <c r="U157" s="177" t="str">
        <f>IF($A$1="Peak","-",'Base Hours'!U157*BaseLoad!AA156*'Base Hours'!$AA157)</f>
        <v>-</v>
      </c>
      <c r="V157" s="177">
        <f t="shared" si="6"/>
        <v>0</v>
      </c>
      <c r="W157" s="177"/>
      <c r="X157" s="177"/>
      <c r="Y157" s="206"/>
      <c r="Z157" s="206">
        <f>(BaseLoad!C156*'Base Hours'!V157*'Base Hours'!$AA157)*-1</f>
        <v>0</v>
      </c>
      <c r="AA157" s="206"/>
      <c r="AB157" s="206">
        <f>(BaseLoad!D156*'Base Hours'!V157*'Base Hours'!$AA157)*-1</f>
        <v>0</v>
      </c>
      <c r="AC157" s="206"/>
      <c r="AD157" s="206">
        <f>(BaseLoad!E156*'Base Hours'!V157*'Base Hours'!$AA157)*-1</f>
        <v>0</v>
      </c>
      <c r="AE157" s="206"/>
      <c r="AF157" s="206">
        <f>(BaseLoad!F156*'Base Hours'!V157*'Base Hours'!$AA157)*-1</f>
        <v>0</v>
      </c>
      <c r="AG157" s="206"/>
    </row>
    <row r="158" spans="1:33" x14ac:dyDescent="0.2">
      <c r="A158" s="1">
        <f t="shared" si="5"/>
        <v>41041.71600000019</v>
      </c>
      <c r="B158" s="177" t="str">
        <f>IF($A$1="Peak","-",'Base Hours'!B158*BaseLoad!H157*'Base Hours'!$AA158)</f>
        <v>-</v>
      </c>
      <c r="C158" s="177" t="str">
        <f>IF($A$1="Peak","-",'Base Hours'!C158*BaseLoad!I157*'Base Hours'!$AA158)</f>
        <v>-</v>
      </c>
      <c r="D158" s="177" t="str">
        <f>IF($A$1="Peak","-",'Base Hours'!D158*BaseLoad!J157*'Base Hours'!$AA158)</f>
        <v>-</v>
      </c>
      <c r="E158" s="177" t="str">
        <f>IF($A$1="Peak","-",'Base Hours'!E158*BaseLoad!K157*'Base Hours'!$AA158)</f>
        <v>-</v>
      </c>
      <c r="F158" s="177" t="str">
        <f>IF($A$1="Peak","-",'Base Hours'!F158*BaseLoad!L157*'Base Hours'!$AA158)</f>
        <v>-</v>
      </c>
      <c r="G158" s="177" t="str">
        <f>IF($A$1="Peak","-",'Base Hours'!G158*BaseLoad!M157*'Base Hours'!$AA158)</f>
        <v>-</v>
      </c>
      <c r="H158" s="177" t="str">
        <f>IF($A$1="Peak","-",'Base Hours'!H158*BaseLoad!N157*'Base Hours'!$AA158)</f>
        <v>-</v>
      </c>
      <c r="I158" s="177" t="str">
        <f>IF($A$1="Peak","-",'Base Hours'!I158*BaseLoad!O157*'Base Hours'!$AA158)</f>
        <v>-</v>
      </c>
      <c r="J158" s="177" t="str">
        <f>IF($A$1="Peak","-",'Base Hours'!J158*BaseLoad!P157*'Base Hours'!$AA158)</f>
        <v>-</v>
      </c>
      <c r="K158" s="177" t="str">
        <f>IF($A$1="Peak","-",'Base Hours'!K158*BaseLoad!Q157*'Base Hours'!$AA158)</f>
        <v>-</v>
      </c>
      <c r="L158" s="177" t="str">
        <f>IF($A$1="Peak","-",'Base Hours'!L158*BaseLoad!R157*'Base Hours'!$AA158)</f>
        <v>-</v>
      </c>
      <c r="M158" s="177" t="str">
        <f>IF($A$1="Peak","-",'Base Hours'!M158*BaseLoad!S157*'Base Hours'!$AA158)</f>
        <v>-</v>
      </c>
      <c r="N158" s="177" t="str">
        <f>IF($A$1="Peak","-",'Base Hours'!N158*BaseLoad!T157*'Base Hours'!$AA158)</f>
        <v>-</v>
      </c>
      <c r="O158" s="177" t="str">
        <f>IF($A$1="Peak","-",'Base Hours'!O158*BaseLoad!U157*'Base Hours'!$AA158)</f>
        <v>-</v>
      </c>
      <c r="P158" s="177" t="str">
        <f>IF($A$1="Peak","-",'Base Hours'!P158*BaseLoad!V157*'Base Hours'!$AA158)</f>
        <v>-</v>
      </c>
      <c r="Q158" s="177" t="str">
        <f>IF($A$1="Peak","-",'Base Hours'!Q158*BaseLoad!W157*'Base Hours'!$AA158)</f>
        <v>-</v>
      </c>
      <c r="R158" s="177" t="str">
        <f>IF($A$1="Peak","-",'Base Hours'!R158*BaseLoad!X157*'Base Hours'!$AA158)</f>
        <v>-</v>
      </c>
      <c r="S158" s="177" t="str">
        <f>IF($A$1="Peak","-",'Base Hours'!S158*BaseLoad!Y157*'Base Hours'!$AA158)</f>
        <v>-</v>
      </c>
      <c r="T158" s="177" t="str">
        <f>IF($A$1="Peak","-",'Base Hours'!T158*BaseLoad!Z157*'Base Hours'!$AA158)</f>
        <v>-</v>
      </c>
      <c r="U158" s="177" t="str">
        <f>IF($A$1="Peak","-",'Base Hours'!U158*BaseLoad!AA157*'Base Hours'!$AA158)</f>
        <v>-</v>
      </c>
      <c r="V158" s="177">
        <f t="shared" si="6"/>
        <v>0</v>
      </c>
      <c r="W158" s="177"/>
      <c r="X158" s="177"/>
      <c r="Y158" s="206"/>
      <c r="Z158" s="206">
        <f>(BaseLoad!C157*'Base Hours'!V158*'Base Hours'!$AA158)*-1</f>
        <v>0</v>
      </c>
      <c r="AA158" s="206"/>
      <c r="AB158" s="206">
        <f>(BaseLoad!D157*'Base Hours'!V158*'Base Hours'!$AA158)*-1</f>
        <v>0</v>
      </c>
      <c r="AC158" s="206"/>
      <c r="AD158" s="206">
        <f>(BaseLoad!E157*'Base Hours'!V158*'Base Hours'!$AA158)*-1</f>
        <v>0</v>
      </c>
      <c r="AE158" s="206"/>
      <c r="AF158" s="206">
        <f>(BaseLoad!F157*'Base Hours'!V158*'Base Hours'!$AA158)*-1</f>
        <v>0</v>
      </c>
      <c r="AG158" s="206"/>
    </row>
    <row r="159" spans="1:33" x14ac:dyDescent="0.2">
      <c r="A159" s="1">
        <f t="shared" si="5"/>
        <v>41072.133000000191</v>
      </c>
      <c r="B159" s="177" t="str">
        <f>IF($A$1="Peak","-",'Base Hours'!B159*BaseLoad!H158*'Base Hours'!$AA159)</f>
        <v>-</v>
      </c>
      <c r="C159" s="177" t="str">
        <f>IF($A$1="Peak","-",'Base Hours'!C159*BaseLoad!I158*'Base Hours'!$AA159)</f>
        <v>-</v>
      </c>
      <c r="D159" s="177" t="str">
        <f>IF($A$1="Peak","-",'Base Hours'!D159*BaseLoad!J158*'Base Hours'!$AA159)</f>
        <v>-</v>
      </c>
      <c r="E159" s="177" t="str">
        <f>IF($A$1="Peak","-",'Base Hours'!E159*BaseLoad!K158*'Base Hours'!$AA159)</f>
        <v>-</v>
      </c>
      <c r="F159" s="177" t="str">
        <f>IF($A$1="Peak","-",'Base Hours'!F159*BaseLoad!L158*'Base Hours'!$AA159)</f>
        <v>-</v>
      </c>
      <c r="G159" s="177" t="str">
        <f>IF($A$1="Peak","-",'Base Hours'!G159*BaseLoad!M158*'Base Hours'!$AA159)</f>
        <v>-</v>
      </c>
      <c r="H159" s="177" t="str">
        <f>IF($A$1="Peak","-",'Base Hours'!H159*BaseLoad!N158*'Base Hours'!$AA159)</f>
        <v>-</v>
      </c>
      <c r="I159" s="177" t="str">
        <f>IF($A$1="Peak","-",'Base Hours'!I159*BaseLoad!O158*'Base Hours'!$AA159)</f>
        <v>-</v>
      </c>
      <c r="J159" s="177" t="str">
        <f>IF($A$1="Peak","-",'Base Hours'!J159*BaseLoad!P158*'Base Hours'!$AA159)</f>
        <v>-</v>
      </c>
      <c r="K159" s="177" t="str">
        <f>IF($A$1="Peak","-",'Base Hours'!K159*BaseLoad!Q158*'Base Hours'!$AA159)</f>
        <v>-</v>
      </c>
      <c r="L159" s="177" t="str">
        <f>IF($A$1="Peak","-",'Base Hours'!L159*BaseLoad!R158*'Base Hours'!$AA159)</f>
        <v>-</v>
      </c>
      <c r="M159" s="177" t="str">
        <f>IF($A$1="Peak","-",'Base Hours'!M159*BaseLoad!S158*'Base Hours'!$AA159)</f>
        <v>-</v>
      </c>
      <c r="N159" s="177" t="str">
        <f>IF($A$1="Peak","-",'Base Hours'!N159*BaseLoad!T158*'Base Hours'!$AA159)</f>
        <v>-</v>
      </c>
      <c r="O159" s="177" t="str">
        <f>IF($A$1="Peak","-",'Base Hours'!O159*BaseLoad!U158*'Base Hours'!$AA159)</f>
        <v>-</v>
      </c>
      <c r="P159" s="177" t="str">
        <f>IF($A$1="Peak","-",'Base Hours'!P159*BaseLoad!V158*'Base Hours'!$AA159)</f>
        <v>-</v>
      </c>
      <c r="Q159" s="177" t="str">
        <f>IF($A$1="Peak","-",'Base Hours'!Q159*BaseLoad!W158*'Base Hours'!$AA159)</f>
        <v>-</v>
      </c>
      <c r="R159" s="177" t="str">
        <f>IF($A$1="Peak","-",'Base Hours'!R159*BaseLoad!X158*'Base Hours'!$AA159)</f>
        <v>-</v>
      </c>
      <c r="S159" s="177" t="str">
        <f>IF($A$1="Peak","-",'Base Hours'!S159*BaseLoad!Y158*'Base Hours'!$AA159)</f>
        <v>-</v>
      </c>
      <c r="T159" s="177" t="str">
        <f>IF($A$1="Peak","-",'Base Hours'!T159*BaseLoad!Z158*'Base Hours'!$AA159)</f>
        <v>-</v>
      </c>
      <c r="U159" s="177" t="str">
        <f>IF($A$1="Peak","-",'Base Hours'!U159*BaseLoad!AA158*'Base Hours'!$AA159)</f>
        <v>-</v>
      </c>
      <c r="V159" s="177">
        <f t="shared" si="6"/>
        <v>0</v>
      </c>
      <c r="W159" s="177"/>
      <c r="X159" s="177"/>
      <c r="Y159" s="206"/>
      <c r="Z159" s="206">
        <f>(BaseLoad!C158*'Base Hours'!V159*'Base Hours'!$AA159)*-1</f>
        <v>0</v>
      </c>
      <c r="AA159" s="206"/>
      <c r="AB159" s="206">
        <f>(BaseLoad!D158*'Base Hours'!V159*'Base Hours'!$AA159)*-1</f>
        <v>0</v>
      </c>
      <c r="AC159" s="206"/>
      <c r="AD159" s="206">
        <f>(BaseLoad!E158*'Base Hours'!V159*'Base Hours'!$AA159)*-1</f>
        <v>0</v>
      </c>
      <c r="AE159" s="206"/>
      <c r="AF159" s="206">
        <f>(BaseLoad!F158*'Base Hours'!V159*'Base Hours'!$AA159)*-1</f>
        <v>0</v>
      </c>
      <c r="AG159" s="206"/>
    </row>
    <row r="160" spans="1:33" x14ac:dyDescent="0.2">
      <c r="A160" s="1">
        <f t="shared" si="5"/>
        <v>41102.550000000192</v>
      </c>
      <c r="B160" s="177" t="str">
        <f>IF($A$1="Peak","-",'Base Hours'!B160*BaseLoad!H159*'Base Hours'!$AA160)</f>
        <v>-</v>
      </c>
      <c r="C160" s="177" t="str">
        <f>IF($A$1="Peak","-",'Base Hours'!C160*BaseLoad!I159*'Base Hours'!$AA160)</f>
        <v>-</v>
      </c>
      <c r="D160" s="177" t="str">
        <f>IF($A$1="Peak","-",'Base Hours'!D160*BaseLoad!J159*'Base Hours'!$AA160)</f>
        <v>-</v>
      </c>
      <c r="E160" s="177" t="str">
        <f>IF($A$1="Peak","-",'Base Hours'!E160*BaseLoad!K159*'Base Hours'!$AA160)</f>
        <v>-</v>
      </c>
      <c r="F160" s="177" t="str">
        <f>IF($A$1="Peak","-",'Base Hours'!F160*BaseLoad!L159*'Base Hours'!$AA160)</f>
        <v>-</v>
      </c>
      <c r="G160" s="177" t="str">
        <f>IF($A$1="Peak","-",'Base Hours'!G160*BaseLoad!M159*'Base Hours'!$AA160)</f>
        <v>-</v>
      </c>
      <c r="H160" s="177" t="str">
        <f>IF($A$1="Peak","-",'Base Hours'!H160*BaseLoad!N159*'Base Hours'!$AA160)</f>
        <v>-</v>
      </c>
      <c r="I160" s="177" t="str">
        <f>IF($A$1="Peak","-",'Base Hours'!I160*BaseLoad!O159*'Base Hours'!$AA160)</f>
        <v>-</v>
      </c>
      <c r="J160" s="177" t="str">
        <f>IF($A$1="Peak","-",'Base Hours'!J160*BaseLoad!P159*'Base Hours'!$AA160)</f>
        <v>-</v>
      </c>
      <c r="K160" s="177" t="str">
        <f>IF($A$1="Peak","-",'Base Hours'!K160*BaseLoad!Q159*'Base Hours'!$AA160)</f>
        <v>-</v>
      </c>
      <c r="L160" s="177" t="str">
        <f>IF($A$1="Peak","-",'Base Hours'!L160*BaseLoad!R159*'Base Hours'!$AA160)</f>
        <v>-</v>
      </c>
      <c r="M160" s="177" t="str">
        <f>IF($A$1="Peak","-",'Base Hours'!M160*BaseLoad!S159*'Base Hours'!$AA160)</f>
        <v>-</v>
      </c>
      <c r="N160" s="177" t="str">
        <f>IF($A$1="Peak","-",'Base Hours'!N160*BaseLoad!T159*'Base Hours'!$AA160)</f>
        <v>-</v>
      </c>
      <c r="O160" s="177" t="str">
        <f>IF($A$1="Peak","-",'Base Hours'!O160*BaseLoad!U159*'Base Hours'!$AA160)</f>
        <v>-</v>
      </c>
      <c r="P160" s="177" t="str">
        <f>IF($A$1="Peak","-",'Base Hours'!P160*BaseLoad!V159*'Base Hours'!$AA160)</f>
        <v>-</v>
      </c>
      <c r="Q160" s="177" t="str">
        <f>IF($A$1="Peak","-",'Base Hours'!Q160*BaseLoad!W159*'Base Hours'!$AA160)</f>
        <v>-</v>
      </c>
      <c r="R160" s="177" t="str">
        <f>IF($A$1="Peak","-",'Base Hours'!R160*BaseLoad!X159*'Base Hours'!$AA160)</f>
        <v>-</v>
      </c>
      <c r="S160" s="177" t="str">
        <f>IF($A$1="Peak","-",'Base Hours'!S160*BaseLoad!Y159*'Base Hours'!$AA160)</f>
        <v>-</v>
      </c>
      <c r="T160" s="177" t="str">
        <f>IF($A$1="Peak","-",'Base Hours'!T160*BaseLoad!Z159*'Base Hours'!$AA160)</f>
        <v>-</v>
      </c>
      <c r="U160" s="177" t="str">
        <f>IF($A$1="Peak","-",'Base Hours'!U160*BaseLoad!AA159*'Base Hours'!$AA160)</f>
        <v>-</v>
      </c>
      <c r="V160" s="177">
        <f t="shared" si="6"/>
        <v>0</v>
      </c>
      <c r="W160" s="177"/>
      <c r="X160" s="177"/>
      <c r="Y160" s="206"/>
      <c r="Z160" s="206">
        <f>(BaseLoad!C159*'Base Hours'!V160*'Base Hours'!$AA160)*-1</f>
        <v>0</v>
      </c>
      <c r="AA160" s="206"/>
      <c r="AB160" s="206">
        <f>(BaseLoad!D159*'Base Hours'!V160*'Base Hours'!$AA160)*-1</f>
        <v>0</v>
      </c>
      <c r="AC160" s="206"/>
      <c r="AD160" s="206">
        <f>(BaseLoad!E159*'Base Hours'!V160*'Base Hours'!$AA160)*-1</f>
        <v>0</v>
      </c>
      <c r="AE160" s="206"/>
      <c r="AF160" s="206">
        <f>(BaseLoad!F159*'Base Hours'!V160*'Base Hours'!$AA160)*-1</f>
        <v>0</v>
      </c>
      <c r="AG160" s="206"/>
    </row>
    <row r="161" spans="1:33" x14ac:dyDescent="0.2">
      <c r="A161" s="1">
        <f t="shared" si="5"/>
        <v>41132.967000000193</v>
      </c>
      <c r="B161" s="177" t="str">
        <f>IF($A$1="Peak","-",'Base Hours'!B161*BaseLoad!H160*'Base Hours'!$AA161)</f>
        <v>-</v>
      </c>
      <c r="C161" s="177" t="str">
        <f>IF($A$1="Peak","-",'Base Hours'!C161*BaseLoad!I160*'Base Hours'!$AA161)</f>
        <v>-</v>
      </c>
      <c r="D161" s="177" t="str">
        <f>IF($A$1="Peak","-",'Base Hours'!D161*BaseLoad!J160*'Base Hours'!$AA161)</f>
        <v>-</v>
      </c>
      <c r="E161" s="177" t="str">
        <f>IF($A$1="Peak","-",'Base Hours'!E161*BaseLoad!K160*'Base Hours'!$AA161)</f>
        <v>-</v>
      </c>
      <c r="F161" s="177" t="str">
        <f>IF($A$1="Peak","-",'Base Hours'!F161*BaseLoad!L160*'Base Hours'!$AA161)</f>
        <v>-</v>
      </c>
      <c r="G161" s="177" t="str">
        <f>IF($A$1="Peak","-",'Base Hours'!G161*BaseLoad!M160*'Base Hours'!$AA161)</f>
        <v>-</v>
      </c>
      <c r="H161" s="177" t="str">
        <f>IF($A$1="Peak","-",'Base Hours'!H161*BaseLoad!N160*'Base Hours'!$AA161)</f>
        <v>-</v>
      </c>
      <c r="I161" s="177" t="str">
        <f>IF($A$1="Peak","-",'Base Hours'!I161*BaseLoad!O160*'Base Hours'!$AA161)</f>
        <v>-</v>
      </c>
      <c r="J161" s="177" t="str">
        <f>IF($A$1="Peak","-",'Base Hours'!J161*BaseLoad!P160*'Base Hours'!$AA161)</f>
        <v>-</v>
      </c>
      <c r="K161" s="177" t="str">
        <f>IF($A$1="Peak","-",'Base Hours'!K161*BaseLoad!Q160*'Base Hours'!$AA161)</f>
        <v>-</v>
      </c>
      <c r="L161" s="177" t="str">
        <f>IF($A$1="Peak","-",'Base Hours'!L161*BaseLoad!R160*'Base Hours'!$AA161)</f>
        <v>-</v>
      </c>
      <c r="M161" s="177" t="str">
        <f>IF($A$1="Peak","-",'Base Hours'!M161*BaseLoad!S160*'Base Hours'!$AA161)</f>
        <v>-</v>
      </c>
      <c r="N161" s="177" t="str">
        <f>IF($A$1="Peak","-",'Base Hours'!N161*BaseLoad!T160*'Base Hours'!$AA161)</f>
        <v>-</v>
      </c>
      <c r="O161" s="177" t="str">
        <f>IF($A$1="Peak","-",'Base Hours'!O161*BaseLoad!U160*'Base Hours'!$AA161)</f>
        <v>-</v>
      </c>
      <c r="P161" s="177" t="str">
        <f>IF($A$1="Peak","-",'Base Hours'!P161*BaseLoad!V160*'Base Hours'!$AA161)</f>
        <v>-</v>
      </c>
      <c r="Q161" s="177" t="str">
        <f>IF($A$1="Peak","-",'Base Hours'!Q161*BaseLoad!W160*'Base Hours'!$AA161)</f>
        <v>-</v>
      </c>
      <c r="R161" s="177" t="str">
        <f>IF($A$1="Peak","-",'Base Hours'!R161*BaseLoad!X160*'Base Hours'!$AA161)</f>
        <v>-</v>
      </c>
      <c r="S161" s="177" t="str">
        <f>IF($A$1="Peak","-",'Base Hours'!S161*BaseLoad!Y160*'Base Hours'!$AA161)</f>
        <v>-</v>
      </c>
      <c r="T161" s="177" t="str">
        <f>IF($A$1="Peak","-",'Base Hours'!T161*BaseLoad!Z160*'Base Hours'!$AA161)</f>
        <v>-</v>
      </c>
      <c r="U161" s="177" t="str">
        <f>IF($A$1="Peak","-",'Base Hours'!U161*BaseLoad!AA160*'Base Hours'!$AA161)</f>
        <v>-</v>
      </c>
      <c r="V161" s="177">
        <f t="shared" si="6"/>
        <v>0</v>
      </c>
      <c r="W161" s="177"/>
      <c r="X161" s="177"/>
      <c r="Y161" s="206"/>
      <c r="Z161" s="206">
        <f>(BaseLoad!C160*'Base Hours'!V161*'Base Hours'!$AA161)*-1</f>
        <v>0</v>
      </c>
      <c r="AA161" s="206"/>
      <c r="AB161" s="206">
        <f>(BaseLoad!D160*'Base Hours'!V161*'Base Hours'!$AA161)*-1</f>
        <v>0</v>
      </c>
      <c r="AC161" s="206"/>
      <c r="AD161" s="206">
        <f>(BaseLoad!E160*'Base Hours'!V161*'Base Hours'!$AA161)*-1</f>
        <v>0</v>
      </c>
      <c r="AE161" s="206"/>
      <c r="AF161" s="206">
        <f>(BaseLoad!F160*'Base Hours'!V161*'Base Hours'!$AA161)*-1</f>
        <v>0</v>
      </c>
      <c r="AG161" s="206"/>
    </row>
    <row r="162" spans="1:33" x14ac:dyDescent="0.2">
      <c r="A162" s="1">
        <f t="shared" si="5"/>
        <v>41163.384000000195</v>
      </c>
      <c r="B162" s="177" t="str">
        <f>IF($A$1="Peak","-",'Base Hours'!B162*BaseLoad!H161*'Base Hours'!$AA162)</f>
        <v>-</v>
      </c>
      <c r="C162" s="177" t="str">
        <f>IF($A$1="Peak","-",'Base Hours'!C162*BaseLoad!I161*'Base Hours'!$AA162)</f>
        <v>-</v>
      </c>
      <c r="D162" s="177" t="str">
        <f>IF($A$1="Peak","-",'Base Hours'!D162*BaseLoad!J161*'Base Hours'!$AA162)</f>
        <v>-</v>
      </c>
      <c r="E162" s="177" t="str">
        <f>IF($A$1="Peak","-",'Base Hours'!E162*BaseLoad!K161*'Base Hours'!$AA162)</f>
        <v>-</v>
      </c>
      <c r="F162" s="177" t="str">
        <f>IF($A$1="Peak","-",'Base Hours'!F162*BaseLoad!L161*'Base Hours'!$AA162)</f>
        <v>-</v>
      </c>
      <c r="G162" s="177" t="str">
        <f>IF($A$1="Peak","-",'Base Hours'!G162*BaseLoad!M161*'Base Hours'!$AA162)</f>
        <v>-</v>
      </c>
      <c r="H162" s="177" t="str">
        <f>IF($A$1="Peak","-",'Base Hours'!H162*BaseLoad!N161*'Base Hours'!$AA162)</f>
        <v>-</v>
      </c>
      <c r="I162" s="177" t="str">
        <f>IF($A$1="Peak","-",'Base Hours'!I162*BaseLoad!O161*'Base Hours'!$AA162)</f>
        <v>-</v>
      </c>
      <c r="J162" s="177" t="str">
        <f>IF($A$1="Peak","-",'Base Hours'!J162*BaseLoad!P161*'Base Hours'!$AA162)</f>
        <v>-</v>
      </c>
      <c r="K162" s="177" t="str">
        <f>IF($A$1="Peak","-",'Base Hours'!K162*BaseLoad!Q161*'Base Hours'!$AA162)</f>
        <v>-</v>
      </c>
      <c r="L162" s="177" t="str">
        <f>IF($A$1="Peak","-",'Base Hours'!L162*BaseLoad!R161*'Base Hours'!$AA162)</f>
        <v>-</v>
      </c>
      <c r="M162" s="177" t="str">
        <f>IF($A$1="Peak","-",'Base Hours'!M162*BaseLoad!S161*'Base Hours'!$AA162)</f>
        <v>-</v>
      </c>
      <c r="N162" s="177" t="str">
        <f>IF($A$1="Peak","-",'Base Hours'!N162*BaseLoad!T161*'Base Hours'!$AA162)</f>
        <v>-</v>
      </c>
      <c r="O162" s="177" t="str">
        <f>IF($A$1="Peak","-",'Base Hours'!O162*BaseLoad!U161*'Base Hours'!$AA162)</f>
        <v>-</v>
      </c>
      <c r="P162" s="177" t="str">
        <f>IF($A$1="Peak","-",'Base Hours'!P162*BaseLoad!V161*'Base Hours'!$AA162)</f>
        <v>-</v>
      </c>
      <c r="Q162" s="177" t="str">
        <f>IF($A$1="Peak","-",'Base Hours'!Q162*BaseLoad!W161*'Base Hours'!$AA162)</f>
        <v>-</v>
      </c>
      <c r="R162" s="177" t="str">
        <f>IF($A$1="Peak","-",'Base Hours'!R162*BaseLoad!X161*'Base Hours'!$AA162)</f>
        <v>-</v>
      </c>
      <c r="S162" s="177" t="str">
        <f>IF($A$1="Peak","-",'Base Hours'!S162*BaseLoad!Y161*'Base Hours'!$AA162)</f>
        <v>-</v>
      </c>
      <c r="T162" s="177" t="str">
        <f>IF($A$1="Peak","-",'Base Hours'!T162*BaseLoad!Z161*'Base Hours'!$AA162)</f>
        <v>-</v>
      </c>
      <c r="U162" s="177" t="str">
        <f>IF($A$1="Peak","-",'Base Hours'!U162*BaseLoad!AA161*'Base Hours'!$AA162)</f>
        <v>-</v>
      </c>
      <c r="V162" s="177">
        <f t="shared" si="6"/>
        <v>0</v>
      </c>
      <c r="W162" s="177"/>
      <c r="X162" s="177"/>
      <c r="Y162" s="206"/>
      <c r="Z162" s="206">
        <f>(BaseLoad!C161*'Base Hours'!V162*'Base Hours'!$AA162)*-1</f>
        <v>0</v>
      </c>
      <c r="AA162" s="206"/>
      <c r="AB162" s="206">
        <f>(BaseLoad!D161*'Base Hours'!V162*'Base Hours'!$AA162)*-1</f>
        <v>0</v>
      </c>
      <c r="AC162" s="206"/>
      <c r="AD162" s="206">
        <f>(BaseLoad!E161*'Base Hours'!V162*'Base Hours'!$AA162)*-1</f>
        <v>0</v>
      </c>
      <c r="AE162" s="206"/>
      <c r="AF162" s="206">
        <f>(BaseLoad!F161*'Base Hours'!V162*'Base Hours'!$AA162)*-1</f>
        <v>0</v>
      </c>
      <c r="AG162" s="206"/>
    </row>
    <row r="163" spans="1:33" x14ac:dyDescent="0.2">
      <c r="A163" s="1">
        <f t="shared" si="5"/>
        <v>41193.801000000196</v>
      </c>
      <c r="B163" s="177" t="str">
        <f>IF($A$1="Peak","-",'Base Hours'!B163*BaseLoad!H162*'Base Hours'!$AA163)</f>
        <v>-</v>
      </c>
      <c r="C163" s="177" t="str">
        <f>IF($A$1="Peak","-",'Base Hours'!C163*BaseLoad!I162*'Base Hours'!$AA163)</f>
        <v>-</v>
      </c>
      <c r="D163" s="177" t="str">
        <f>IF($A$1="Peak","-",'Base Hours'!D163*BaseLoad!J162*'Base Hours'!$AA163)</f>
        <v>-</v>
      </c>
      <c r="E163" s="177" t="str">
        <f>IF($A$1="Peak","-",'Base Hours'!E163*BaseLoad!K162*'Base Hours'!$AA163)</f>
        <v>-</v>
      </c>
      <c r="F163" s="177" t="str">
        <f>IF($A$1="Peak","-",'Base Hours'!F163*BaseLoad!L162*'Base Hours'!$AA163)</f>
        <v>-</v>
      </c>
      <c r="G163" s="177" t="str">
        <f>IF($A$1="Peak","-",'Base Hours'!G163*BaseLoad!M162*'Base Hours'!$AA163)</f>
        <v>-</v>
      </c>
      <c r="H163" s="177" t="str">
        <f>IF($A$1="Peak","-",'Base Hours'!H163*BaseLoad!N162*'Base Hours'!$AA163)</f>
        <v>-</v>
      </c>
      <c r="I163" s="177" t="str">
        <f>IF($A$1="Peak","-",'Base Hours'!I163*BaseLoad!O162*'Base Hours'!$AA163)</f>
        <v>-</v>
      </c>
      <c r="J163" s="177" t="str">
        <f>IF($A$1="Peak","-",'Base Hours'!J163*BaseLoad!P162*'Base Hours'!$AA163)</f>
        <v>-</v>
      </c>
      <c r="K163" s="177" t="str">
        <f>IF($A$1="Peak","-",'Base Hours'!K163*BaseLoad!Q162*'Base Hours'!$AA163)</f>
        <v>-</v>
      </c>
      <c r="L163" s="177" t="str">
        <f>IF($A$1="Peak","-",'Base Hours'!L163*BaseLoad!R162*'Base Hours'!$AA163)</f>
        <v>-</v>
      </c>
      <c r="M163" s="177" t="str">
        <f>IF($A$1="Peak","-",'Base Hours'!M163*BaseLoad!S162*'Base Hours'!$AA163)</f>
        <v>-</v>
      </c>
      <c r="N163" s="177" t="str">
        <f>IF($A$1="Peak","-",'Base Hours'!N163*BaseLoad!T162*'Base Hours'!$AA163)</f>
        <v>-</v>
      </c>
      <c r="O163" s="177" t="str">
        <f>IF($A$1="Peak","-",'Base Hours'!O163*BaseLoad!U162*'Base Hours'!$AA163)</f>
        <v>-</v>
      </c>
      <c r="P163" s="177" t="str">
        <f>IF($A$1="Peak","-",'Base Hours'!P163*BaseLoad!V162*'Base Hours'!$AA163)</f>
        <v>-</v>
      </c>
      <c r="Q163" s="177" t="str">
        <f>IF($A$1="Peak","-",'Base Hours'!Q163*BaseLoad!W162*'Base Hours'!$AA163)</f>
        <v>-</v>
      </c>
      <c r="R163" s="177" t="str">
        <f>IF($A$1="Peak","-",'Base Hours'!R163*BaseLoad!X162*'Base Hours'!$AA163)</f>
        <v>-</v>
      </c>
      <c r="S163" s="177" t="str">
        <f>IF($A$1="Peak","-",'Base Hours'!S163*BaseLoad!Y162*'Base Hours'!$AA163)</f>
        <v>-</v>
      </c>
      <c r="T163" s="177" t="str">
        <f>IF($A$1="Peak","-",'Base Hours'!T163*BaseLoad!Z162*'Base Hours'!$AA163)</f>
        <v>-</v>
      </c>
      <c r="U163" s="177" t="str">
        <f>IF($A$1="Peak","-",'Base Hours'!U163*BaseLoad!AA162*'Base Hours'!$AA163)</f>
        <v>-</v>
      </c>
      <c r="V163" s="177">
        <f t="shared" si="6"/>
        <v>0</v>
      </c>
      <c r="W163" s="177"/>
      <c r="X163" s="177"/>
      <c r="Y163" s="206"/>
      <c r="Z163" s="206">
        <f>(BaseLoad!C162*'Base Hours'!V163*'Base Hours'!$AA163)*-1</f>
        <v>0</v>
      </c>
      <c r="AA163" s="206"/>
      <c r="AB163" s="206">
        <f>(BaseLoad!D162*'Base Hours'!V163*'Base Hours'!$AA163)*-1</f>
        <v>0</v>
      </c>
      <c r="AC163" s="206"/>
      <c r="AD163" s="206">
        <f>(BaseLoad!E162*'Base Hours'!V163*'Base Hours'!$AA163)*-1</f>
        <v>0</v>
      </c>
      <c r="AE163" s="206"/>
      <c r="AF163" s="206">
        <f>(BaseLoad!F162*'Base Hours'!V163*'Base Hours'!$AA163)*-1</f>
        <v>0</v>
      </c>
      <c r="AG163" s="206"/>
    </row>
    <row r="164" spans="1:33" x14ac:dyDescent="0.2">
      <c r="A164" s="1">
        <f t="shared" si="5"/>
        <v>41224.218000000197</v>
      </c>
      <c r="B164" s="177" t="str">
        <f>IF($A$1="Peak","-",'Base Hours'!B164*BaseLoad!H163*'Base Hours'!$AA164)</f>
        <v>-</v>
      </c>
      <c r="C164" s="177" t="str">
        <f>IF($A$1="Peak","-",'Base Hours'!C164*BaseLoad!I163*'Base Hours'!$AA164)</f>
        <v>-</v>
      </c>
      <c r="D164" s="177" t="str">
        <f>IF($A$1="Peak","-",'Base Hours'!D164*BaseLoad!J163*'Base Hours'!$AA164)</f>
        <v>-</v>
      </c>
      <c r="E164" s="177" t="str">
        <f>IF($A$1="Peak","-",'Base Hours'!E164*BaseLoad!K163*'Base Hours'!$AA164)</f>
        <v>-</v>
      </c>
      <c r="F164" s="177" t="str">
        <f>IF($A$1="Peak","-",'Base Hours'!F164*BaseLoad!L163*'Base Hours'!$AA164)</f>
        <v>-</v>
      </c>
      <c r="G164" s="177" t="str">
        <f>IF($A$1="Peak","-",'Base Hours'!G164*BaseLoad!M163*'Base Hours'!$AA164)</f>
        <v>-</v>
      </c>
      <c r="H164" s="177" t="str">
        <f>IF($A$1="Peak","-",'Base Hours'!H164*BaseLoad!N163*'Base Hours'!$AA164)</f>
        <v>-</v>
      </c>
      <c r="I164" s="177" t="str">
        <f>IF($A$1="Peak","-",'Base Hours'!I164*BaseLoad!O163*'Base Hours'!$AA164)</f>
        <v>-</v>
      </c>
      <c r="J164" s="177" t="str">
        <f>IF($A$1="Peak","-",'Base Hours'!J164*BaseLoad!P163*'Base Hours'!$AA164)</f>
        <v>-</v>
      </c>
      <c r="K164" s="177" t="str">
        <f>IF($A$1="Peak","-",'Base Hours'!K164*BaseLoad!Q163*'Base Hours'!$AA164)</f>
        <v>-</v>
      </c>
      <c r="L164" s="177" t="str">
        <f>IF($A$1="Peak","-",'Base Hours'!L164*BaseLoad!R163*'Base Hours'!$AA164)</f>
        <v>-</v>
      </c>
      <c r="M164" s="177" t="str">
        <f>IF($A$1="Peak","-",'Base Hours'!M164*BaseLoad!S163*'Base Hours'!$AA164)</f>
        <v>-</v>
      </c>
      <c r="N164" s="177" t="str">
        <f>IF($A$1="Peak","-",'Base Hours'!N164*BaseLoad!T163*'Base Hours'!$AA164)</f>
        <v>-</v>
      </c>
      <c r="O164" s="177" t="str">
        <f>IF($A$1="Peak","-",'Base Hours'!O164*BaseLoad!U163*'Base Hours'!$AA164)</f>
        <v>-</v>
      </c>
      <c r="P164" s="177" t="str">
        <f>IF($A$1="Peak","-",'Base Hours'!P164*BaseLoad!V163*'Base Hours'!$AA164)</f>
        <v>-</v>
      </c>
      <c r="Q164" s="177" t="str">
        <f>IF($A$1="Peak","-",'Base Hours'!Q164*BaseLoad!W163*'Base Hours'!$AA164)</f>
        <v>-</v>
      </c>
      <c r="R164" s="177" t="str">
        <f>IF($A$1="Peak","-",'Base Hours'!R164*BaseLoad!X163*'Base Hours'!$AA164)</f>
        <v>-</v>
      </c>
      <c r="S164" s="177" t="str">
        <f>IF($A$1="Peak","-",'Base Hours'!S164*BaseLoad!Y163*'Base Hours'!$AA164)</f>
        <v>-</v>
      </c>
      <c r="T164" s="177" t="str">
        <f>IF($A$1="Peak","-",'Base Hours'!T164*BaseLoad!Z163*'Base Hours'!$AA164)</f>
        <v>-</v>
      </c>
      <c r="U164" s="177" t="str">
        <f>IF($A$1="Peak","-",'Base Hours'!U164*BaseLoad!AA163*'Base Hours'!$AA164)</f>
        <v>-</v>
      </c>
      <c r="V164" s="177">
        <f t="shared" si="6"/>
        <v>0</v>
      </c>
      <c r="W164" s="177"/>
      <c r="X164" s="177"/>
      <c r="Y164" s="206"/>
      <c r="Z164" s="206">
        <f>(BaseLoad!C163*'Base Hours'!V164*'Base Hours'!$AA164)*-1</f>
        <v>0</v>
      </c>
      <c r="AA164" s="206"/>
      <c r="AB164" s="206">
        <f>(BaseLoad!D163*'Base Hours'!V164*'Base Hours'!$AA164)*-1</f>
        <v>0</v>
      </c>
      <c r="AC164" s="206"/>
      <c r="AD164" s="206">
        <f>(BaseLoad!E163*'Base Hours'!V164*'Base Hours'!$AA164)*-1</f>
        <v>0</v>
      </c>
      <c r="AE164" s="206"/>
      <c r="AF164" s="206">
        <f>(BaseLoad!F163*'Base Hours'!V164*'Base Hours'!$AA164)*-1</f>
        <v>0</v>
      </c>
      <c r="AG164" s="206"/>
    </row>
    <row r="165" spans="1:33" x14ac:dyDescent="0.2">
      <c r="A165" s="1">
        <f t="shared" si="5"/>
        <v>41254.635000000198</v>
      </c>
      <c r="B165" s="177" t="str">
        <f>IF($A$1="Peak","-",'Base Hours'!B165*BaseLoad!H164*'Base Hours'!$AA165)</f>
        <v>-</v>
      </c>
      <c r="C165" s="177" t="str">
        <f>IF($A$1="Peak","-",'Base Hours'!C165*BaseLoad!I164*'Base Hours'!$AA165)</f>
        <v>-</v>
      </c>
      <c r="D165" s="177" t="str">
        <f>IF($A$1="Peak","-",'Base Hours'!D165*BaseLoad!J164*'Base Hours'!$AA165)</f>
        <v>-</v>
      </c>
      <c r="E165" s="177" t="str">
        <f>IF($A$1="Peak","-",'Base Hours'!E165*BaseLoad!K164*'Base Hours'!$AA165)</f>
        <v>-</v>
      </c>
      <c r="F165" s="177" t="str">
        <f>IF($A$1="Peak","-",'Base Hours'!F165*BaseLoad!L164*'Base Hours'!$AA165)</f>
        <v>-</v>
      </c>
      <c r="G165" s="177" t="str">
        <f>IF($A$1="Peak","-",'Base Hours'!G165*BaseLoad!M164*'Base Hours'!$AA165)</f>
        <v>-</v>
      </c>
      <c r="H165" s="177" t="str">
        <f>IF($A$1="Peak","-",'Base Hours'!H165*BaseLoad!N164*'Base Hours'!$AA165)</f>
        <v>-</v>
      </c>
      <c r="I165" s="177" t="str">
        <f>IF($A$1="Peak","-",'Base Hours'!I165*BaseLoad!O164*'Base Hours'!$AA165)</f>
        <v>-</v>
      </c>
      <c r="J165" s="177" t="str">
        <f>IF($A$1="Peak","-",'Base Hours'!J165*BaseLoad!P164*'Base Hours'!$AA165)</f>
        <v>-</v>
      </c>
      <c r="K165" s="177" t="str">
        <f>IF($A$1="Peak","-",'Base Hours'!K165*BaseLoad!Q164*'Base Hours'!$AA165)</f>
        <v>-</v>
      </c>
      <c r="L165" s="177" t="str">
        <f>IF($A$1="Peak","-",'Base Hours'!L165*BaseLoad!R164*'Base Hours'!$AA165)</f>
        <v>-</v>
      </c>
      <c r="M165" s="177" t="str">
        <f>IF($A$1="Peak","-",'Base Hours'!M165*BaseLoad!S164*'Base Hours'!$AA165)</f>
        <v>-</v>
      </c>
      <c r="N165" s="177" t="str">
        <f>IF($A$1="Peak","-",'Base Hours'!N165*BaseLoad!T164*'Base Hours'!$AA165)</f>
        <v>-</v>
      </c>
      <c r="O165" s="177" t="str">
        <f>IF($A$1="Peak","-",'Base Hours'!O165*BaseLoad!U164*'Base Hours'!$AA165)</f>
        <v>-</v>
      </c>
      <c r="P165" s="177" t="str">
        <f>IF($A$1="Peak","-",'Base Hours'!P165*BaseLoad!V164*'Base Hours'!$AA165)</f>
        <v>-</v>
      </c>
      <c r="Q165" s="177" t="str">
        <f>IF($A$1="Peak","-",'Base Hours'!Q165*BaseLoad!W164*'Base Hours'!$AA165)</f>
        <v>-</v>
      </c>
      <c r="R165" s="177" t="str">
        <f>IF($A$1="Peak","-",'Base Hours'!R165*BaseLoad!X164*'Base Hours'!$AA165)</f>
        <v>-</v>
      </c>
      <c r="S165" s="177" t="str">
        <f>IF($A$1="Peak","-",'Base Hours'!S165*BaseLoad!Y164*'Base Hours'!$AA165)</f>
        <v>-</v>
      </c>
      <c r="T165" s="177" t="str">
        <f>IF($A$1="Peak","-",'Base Hours'!T165*BaseLoad!Z164*'Base Hours'!$AA165)</f>
        <v>-</v>
      </c>
      <c r="U165" s="177" t="str">
        <f>IF($A$1="Peak","-",'Base Hours'!U165*BaseLoad!AA164*'Base Hours'!$AA165)</f>
        <v>-</v>
      </c>
      <c r="V165" s="177">
        <f t="shared" si="6"/>
        <v>0</v>
      </c>
      <c r="W165" s="177"/>
      <c r="X165" s="177"/>
      <c r="Y165" s="206">
        <f>SUM(B154:U165)</f>
        <v>0</v>
      </c>
      <c r="Z165" s="206">
        <f>(BaseLoad!C164*'Base Hours'!V165*'Base Hours'!$AA165)*-1</f>
        <v>0</v>
      </c>
      <c r="AA165" s="206">
        <f>SUM(Z154:Z165)</f>
        <v>0</v>
      </c>
      <c r="AB165" s="206">
        <f>(BaseLoad!D164*'Base Hours'!V165*'Base Hours'!$AA165)*-1</f>
        <v>0</v>
      </c>
      <c r="AC165" s="206">
        <f>SUM(AB154:AB165)</f>
        <v>0</v>
      </c>
      <c r="AD165" s="206">
        <f>(BaseLoad!E164*'Base Hours'!V165*'Base Hours'!$AA165)*-1</f>
        <v>0</v>
      </c>
      <c r="AE165" s="206">
        <f>SUM(AD154:AD165)</f>
        <v>0</v>
      </c>
      <c r="AF165" s="206">
        <f>(BaseLoad!F164*'Base Hours'!V165*'Base Hours'!$AA165)*-1</f>
        <v>0</v>
      </c>
      <c r="AG165" s="206">
        <f>SUM(AF154:AF165)</f>
        <v>0</v>
      </c>
    </row>
    <row r="166" spans="1:33" x14ac:dyDescent="0.2">
      <c r="A166" s="1">
        <f t="shared" si="5"/>
        <v>41285.0520000002</v>
      </c>
      <c r="B166" s="177" t="str">
        <f>IF($A$1="Peak","-",'Base Hours'!B166*BaseLoad!H165*'Base Hours'!$AA166)</f>
        <v>-</v>
      </c>
      <c r="C166" s="177" t="str">
        <f>IF($A$1="Peak","-",'Base Hours'!C166*BaseLoad!I165*'Base Hours'!$AA166)</f>
        <v>-</v>
      </c>
      <c r="D166" s="177" t="str">
        <f>IF($A$1="Peak","-",'Base Hours'!D166*BaseLoad!J165*'Base Hours'!$AA166)</f>
        <v>-</v>
      </c>
      <c r="E166" s="177" t="str">
        <f>IF($A$1="Peak","-",'Base Hours'!E166*BaseLoad!K165*'Base Hours'!$AA166)</f>
        <v>-</v>
      </c>
      <c r="F166" s="177" t="str">
        <f>IF($A$1="Peak","-",'Base Hours'!F166*BaseLoad!L165*'Base Hours'!$AA166)</f>
        <v>-</v>
      </c>
      <c r="G166" s="177" t="str">
        <f>IF($A$1="Peak","-",'Base Hours'!G166*BaseLoad!M165*'Base Hours'!$AA166)</f>
        <v>-</v>
      </c>
      <c r="H166" s="177" t="str">
        <f>IF($A$1="Peak","-",'Base Hours'!H166*BaseLoad!N165*'Base Hours'!$AA166)</f>
        <v>-</v>
      </c>
      <c r="I166" s="177" t="str">
        <f>IF($A$1="Peak","-",'Base Hours'!I166*BaseLoad!O165*'Base Hours'!$AA166)</f>
        <v>-</v>
      </c>
      <c r="J166" s="177" t="str">
        <f>IF($A$1="Peak","-",'Base Hours'!J166*BaseLoad!P165*'Base Hours'!$AA166)</f>
        <v>-</v>
      </c>
      <c r="K166" s="177" t="str">
        <f>IF($A$1="Peak","-",'Base Hours'!K166*BaseLoad!Q165*'Base Hours'!$AA166)</f>
        <v>-</v>
      </c>
      <c r="L166" s="177" t="str">
        <f>IF($A$1="Peak","-",'Base Hours'!L166*BaseLoad!R165*'Base Hours'!$AA166)</f>
        <v>-</v>
      </c>
      <c r="M166" s="177" t="str">
        <f>IF($A$1="Peak","-",'Base Hours'!M166*BaseLoad!S165*'Base Hours'!$AA166)</f>
        <v>-</v>
      </c>
      <c r="N166" s="177" t="str">
        <f>IF($A$1="Peak","-",'Base Hours'!N166*BaseLoad!T165*'Base Hours'!$AA166)</f>
        <v>-</v>
      </c>
      <c r="O166" s="177" t="str">
        <f>IF($A$1="Peak","-",'Base Hours'!O166*BaseLoad!U165*'Base Hours'!$AA166)</f>
        <v>-</v>
      </c>
      <c r="P166" s="177" t="str">
        <f>IF($A$1="Peak","-",'Base Hours'!P166*BaseLoad!V165*'Base Hours'!$AA166)</f>
        <v>-</v>
      </c>
      <c r="Q166" s="177" t="str">
        <f>IF($A$1="Peak","-",'Base Hours'!Q166*BaseLoad!W165*'Base Hours'!$AA166)</f>
        <v>-</v>
      </c>
      <c r="R166" s="177" t="str">
        <f>IF($A$1="Peak","-",'Base Hours'!R166*BaseLoad!X165*'Base Hours'!$AA166)</f>
        <v>-</v>
      </c>
      <c r="S166" s="177" t="str">
        <f>IF($A$1="Peak","-",'Base Hours'!S166*BaseLoad!Y165*'Base Hours'!$AA166)</f>
        <v>-</v>
      </c>
      <c r="T166" s="177" t="str">
        <f>IF($A$1="Peak","-",'Base Hours'!T166*BaseLoad!Z165*'Base Hours'!$AA166)</f>
        <v>-</v>
      </c>
      <c r="U166" s="177" t="str">
        <f>IF($A$1="Peak","-",'Base Hours'!U166*BaseLoad!AA165*'Base Hours'!$AA166)</f>
        <v>-</v>
      </c>
      <c r="V166" s="177">
        <f t="shared" si="6"/>
        <v>0</v>
      </c>
      <c r="W166" s="177"/>
      <c r="X166" s="177"/>
      <c r="Y166" s="206"/>
      <c r="Z166" s="206">
        <f>(BaseLoad!C165*'Base Hours'!V166*'Base Hours'!$AA166)*-1</f>
        <v>0</v>
      </c>
      <c r="AA166" s="206"/>
      <c r="AB166" s="206">
        <f>(BaseLoad!D165*'Base Hours'!V166*'Base Hours'!$AA166)*-1</f>
        <v>0</v>
      </c>
      <c r="AC166" s="206"/>
      <c r="AD166" s="206">
        <f>(BaseLoad!E165*'Base Hours'!V166*'Base Hours'!$AA166)*-1</f>
        <v>0</v>
      </c>
      <c r="AE166" s="206"/>
      <c r="AF166" s="206">
        <f>(BaseLoad!F165*'Base Hours'!V166*'Base Hours'!$AA166)*-1</f>
        <v>0</v>
      </c>
      <c r="AG166" s="206"/>
    </row>
    <row r="167" spans="1:33" x14ac:dyDescent="0.2">
      <c r="A167" s="1">
        <f t="shared" si="5"/>
        <v>41315.469000000201</v>
      </c>
      <c r="B167" s="177" t="str">
        <f>IF($A$1="Peak","-",'Base Hours'!B167*BaseLoad!H166*'Base Hours'!$AA167)</f>
        <v>-</v>
      </c>
      <c r="C167" s="177" t="str">
        <f>IF($A$1="Peak","-",'Base Hours'!C167*BaseLoad!I166*'Base Hours'!$AA167)</f>
        <v>-</v>
      </c>
      <c r="D167" s="177" t="str">
        <f>IF($A$1="Peak","-",'Base Hours'!D167*BaseLoad!J166*'Base Hours'!$AA167)</f>
        <v>-</v>
      </c>
      <c r="E167" s="177" t="str">
        <f>IF($A$1="Peak","-",'Base Hours'!E167*BaseLoad!K166*'Base Hours'!$AA167)</f>
        <v>-</v>
      </c>
      <c r="F167" s="177" t="str">
        <f>IF($A$1="Peak","-",'Base Hours'!F167*BaseLoad!L166*'Base Hours'!$AA167)</f>
        <v>-</v>
      </c>
      <c r="G167" s="177" t="str">
        <f>IF($A$1="Peak","-",'Base Hours'!G167*BaseLoad!M166*'Base Hours'!$AA167)</f>
        <v>-</v>
      </c>
      <c r="H167" s="177" t="str">
        <f>IF($A$1="Peak","-",'Base Hours'!H167*BaseLoad!N166*'Base Hours'!$AA167)</f>
        <v>-</v>
      </c>
      <c r="I167" s="177" t="str">
        <f>IF($A$1="Peak","-",'Base Hours'!I167*BaseLoad!O166*'Base Hours'!$AA167)</f>
        <v>-</v>
      </c>
      <c r="J167" s="177" t="str">
        <f>IF($A$1="Peak","-",'Base Hours'!J167*BaseLoad!P166*'Base Hours'!$AA167)</f>
        <v>-</v>
      </c>
      <c r="K167" s="177" t="str">
        <f>IF($A$1="Peak","-",'Base Hours'!K167*BaseLoad!Q166*'Base Hours'!$AA167)</f>
        <v>-</v>
      </c>
      <c r="L167" s="177" t="str">
        <f>IF($A$1="Peak","-",'Base Hours'!L167*BaseLoad!R166*'Base Hours'!$AA167)</f>
        <v>-</v>
      </c>
      <c r="M167" s="177" t="str">
        <f>IF($A$1="Peak","-",'Base Hours'!M167*BaseLoad!S166*'Base Hours'!$AA167)</f>
        <v>-</v>
      </c>
      <c r="N167" s="177" t="str">
        <f>IF($A$1="Peak","-",'Base Hours'!N167*BaseLoad!T166*'Base Hours'!$AA167)</f>
        <v>-</v>
      </c>
      <c r="O167" s="177" t="str">
        <f>IF($A$1="Peak","-",'Base Hours'!O167*BaseLoad!U166*'Base Hours'!$AA167)</f>
        <v>-</v>
      </c>
      <c r="P167" s="177" t="str">
        <f>IF($A$1="Peak","-",'Base Hours'!P167*BaseLoad!V166*'Base Hours'!$AA167)</f>
        <v>-</v>
      </c>
      <c r="Q167" s="177" t="str">
        <f>IF($A$1="Peak","-",'Base Hours'!Q167*BaseLoad!W166*'Base Hours'!$AA167)</f>
        <v>-</v>
      </c>
      <c r="R167" s="177" t="str">
        <f>IF($A$1="Peak","-",'Base Hours'!R167*BaseLoad!X166*'Base Hours'!$AA167)</f>
        <v>-</v>
      </c>
      <c r="S167" s="177" t="str">
        <f>IF($A$1="Peak","-",'Base Hours'!S167*BaseLoad!Y166*'Base Hours'!$AA167)</f>
        <v>-</v>
      </c>
      <c r="T167" s="177" t="str">
        <f>IF($A$1="Peak","-",'Base Hours'!T167*BaseLoad!Z166*'Base Hours'!$AA167)</f>
        <v>-</v>
      </c>
      <c r="U167" s="177" t="str">
        <f>IF($A$1="Peak","-",'Base Hours'!U167*BaseLoad!AA166*'Base Hours'!$AA167)</f>
        <v>-</v>
      </c>
      <c r="V167" s="177">
        <f t="shared" si="6"/>
        <v>0</v>
      </c>
      <c r="W167" s="177"/>
      <c r="X167" s="177"/>
      <c r="Y167" s="206"/>
      <c r="Z167" s="206">
        <f>(BaseLoad!C166*'Base Hours'!V167*'Base Hours'!$AA167)*-1</f>
        <v>0</v>
      </c>
      <c r="AA167" s="206"/>
      <c r="AB167" s="206">
        <f>(BaseLoad!D166*'Base Hours'!V167*'Base Hours'!$AA167)*-1</f>
        <v>0</v>
      </c>
      <c r="AC167" s="206"/>
      <c r="AD167" s="206">
        <f>(BaseLoad!E166*'Base Hours'!V167*'Base Hours'!$AA167)*-1</f>
        <v>0</v>
      </c>
      <c r="AE167" s="206"/>
      <c r="AF167" s="206">
        <f>(BaseLoad!F166*'Base Hours'!V167*'Base Hours'!$AA167)*-1</f>
        <v>0</v>
      </c>
      <c r="AG167" s="206"/>
    </row>
    <row r="168" spans="1:33" x14ac:dyDescent="0.2">
      <c r="A168" s="1">
        <f t="shared" si="5"/>
        <v>41345.886000000202</v>
      </c>
      <c r="B168" s="177" t="str">
        <f>IF($A$1="Peak","-",'Base Hours'!B168*BaseLoad!H167*'Base Hours'!$AA168)</f>
        <v>-</v>
      </c>
      <c r="C168" s="177" t="str">
        <f>IF($A$1="Peak","-",'Base Hours'!C168*BaseLoad!I167*'Base Hours'!$AA168)</f>
        <v>-</v>
      </c>
      <c r="D168" s="177" t="str">
        <f>IF($A$1="Peak","-",'Base Hours'!D168*BaseLoad!J167*'Base Hours'!$AA168)</f>
        <v>-</v>
      </c>
      <c r="E168" s="177" t="str">
        <f>IF($A$1="Peak","-",'Base Hours'!E168*BaseLoad!K167*'Base Hours'!$AA168)</f>
        <v>-</v>
      </c>
      <c r="F168" s="177" t="str">
        <f>IF($A$1="Peak","-",'Base Hours'!F168*BaseLoad!L167*'Base Hours'!$AA168)</f>
        <v>-</v>
      </c>
      <c r="G168" s="177" t="str">
        <f>IF($A$1="Peak","-",'Base Hours'!G168*BaseLoad!M167*'Base Hours'!$AA168)</f>
        <v>-</v>
      </c>
      <c r="H168" s="177" t="str">
        <f>IF($A$1="Peak","-",'Base Hours'!H168*BaseLoad!N167*'Base Hours'!$AA168)</f>
        <v>-</v>
      </c>
      <c r="I168" s="177" t="str">
        <f>IF($A$1="Peak","-",'Base Hours'!I168*BaseLoad!O167*'Base Hours'!$AA168)</f>
        <v>-</v>
      </c>
      <c r="J168" s="177" t="str">
        <f>IF($A$1="Peak","-",'Base Hours'!J168*BaseLoad!P167*'Base Hours'!$AA168)</f>
        <v>-</v>
      </c>
      <c r="K168" s="177" t="str">
        <f>IF($A$1="Peak","-",'Base Hours'!K168*BaseLoad!Q167*'Base Hours'!$AA168)</f>
        <v>-</v>
      </c>
      <c r="L168" s="177" t="str">
        <f>IF($A$1="Peak","-",'Base Hours'!L168*BaseLoad!R167*'Base Hours'!$AA168)</f>
        <v>-</v>
      </c>
      <c r="M168" s="177" t="str">
        <f>IF($A$1="Peak","-",'Base Hours'!M168*BaseLoad!S167*'Base Hours'!$AA168)</f>
        <v>-</v>
      </c>
      <c r="N168" s="177" t="str">
        <f>IF($A$1="Peak","-",'Base Hours'!N168*BaseLoad!T167*'Base Hours'!$AA168)</f>
        <v>-</v>
      </c>
      <c r="O168" s="177" t="str">
        <f>IF($A$1="Peak","-",'Base Hours'!O168*BaseLoad!U167*'Base Hours'!$AA168)</f>
        <v>-</v>
      </c>
      <c r="P168" s="177" t="str">
        <f>IF($A$1="Peak","-",'Base Hours'!P168*BaseLoad!V167*'Base Hours'!$AA168)</f>
        <v>-</v>
      </c>
      <c r="Q168" s="177" t="str">
        <f>IF($A$1="Peak","-",'Base Hours'!Q168*BaseLoad!W167*'Base Hours'!$AA168)</f>
        <v>-</v>
      </c>
      <c r="R168" s="177" t="str">
        <f>IF($A$1="Peak","-",'Base Hours'!R168*BaseLoad!X167*'Base Hours'!$AA168)</f>
        <v>-</v>
      </c>
      <c r="S168" s="177" t="str">
        <f>IF($A$1="Peak","-",'Base Hours'!S168*BaseLoad!Y167*'Base Hours'!$AA168)</f>
        <v>-</v>
      </c>
      <c r="T168" s="177" t="str">
        <f>IF($A$1="Peak","-",'Base Hours'!T168*BaseLoad!Z167*'Base Hours'!$AA168)</f>
        <v>-</v>
      </c>
      <c r="U168" s="177" t="str">
        <f>IF($A$1="Peak","-",'Base Hours'!U168*BaseLoad!AA167*'Base Hours'!$AA168)</f>
        <v>-</v>
      </c>
      <c r="V168" s="177">
        <f t="shared" si="6"/>
        <v>0</v>
      </c>
      <c r="W168" s="177"/>
      <c r="X168" s="177"/>
      <c r="Y168" s="206"/>
      <c r="Z168" s="206">
        <f>(BaseLoad!C167*'Base Hours'!V168*'Base Hours'!$AA168)*-1</f>
        <v>0</v>
      </c>
      <c r="AA168" s="206"/>
      <c r="AB168" s="206">
        <f>(BaseLoad!D167*'Base Hours'!V168*'Base Hours'!$AA168)*-1</f>
        <v>0</v>
      </c>
      <c r="AC168" s="206"/>
      <c r="AD168" s="206">
        <f>(BaseLoad!E167*'Base Hours'!V168*'Base Hours'!$AA168)*-1</f>
        <v>0</v>
      </c>
      <c r="AE168" s="206"/>
      <c r="AF168" s="206">
        <f>(BaseLoad!F167*'Base Hours'!V168*'Base Hours'!$AA168)*-1</f>
        <v>0</v>
      </c>
      <c r="AG168" s="206"/>
    </row>
    <row r="169" spans="1:33" x14ac:dyDescent="0.2">
      <c r="A169" s="1">
        <f t="shared" si="5"/>
        <v>41376.303000000204</v>
      </c>
      <c r="B169" s="177" t="str">
        <f>IF($A$1="Peak","-",'Base Hours'!B169*BaseLoad!H168*'Base Hours'!$AA169)</f>
        <v>-</v>
      </c>
      <c r="C169" s="177" t="str">
        <f>IF($A$1="Peak","-",'Base Hours'!C169*BaseLoad!I168*'Base Hours'!$AA169)</f>
        <v>-</v>
      </c>
      <c r="D169" s="177" t="str">
        <f>IF($A$1="Peak","-",'Base Hours'!D169*BaseLoad!J168*'Base Hours'!$AA169)</f>
        <v>-</v>
      </c>
      <c r="E169" s="177" t="str">
        <f>IF($A$1="Peak","-",'Base Hours'!E169*BaseLoad!K168*'Base Hours'!$AA169)</f>
        <v>-</v>
      </c>
      <c r="F169" s="177" t="str">
        <f>IF($A$1="Peak","-",'Base Hours'!F169*BaseLoad!L168*'Base Hours'!$AA169)</f>
        <v>-</v>
      </c>
      <c r="G169" s="177" t="str">
        <f>IF($A$1="Peak","-",'Base Hours'!G169*BaseLoad!M168*'Base Hours'!$AA169)</f>
        <v>-</v>
      </c>
      <c r="H169" s="177" t="str">
        <f>IF($A$1="Peak","-",'Base Hours'!H169*BaseLoad!N168*'Base Hours'!$AA169)</f>
        <v>-</v>
      </c>
      <c r="I169" s="177" t="str">
        <f>IF($A$1="Peak","-",'Base Hours'!I169*BaseLoad!O168*'Base Hours'!$AA169)</f>
        <v>-</v>
      </c>
      <c r="J169" s="177" t="str">
        <f>IF($A$1="Peak","-",'Base Hours'!J169*BaseLoad!P168*'Base Hours'!$AA169)</f>
        <v>-</v>
      </c>
      <c r="K169" s="177" t="str">
        <f>IF($A$1="Peak","-",'Base Hours'!K169*BaseLoad!Q168*'Base Hours'!$AA169)</f>
        <v>-</v>
      </c>
      <c r="L169" s="177" t="str">
        <f>IF($A$1="Peak","-",'Base Hours'!L169*BaseLoad!R168*'Base Hours'!$AA169)</f>
        <v>-</v>
      </c>
      <c r="M169" s="177" t="str">
        <f>IF($A$1="Peak","-",'Base Hours'!M169*BaseLoad!S168*'Base Hours'!$AA169)</f>
        <v>-</v>
      </c>
      <c r="N169" s="177" t="str">
        <f>IF($A$1="Peak","-",'Base Hours'!N169*BaseLoad!T168*'Base Hours'!$AA169)</f>
        <v>-</v>
      </c>
      <c r="O169" s="177" t="str">
        <f>IF($A$1="Peak","-",'Base Hours'!O169*BaseLoad!U168*'Base Hours'!$AA169)</f>
        <v>-</v>
      </c>
      <c r="P169" s="177" t="str">
        <f>IF($A$1="Peak","-",'Base Hours'!P169*BaseLoad!V168*'Base Hours'!$AA169)</f>
        <v>-</v>
      </c>
      <c r="Q169" s="177" t="str">
        <f>IF($A$1="Peak","-",'Base Hours'!Q169*BaseLoad!W168*'Base Hours'!$AA169)</f>
        <v>-</v>
      </c>
      <c r="R169" s="177" t="str">
        <f>IF($A$1="Peak","-",'Base Hours'!R169*BaseLoad!X168*'Base Hours'!$AA169)</f>
        <v>-</v>
      </c>
      <c r="S169" s="177" t="str">
        <f>IF($A$1="Peak","-",'Base Hours'!S169*BaseLoad!Y168*'Base Hours'!$AA169)</f>
        <v>-</v>
      </c>
      <c r="T169" s="177" t="str">
        <f>IF($A$1="Peak","-",'Base Hours'!T169*BaseLoad!Z168*'Base Hours'!$AA169)</f>
        <v>-</v>
      </c>
      <c r="U169" s="177" t="str">
        <f>IF($A$1="Peak","-",'Base Hours'!U169*BaseLoad!AA168*'Base Hours'!$AA169)</f>
        <v>-</v>
      </c>
      <c r="V169" s="177">
        <f t="shared" si="6"/>
        <v>0</v>
      </c>
      <c r="W169" s="177"/>
      <c r="X169" s="177"/>
      <c r="Y169" s="206"/>
      <c r="Z169" s="206">
        <f>(BaseLoad!C168*'Base Hours'!V169*'Base Hours'!$AA169)*-1</f>
        <v>0</v>
      </c>
      <c r="AA169" s="206"/>
      <c r="AB169" s="206">
        <f>(BaseLoad!D168*'Base Hours'!V169*'Base Hours'!$AA169)*-1</f>
        <v>0</v>
      </c>
      <c r="AC169" s="206"/>
      <c r="AD169" s="206">
        <f>(BaseLoad!E168*'Base Hours'!V169*'Base Hours'!$AA169)*-1</f>
        <v>0</v>
      </c>
      <c r="AE169" s="206"/>
      <c r="AF169" s="206">
        <f>(BaseLoad!F168*'Base Hours'!V169*'Base Hours'!$AA169)*-1</f>
        <v>0</v>
      </c>
      <c r="AG169" s="206"/>
    </row>
    <row r="170" spans="1:33" x14ac:dyDescent="0.2">
      <c r="A170" s="1">
        <f t="shared" si="5"/>
        <v>41406.720000000205</v>
      </c>
      <c r="B170" s="177" t="str">
        <f>IF($A$1="Peak","-",'Base Hours'!B170*BaseLoad!H169*'Base Hours'!$AA170)</f>
        <v>-</v>
      </c>
      <c r="C170" s="177" t="str">
        <f>IF($A$1="Peak","-",'Base Hours'!C170*BaseLoad!I169*'Base Hours'!$AA170)</f>
        <v>-</v>
      </c>
      <c r="D170" s="177" t="str">
        <f>IF($A$1="Peak","-",'Base Hours'!D170*BaseLoad!J169*'Base Hours'!$AA170)</f>
        <v>-</v>
      </c>
      <c r="E170" s="177" t="str">
        <f>IF($A$1="Peak","-",'Base Hours'!E170*BaseLoad!K169*'Base Hours'!$AA170)</f>
        <v>-</v>
      </c>
      <c r="F170" s="177" t="str">
        <f>IF($A$1="Peak","-",'Base Hours'!F170*BaseLoad!L169*'Base Hours'!$AA170)</f>
        <v>-</v>
      </c>
      <c r="G170" s="177" t="str">
        <f>IF($A$1="Peak","-",'Base Hours'!G170*BaseLoad!M169*'Base Hours'!$AA170)</f>
        <v>-</v>
      </c>
      <c r="H170" s="177" t="str">
        <f>IF($A$1="Peak","-",'Base Hours'!H170*BaseLoad!N169*'Base Hours'!$AA170)</f>
        <v>-</v>
      </c>
      <c r="I170" s="177" t="str">
        <f>IF($A$1="Peak","-",'Base Hours'!I170*BaseLoad!O169*'Base Hours'!$AA170)</f>
        <v>-</v>
      </c>
      <c r="J170" s="177" t="str">
        <f>IF($A$1="Peak","-",'Base Hours'!J170*BaseLoad!P169*'Base Hours'!$AA170)</f>
        <v>-</v>
      </c>
      <c r="K170" s="177" t="str">
        <f>IF($A$1="Peak","-",'Base Hours'!K170*BaseLoad!Q169*'Base Hours'!$AA170)</f>
        <v>-</v>
      </c>
      <c r="L170" s="177" t="str">
        <f>IF($A$1="Peak","-",'Base Hours'!L170*BaseLoad!R169*'Base Hours'!$AA170)</f>
        <v>-</v>
      </c>
      <c r="M170" s="177" t="str">
        <f>IF($A$1="Peak","-",'Base Hours'!M170*BaseLoad!S169*'Base Hours'!$AA170)</f>
        <v>-</v>
      </c>
      <c r="N170" s="177" t="str">
        <f>IF($A$1="Peak","-",'Base Hours'!N170*BaseLoad!T169*'Base Hours'!$AA170)</f>
        <v>-</v>
      </c>
      <c r="O170" s="177" t="str">
        <f>IF($A$1="Peak","-",'Base Hours'!O170*BaseLoad!U169*'Base Hours'!$AA170)</f>
        <v>-</v>
      </c>
      <c r="P170" s="177" t="str">
        <f>IF($A$1="Peak","-",'Base Hours'!P170*BaseLoad!V169*'Base Hours'!$AA170)</f>
        <v>-</v>
      </c>
      <c r="Q170" s="177" t="str">
        <f>IF($A$1="Peak","-",'Base Hours'!Q170*BaseLoad!W169*'Base Hours'!$AA170)</f>
        <v>-</v>
      </c>
      <c r="R170" s="177" t="str">
        <f>IF($A$1="Peak","-",'Base Hours'!R170*BaseLoad!X169*'Base Hours'!$AA170)</f>
        <v>-</v>
      </c>
      <c r="S170" s="177" t="str">
        <f>IF($A$1="Peak","-",'Base Hours'!S170*BaseLoad!Y169*'Base Hours'!$AA170)</f>
        <v>-</v>
      </c>
      <c r="T170" s="177" t="str">
        <f>IF($A$1="Peak","-",'Base Hours'!T170*BaseLoad!Z169*'Base Hours'!$AA170)</f>
        <v>-</v>
      </c>
      <c r="U170" s="177" t="str">
        <f>IF($A$1="Peak","-",'Base Hours'!U170*BaseLoad!AA169*'Base Hours'!$AA170)</f>
        <v>-</v>
      </c>
      <c r="V170" s="177">
        <f t="shared" si="6"/>
        <v>0</v>
      </c>
      <c r="W170" s="177"/>
      <c r="X170" s="177"/>
      <c r="Y170" s="206"/>
      <c r="Z170" s="206">
        <f>(BaseLoad!C169*'Base Hours'!V170*'Base Hours'!$AA170)*-1</f>
        <v>0</v>
      </c>
      <c r="AA170" s="206"/>
      <c r="AB170" s="206">
        <f>(BaseLoad!D169*'Base Hours'!V170*'Base Hours'!$AA170)*-1</f>
        <v>0</v>
      </c>
      <c r="AC170" s="206"/>
      <c r="AD170" s="206">
        <f>(BaseLoad!E169*'Base Hours'!V170*'Base Hours'!$AA170)*-1</f>
        <v>0</v>
      </c>
      <c r="AE170" s="206"/>
      <c r="AF170" s="206">
        <f>(BaseLoad!F169*'Base Hours'!V170*'Base Hours'!$AA170)*-1</f>
        <v>0</v>
      </c>
      <c r="AG170" s="206"/>
    </row>
    <row r="171" spans="1:33" x14ac:dyDescent="0.2">
      <c r="A171" s="1">
        <f t="shared" si="5"/>
        <v>41437.137000000206</v>
      </c>
      <c r="B171" s="177" t="str">
        <f>IF($A$1="Peak","-",'Base Hours'!B171*BaseLoad!H170*'Base Hours'!$AA171)</f>
        <v>-</v>
      </c>
      <c r="C171" s="177" t="str">
        <f>IF($A$1="Peak","-",'Base Hours'!C171*BaseLoad!I170*'Base Hours'!$AA171)</f>
        <v>-</v>
      </c>
      <c r="D171" s="177" t="str">
        <f>IF($A$1="Peak","-",'Base Hours'!D171*BaseLoad!J170*'Base Hours'!$AA171)</f>
        <v>-</v>
      </c>
      <c r="E171" s="177" t="str">
        <f>IF($A$1="Peak","-",'Base Hours'!E171*BaseLoad!K170*'Base Hours'!$AA171)</f>
        <v>-</v>
      </c>
      <c r="F171" s="177" t="str">
        <f>IF($A$1="Peak","-",'Base Hours'!F171*BaseLoad!L170*'Base Hours'!$AA171)</f>
        <v>-</v>
      </c>
      <c r="G171" s="177" t="str">
        <f>IF($A$1="Peak","-",'Base Hours'!G171*BaseLoad!M170*'Base Hours'!$AA171)</f>
        <v>-</v>
      </c>
      <c r="H171" s="177" t="str">
        <f>IF($A$1="Peak","-",'Base Hours'!H171*BaseLoad!N170*'Base Hours'!$AA171)</f>
        <v>-</v>
      </c>
      <c r="I171" s="177" t="str">
        <f>IF($A$1="Peak","-",'Base Hours'!I171*BaseLoad!O170*'Base Hours'!$AA171)</f>
        <v>-</v>
      </c>
      <c r="J171" s="177" t="str">
        <f>IF($A$1="Peak","-",'Base Hours'!J171*BaseLoad!P170*'Base Hours'!$AA171)</f>
        <v>-</v>
      </c>
      <c r="K171" s="177" t="str">
        <f>IF($A$1="Peak","-",'Base Hours'!K171*BaseLoad!Q170*'Base Hours'!$AA171)</f>
        <v>-</v>
      </c>
      <c r="L171" s="177" t="str">
        <f>IF($A$1="Peak","-",'Base Hours'!L171*BaseLoad!R170*'Base Hours'!$AA171)</f>
        <v>-</v>
      </c>
      <c r="M171" s="177" t="str">
        <f>IF($A$1="Peak","-",'Base Hours'!M171*BaseLoad!S170*'Base Hours'!$AA171)</f>
        <v>-</v>
      </c>
      <c r="N171" s="177" t="str">
        <f>IF($A$1="Peak","-",'Base Hours'!N171*BaseLoad!T170*'Base Hours'!$AA171)</f>
        <v>-</v>
      </c>
      <c r="O171" s="177" t="str">
        <f>IF($A$1="Peak","-",'Base Hours'!O171*BaseLoad!U170*'Base Hours'!$AA171)</f>
        <v>-</v>
      </c>
      <c r="P171" s="177" t="str">
        <f>IF($A$1="Peak","-",'Base Hours'!P171*BaseLoad!V170*'Base Hours'!$AA171)</f>
        <v>-</v>
      </c>
      <c r="Q171" s="177" t="str">
        <f>IF($A$1="Peak","-",'Base Hours'!Q171*BaseLoad!W170*'Base Hours'!$AA171)</f>
        <v>-</v>
      </c>
      <c r="R171" s="177" t="str">
        <f>IF($A$1="Peak","-",'Base Hours'!R171*BaseLoad!X170*'Base Hours'!$AA171)</f>
        <v>-</v>
      </c>
      <c r="S171" s="177" t="str">
        <f>IF($A$1="Peak","-",'Base Hours'!S171*BaseLoad!Y170*'Base Hours'!$AA171)</f>
        <v>-</v>
      </c>
      <c r="T171" s="177" t="str">
        <f>IF($A$1="Peak","-",'Base Hours'!T171*BaseLoad!Z170*'Base Hours'!$AA171)</f>
        <v>-</v>
      </c>
      <c r="U171" s="177" t="str">
        <f>IF($A$1="Peak","-",'Base Hours'!U171*BaseLoad!AA170*'Base Hours'!$AA171)</f>
        <v>-</v>
      </c>
      <c r="V171" s="177">
        <f t="shared" si="6"/>
        <v>0</v>
      </c>
      <c r="W171" s="177"/>
      <c r="X171" s="177"/>
      <c r="Y171" s="206"/>
      <c r="Z171" s="206">
        <f>(BaseLoad!C170*'Base Hours'!V171*'Base Hours'!$AA171)*-1</f>
        <v>0</v>
      </c>
      <c r="AA171" s="206"/>
      <c r="AB171" s="206">
        <f>(BaseLoad!D170*'Base Hours'!V171*'Base Hours'!$AA171)*-1</f>
        <v>0</v>
      </c>
      <c r="AC171" s="206"/>
      <c r="AD171" s="206">
        <f>(BaseLoad!E170*'Base Hours'!V171*'Base Hours'!$AA171)*-1</f>
        <v>0</v>
      </c>
      <c r="AE171" s="206"/>
      <c r="AF171" s="206">
        <f>(BaseLoad!F170*'Base Hours'!V171*'Base Hours'!$AA171)*-1</f>
        <v>0</v>
      </c>
      <c r="AG171" s="206"/>
    </row>
    <row r="172" spans="1:33" x14ac:dyDescent="0.2">
      <c r="A172" s="1">
        <f t="shared" si="5"/>
        <v>41467.554000000207</v>
      </c>
      <c r="B172" s="177" t="str">
        <f>IF($A$1="Peak","-",'Base Hours'!B172*BaseLoad!H171*'Base Hours'!$AA172)</f>
        <v>-</v>
      </c>
      <c r="C172" s="177" t="str">
        <f>IF($A$1="Peak","-",'Base Hours'!C172*BaseLoad!I171*'Base Hours'!$AA172)</f>
        <v>-</v>
      </c>
      <c r="D172" s="177" t="str">
        <f>IF($A$1="Peak","-",'Base Hours'!D172*BaseLoad!J171*'Base Hours'!$AA172)</f>
        <v>-</v>
      </c>
      <c r="E172" s="177" t="str">
        <f>IF($A$1="Peak","-",'Base Hours'!E172*BaseLoad!K171*'Base Hours'!$AA172)</f>
        <v>-</v>
      </c>
      <c r="F172" s="177" t="str">
        <f>IF($A$1="Peak","-",'Base Hours'!F172*BaseLoad!L171*'Base Hours'!$AA172)</f>
        <v>-</v>
      </c>
      <c r="G172" s="177" t="str">
        <f>IF($A$1="Peak","-",'Base Hours'!G172*BaseLoad!M171*'Base Hours'!$AA172)</f>
        <v>-</v>
      </c>
      <c r="H172" s="177" t="str">
        <f>IF($A$1="Peak","-",'Base Hours'!H172*BaseLoad!N171*'Base Hours'!$AA172)</f>
        <v>-</v>
      </c>
      <c r="I172" s="177" t="str">
        <f>IF($A$1="Peak","-",'Base Hours'!I172*BaseLoad!O171*'Base Hours'!$AA172)</f>
        <v>-</v>
      </c>
      <c r="J172" s="177" t="str">
        <f>IF($A$1="Peak","-",'Base Hours'!J172*BaseLoad!P171*'Base Hours'!$AA172)</f>
        <v>-</v>
      </c>
      <c r="K172" s="177" t="str">
        <f>IF($A$1="Peak","-",'Base Hours'!K172*BaseLoad!Q171*'Base Hours'!$AA172)</f>
        <v>-</v>
      </c>
      <c r="L172" s="177" t="str">
        <f>IF($A$1="Peak","-",'Base Hours'!L172*BaseLoad!R171*'Base Hours'!$AA172)</f>
        <v>-</v>
      </c>
      <c r="M172" s="177" t="str">
        <f>IF($A$1="Peak","-",'Base Hours'!M172*BaseLoad!S171*'Base Hours'!$AA172)</f>
        <v>-</v>
      </c>
      <c r="N172" s="177" t="str">
        <f>IF($A$1="Peak","-",'Base Hours'!N172*BaseLoad!T171*'Base Hours'!$AA172)</f>
        <v>-</v>
      </c>
      <c r="O172" s="177" t="str">
        <f>IF($A$1="Peak","-",'Base Hours'!O172*BaseLoad!U171*'Base Hours'!$AA172)</f>
        <v>-</v>
      </c>
      <c r="P172" s="177" t="str">
        <f>IF($A$1="Peak","-",'Base Hours'!P172*BaseLoad!V171*'Base Hours'!$AA172)</f>
        <v>-</v>
      </c>
      <c r="Q172" s="177" t="str">
        <f>IF($A$1="Peak","-",'Base Hours'!Q172*BaseLoad!W171*'Base Hours'!$AA172)</f>
        <v>-</v>
      </c>
      <c r="R172" s="177" t="str">
        <f>IF($A$1="Peak","-",'Base Hours'!R172*BaseLoad!X171*'Base Hours'!$AA172)</f>
        <v>-</v>
      </c>
      <c r="S172" s="177" t="str">
        <f>IF($A$1="Peak","-",'Base Hours'!S172*BaseLoad!Y171*'Base Hours'!$AA172)</f>
        <v>-</v>
      </c>
      <c r="T172" s="177" t="str">
        <f>IF($A$1="Peak","-",'Base Hours'!T172*BaseLoad!Z171*'Base Hours'!$AA172)</f>
        <v>-</v>
      </c>
      <c r="U172" s="177" t="str">
        <f>IF($A$1="Peak","-",'Base Hours'!U172*BaseLoad!AA171*'Base Hours'!$AA172)</f>
        <v>-</v>
      </c>
      <c r="V172" s="177">
        <f t="shared" si="6"/>
        <v>0</v>
      </c>
      <c r="W172" s="177"/>
      <c r="X172" s="177"/>
      <c r="Y172" s="206"/>
      <c r="Z172" s="206">
        <f>(BaseLoad!C171*'Base Hours'!V172*'Base Hours'!$AA172)*-1</f>
        <v>0</v>
      </c>
      <c r="AA172" s="206"/>
      <c r="AB172" s="206">
        <f>(BaseLoad!D171*'Base Hours'!V172*'Base Hours'!$AA172)*-1</f>
        <v>0</v>
      </c>
      <c r="AC172" s="206"/>
      <c r="AD172" s="206">
        <f>(BaseLoad!E171*'Base Hours'!V172*'Base Hours'!$AA172)*-1</f>
        <v>0</v>
      </c>
      <c r="AE172" s="206"/>
      <c r="AF172" s="206">
        <f>(BaseLoad!F171*'Base Hours'!V172*'Base Hours'!$AA172)*-1</f>
        <v>0</v>
      </c>
      <c r="AG172" s="206"/>
    </row>
    <row r="173" spans="1:33" x14ac:dyDescent="0.2">
      <c r="A173" s="1">
        <f t="shared" si="5"/>
        <v>41497.971000000209</v>
      </c>
      <c r="B173" s="177" t="str">
        <f>IF($A$1="Peak","-",'Base Hours'!B173*BaseLoad!H172*'Base Hours'!$AA173)</f>
        <v>-</v>
      </c>
      <c r="C173" s="177" t="str">
        <f>IF($A$1="Peak","-",'Base Hours'!C173*BaseLoad!I172*'Base Hours'!$AA173)</f>
        <v>-</v>
      </c>
      <c r="D173" s="177" t="str">
        <f>IF($A$1="Peak","-",'Base Hours'!D173*BaseLoad!J172*'Base Hours'!$AA173)</f>
        <v>-</v>
      </c>
      <c r="E173" s="177" t="str">
        <f>IF($A$1="Peak","-",'Base Hours'!E173*BaseLoad!K172*'Base Hours'!$AA173)</f>
        <v>-</v>
      </c>
      <c r="F173" s="177" t="str">
        <f>IF($A$1="Peak","-",'Base Hours'!F173*BaseLoad!L172*'Base Hours'!$AA173)</f>
        <v>-</v>
      </c>
      <c r="G173" s="177" t="str">
        <f>IF($A$1="Peak","-",'Base Hours'!G173*BaseLoad!M172*'Base Hours'!$AA173)</f>
        <v>-</v>
      </c>
      <c r="H173" s="177" t="str">
        <f>IF($A$1="Peak","-",'Base Hours'!H173*BaseLoad!N172*'Base Hours'!$AA173)</f>
        <v>-</v>
      </c>
      <c r="I173" s="177" t="str">
        <f>IF($A$1="Peak","-",'Base Hours'!I173*BaseLoad!O172*'Base Hours'!$AA173)</f>
        <v>-</v>
      </c>
      <c r="J173" s="177" t="str">
        <f>IF($A$1="Peak","-",'Base Hours'!J173*BaseLoad!P172*'Base Hours'!$AA173)</f>
        <v>-</v>
      </c>
      <c r="K173" s="177" t="str">
        <f>IF($A$1="Peak","-",'Base Hours'!K173*BaseLoad!Q172*'Base Hours'!$AA173)</f>
        <v>-</v>
      </c>
      <c r="L173" s="177" t="str">
        <f>IF($A$1="Peak","-",'Base Hours'!L173*BaseLoad!R172*'Base Hours'!$AA173)</f>
        <v>-</v>
      </c>
      <c r="M173" s="177" t="str">
        <f>IF($A$1="Peak","-",'Base Hours'!M173*BaseLoad!S172*'Base Hours'!$AA173)</f>
        <v>-</v>
      </c>
      <c r="N173" s="177" t="str">
        <f>IF($A$1="Peak","-",'Base Hours'!N173*BaseLoad!T172*'Base Hours'!$AA173)</f>
        <v>-</v>
      </c>
      <c r="O173" s="177" t="str">
        <f>IF($A$1="Peak","-",'Base Hours'!O173*BaseLoad!U172*'Base Hours'!$AA173)</f>
        <v>-</v>
      </c>
      <c r="P173" s="177" t="str">
        <f>IF($A$1="Peak","-",'Base Hours'!P173*BaseLoad!V172*'Base Hours'!$AA173)</f>
        <v>-</v>
      </c>
      <c r="Q173" s="177" t="str">
        <f>IF($A$1="Peak","-",'Base Hours'!Q173*BaseLoad!W172*'Base Hours'!$AA173)</f>
        <v>-</v>
      </c>
      <c r="R173" s="177" t="str">
        <f>IF($A$1="Peak","-",'Base Hours'!R173*BaseLoad!X172*'Base Hours'!$AA173)</f>
        <v>-</v>
      </c>
      <c r="S173" s="177" t="str">
        <f>IF($A$1="Peak","-",'Base Hours'!S173*BaseLoad!Y172*'Base Hours'!$AA173)</f>
        <v>-</v>
      </c>
      <c r="T173" s="177" t="str">
        <f>IF($A$1="Peak","-",'Base Hours'!T173*BaseLoad!Z172*'Base Hours'!$AA173)</f>
        <v>-</v>
      </c>
      <c r="U173" s="177" t="str">
        <f>IF($A$1="Peak","-",'Base Hours'!U173*BaseLoad!AA172*'Base Hours'!$AA173)</f>
        <v>-</v>
      </c>
      <c r="V173" s="177">
        <f t="shared" si="6"/>
        <v>0</v>
      </c>
      <c r="W173" s="177"/>
      <c r="X173" s="177"/>
      <c r="Y173" s="206"/>
      <c r="Z173" s="206">
        <f>(BaseLoad!C172*'Base Hours'!V173*'Base Hours'!$AA173)*-1</f>
        <v>0</v>
      </c>
      <c r="AA173" s="206"/>
      <c r="AB173" s="206">
        <f>(BaseLoad!D172*'Base Hours'!V173*'Base Hours'!$AA173)*-1</f>
        <v>0</v>
      </c>
      <c r="AC173" s="206"/>
      <c r="AD173" s="206">
        <f>(BaseLoad!E172*'Base Hours'!V173*'Base Hours'!$AA173)*-1</f>
        <v>0</v>
      </c>
      <c r="AE173" s="206"/>
      <c r="AF173" s="206">
        <f>(BaseLoad!F172*'Base Hours'!V173*'Base Hours'!$AA173)*-1</f>
        <v>0</v>
      </c>
      <c r="AG173" s="206"/>
    </row>
    <row r="174" spans="1:33" x14ac:dyDescent="0.2">
      <c r="A174" s="1">
        <f t="shared" si="5"/>
        <v>41528.38800000021</v>
      </c>
      <c r="B174" s="177" t="str">
        <f>IF($A$1="Peak","-",'Base Hours'!B174*BaseLoad!H173*'Base Hours'!$AA174)</f>
        <v>-</v>
      </c>
      <c r="C174" s="177" t="str">
        <f>IF($A$1="Peak","-",'Base Hours'!C174*BaseLoad!I173*'Base Hours'!$AA174)</f>
        <v>-</v>
      </c>
      <c r="D174" s="177" t="str">
        <f>IF($A$1="Peak","-",'Base Hours'!D174*BaseLoad!J173*'Base Hours'!$AA174)</f>
        <v>-</v>
      </c>
      <c r="E174" s="177" t="str">
        <f>IF($A$1="Peak","-",'Base Hours'!E174*BaseLoad!K173*'Base Hours'!$AA174)</f>
        <v>-</v>
      </c>
      <c r="F174" s="177" t="str">
        <f>IF($A$1="Peak","-",'Base Hours'!F174*BaseLoad!L173*'Base Hours'!$AA174)</f>
        <v>-</v>
      </c>
      <c r="G174" s="177" t="str">
        <f>IF($A$1="Peak","-",'Base Hours'!G174*BaseLoad!M173*'Base Hours'!$AA174)</f>
        <v>-</v>
      </c>
      <c r="H174" s="177" t="str">
        <f>IF($A$1="Peak","-",'Base Hours'!H174*BaseLoad!N173*'Base Hours'!$AA174)</f>
        <v>-</v>
      </c>
      <c r="I174" s="177" t="str">
        <f>IF($A$1="Peak","-",'Base Hours'!I174*BaseLoad!O173*'Base Hours'!$AA174)</f>
        <v>-</v>
      </c>
      <c r="J174" s="177" t="str">
        <f>IF($A$1="Peak","-",'Base Hours'!J174*BaseLoad!P173*'Base Hours'!$AA174)</f>
        <v>-</v>
      </c>
      <c r="K174" s="177" t="str">
        <f>IF($A$1="Peak","-",'Base Hours'!K174*BaseLoad!Q173*'Base Hours'!$AA174)</f>
        <v>-</v>
      </c>
      <c r="L174" s="177" t="str">
        <f>IF($A$1="Peak","-",'Base Hours'!L174*BaseLoad!R173*'Base Hours'!$AA174)</f>
        <v>-</v>
      </c>
      <c r="M174" s="177" t="str">
        <f>IF($A$1="Peak","-",'Base Hours'!M174*BaseLoad!S173*'Base Hours'!$AA174)</f>
        <v>-</v>
      </c>
      <c r="N174" s="177" t="str">
        <f>IF($A$1="Peak","-",'Base Hours'!N174*BaseLoad!T173*'Base Hours'!$AA174)</f>
        <v>-</v>
      </c>
      <c r="O174" s="177" t="str">
        <f>IF($A$1="Peak","-",'Base Hours'!O174*BaseLoad!U173*'Base Hours'!$AA174)</f>
        <v>-</v>
      </c>
      <c r="P174" s="177" t="str">
        <f>IF($A$1="Peak","-",'Base Hours'!P174*BaseLoad!V173*'Base Hours'!$AA174)</f>
        <v>-</v>
      </c>
      <c r="Q174" s="177" t="str">
        <f>IF($A$1="Peak","-",'Base Hours'!Q174*BaseLoad!W173*'Base Hours'!$AA174)</f>
        <v>-</v>
      </c>
      <c r="R174" s="177" t="str">
        <f>IF($A$1="Peak","-",'Base Hours'!R174*BaseLoad!X173*'Base Hours'!$AA174)</f>
        <v>-</v>
      </c>
      <c r="S174" s="177" t="str">
        <f>IF($A$1="Peak","-",'Base Hours'!S174*BaseLoad!Y173*'Base Hours'!$AA174)</f>
        <v>-</v>
      </c>
      <c r="T174" s="177" t="str">
        <f>IF($A$1="Peak","-",'Base Hours'!T174*BaseLoad!Z173*'Base Hours'!$AA174)</f>
        <v>-</v>
      </c>
      <c r="U174" s="177" t="str">
        <f>IF($A$1="Peak","-",'Base Hours'!U174*BaseLoad!AA173*'Base Hours'!$AA174)</f>
        <v>-</v>
      </c>
      <c r="V174" s="177">
        <f t="shared" si="6"/>
        <v>0</v>
      </c>
      <c r="W174" s="177"/>
      <c r="X174" s="177"/>
      <c r="Y174" s="206"/>
      <c r="Z174" s="206">
        <f>(BaseLoad!C173*'Base Hours'!V174*'Base Hours'!$AA174)*-1</f>
        <v>0</v>
      </c>
      <c r="AA174" s="206"/>
      <c r="AB174" s="206">
        <f>(BaseLoad!D173*'Base Hours'!V174*'Base Hours'!$AA174)*-1</f>
        <v>0</v>
      </c>
      <c r="AC174" s="206"/>
      <c r="AD174" s="206">
        <f>(BaseLoad!E173*'Base Hours'!V174*'Base Hours'!$AA174)*-1</f>
        <v>0</v>
      </c>
      <c r="AE174" s="206"/>
      <c r="AF174" s="206">
        <f>(BaseLoad!F173*'Base Hours'!V174*'Base Hours'!$AA174)*-1</f>
        <v>0</v>
      </c>
      <c r="AG174" s="206"/>
    </row>
    <row r="175" spans="1:33" x14ac:dyDescent="0.2">
      <c r="A175" s="1">
        <f t="shared" si="5"/>
        <v>41558.805000000211</v>
      </c>
      <c r="B175" s="177" t="str">
        <f>IF($A$1="Peak","-",'Base Hours'!B175*BaseLoad!H174*'Base Hours'!$AA175)</f>
        <v>-</v>
      </c>
      <c r="C175" s="177" t="str">
        <f>IF($A$1="Peak","-",'Base Hours'!C175*BaseLoad!I174*'Base Hours'!$AA175)</f>
        <v>-</v>
      </c>
      <c r="D175" s="177" t="str">
        <f>IF($A$1="Peak","-",'Base Hours'!D175*BaseLoad!J174*'Base Hours'!$AA175)</f>
        <v>-</v>
      </c>
      <c r="E175" s="177" t="str">
        <f>IF($A$1="Peak","-",'Base Hours'!E175*BaseLoad!K174*'Base Hours'!$AA175)</f>
        <v>-</v>
      </c>
      <c r="F175" s="177" t="str">
        <f>IF($A$1="Peak","-",'Base Hours'!F175*BaseLoad!L174*'Base Hours'!$AA175)</f>
        <v>-</v>
      </c>
      <c r="G175" s="177" t="str">
        <f>IF($A$1="Peak","-",'Base Hours'!G175*BaseLoad!M174*'Base Hours'!$AA175)</f>
        <v>-</v>
      </c>
      <c r="H175" s="177" t="str">
        <f>IF($A$1="Peak","-",'Base Hours'!H175*BaseLoad!N174*'Base Hours'!$AA175)</f>
        <v>-</v>
      </c>
      <c r="I175" s="177" t="str">
        <f>IF($A$1="Peak","-",'Base Hours'!I175*BaseLoad!O174*'Base Hours'!$AA175)</f>
        <v>-</v>
      </c>
      <c r="J175" s="177" t="str">
        <f>IF($A$1="Peak","-",'Base Hours'!J175*BaseLoad!P174*'Base Hours'!$AA175)</f>
        <v>-</v>
      </c>
      <c r="K175" s="177" t="str">
        <f>IF($A$1="Peak","-",'Base Hours'!K175*BaseLoad!Q174*'Base Hours'!$AA175)</f>
        <v>-</v>
      </c>
      <c r="L175" s="177" t="str">
        <f>IF($A$1="Peak","-",'Base Hours'!L175*BaseLoad!R174*'Base Hours'!$AA175)</f>
        <v>-</v>
      </c>
      <c r="M175" s="177" t="str">
        <f>IF($A$1="Peak","-",'Base Hours'!M175*BaseLoad!S174*'Base Hours'!$AA175)</f>
        <v>-</v>
      </c>
      <c r="N175" s="177" t="str">
        <f>IF($A$1="Peak","-",'Base Hours'!N175*BaseLoad!T174*'Base Hours'!$AA175)</f>
        <v>-</v>
      </c>
      <c r="O175" s="177" t="str">
        <f>IF($A$1="Peak","-",'Base Hours'!O175*BaseLoad!U174*'Base Hours'!$AA175)</f>
        <v>-</v>
      </c>
      <c r="P175" s="177" t="str">
        <f>IF($A$1="Peak","-",'Base Hours'!P175*BaseLoad!V174*'Base Hours'!$AA175)</f>
        <v>-</v>
      </c>
      <c r="Q175" s="177" t="str">
        <f>IF($A$1="Peak","-",'Base Hours'!Q175*BaseLoad!W174*'Base Hours'!$AA175)</f>
        <v>-</v>
      </c>
      <c r="R175" s="177" t="str">
        <f>IF($A$1="Peak","-",'Base Hours'!R175*BaseLoad!X174*'Base Hours'!$AA175)</f>
        <v>-</v>
      </c>
      <c r="S175" s="177" t="str">
        <f>IF($A$1="Peak","-",'Base Hours'!S175*BaseLoad!Y174*'Base Hours'!$AA175)</f>
        <v>-</v>
      </c>
      <c r="T175" s="177" t="str">
        <f>IF($A$1="Peak","-",'Base Hours'!T175*BaseLoad!Z174*'Base Hours'!$AA175)</f>
        <v>-</v>
      </c>
      <c r="U175" s="177" t="str">
        <f>IF($A$1="Peak","-",'Base Hours'!U175*BaseLoad!AA174*'Base Hours'!$AA175)</f>
        <v>-</v>
      </c>
      <c r="V175" s="177">
        <f t="shared" si="6"/>
        <v>0</v>
      </c>
      <c r="W175" s="177"/>
      <c r="X175" s="177"/>
      <c r="Y175" s="206"/>
      <c r="Z175" s="206">
        <f>(BaseLoad!C174*'Base Hours'!V175*'Base Hours'!$AA175)*-1</f>
        <v>0</v>
      </c>
      <c r="AA175" s="206"/>
      <c r="AB175" s="206">
        <f>(BaseLoad!D174*'Base Hours'!V175*'Base Hours'!$AA175)*-1</f>
        <v>0</v>
      </c>
      <c r="AC175" s="206"/>
      <c r="AD175" s="206">
        <f>(BaseLoad!E174*'Base Hours'!V175*'Base Hours'!$AA175)*-1</f>
        <v>0</v>
      </c>
      <c r="AE175" s="206"/>
      <c r="AF175" s="206">
        <f>(BaseLoad!F174*'Base Hours'!V175*'Base Hours'!$AA175)*-1</f>
        <v>0</v>
      </c>
      <c r="AG175" s="206"/>
    </row>
    <row r="176" spans="1:33" x14ac:dyDescent="0.2">
      <c r="A176" s="1">
        <f t="shared" si="5"/>
        <v>41589.222000000213</v>
      </c>
      <c r="B176" s="177" t="str">
        <f>IF($A$1="Peak","-",'Base Hours'!B176*BaseLoad!H175*'Base Hours'!$AA176)</f>
        <v>-</v>
      </c>
      <c r="C176" s="177" t="str">
        <f>IF($A$1="Peak","-",'Base Hours'!C176*BaseLoad!I175*'Base Hours'!$AA176)</f>
        <v>-</v>
      </c>
      <c r="D176" s="177" t="str">
        <f>IF($A$1="Peak","-",'Base Hours'!D176*BaseLoad!J175*'Base Hours'!$AA176)</f>
        <v>-</v>
      </c>
      <c r="E176" s="177" t="str">
        <f>IF($A$1="Peak","-",'Base Hours'!E176*BaseLoad!K175*'Base Hours'!$AA176)</f>
        <v>-</v>
      </c>
      <c r="F176" s="177" t="str">
        <f>IF($A$1="Peak","-",'Base Hours'!F176*BaseLoad!L175*'Base Hours'!$AA176)</f>
        <v>-</v>
      </c>
      <c r="G176" s="177" t="str">
        <f>IF($A$1="Peak","-",'Base Hours'!G176*BaseLoad!M175*'Base Hours'!$AA176)</f>
        <v>-</v>
      </c>
      <c r="H176" s="177" t="str">
        <f>IF($A$1="Peak","-",'Base Hours'!H176*BaseLoad!N175*'Base Hours'!$AA176)</f>
        <v>-</v>
      </c>
      <c r="I176" s="177" t="str">
        <f>IF($A$1="Peak","-",'Base Hours'!I176*BaseLoad!O175*'Base Hours'!$AA176)</f>
        <v>-</v>
      </c>
      <c r="J176" s="177" t="str">
        <f>IF($A$1="Peak","-",'Base Hours'!J176*BaseLoad!P175*'Base Hours'!$AA176)</f>
        <v>-</v>
      </c>
      <c r="K176" s="177" t="str">
        <f>IF($A$1="Peak","-",'Base Hours'!K176*BaseLoad!Q175*'Base Hours'!$AA176)</f>
        <v>-</v>
      </c>
      <c r="L176" s="177" t="str">
        <f>IF($A$1="Peak","-",'Base Hours'!L176*BaseLoad!R175*'Base Hours'!$AA176)</f>
        <v>-</v>
      </c>
      <c r="M176" s="177" t="str">
        <f>IF($A$1="Peak","-",'Base Hours'!M176*BaseLoad!S175*'Base Hours'!$AA176)</f>
        <v>-</v>
      </c>
      <c r="N176" s="177" t="str">
        <f>IF($A$1="Peak","-",'Base Hours'!N176*BaseLoad!T175*'Base Hours'!$AA176)</f>
        <v>-</v>
      </c>
      <c r="O176" s="177" t="str">
        <f>IF($A$1="Peak","-",'Base Hours'!O176*BaseLoad!U175*'Base Hours'!$AA176)</f>
        <v>-</v>
      </c>
      <c r="P176" s="177" t="str">
        <f>IF($A$1="Peak","-",'Base Hours'!P176*BaseLoad!V175*'Base Hours'!$AA176)</f>
        <v>-</v>
      </c>
      <c r="Q176" s="177" t="str">
        <f>IF($A$1="Peak","-",'Base Hours'!Q176*BaseLoad!W175*'Base Hours'!$AA176)</f>
        <v>-</v>
      </c>
      <c r="R176" s="177" t="str">
        <f>IF($A$1="Peak","-",'Base Hours'!R176*BaseLoad!X175*'Base Hours'!$AA176)</f>
        <v>-</v>
      </c>
      <c r="S176" s="177" t="str">
        <f>IF($A$1="Peak","-",'Base Hours'!S176*BaseLoad!Y175*'Base Hours'!$AA176)</f>
        <v>-</v>
      </c>
      <c r="T176" s="177" t="str">
        <f>IF($A$1="Peak","-",'Base Hours'!T176*BaseLoad!Z175*'Base Hours'!$AA176)</f>
        <v>-</v>
      </c>
      <c r="U176" s="177" t="str">
        <f>IF($A$1="Peak","-",'Base Hours'!U176*BaseLoad!AA175*'Base Hours'!$AA176)</f>
        <v>-</v>
      </c>
      <c r="V176" s="177">
        <f t="shared" si="6"/>
        <v>0</v>
      </c>
      <c r="W176" s="177"/>
      <c r="X176" s="177"/>
      <c r="Y176" s="206"/>
      <c r="Z176" s="206">
        <f>(BaseLoad!C175*'Base Hours'!V176*'Base Hours'!$AA176)*-1</f>
        <v>0</v>
      </c>
      <c r="AA176" s="206"/>
      <c r="AB176" s="206">
        <f>(BaseLoad!D175*'Base Hours'!V176*'Base Hours'!$AA176)*-1</f>
        <v>0</v>
      </c>
      <c r="AC176" s="206"/>
      <c r="AD176" s="206">
        <f>(BaseLoad!E175*'Base Hours'!V176*'Base Hours'!$AA176)*-1</f>
        <v>0</v>
      </c>
      <c r="AE176" s="206"/>
      <c r="AF176" s="206">
        <f>(BaseLoad!F175*'Base Hours'!V176*'Base Hours'!$AA176)*-1</f>
        <v>0</v>
      </c>
      <c r="AG176" s="206"/>
    </row>
    <row r="177" spans="1:33" x14ac:dyDescent="0.2">
      <c r="A177" s="1">
        <f t="shared" si="5"/>
        <v>41619.639000000214</v>
      </c>
      <c r="B177" s="177" t="str">
        <f>IF($A$1="Peak","-",'Base Hours'!B177*BaseLoad!H176*'Base Hours'!$AA177)</f>
        <v>-</v>
      </c>
      <c r="C177" s="177" t="str">
        <f>IF($A$1="Peak","-",'Base Hours'!C177*BaseLoad!I176*'Base Hours'!$AA177)</f>
        <v>-</v>
      </c>
      <c r="D177" s="177" t="str">
        <f>IF($A$1="Peak","-",'Base Hours'!D177*BaseLoad!J176*'Base Hours'!$AA177)</f>
        <v>-</v>
      </c>
      <c r="E177" s="177" t="str">
        <f>IF($A$1="Peak","-",'Base Hours'!E177*BaseLoad!K176*'Base Hours'!$AA177)</f>
        <v>-</v>
      </c>
      <c r="F177" s="177" t="str">
        <f>IF($A$1="Peak","-",'Base Hours'!F177*BaseLoad!L176*'Base Hours'!$AA177)</f>
        <v>-</v>
      </c>
      <c r="G177" s="177" t="str">
        <f>IF($A$1="Peak","-",'Base Hours'!G177*BaseLoad!M176*'Base Hours'!$AA177)</f>
        <v>-</v>
      </c>
      <c r="H177" s="177" t="str">
        <f>IF($A$1="Peak","-",'Base Hours'!H177*BaseLoad!N176*'Base Hours'!$AA177)</f>
        <v>-</v>
      </c>
      <c r="I177" s="177" t="str">
        <f>IF($A$1="Peak","-",'Base Hours'!I177*BaseLoad!O176*'Base Hours'!$AA177)</f>
        <v>-</v>
      </c>
      <c r="J177" s="177" t="str">
        <f>IF($A$1="Peak","-",'Base Hours'!J177*BaseLoad!P176*'Base Hours'!$AA177)</f>
        <v>-</v>
      </c>
      <c r="K177" s="177" t="str">
        <f>IF($A$1="Peak","-",'Base Hours'!K177*BaseLoad!Q176*'Base Hours'!$AA177)</f>
        <v>-</v>
      </c>
      <c r="L177" s="177" t="str">
        <f>IF($A$1="Peak","-",'Base Hours'!L177*BaseLoad!R176*'Base Hours'!$AA177)</f>
        <v>-</v>
      </c>
      <c r="M177" s="177" t="str">
        <f>IF($A$1="Peak","-",'Base Hours'!M177*BaseLoad!S176*'Base Hours'!$AA177)</f>
        <v>-</v>
      </c>
      <c r="N177" s="177" t="str">
        <f>IF($A$1="Peak","-",'Base Hours'!N177*BaseLoad!T176*'Base Hours'!$AA177)</f>
        <v>-</v>
      </c>
      <c r="O177" s="177" t="str">
        <f>IF($A$1="Peak","-",'Base Hours'!O177*BaseLoad!U176*'Base Hours'!$AA177)</f>
        <v>-</v>
      </c>
      <c r="P177" s="177" t="str">
        <f>IF($A$1="Peak","-",'Base Hours'!P177*BaseLoad!V176*'Base Hours'!$AA177)</f>
        <v>-</v>
      </c>
      <c r="Q177" s="177" t="str">
        <f>IF($A$1="Peak","-",'Base Hours'!Q177*BaseLoad!W176*'Base Hours'!$AA177)</f>
        <v>-</v>
      </c>
      <c r="R177" s="177" t="str">
        <f>IF($A$1="Peak","-",'Base Hours'!R177*BaseLoad!X176*'Base Hours'!$AA177)</f>
        <v>-</v>
      </c>
      <c r="S177" s="177" t="str">
        <f>IF($A$1="Peak","-",'Base Hours'!S177*BaseLoad!Y176*'Base Hours'!$AA177)</f>
        <v>-</v>
      </c>
      <c r="T177" s="177" t="str">
        <f>IF($A$1="Peak","-",'Base Hours'!T177*BaseLoad!Z176*'Base Hours'!$AA177)</f>
        <v>-</v>
      </c>
      <c r="U177" s="177" t="str">
        <f>IF($A$1="Peak","-",'Base Hours'!U177*BaseLoad!AA176*'Base Hours'!$AA177)</f>
        <v>-</v>
      </c>
      <c r="V177" s="177">
        <f t="shared" si="6"/>
        <v>0</v>
      </c>
      <c r="W177" s="177"/>
      <c r="X177" s="177"/>
      <c r="Y177" s="206">
        <f>SUM(B166:U177)</f>
        <v>0</v>
      </c>
      <c r="Z177" s="206">
        <f>(BaseLoad!C176*'Base Hours'!V177*'Base Hours'!$AA177)*-1</f>
        <v>0</v>
      </c>
      <c r="AA177" s="206">
        <f>SUM(Z166:Z177)</f>
        <v>0</v>
      </c>
      <c r="AB177" s="206">
        <f>(BaseLoad!D176*'Base Hours'!V177*'Base Hours'!$AA177)*-1</f>
        <v>0</v>
      </c>
      <c r="AC177" s="206">
        <f>SUM(AB166:AB177)</f>
        <v>0</v>
      </c>
      <c r="AD177" s="206">
        <f>(BaseLoad!E176*'Base Hours'!V177*'Base Hours'!$AA177)*-1</f>
        <v>0</v>
      </c>
      <c r="AE177" s="206">
        <f>SUM(AD166:AD177)</f>
        <v>0</v>
      </c>
      <c r="AF177" s="206">
        <f>(BaseLoad!F176*'Base Hours'!V177*'Base Hours'!$AA177)*-1</f>
        <v>0</v>
      </c>
      <c r="AG177" s="206">
        <f>SUM(AF166:AF177)</f>
        <v>0</v>
      </c>
    </row>
    <row r="178" spans="1:33" x14ac:dyDescent="0.2">
      <c r="A178" s="1">
        <f t="shared" si="5"/>
        <v>41650.056000000215</v>
      </c>
      <c r="B178" s="177" t="str">
        <f>IF($A$1="Peak","-",'Base Hours'!B178*BaseLoad!H177*'Base Hours'!$AA178)</f>
        <v>-</v>
      </c>
      <c r="C178" s="177" t="str">
        <f>IF($A$1="Peak","-",'Base Hours'!C178*BaseLoad!I177*'Base Hours'!$AA178)</f>
        <v>-</v>
      </c>
      <c r="D178" s="177" t="str">
        <f>IF($A$1="Peak","-",'Base Hours'!D178*BaseLoad!J177*'Base Hours'!$AA178)</f>
        <v>-</v>
      </c>
      <c r="E178" s="177" t="str">
        <f>IF($A$1="Peak","-",'Base Hours'!E178*BaseLoad!K177*'Base Hours'!$AA178)</f>
        <v>-</v>
      </c>
      <c r="F178" s="177" t="str">
        <f>IF($A$1="Peak","-",'Base Hours'!F178*BaseLoad!L177*'Base Hours'!$AA178)</f>
        <v>-</v>
      </c>
      <c r="G178" s="177" t="str">
        <f>IF($A$1="Peak","-",'Base Hours'!G178*BaseLoad!M177*'Base Hours'!$AA178)</f>
        <v>-</v>
      </c>
      <c r="H178" s="177" t="str">
        <f>IF($A$1="Peak","-",'Base Hours'!H178*BaseLoad!N177*'Base Hours'!$AA178)</f>
        <v>-</v>
      </c>
      <c r="I178" s="177" t="str">
        <f>IF($A$1="Peak","-",'Base Hours'!I178*BaseLoad!O177*'Base Hours'!$AA178)</f>
        <v>-</v>
      </c>
      <c r="J178" s="177" t="str">
        <f>IF($A$1="Peak","-",'Base Hours'!J178*BaseLoad!P177*'Base Hours'!$AA178)</f>
        <v>-</v>
      </c>
      <c r="K178" s="177" t="str">
        <f>IF($A$1="Peak","-",'Base Hours'!K178*BaseLoad!Q177*'Base Hours'!$AA178)</f>
        <v>-</v>
      </c>
      <c r="L178" s="177" t="str">
        <f>IF($A$1="Peak","-",'Base Hours'!L178*BaseLoad!R177*'Base Hours'!$AA178)</f>
        <v>-</v>
      </c>
      <c r="M178" s="177" t="str">
        <f>IF($A$1="Peak","-",'Base Hours'!M178*BaseLoad!S177*'Base Hours'!$AA178)</f>
        <v>-</v>
      </c>
      <c r="N178" s="177" t="str">
        <f>IF($A$1="Peak","-",'Base Hours'!N178*BaseLoad!T177*'Base Hours'!$AA178)</f>
        <v>-</v>
      </c>
      <c r="O178" s="177" t="str">
        <f>IF($A$1="Peak","-",'Base Hours'!O178*BaseLoad!U177*'Base Hours'!$AA178)</f>
        <v>-</v>
      </c>
      <c r="P178" s="177" t="str">
        <f>IF($A$1="Peak","-",'Base Hours'!P178*BaseLoad!V177*'Base Hours'!$AA178)</f>
        <v>-</v>
      </c>
      <c r="Q178" s="177" t="str">
        <f>IF($A$1="Peak","-",'Base Hours'!Q178*BaseLoad!W177*'Base Hours'!$AA178)</f>
        <v>-</v>
      </c>
      <c r="R178" s="177" t="str">
        <f>IF($A$1="Peak","-",'Base Hours'!R178*BaseLoad!X177*'Base Hours'!$AA178)</f>
        <v>-</v>
      </c>
      <c r="S178" s="177" t="str">
        <f>IF($A$1="Peak","-",'Base Hours'!S178*BaseLoad!Y177*'Base Hours'!$AA178)</f>
        <v>-</v>
      </c>
      <c r="T178" s="177" t="str">
        <f>IF($A$1="Peak","-",'Base Hours'!T178*BaseLoad!Z177*'Base Hours'!$AA178)</f>
        <v>-</v>
      </c>
      <c r="U178" s="177" t="str">
        <f>IF($A$1="Peak","-",'Base Hours'!U178*BaseLoad!AA177*'Base Hours'!$AA178)</f>
        <v>-</v>
      </c>
      <c r="V178" s="177">
        <f t="shared" si="6"/>
        <v>0</v>
      </c>
      <c r="W178" s="177"/>
      <c r="X178" s="177"/>
      <c r="Y178" s="206"/>
      <c r="Z178" s="206">
        <f>(BaseLoad!C177*'Base Hours'!V178*'Base Hours'!$AA178)*-1</f>
        <v>0</v>
      </c>
      <c r="AA178" s="206"/>
      <c r="AB178" s="206">
        <f>(BaseLoad!D177*'Base Hours'!V178*'Base Hours'!$AA178)*-1</f>
        <v>0</v>
      </c>
      <c r="AC178" s="206"/>
      <c r="AD178" s="206">
        <f>(BaseLoad!E177*'Base Hours'!V178*'Base Hours'!$AA178)*-1</f>
        <v>0</v>
      </c>
      <c r="AE178" s="206"/>
      <c r="AF178" s="206">
        <f>(BaseLoad!F177*'Base Hours'!V178*'Base Hours'!$AA178)*-1</f>
        <v>0</v>
      </c>
      <c r="AG178" s="206"/>
    </row>
    <row r="179" spans="1:33" x14ac:dyDescent="0.2">
      <c r="A179" s="1">
        <f t="shared" si="5"/>
        <v>41680.473000000216</v>
      </c>
      <c r="B179" s="177" t="str">
        <f>IF($A$1="Peak","-",'Base Hours'!B179*BaseLoad!H178*'Base Hours'!$AA179)</f>
        <v>-</v>
      </c>
      <c r="C179" s="177" t="str">
        <f>IF($A$1="Peak","-",'Base Hours'!C179*BaseLoad!I178*'Base Hours'!$AA179)</f>
        <v>-</v>
      </c>
      <c r="D179" s="177" t="str">
        <f>IF($A$1="Peak","-",'Base Hours'!D179*BaseLoad!J178*'Base Hours'!$AA179)</f>
        <v>-</v>
      </c>
      <c r="E179" s="177" t="str">
        <f>IF($A$1="Peak","-",'Base Hours'!E179*BaseLoad!K178*'Base Hours'!$AA179)</f>
        <v>-</v>
      </c>
      <c r="F179" s="177" t="str">
        <f>IF($A$1="Peak","-",'Base Hours'!F179*BaseLoad!L178*'Base Hours'!$AA179)</f>
        <v>-</v>
      </c>
      <c r="G179" s="177" t="str">
        <f>IF($A$1="Peak","-",'Base Hours'!G179*BaseLoad!M178*'Base Hours'!$AA179)</f>
        <v>-</v>
      </c>
      <c r="H179" s="177" t="str">
        <f>IF($A$1="Peak","-",'Base Hours'!H179*BaseLoad!N178*'Base Hours'!$AA179)</f>
        <v>-</v>
      </c>
      <c r="I179" s="177" t="str">
        <f>IF($A$1="Peak","-",'Base Hours'!I179*BaseLoad!O178*'Base Hours'!$AA179)</f>
        <v>-</v>
      </c>
      <c r="J179" s="177" t="str">
        <f>IF($A$1="Peak","-",'Base Hours'!J179*BaseLoad!P178*'Base Hours'!$AA179)</f>
        <v>-</v>
      </c>
      <c r="K179" s="177" t="str">
        <f>IF($A$1="Peak","-",'Base Hours'!K179*BaseLoad!Q178*'Base Hours'!$AA179)</f>
        <v>-</v>
      </c>
      <c r="L179" s="177" t="str">
        <f>IF($A$1="Peak","-",'Base Hours'!L179*BaseLoad!R178*'Base Hours'!$AA179)</f>
        <v>-</v>
      </c>
      <c r="M179" s="177" t="str">
        <f>IF($A$1="Peak","-",'Base Hours'!M179*BaseLoad!S178*'Base Hours'!$AA179)</f>
        <v>-</v>
      </c>
      <c r="N179" s="177" t="str">
        <f>IF($A$1="Peak","-",'Base Hours'!N179*BaseLoad!T178*'Base Hours'!$AA179)</f>
        <v>-</v>
      </c>
      <c r="O179" s="177" t="str">
        <f>IF($A$1="Peak","-",'Base Hours'!O179*BaseLoad!U178*'Base Hours'!$AA179)</f>
        <v>-</v>
      </c>
      <c r="P179" s="177" t="str">
        <f>IF($A$1="Peak","-",'Base Hours'!P179*BaseLoad!V178*'Base Hours'!$AA179)</f>
        <v>-</v>
      </c>
      <c r="Q179" s="177" t="str">
        <f>IF($A$1="Peak","-",'Base Hours'!Q179*BaseLoad!W178*'Base Hours'!$AA179)</f>
        <v>-</v>
      </c>
      <c r="R179" s="177" t="str">
        <f>IF($A$1="Peak","-",'Base Hours'!R179*BaseLoad!X178*'Base Hours'!$AA179)</f>
        <v>-</v>
      </c>
      <c r="S179" s="177" t="str">
        <f>IF($A$1="Peak","-",'Base Hours'!S179*BaseLoad!Y178*'Base Hours'!$AA179)</f>
        <v>-</v>
      </c>
      <c r="T179" s="177" t="str">
        <f>IF($A$1="Peak","-",'Base Hours'!T179*BaseLoad!Z178*'Base Hours'!$AA179)</f>
        <v>-</v>
      </c>
      <c r="U179" s="177" t="str">
        <f>IF($A$1="Peak","-",'Base Hours'!U179*BaseLoad!AA178*'Base Hours'!$AA179)</f>
        <v>-</v>
      </c>
      <c r="V179" s="177">
        <f t="shared" si="6"/>
        <v>0</v>
      </c>
      <c r="W179" s="177"/>
      <c r="X179" s="177"/>
      <c r="Y179" s="206"/>
      <c r="Z179" s="206">
        <f>(BaseLoad!C178*'Base Hours'!V179*'Base Hours'!$AA179)*-1</f>
        <v>0</v>
      </c>
      <c r="AA179" s="206"/>
      <c r="AB179" s="206">
        <f>(BaseLoad!D178*'Base Hours'!V179*'Base Hours'!$AA179)*-1</f>
        <v>0</v>
      </c>
      <c r="AC179" s="206"/>
      <c r="AD179" s="206">
        <f>(BaseLoad!E178*'Base Hours'!V179*'Base Hours'!$AA179)*-1</f>
        <v>0</v>
      </c>
      <c r="AE179" s="206"/>
      <c r="AF179" s="206">
        <f>(BaseLoad!F178*'Base Hours'!V179*'Base Hours'!$AA179)*-1</f>
        <v>0</v>
      </c>
      <c r="AG179" s="206"/>
    </row>
    <row r="180" spans="1:33" x14ac:dyDescent="0.2">
      <c r="A180" s="1">
        <f t="shared" si="5"/>
        <v>41710.890000000218</v>
      </c>
      <c r="B180" s="177" t="str">
        <f>IF($A$1="Peak","-",'Base Hours'!B180*BaseLoad!H179*'Base Hours'!$AA180)</f>
        <v>-</v>
      </c>
      <c r="C180" s="177" t="str">
        <f>IF($A$1="Peak","-",'Base Hours'!C180*BaseLoad!I179*'Base Hours'!$AA180)</f>
        <v>-</v>
      </c>
      <c r="D180" s="177" t="str">
        <f>IF($A$1="Peak","-",'Base Hours'!D180*BaseLoad!J179*'Base Hours'!$AA180)</f>
        <v>-</v>
      </c>
      <c r="E180" s="177" t="str">
        <f>IF($A$1="Peak","-",'Base Hours'!E180*BaseLoad!K179*'Base Hours'!$AA180)</f>
        <v>-</v>
      </c>
      <c r="F180" s="177" t="str">
        <f>IF($A$1="Peak","-",'Base Hours'!F180*BaseLoad!L179*'Base Hours'!$AA180)</f>
        <v>-</v>
      </c>
      <c r="G180" s="177" t="str">
        <f>IF($A$1="Peak","-",'Base Hours'!G180*BaseLoad!M179*'Base Hours'!$AA180)</f>
        <v>-</v>
      </c>
      <c r="H180" s="177" t="str">
        <f>IF($A$1="Peak","-",'Base Hours'!H180*BaseLoad!N179*'Base Hours'!$AA180)</f>
        <v>-</v>
      </c>
      <c r="I180" s="177" t="str">
        <f>IF($A$1="Peak","-",'Base Hours'!I180*BaseLoad!O179*'Base Hours'!$AA180)</f>
        <v>-</v>
      </c>
      <c r="J180" s="177" t="str">
        <f>IF($A$1="Peak","-",'Base Hours'!J180*BaseLoad!P179*'Base Hours'!$AA180)</f>
        <v>-</v>
      </c>
      <c r="K180" s="177" t="str">
        <f>IF($A$1="Peak","-",'Base Hours'!K180*BaseLoad!Q179*'Base Hours'!$AA180)</f>
        <v>-</v>
      </c>
      <c r="L180" s="177" t="str">
        <f>IF($A$1="Peak","-",'Base Hours'!L180*BaseLoad!R179*'Base Hours'!$AA180)</f>
        <v>-</v>
      </c>
      <c r="M180" s="177" t="str">
        <f>IF($A$1="Peak","-",'Base Hours'!M180*BaseLoad!S179*'Base Hours'!$AA180)</f>
        <v>-</v>
      </c>
      <c r="N180" s="177" t="str">
        <f>IF($A$1="Peak","-",'Base Hours'!N180*BaseLoad!T179*'Base Hours'!$AA180)</f>
        <v>-</v>
      </c>
      <c r="O180" s="177" t="str">
        <f>IF($A$1="Peak","-",'Base Hours'!O180*BaseLoad!U179*'Base Hours'!$AA180)</f>
        <v>-</v>
      </c>
      <c r="P180" s="177" t="str">
        <f>IF($A$1="Peak","-",'Base Hours'!P180*BaseLoad!V179*'Base Hours'!$AA180)</f>
        <v>-</v>
      </c>
      <c r="Q180" s="177" t="str">
        <f>IF($A$1="Peak","-",'Base Hours'!Q180*BaseLoad!W179*'Base Hours'!$AA180)</f>
        <v>-</v>
      </c>
      <c r="R180" s="177" t="str">
        <f>IF($A$1="Peak","-",'Base Hours'!R180*BaseLoad!X179*'Base Hours'!$AA180)</f>
        <v>-</v>
      </c>
      <c r="S180" s="177" t="str">
        <f>IF($A$1="Peak","-",'Base Hours'!S180*BaseLoad!Y179*'Base Hours'!$AA180)</f>
        <v>-</v>
      </c>
      <c r="T180" s="177" t="str">
        <f>IF($A$1="Peak","-",'Base Hours'!T180*BaseLoad!Z179*'Base Hours'!$AA180)</f>
        <v>-</v>
      </c>
      <c r="U180" s="177" t="str">
        <f>IF($A$1="Peak","-",'Base Hours'!U180*BaseLoad!AA179*'Base Hours'!$AA180)</f>
        <v>-</v>
      </c>
      <c r="V180" s="177">
        <f t="shared" si="6"/>
        <v>0</v>
      </c>
      <c r="W180" s="177"/>
      <c r="X180" s="177"/>
      <c r="Y180" s="206"/>
      <c r="Z180" s="206">
        <f>(BaseLoad!C179*'Base Hours'!V180*'Base Hours'!$AA180)*-1</f>
        <v>0</v>
      </c>
      <c r="AA180" s="206"/>
      <c r="AB180" s="206">
        <f>(BaseLoad!D179*'Base Hours'!V180*'Base Hours'!$AA180)*-1</f>
        <v>0</v>
      </c>
      <c r="AC180" s="206"/>
      <c r="AD180" s="206">
        <f>(BaseLoad!E179*'Base Hours'!V180*'Base Hours'!$AA180)*-1</f>
        <v>0</v>
      </c>
      <c r="AE180" s="206"/>
      <c r="AF180" s="206">
        <f>(BaseLoad!F179*'Base Hours'!V180*'Base Hours'!$AA180)*-1</f>
        <v>0</v>
      </c>
      <c r="AG180" s="206"/>
    </row>
    <row r="181" spans="1:33" x14ac:dyDescent="0.2">
      <c r="A181" s="1">
        <f t="shared" si="5"/>
        <v>41741.307000000219</v>
      </c>
      <c r="B181" s="177" t="str">
        <f>IF($A$1="Peak","-",'Base Hours'!B181*BaseLoad!H180*'Base Hours'!$AA181)</f>
        <v>-</v>
      </c>
      <c r="C181" s="177" t="str">
        <f>IF($A$1="Peak","-",'Base Hours'!C181*BaseLoad!I180*'Base Hours'!$AA181)</f>
        <v>-</v>
      </c>
      <c r="D181" s="177" t="str">
        <f>IF($A$1="Peak","-",'Base Hours'!D181*BaseLoad!J180*'Base Hours'!$AA181)</f>
        <v>-</v>
      </c>
      <c r="E181" s="177" t="str">
        <f>IF($A$1="Peak","-",'Base Hours'!E181*BaseLoad!K180*'Base Hours'!$AA181)</f>
        <v>-</v>
      </c>
      <c r="F181" s="177" t="str">
        <f>IF($A$1="Peak","-",'Base Hours'!F181*BaseLoad!L180*'Base Hours'!$AA181)</f>
        <v>-</v>
      </c>
      <c r="G181" s="177" t="str">
        <f>IF($A$1="Peak","-",'Base Hours'!G181*BaseLoad!M180*'Base Hours'!$AA181)</f>
        <v>-</v>
      </c>
      <c r="H181" s="177" t="str">
        <f>IF($A$1="Peak","-",'Base Hours'!H181*BaseLoad!N180*'Base Hours'!$AA181)</f>
        <v>-</v>
      </c>
      <c r="I181" s="177" t="str">
        <f>IF($A$1="Peak","-",'Base Hours'!I181*BaseLoad!O180*'Base Hours'!$AA181)</f>
        <v>-</v>
      </c>
      <c r="J181" s="177" t="str">
        <f>IF($A$1="Peak","-",'Base Hours'!J181*BaseLoad!P180*'Base Hours'!$AA181)</f>
        <v>-</v>
      </c>
      <c r="K181" s="177" t="str">
        <f>IF($A$1="Peak","-",'Base Hours'!K181*BaseLoad!Q180*'Base Hours'!$AA181)</f>
        <v>-</v>
      </c>
      <c r="L181" s="177" t="str">
        <f>IF($A$1="Peak","-",'Base Hours'!L181*BaseLoad!R180*'Base Hours'!$AA181)</f>
        <v>-</v>
      </c>
      <c r="M181" s="177" t="str">
        <f>IF($A$1="Peak","-",'Base Hours'!M181*BaseLoad!S180*'Base Hours'!$AA181)</f>
        <v>-</v>
      </c>
      <c r="N181" s="177" t="str">
        <f>IF($A$1="Peak","-",'Base Hours'!N181*BaseLoad!T180*'Base Hours'!$AA181)</f>
        <v>-</v>
      </c>
      <c r="O181" s="177" t="str">
        <f>IF($A$1="Peak","-",'Base Hours'!O181*BaseLoad!U180*'Base Hours'!$AA181)</f>
        <v>-</v>
      </c>
      <c r="P181" s="177" t="str">
        <f>IF($A$1="Peak","-",'Base Hours'!P181*BaseLoad!V180*'Base Hours'!$AA181)</f>
        <v>-</v>
      </c>
      <c r="Q181" s="177" t="str">
        <f>IF($A$1="Peak","-",'Base Hours'!Q181*BaseLoad!W180*'Base Hours'!$AA181)</f>
        <v>-</v>
      </c>
      <c r="R181" s="177" t="str">
        <f>IF($A$1="Peak","-",'Base Hours'!R181*BaseLoad!X180*'Base Hours'!$AA181)</f>
        <v>-</v>
      </c>
      <c r="S181" s="177" t="str">
        <f>IF($A$1="Peak","-",'Base Hours'!S181*BaseLoad!Y180*'Base Hours'!$AA181)</f>
        <v>-</v>
      </c>
      <c r="T181" s="177" t="str">
        <f>IF($A$1="Peak","-",'Base Hours'!T181*BaseLoad!Z180*'Base Hours'!$AA181)</f>
        <v>-</v>
      </c>
      <c r="U181" s="177" t="str">
        <f>IF($A$1="Peak","-",'Base Hours'!U181*BaseLoad!AA180*'Base Hours'!$AA181)</f>
        <v>-</v>
      </c>
      <c r="V181" s="177">
        <f t="shared" si="6"/>
        <v>0</v>
      </c>
      <c r="W181" s="177"/>
      <c r="X181" s="177"/>
      <c r="Y181" s="206"/>
      <c r="Z181" s="206">
        <f>(BaseLoad!C180*'Base Hours'!V181*'Base Hours'!$AA181)*-1</f>
        <v>0</v>
      </c>
      <c r="AA181" s="206"/>
      <c r="AB181" s="206">
        <f>(BaseLoad!D180*'Base Hours'!V181*'Base Hours'!$AA181)*-1</f>
        <v>0</v>
      </c>
      <c r="AC181" s="206"/>
      <c r="AD181" s="206">
        <f>(BaseLoad!E180*'Base Hours'!V181*'Base Hours'!$AA181)*-1</f>
        <v>0</v>
      </c>
      <c r="AE181" s="206"/>
      <c r="AF181" s="206">
        <f>(BaseLoad!F180*'Base Hours'!V181*'Base Hours'!$AA181)*-1</f>
        <v>0</v>
      </c>
      <c r="AG181" s="206"/>
    </row>
    <row r="182" spans="1:33" x14ac:dyDescent="0.2">
      <c r="A182" s="1">
        <f t="shared" si="5"/>
        <v>41771.72400000022</v>
      </c>
      <c r="B182" s="177" t="str">
        <f>IF($A$1="Peak","-",'Base Hours'!B182*BaseLoad!H181*'Base Hours'!$AA182)</f>
        <v>-</v>
      </c>
      <c r="C182" s="177" t="str">
        <f>IF($A$1="Peak","-",'Base Hours'!C182*BaseLoad!I181*'Base Hours'!$AA182)</f>
        <v>-</v>
      </c>
      <c r="D182" s="177" t="str">
        <f>IF($A$1="Peak","-",'Base Hours'!D182*BaseLoad!J181*'Base Hours'!$AA182)</f>
        <v>-</v>
      </c>
      <c r="E182" s="177" t="str">
        <f>IF($A$1="Peak","-",'Base Hours'!E182*BaseLoad!K181*'Base Hours'!$AA182)</f>
        <v>-</v>
      </c>
      <c r="F182" s="177" t="str">
        <f>IF($A$1="Peak","-",'Base Hours'!F182*BaseLoad!L181*'Base Hours'!$AA182)</f>
        <v>-</v>
      </c>
      <c r="G182" s="177" t="str">
        <f>IF($A$1="Peak","-",'Base Hours'!G182*BaseLoad!M181*'Base Hours'!$AA182)</f>
        <v>-</v>
      </c>
      <c r="H182" s="177" t="str">
        <f>IF($A$1="Peak","-",'Base Hours'!H182*BaseLoad!N181*'Base Hours'!$AA182)</f>
        <v>-</v>
      </c>
      <c r="I182" s="177" t="str">
        <f>IF($A$1="Peak","-",'Base Hours'!I182*BaseLoad!O181*'Base Hours'!$AA182)</f>
        <v>-</v>
      </c>
      <c r="J182" s="177" t="str">
        <f>IF($A$1="Peak","-",'Base Hours'!J182*BaseLoad!P181*'Base Hours'!$AA182)</f>
        <v>-</v>
      </c>
      <c r="K182" s="177" t="str">
        <f>IF($A$1="Peak","-",'Base Hours'!K182*BaseLoad!Q181*'Base Hours'!$AA182)</f>
        <v>-</v>
      </c>
      <c r="L182" s="177" t="str">
        <f>IF($A$1="Peak","-",'Base Hours'!L182*BaseLoad!R181*'Base Hours'!$AA182)</f>
        <v>-</v>
      </c>
      <c r="M182" s="177" t="str">
        <f>IF($A$1="Peak","-",'Base Hours'!M182*BaseLoad!S181*'Base Hours'!$AA182)</f>
        <v>-</v>
      </c>
      <c r="N182" s="177" t="str">
        <f>IF($A$1="Peak","-",'Base Hours'!N182*BaseLoad!T181*'Base Hours'!$AA182)</f>
        <v>-</v>
      </c>
      <c r="O182" s="177" t="str">
        <f>IF($A$1="Peak","-",'Base Hours'!O182*BaseLoad!U181*'Base Hours'!$AA182)</f>
        <v>-</v>
      </c>
      <c r="P182" s="177" t="str">
        <f>IF($A$1="Peak","-",'Base Hours'!P182*BaseLoad!V181*'Base Hours'!$AA182)</f>
        <v>-</v>
      </c>
      <c r="Q182" s="177" t="str">
        <f>IF($A$1="Peak","-",'Base Hours'!Q182*BaseLoad!W181*'Base Hours'!$AA182)</f>
        <v>-</v>
      </c>
      <c r="R182" s="177" t="str">
        <f>IF($A$1="Peak","-",'Base Hours'!R182*BaseLoad!X181*'Base Hours'!$AA182)</f>
        <v>-</v>
      </c>
      <c r="S182" s="177" t="str">
        <f>IF($A$1="Peak","-",'Base Hours'!S182*BaseLoad!Y181*'Base Hours'!$AA182)</f>
        <v>-</v>
      </c>
      <c r="T182" s="177" t="str">
        <f>IF($A$1="Peak","-",'Base Hours'!T182*BaseLoad!Z181*'Base Hours'!$AA182)</f>
        <v>-</v>
      </c>
      <c r="U182" s="177" t="str">
        <f>IF($A$1="Peak","-",'Base Hours'!U182*BaseLoad!AA181*'Base Hours'!$AA182)</f>
        <v>-</v>
      </c>
      <c r="V182" s="177">
        <f t="shared" si="6"/>
        <v>0</v>
      </c>
      <c r="W182" s="177"/>
      <c r="X182" s="177"/>
      <c r="Y182" s="206"/>
      <c r="Z182" s="206">
        <f>(BaseLoad!C181*'Base Hours'!V182*'Base Hours'!$AA182)*-1</f>
        <v>0</v>
      </c>
      <c r="AA182" s="206"/>
      <c r="AB182" s="206">
        <f>(BaseLoad!D181*'Base Hours'!V182*'Base Hours'!$AA182)*-1</f>
        <v>0</v>
      </c>
      <c r="AC182" s="206"/>
      <c r="AD182" s="206">
        <f>(BaseLoad!E181*'Base Hours'!V182*'Base Hours'!$AA182)*-1</f>
        <v>0</v>
      </c>
      <c r="AE182" s="206"/>
      <c r="AF182" s="206">
        <f>(BaseLoad!F181*'Base Hours'!V182*'Base Hours'!$AA182)*-1</f>
        <v>0</v>
      </c>
      <c r="AG182" s="206"/>
    </row>
    <row r="183" spans="1:33" x14ac:dyDescent="0.2">
      <c r="A183" s="1">
        <f t="shared" si="5"/>
        <v>41802.141000000222</v>
      </c>
      <c r="B183" s="177" t="str">
        <f>IF($A$1="Peak","-",'Base Hours'!B183*BaseLoad!H182*'Base Hours'!$AA183)</f>
        <v>-</v>
      </c>
      <c r="C183" s="177" t="str">
        <f>IF($A$1="Peak","-",'Base Hours'!C183*BaseLoad!I182*'Base Hours'!$AA183)</f>
        <v>-</v>
      </c>
      <c r="D183" s="177" t="str">
        <f>IF($A$1="Peak","-",'Base Hours'!D183*BaseLoad!J182*'Base Hours'!$AA183)</f>
        <v>-</v>
      </c>
      <c r="E183" s="177" t="str">
        <f>IF($A$1="Peak","-",'Base Hours'!E183*BaseLoad!K182*'Base Hours'!$AA183)</f>
        <v>-</v>
      </c>
      <c r="F183" s="177" t="str">
        <f>IF($A$1="Peak","-",'Base Hours'!F183*BaseLoad!L182*'Base Hours'!$AA183)</f>
        <v>-</v>
      </c>
      <c r="G183" s="177" t="str">
        <f>IF($A$1="Peak","-",'Base Hours'!G183*BaseLoad!M182*'Base Hours'!$AA183)</f>
        <v>-</v>
      </c>
      <c r="H183" s="177" t="str">
        <f>IF($A$1="Peak","-",'Base Hours'!H183*BaseLoad!N182*'Base Hours'!$AA183)</f>
        <v>-</v>
      </c>
      <c r="I183" s="177" t="str">
        <f>IF($A$1="Peak","-",'Base Hours'!I183*BaseLoad!O182*'Base Hours'!$AA183)</f>
        <v>-</v>
      </c>
      <c r="J183" s="177" t="str">
        <f>IF($A$1="Peak","-",'Base Hours'!J183*BaseLoad!P182*'Base Hours'!$AA183)</f>
        <v>-</v>
      </c>
      <c r="K183" s="177" t="str">
        <f>IF($A$1="Peak","-",'Base Hours'!K183*BaseLoad!Q182*'Base Hours'!$AA183)</f>
        <v>-</v>
      </c>
      <c r="L183" s="177" t="str">
        <f>IF($A$1="Peak","-",'Base Hours'!L183*BaseLoad!R182*'Base Hours'!$AA183)</f>
        <v>-</v>
      </c>
      <c r="M183" s="177" t="str">
        <f>IF($A$1="Peak","-",'Base Hours'!M183*BaseLoad!S182*'Base Hours'!$AA183)</f>
        <v>-</v>
      </c>
      <c r="N183" s="177" t="str">
        <f>IF($A$1="Peak","-",'Base Hours'!N183*BaseLoad!T182*'Base Hours'!$AA183)</f>
        <v>-</v>
      </c>
      <c r="O183" s="177" t="str">
        <f>IF($A$1="Peak","-",'Base Hours'!O183*BaseLoad!U182*'Base Hours'!$AA183)</f>
        <v>-</v>
      </c>
      <c r="P183" s="177" t="str">
        <f>IF($A$1="Peak","-",'Base Hours'!P183*BaseLoad!V182*'Base Hours'!$AA183)</f>
        <v>-</v>
      </c>
      <c r="Q183" s="177" t="str">
        <f>IF($A$1="Peak","-",'Base Hours'!Q183*BaseLoad!W182*'Base Hours'!$AA183)</f>
        <v>-</v>
      </c>
      <c r="R183" s="177" t="str">
        <f>IF($A$1="Peak","-",'Base Hours'!R183*BaseLoad!X182*'Base Hours'!$AA183)</f>
        <v>-</v>
      </c>
      <c r="S183" s="177" t="str">
        <f>IF($A$1="Peak","-",'Base Hours'!S183*BaseLoad!Y182*'Base Hours'!$AA183)</f>
        <v>-</v>
      </c>
      <c r="T183" s="177" t="str">
        <f>IF($A$1="Peak","-",'Base Hours'!T183*BaseLoad!Z182*'Base Hours'!$AA183)</f>
        <v>-</v>
      </c>
      <c r="U183" s="177" t="str">
        <f>IF($A$1="Peak","-",'Base Hours'!U183*BaseLoad!AA182*'Base Hours'!$AA183)</f>
        <v>-</v>
      </c>
      <c r="V183" s="177">
        <f t="shared" si="6"/>
        <v>0</v>
      </c>
      <c r="W183" s="177"/>
      <c r="X183" s="177"/>
      <c r="Y183" s="206"/>
      <c r="Z183" s="206">
        <f>(BaseLoad!C182*'Base Hours'!V183*'Base Hours'!$AA183)*-1</f>
        <v>0</v>
      </c>
      <c r="AA183" s="206"/>
      <c r="AB183" s="206">
        <f>(BaseLoad!D182*'Base Hours'!V183*'Base Hours'!$AA183)*-1</f>
        <v>0</v>
      </c>
      <c r="AC183" s="206"/>
      <c r="AD183" s="206">
        <f>(BaseLoad!E182*'Base Hours'!V183*'Base Hours'!$AA183)*-1</f>
        <v>0</v>
      </c>
      <c r="AE183" s="206"/>
      <c r="AF183" s="206">
        <f>(BaseLoad!F182*'Base Hours'!V183*'Base Hours'!$AA183)*-1</f>
        <v>0</v>
      </c>
      <c r="AG183" s="206"/>
    </row>
    <row r="184" spans="1:33" x14ac:dyDescent="0.2">
      <c r="A184" s="1">
        <f t="shared" si="5"/>
        <v>41832.558000000223</v>
      </c>
      <c r="B184" s="177" t="str">
        <f>IF($A$1="Peak","-",'Base Hours'!B184*BaseLoad!H183*'Base Hours'!$AA184)</f>
        <v>-</v>
      </c>
      <c r="C184" s="177" t="str">
        <f>IF($A$1="Peak","-",'Base Hours'!C184*BaseLoad!I183*'Base Hours'!$AA184)</f>
        <v>-</v>
      </c>
      <c r="D184" s="177" t="str">
        <f>IF($A$1="Peak","-",'Base Hours'!D184*BaseLoad!J183*'Base Hours'!$AA184)</f>
        <v>-</v>
      </c>
      <c r="E184" s="177" t="str">
        <f>IF($A$1="Peak","-",'Base Hours'!E184*BaseLoad!K183*'Base Hours'!$AA184)</f>
        <v>-</v>
      </c>
      <c r="F184" s="177" t="str">
        <f>IF($A$1="Peak","-",'Base Hours'!F184*BaseLoad!L183*'Base Hours'!$AA184)</f>
        <v>-</v>
      </c>
      <c r="G184" s="177" t="str">
        <f>IF($A$1="Peak","-",'Base Hours'!G184*BaseLoad!M183*'Base Hours'!$AA184)</f>
        <v>-</v>
      </c>
      <c r="H184" s="177" t="str">
        <f>IF($A$1="Peak","-",'Base Hours'!H184*BaseLoad!N183*'Base Hours'!$AA184)</f>
        <v>-</v>
      </c>
      <c r="I184" s="177" t="str">
        <f>IF($A$1="Peak","-",'Base Hours'!I184*BaseLoad!O183*'Base Hours'!$AA184)</f>
        <v>-</v>
      </c>
      <c r="J184" s="177" t="str">
        <f>IF($A$1="Peak","-",'Base Hours'!J184*BaseLoad!P183*'Base Hours'!$AA184)</f>
        <v>-</v>
      </c>
      <c r="K184" s="177" t="str">
        <f>IF($A$1="Peak","-",'Base Hours'!K184*BaseLoad!Q183*'Base Hours'!$AA184)</f>
        <v>-</v>
      </c>
      <c r="L184" s="177" t="str">
        <f>IF($A$1="Peak","-",'Base Hours'!L184*BaseLoad!R183*'Base Hours'!$AA184)</f>
        <v>-</v>
      </c>
      <c r="M184" s="177" t="str">
        <f>IF($A$1="Peak","-",'Base Hours'!M184*BaseLoad!S183*'Base Hours'!$AA184)</f>
        <v>-</v>
      </c>
      <c r="N184" s="177" t="str">
        <f>IF($A$1="Peak","-",'Base Hours'!N184*BaseLoad!T183*'Base Hours'!$AA184)</f>
        <v>-</v>
      </c>
      <c r="O184" s="177" t="str">
        <f>IF($A$1="Peak","-",'Base Hours'!O184*BaseLoad!U183*'Base Hours'!$AA184)</f>
        <v>-</v>
      </c>
      <c r="P184" s="177" t="str">
        <f>IF($A$1="Peak","-",'Base Hours'!P184*BaseLoad!V183*'Base Hours'!$AA184)</f>
        <v>-</v>
      </c>
      <c r="Q184" s="177" t="str">
        <f>IF($A$1="Peak","-",'Base Hours'!Q184*BaseLoad!W183*'Base Hours'!$AA184)</f>
        <v>-</v>
      </c>
      <c r="R184" s="177" t="str">
        <f>IF($A$1="Peak","-",'Base Hours'!R184*BaseLoad!X183*'Base Hours'!$AA184)</f>
        <v>-</v>
      </c>
      <c r="S184" s="177" t="str">
        <f>IF($A$1="Peak","-",'Base Hours'!S184*BaseLoad!Y183*'Base Hours'!$AA184)</f>
        <v>-</v>
      </c>
      <c r="T184" s="177" t="str">
        <f>IF($A$1="Peak","-",'Base Hours'!T184*BaseLoad!Z183*'Base Hours'!$AA184)</f>
        <v>-</v>
      </c>
      <c r="U184" s="177" t="str">
        <f>IF($A$1="Peak","-",'Base Hours'!U184*BaseLoad!AA183*'Base Hours'!$AA184)</f>
        <v>-</v>
      </c>
      <c r="V184" s="177">
        <f t="shared" si="6"/>
        <v>0</v>
      </c>
      <c r="W184" s="177"/>
      <c r="X184" s="177"/>
      <c r="Y184" s="206"/>
      <c r="Z184" s="206">
        <f>(BaseLoad!C183*'Base Hours'!V184*'Base Hours'!$AA184)*-1</f>
        <v>0</v>
      </c>
      <c r="AA184" s="206"/>
      <c r="AB184" s="206">
        <f>(BaseLoad!D183*'Base Hours'!V184*'Base Hours'!$AA184)*-1</f>
        <v>0</v>
      </c>
      <c r="AC184" s="206"/>
      <c r="AD184" s="206">
        <f>(BaseLoad!E183*'Base Hours'!V184*'Base Hours'!$AA184)*-1</f>
        <v>0</v>
      </c>
      <c r="AE184" s="206"/>
      <c r="AF184" s="206">
        <f>(BaseLoad!F183*'Base Hours'!V184*'Base Hours'!$AA184)*-1</f>
        <v>0</v>
      </c>
      <c r="AG184" s="206"/>
    </row>
    <row r="185" spans="1:33" x14ac:dyDescent="0.2">
      <c r="A185" s="1">
        <f t="shared" si="5"/>
        <v>41862.975000000224</v>
      </c>
      <c r="B185" s="177" t="str">
        <f>IF($A$1="Peak","-",'Base Hours'!B185*BaseLoad!H184*'Base Hours'!$AA185)</f>
        <v>-</v>
      </c>
      <c r="C185" s="177" t="str">
        <f>IF($A$1="Peak","-",'Base Hours'!C185*BaseLoad!I184*'Base Hours'!$AA185)</f>
        <v>-</v>
      </c>
      <c r="D185" s="177" t="str">
        <f>IF($A$1="Peak","-",'Base Hours'!D185*BaseLoad!J184*'Base Hours'!$AA185)</f>
        <v>-</v>
      </c>
      <c r="E185" s="177" t="str">
        <f>IF($A$1="Peak","-",'Base Hours'!E185*BaseLoad!K184*'Base Hours'!$AA185)</f>
        <v>-</v>
      </c>
      <c r="F185" s="177" t="str">
        <f>IF($A$1="Peak","-",'Base Hours'!F185*BaseLoad!L184*'Base Hours'!$AA185)</f>
        <v>-</v>
      </c>
      <c r="G185" s="177" t="str">
        <f>IF($A$1="Peak","-",'Base Hours'!G185*BaseLoad!M184*'Base Hours'!$AA185)</f>
        <v>-</v>
      </c>
      <c r="H185" s="177" t="str">
        <f>IF($A$1="Peak","-",'Base Hours'!H185*BaseLoad!N184*'Base Hours'!$AA185)</f>
        <v>-</v>
      </c>
      <c r="I185" s="177" t="str">
        <f>IF($A$1="Peak","-",'Base Hours'!I185*BaseLoad!O184*'Base Hours'!$AA185)</f>
        <v>-</v>
      </c>
      <c r="J185" s="177" t="str">
        <f>IF($A$1="Peak","-",'Base Hours'!J185*BaseLoad!P184*'Base Hours'!$AA185)</f>
        <v>-</v>
      </c>
      <c r="K185" s="177" t="str">
        <f>IF($A$1="Peak","-",'Base Hours'!K185*BaseLoad!Q184*'Base Hours'!$AA185)</f>
        <v>-</v>
      </c>
      <c r="L185" s="177" t="str">
        <f>IF($A$1="Peak","-",'Base Hours'!L185*BaseLoad!R184*'Base Hours'!$AA185)</f>
        <v>-</v>
      </c>
      <c r="M185" s="177" t="str">
        <f>IF($A$1="Peak","-",'Base Hours'!M185*BaseLoad!S184*'Base Hours'!$AA185)</f>
        <v>-</v>
      </c>
      <c r="N185" s="177" t="str">
        <f>IF($A$1="Peak","-",'Base Hours'!N185*BaseLoad!T184*'Base Hours'!$AA185)</f>
        <v>-</v>
      </c>
      <c r="O185" s="177" t="str">
        <f>IF($A$1="Peak","-",'Base Hours'!O185*BaseLoad!U184*'Base Hours'!$AA185)</f>
        <v>-</v>
      </c>
      <c r="P185" s="177" t="str">
        <f>IF($A$1="Peak","-",'Base Hours'!P185*BaseLoad!V184*'Base Hours'!$AA185)</f>
        <v>-</v>
      </c>
      <c r="Q185" s="177" t="str">
        <f>IF($A$1="Peak","-",'Base Hours'!Q185*BaseLoad!W184*'Base Hours'!$AA185)</f>
        <v>-</v>
      </c>
      <c r="R185" s="177" t="str">
        <f>IF($A$1="Peak","-",'Base Hours'!R185*BaseLoad!X184*'Base Hours'!$AA185)</f>
        <v>-</v>
      </c>
      <c r="S185" s="177" t="str">
        <f>IF($A$1="Peak","-",'Base Hours'!S185*BaseLoad!Y184*'Base Hours'!$AA185)</f>
        <v>-</v>
      </c>
      <c r="T185" s="177" t="str">
        <f>IF($A$1="Peak","-",'Base Hours'!T185*BaseLoad!Z184*'Base Hours'!$AA185)</f>
        <v>-</v>
      </c>
      <c r="U185" s="177" t="str">
        <f>IF($A$1="Peak","-",'Base Hours'!U185*BaseLoad!AA184*'Base Hours'!$AA185)</f>
        <v>-</v>
      </c>
      <c r="V185" s="177">
        <f t="shared" si="6"/>
        <v>0</v>
      </c>
      <c r="W185" s="177"/>
      <c r="X185" s="177"/>
      <c r="Y185" s="206"/>
      <c r="Z185" s="206">
        <f>(BaseLoad!C184*'Base Hours'!V185*'Base Hours'!$AA185)*-1</f>
        <v>0</v>
      </c>
      <c r="AA185" s="206"/>
      <c r="AB185" s="206">
        <f>(BaseLoad!D184*'Base Hours'!V185*'Base Hours'!$AA185)*-1</f>
        <v>0</v>
      </c>
      <c r="AC185" s="206"/>
      <c r="AD185" s="206">
        <f>(BaseLoad!E184*'Base Hours'!V185*'Base Hours'!$AA185)*-1</f>
        <v>0</v>
      </c>
      <c r="AE185" s="206"/>
      <c r="AF185" s="206">
        <f>(BaseLoad!F184*'Base Hours'!V185*'Base Hours'!$AA185)*-1</f>
        <v>0</v>
      </c>
      <c r="AG185" s="206"/>
    </row>
    <row r="186" spans="1:33" x14ac:dyDescent="0.2">
      <c r="A186" s="1">
        <f t="shared" si="5"/>
        <v>41893.392000000225</v>
      </c>
      <c r="B186" s="177" t="str">
        <f>IF($A$1="Peak","-",'Base Hours'!B186*BaseLoad!H185*'Base Hours'!$AA186)</f>
        <v>-</v>
      </c>
      <c r="C186" s="177" t="str">
        <f>IF($A$1="Peak","-",'Base Hours'!C186*BaseLoad!I185*'Base Hours'!$AA186)</f>
        <v>-</v>
      </c>
      <c r="D186" s="177" t="str">
        <f>IF($A$1="Peak","-",'Base Hours'!D186*BaseLoad!J185*'Base Hours'!$AA186)</f>
        <v>-</v>
      </c>
      <c r="E186" s="177" t="str">
        <f>IF($A$1="Peak","-",'Base Hours'!E186*BaseLoad!K185*'Base Hours'!$AA186)</f>
        <v>-</v>
      </c>
      <c r="F186" s="177" t="str">
        <f>IF($A$1="Peak","-",'Base Hours'!F186*BaseLoad!L185*'Base Hours'!$AA186)</f>
        <v>-</v>
      </c>
      <c r="G186" s="177" t="str">
        <f>IF($A$1="Peak","-",'Base Hours'!G186*BaseLoad!M185*'Base Hours'!$AA186)</f>
        <v>-</v>
      </c>
      <c r="H186" s="177" t="str">
        <f>IF($A$1="Peak","-",'Base Hours'!H186*BaseLoad!N185*'Base Hours'!$AA186)</f>
        <v>-</v>
      </c>
      <c r="I186" s="177" t="str">
        <f>IF($A$1="Peak","-",'Base Hours'!I186*BaseLoad!O185*'Base Hours'!$AA186)</f>
        <v>-</v>
      </c>
      <c r="J186" s="177" t="str">
        <f>IF($A$1="Peak","-",'Base Hours'!J186*BaseLoad!P185*'Base Hours'!$AA186)</f>
        <v>-</v>
      </c>
      <c r="K186" s="177" t="str">
        <f>IF($A$1="Peak","-",'Base Hours'!K186*BaseLoad!Q185*'Base Hours'!$AA186)</f>
        <v>-</v>
      </c>
      <c r="L186" s="177" t="str">
        <f>IF($A$1="Peak","-",'Base Hours'!L186*BaseLoad!R185*'Base Hours'!$AA186)</f>
        <v>-</v>
      </c>
      <c r="M186" s="177" t="str">
        <f>IF($A$1="Peak","-",'Base Hours'!M186*BaseLoad!S185*'Base Hours'!$AA186)</f>
        <v>-</v>
      </c>
      <c r="N186" s="177" t="str">
        <f>IF($A$1="Peak","-",'Base Hours'!N186*BaseLoad!T185*'Base Hours'!$AA186)</f>
        <v>-</v>
      </c>
      <c r="O186" s="177" t="str">
        <f>IF($A$1="Peak","-",'Base Hours'!O186*BaseLoad!U185*'Base Hours'!$AA186)</f>
        <v>-</v>
      </c>
      <c r="P186" s="177" t="str">
        <f>IF($A$1="Peak","-",'Base Hours'!P186*BaseLoad!V185*'Base Hours'!$AA186)</f>
        <v>-</v>
      </c>
      <c r="Q186" s="177" t="str">
        <f>IF($A$1="Peak","-",'Base Hours'!Q186*BaseLoad!W185*'Base Hours'!$AA186)</f>
        <v>-</v>
      </c>
      <c r="R186" s="177" t="str">
        <f>IF($A$1="Peak","-",'Base Hours'!R186*BaseLoad!X185*'Base Hours'!$AA186)</f>
        <v>-</v>
      </c>
      <c r="S186" s="177" t="str">
        <f>IF($A$1="Peak","-",'Base Hours'!S186*BaseLoad!Y185*'Base Hours'!$AA186)</f>
        <v>-</v>
      </c>
      <c r="T186" s="177" t="str">
        <f>IF($A$1="Peak","-",'Base Hours'!T186*BaseLoad!Z185*'Base Hours'!$AA186)</f>
        <v>-</v>
      </c>
      <c r="U186" s="177" t="str">
        <f>IF($A$1="Peak","-",'Base Hours'!U186*BaseLoad!AA185*'Base Hours'!$AA186)</f>
        <v>-</v>
      </c>
      <c r="V186" s="177">
        <f t="shared" si="6"/>
        <v>0</v>
      </c>
      <c r="W186" s="177"/>
      <c r="X186" s="177"/>
      <c r="Y186" s="206"/>
      <c r="Z186" s="206">
        <f>(BaseLoad!C185*'Base Hours'!V186*'Base Hours'!$AA186)*-1</f>
        <v>0</v>
      </c>
      <c r="AA186" s="206"/>
      <c r="AB186" s="206">
        <f>(BaseLoad!D185*'Base Hours'!V186*'Base Hours'!$AA186)*-1</f>
        <v>0</v>
      </c>
      <c r="AC186" s="206"/>
      <c r="AD186" s="206">
        <f>(BaseLoad!E185*'Base Hours'!V186*'Base Hours'!$AA186)*-1</f>
        <v>0</v>
      </c>
      <c r="AE186" s="206"/>
      <c r="AF186" s="206">
        <f>(BaseLoad!F185*'Base Hours'!V186*'Base Hours'!$AA186)*-1</f>
        <v>0</v>
      </c>
      <c r="AG186" s="206"/>
    </row>
    <row r="187" spans="1:33" x14ac:dyDescent="0.2">
      <c r="A187" s="1">
        <f t="shared" si="5"/>
        <v>41923.809000000227</v>
      </c>
      <c r="B187" s="177" t="str">
        <f>IF($A$1="Peak","-",'Base Hours'!B187*BaseLoad!H186*'Base Hours'!$AA187)</f>
        <v>-</v>
      </c>
      <c r="C187" s="177" t="str">
        <f>IF($A$1="Peak","-",'Base Hours'!C187*BaseLoad!I186*'Base Hours'!$AA187)</f>
        <v>-</v>
      </c>
      <c r="D187" s="177" t="str">
        <f>IF($A$1="Peak","-",'Base Hours'!D187*BaseLoad!J186*'Base Hours'!$AA187)</f>
        <v>-</v>
      </c>
      <c r="E187" s="177" t="str">
        <f>IF($A$1="Peak","-",'Base Hours'!E187*BaseLoad!K186*'Base Hours'!$AA187)</f>
        <v>-</v>
      </c>
      <c r="F187" s="177" t="str">
        <f>IF($A$1="Peak","-",'Base Hours'!F187*BaseLoad!L186*'Base Hours'!$AA187)</f>
        <v>-</v>
      </c>
      <c r="G187" s="177" t="str">
        <f>IF($A$1="Peak","-",'Base Hours'!G187*BaseLoad!M186*'Base Hours'!$AA187)</f>
        <v>-</v>
      </c>
      <c r="H187" s="177" t="str">
        <f>IF($A$1="Peak","-",'Base Hours'!H187*BaseLoad!N186*'Base Hours'!$AA187)</f>
        <v>-</v>
      </c>
      <c r="I187" s="177" t="str">
        <f>IF($A$1="Peak","-",'Base Hours'!I187*BaseLoad!O186*'Base Hours'!$AA187)</f>
        <v>-</v>
      </c>
      <c r="J187" s="177" t="str">
        <f>IF($A$1="Peak","-",'Base Hours'!J187*BaseLoad!P186*'Base Hours'!$AA187)</f>
        <v>-</v>
      </c>
      <c r="K187" s="177" t="str">
        <f>IF($A$1="Peak","-",'Base Hours'!K187*BaseLoad!Q186*'Base Hours'!$AA187)</f>
        <v>-</v>
      </c>
      <c r="L187" s="177" t="str">
        <f>IF($A$1="Peak","-",'Base Hours'!L187*BaseLoad!R186*'Base Hours'!$AA187)</f>
        <v>-</v>
      </c>
      <c r="M187" s="177" t="str">
        <f>IF($A$1="Peak","-",'Base Hours'!M187*BaseLoad!S186*'Base Hours'!$AA187)</f>
        <v>-</v>
      </c>
      <c r="N187" s="177" t="str">
        <f>IF($A$1="Peak","-",'Base Hours'!N187*BaseLoad!T186*'Base Hours'!$AA187)</f>
        <v>-</v>
      </c>
      <c r="O187" s="177" t="str">
        <f>IF($A$1="Peak","-",'Base Hours'!O187*BaseLoad!U186*'Base Hours'!$AA187)</f>
        <v>-</v>
      </c>
      <c r="P187" s="177" t="str">
        <f>IF($A$1="Peak","-",'Base Hours'!P187*BaseLoad!V186*'Base Hours'!$AA187)</f>
        <v>-</v>
      </c>
      <c r="Q187" s="177" t="str">
        <f>IF($A$1="Peak","-",'Base Hours'!Q187*BaseLoad!W186*'Base Hours'!$AA187)</f>
        <v>-</v>
      </c>
      <c r="R187" s="177" t="str">
        <f>IF($A$1="Peak","-",'Base Hours'!R187*BaseLoad!X186*'Base Hours'!$AA187)</f>
        <v>-</v>
      </c>
      <c r="S187" s="177" t="str">
        <f>IF($A$1="Peak","-",'Base Hours'!S187*BaseLoad!Y186*'Base Hours'!$AA187)</f>
        <v>-</v>
      </c>
      <c r="T187" s="177" t="str">
        <f>IF($A$1="Peak","-",'Base Hours'!T187*BaseLoad!Z186*'Base Hours'!$AA187)</f>
        <v>-</v>
      </c>
      <c r="U187" s="177" t="str">
        <f>IF($A$1="Peak","-",'Base Hours'!U187*BaseLoad!AA186*'Base Hours'!$AA187)</f>
        <v>-</v>
      </c>
      <c r="V187" s="177">
        <f t="shared" si="6"/>
        <v>0</v>
      </c>
      <c r="W187" s="177"/>
      <c r="X187" s="177"/>
      <c r="Y187" s="206"/>
      <c r="Z187" s="206">
        <f>(BaseLoad!C186*'Base Hours'!V187*'Base Hours'!$AA187)*-1</f>
        <v>0</v>
      </c>
      <c r="AA187" s="206"/>
      <c r="AB187" s="206">
        <f>(BaseLoad!D186*'Base Hours'!V187*'Base Hours'!$AA187)*-1</f>
        <v>0</v>
      </c>
      <c r="AC187" s="206"/>
      <c r="AD187" s="206">
        <f>(BaseLoad!E186*'Base Hours'!V187*'Base Hours'!$AA187)*-1</f>
        <v>0</v>
      </c>
      <c r="AE187" s="206"/>
      <c r="AF187" s="206">
        <f>(BaseLoad!F186*'Base Hours'!V187*'Base Hours'!$AA187)*-1</f>
        <v>0</v>
      </c>
      <c r="AG187" s="206"/>
    </row>
    <row r="188" spans="1:33" x14ac:dyDescent="0.2">
      <c r="A188" s="1">
        <f t="shared" si="5"/>
        <v>41954.226000000228</v>
      </c>
      <c r="B188" s="177" t="str">
        <f>IF($A$1="Peak","-",'Base Hours'!B188*BaseLoad!H187*'Base Hours'!$AA188)</f>
        <v>-</v>
      </c>
      <c r="C188" s="177" t="str">
        <f>IF($A$1="Peak","-",'Base Hours'!C188*BaseLoad!I187*'Base Hours'!$AA188)</f>
        <v>-</v>
      </c>
      <c r="D188" s="177" t="str">
        <f>IF($A$1="Peak","-",'Base Hours'!D188*BaseLoad!J187*'Base Hours'!$AA188)</f>
        <v>-</v>
      </c>
      <c r="E188" s="177" t="str">
        <f>IF($A$1="Peak","-",'Base Hours'!E188*BaseLoad!K187*'Base Hours'!$AA188)</f>
        <v>-</v>
      </c>
      <c r="F188" s="177" t="str">
        <f>IF($A$1="Peak","-",'Base Hours'!F188*BaseLoad!L187*'Base Hours'!$AA188)</f>
        <v>-</v>
      </c>
      <c r="G188" s="177" t="str">
        <f>IF($A$1="Peak","-",'Base Hours'!G188*BaseLoad!M187*'Base Hours'!$AA188)</f>
        <v>-</v>
      </c>
      <c r="H188" s="177" t="str">
        <f>IF($A$1="Peak","-",'Base Hours'!H188*BaseLoad!N187*'Base Hours'!$AA188)</f>
        <v>-</v>
      </c>
      <c r="I188" s="177" t="str">
        <f>IF($A$1="Peak","-",'Base Hours'!I188*BaseLoad!O187*'Base Hours'!$AA188)</f>
        <v>-</v>
      </c>
      <c r="J188" s="177" t="str">
        <f>IF($A$1="Peak","-",'Base Hours'!J188*BaseLoad!P187*'Base Hours'!$AA188)</f>
        <v>-</v>
      </c>
      <c r="K188" s="177" t="str">
        <f>IF($A$1="Peak","-",'Base Hours'!K188*BaseLoad!Q187*'Base Hours'!$AA188)</f>
        <v>-</v>
      </c>
      <c r="L188" s="177" t="str">
        <f>IF($A$1="Peak","-",'Base Hours'!L188*BaseLoad!R187*'Base Hours'!$AA188)</f>
        <v>-</v>
      </c>
      <c r="M188" s="177" t="str">
        <f>IF($A$1="Peak","-",'Base Hours'!M188*BaseLoad!S187*'Base Hours'!$AA188)</f>
        <v>-</v>
      </c>
      <c r="N188" s="177" t="str">
        <f>IF($A$1="Peak","-",'Base Hours'!N188*BaseLoad!T187*'Base Hours'!$AA188)</f>
        <v>-</v>
      </c>
      <c r="O188" s="177" t="str">
        <f>IF($A$1="Peak","-",'Base Hours'!O188*BaseLoad!U187*'Base Hours'!$AA188)</f>
        <v>-</v>
      </c>
      <c r="P188" s="177" t="str">
        <f>IF($A$1="Peak","-",'Base Hours'!P188*BaseLoad!V187*'Base Hours'!$AA188)</f>
        <v>-</v>
      </c>
      <c r="Q188" s="177" t="str">
        <f>IF($A$1="Peak","-",'Base Hours'!Q188*BaseLoad!W187*'Base Hours'!$AA188)</f>
        <v>-</v>
      </c>
      <c r="R188" s="177" t="str">
        <f>IF($A$1="Peak","-",'Base Hours'!R188*BaseLoad!X187*'Base Hours'!$AA188)</f>
        <v>-</v>
      </c>
      <c r="S188" s="177" t="str">
        <f>IF($A$1="Peak","-",'Base Hours'!S188*BaseLoad!Y187*'Base Hours'!$AA188)</f>
        <v>-</v>
      </c>
      <c r="T188" s="177" t="str">
        <f>IF($A$1="Peak","-",'Base Hours'!T188*BaseLoad!Z187*'Base Hours'!$AA188)</f>
        <v>-</v>
      </c>
      <c r="U188" s="177" t="str">
        <f>IF($A$1="Peak","-",'Base Hours'!U188*BaseLoad!AA187*'Base Hours'!$AA188)</f>
        <v>-</v>
      </c>
      <c r="V188" s="177">
        <f t="shared" si="6"/>
        <v>0</v>
      </c>
      <c r="W188" s="177"/>
      <c r="X188" s="177"/>
      <c r="Y188" s="206"/>
      <c r="Z188" s="206">
        <f>(BaseLoad!C187*'Base Hours'!V188*'Base Hours'!$AA188)*-1</f>
        <v>0</v>
      </c>
      <c r="AA188" s="206"/>
      <c r="AB188" s="206">
        <f>(BaseLoad!D187*'Base Hours'!V188*'Base Hours'!$AA188)*-1</f>
        <v>0</v>
      </c>
      <c r="AC188" s="206"/>
      <c r="AD188" s="206">
        <f>(BaseLoad!E187*'Base Hours'!V188*'Base Hours'!$AA188)*-1</f>
        <v>0</v>
      </c>
      <c r="AE188" s="206"/>
      <c r="AF188" s="206">
        <f>(BaseLoad!F187*'Base Hours'!V188*'Base Hours'!$AA188)*-1</f>
        <v>0</v>
      </c>
      <c r="AG188" s="206"/>
    </row>
    <row r="189" spans="1:33" x14ac:dyDescent="0.2">
      <c r="A189" s="1">
        <f t="shared" si="5"/>
        <v>41984.643000000229</v>
      </c>
      <c r="B189" s="177" t="str">
        <f>IF($A$1="Peak","-",'Base Hours'!B189*BaseLoad!H188*'Base Hours'!$AA189)</f>
        <v>-</v>
      </c>
      <c r="C189" s="177" t="str">
        <f>IF($A$1="Peak","-",'Base Hours'!C189*BaseLoad!I188*'Base Hours'!$AA189)</f>
        <v>-</v>
      </c>
      <c r="D189" s="177" t="str">
        <f>IF($A$1="Peak","-",'Base Hours'!D189*BaseLoad!J188*'Base Hours'!$AA189)</f>
        <v>-</v>
      </c>
      <c r="E189" s="177" t="str">
        <f>IF($A$1="Peak","-",'Base Hours'!E189*BaseLoad!K188*'Base Hours'!$AA189)</f>
        <v>-</v>
      </c>
      <c r="F189" s="177" t="str">
        <f>IF($A$1="Peak","-",'Base Hours'!F189*BaseLoad!L188*'Base Hours'!$AA189)</f>
        <v>-</v>
      </c>
      <c r="G189" s="177" t="str">
        <f>IF($A$1="Peak","-",'Base Hours'!G189*BaseLoad!M188*'Base Hours'!$AA189)</f>
        <v>-</v>
      </c>
      <c r="H189" s="177" t="str">
        <f>IF($A$1="Peak","-",'Base Hours'!H189*BaseLoad!N188*'Base Hours'!$AA189)</f>
        <v>-</v>
      </c>
      <c r="I189" s="177" t="str">
        <f>IF($A$1="Peak","-",'Base Hours'!I189*BaseLoad!O188*'Base Hours'!$AA189)</f>
        <v>-</v>
      </c>
      <c r="J189" s="177" t="str">
        <f>IF($A$1="Peak","-",'Base Hours'!J189*BaseLoad!P188*'Base Hours'!$AA189)</f>
        <v>-</v>
      </c>
      <c r="K189" s="177" t="str">
        <f>IF($A$1="Peak","-",'Base Hours'!K189*BaseLoad!Q188*'Base Hours'!$AA189)</f>
        <v>-</v>
      </c>
      <c r="L189" s="177" t="str">
        <f>IF($A$1="Peak","-",'Base Hours'!L189*BaseLoad!R188*'Base Hours'!$AA189)</f>
        <v>-</v>
      </c>
      <c r="M189" s="177" t="str">
        <f>IF($A$1="Peak","-",'Base Hours'!M189*BaseLoad!S188*'Base Hours'!$AA189)</f>
        <v>-</v>
      </c>
      <c r="N189" s="177" t="str">
        <f>IF($A$1="Peak","-",'Base Hours'!N189*BaseLoad!T188*'Base Hours'!$AA189)</f>
        <v>-</v>
      </c>
      <c r="O189" s="177" t="str">
        <f>IF($A$1="Peak","-",'Base Hours'!O189*BaseLoad!U188*'Base Hours'!$AA189)</f>
        <v>-</v>
      </c>
      <c r="P189" s="177" t="str">
        <f>IF($A$1="Peak","-",'Base Hours'!P189*BaseLoad!V188*'Base Hours'!$AA189)</f>
        <v>-</v>
      </c>
      <c r="Q189" s="177" t="str">
        <f>IF($A$1="Peak","-",'Base Hours'!Q189*BaseLoad!W188*'Base Hours'!$AA189)</f>
        <v>-</v>
      </c>
      <c r="R189" s="177" t="str">
        <f>IF($A$1="Peak","-",'Base Hours'!R189*BaseLoad!X188*'Base Hours'!$AA189)</f>
        <v>-</v>
      </c>
      <c r="S189" s="177" t="str">
        <f>IF($A$1="Peak","-",'Base Hours'!S189*BaseLoad!Y188*'Base Hours'!$AA189)</f>
        <v>-</v>
      </c>
      <c r="T189" s="177" t="str">
        <f>IF($A$1="Peak","-",'Base Hours'!T189*BaseLoad!Z188*'Base Hours'!$AA189)</f>
        <v>-</v>
      </c>
      <c r="U189" s="177" t="str">
        <f>IF($A$1="Peak","-",'Base Hours'!U189*BaseLoad!AA188*'Base Hours'!$AA189)</f>
        <v>-</v>
      </c>
      <c r="V189" s="177">
        <f t="shared" si="6"/>
        <v>0</v>
      </c>
      <c r="W189" s="177"/>
      <c r="X189" s="177"/>
      <c r="Y189" s="206">
        <f>SUM(B178:U189)</f>
        <v>0</v>
      </c>
      <c r="Z189" s="206">
        <f>(BaseLoad!C188*'Base Hours'!V189*'Base Hours'!$AA189)*-1</f>
        <v>0</v>
      </c>
      <c r="AA189" s="206">
        <f>SUM(Z178:Z189)</f>
        <v>0</v>
      </c>
      <c r="AB189" s="206">
        <f>(BaseLoad!D188*'Base Hours'!V189*'Base Hours'!$AA189)*-1</f>
        <v>0</v>
      </c>
      <c r="AC189" s="206">
        <f>SUM(AB178:AB189)</f>
        <v>0</v>
      </c>
      <c r="AD189" s="206">
        <f>(BaseLoad!E188*'Base Hours'!V189*'Base Hours'!$AA189)*-1</f>
        <v>0</v>
      </c>
      <c r="AE189" s="206">
        <f>SUM(AD178:AD189)</f>
        <v>0</v>
      </c>
      <c r="AF189" s="206">
        <f>(BaseLoad!F188*'Base Hours'!V189*'Base Hours'!$AA189)*-1</f>
        <v>0</v>
      </c>
      <c r="AG189" s="206">
        <f>SUM(AF178:AF189)</f>
        <v>0</v>
      </c>
    </row>
    <row r="190" spans="1:33" x14ac:dyDescent="0.2">
      <c r="A190" s="1">
        <f t="shared" si="5"/>
        <v>42015.060000000231</v>
      </c>
      <c r="B190" s="177" t="str">
        <f>IF($A$1="Peak","-",'Base Hours'!B190*BaseLoad!H189*'Base Hours'!$AA190)</f>
        <v>-</v>
      </c>
      <c r="C190" s="177" t="str">
        <f>IF($A$1="Peak","-",'Base Hours'!C190*BaseLoad!I189*'Base Hours'!$AA190)</f>
        <v>-</v>
      </c>
      <c r="D190" s="177" t="str">
        <f>IF($A$1="Peak","-",'Base Hours'!D190*BaseLoad!J189*'Base Hours'!$AA190)</f>
        <v>-</v>
      </c>
      <c r="E190" s="177" t="str">
        <f>IF($A$1="Peak","-",'Base Hours'!E190*BaseLoad!K189*'Base Hours'!$AA190)</f>
        <v>-</v>
      </c>
      <c r="F190" s="177" t="str">
        <f>IF($A$1="Peak","-",'Base Hours'!F190*BaseLoad!L189*'Base Hours'!$AA190)</f>
        <v>-</v>
      </c>
      <c r="G190" s="177" t="str">
        <f>IF($A$1="Peak","-",'Base Hours'!G190*BaseLoad!M189*'Base Hours'!$AA190)</f>
        <v>-</v>
      </c>
      <c r="H190" s="177" t="str">
        <f>IF($A$1="Peak","-",'Base Hours'!H190*BaseLoad!N189*'Base Hours'!$AA190)</f>
        <v>-</v>
      </c>
      <c r="I190" s="177" t="str">
        <f>IF($A$1="Peak","-",'Base Hours'!I190*BaseLoad!O189*'Base Hours'!$AA190)</f>
        <v>-</v>
      </c>
      <c r="J190" s="177" t="str">
        <f>IF($A$1="Peak","-",'Base Hours'!J190*BaseLoad!P189*'Base Hours'!$AA190)</f>
        <v>-</v>
      </c>
      <c r="K190" s="177" t="str">
        <f>IF($A$1="Peak","-",'Base Hours'!K190*BaseLoad!Q189*'Base Hours'!$AA190)</f>
        <v>-</v>
      </c>
      <c r="L190" s="177" t="str">
        <f>IF($A$1="Peak","-",'Base Hours'!L190*BaseLoad!R189*'Base Hours'!$AA190)</f>
        <v>-</v>
      </c>
      <c r="M190" s="177" t="str">
        <f>IF($A$1="Peak","-",'Base Hours'!M190*BaseLoad!S189*'Base Hours'!$AA190)</f>
        <v>-</v>
      </c>
      <c r="N190" s="177" t="str">
        <f>IF($A$1="Peak","-",'Base Hours'!N190*BaseLoad!T189*'Base Hours'!$AA190)</f>
        <v>-</v>
      </c>
      <c r="O190" s="177" t="str">
        <f>IF($A$1="Peak","-",'Base Hours'!O190*BaseLoad!U189*'Base Hours'!$AA190)</f>
        <v>-</v>
      </c>
      <c r="P190" s="177" t="str">
        <f>IF($A$1="Peak","-",'Base Hours'!P190*BaseLoad!V189*'Base Hours'!$AA190)</f>
        <v>-</v>
      </c>
      <c r="Q190" s="177" t="str">
        <f>IF($A$1="Peak","-",'Base Hours'!Q190*BaseLoad!W189*'Base Hours'!$AA190)</f>
        <v>-</v>
      </c>
      <c r="R190" s="177" t="str">
        <f>IF($A$1="Peak","-",'Base Hours'!R190*BaseLoad!X189*'Base Hours'!$AA190)</f>
        <v>-</v>
      </c>
      <c r="S190" s="177" t="str">
        <f>IF($A$1="Peak","-",'Base Hours'!S190*BaseLoad!Y189*'Base Hours'!$AA190)</f>
        <v>-</v>
      </c>
      <c r="T190" s="177" t="str">
        <f>IF($A$1="Peak","-",'Base Hours'!T190*BaseLoad!Z189*'Base Hours'!$AA190)</f>
        <v>-</v>
      </c>
      <c r="U190" s="177" t="str">
        <f>IF($A$1="Peak","-",'Base Hours'!U190*BaseLoad!AA189*'Base Hours'!$AA190)</f>
        <v>-</v>
      </c>
      <c r="V190" s="177">
        <f t="shared" si="6"/>
        <v>0</v>
      </c>
      <c r="W190" s="177"/>
      <c r="X190" s="177"/>
      <c r="Y190" s="206"/>
      <c r="Z190" s="206">
        <f>(BaseLoad!C189*'Base Hours'!V190*'Base Hours'!$AA190)*-1</f>
        <v>0</v>
      </c>
      <c r="AA190" s="206"/>
      <c r="AB190" s="206">
        <f>(BaseLoad!D189*'Base Hours'!V190*'Base Hours'!$AA190)*-1</f>
        <v>0</v>
      </c>
      <c r="AC190" s="206"/>
      <c r="AD190" s="206">
        <f>(BaseLoad!E189*'Base Hours'!V190*'Base Hours'!$AA190)*-1</f>
        <v>0</v>
      </c>
      <c r="AE190" s="206"/>
      <c r="AF190" s="206">
        <f>(BaseLoad!F189*'Base Hours'!V190*'Base Hours'!$AA190)*-1</f>
        <v>0</v>
      </c>
      <c r="AG190" s="206"/>
    </row>
    <row r="191" spans="1:33" x14ac:dyDescent="0.2">
      <c r="A191" s="1">
        <f t="shared" si="5"/>
        <v>42045.477000000232</v>
      </c>
      <c r="B191" s="177" t="str">
        <f>IF($A$1="Peak","-",'Base Hours'!B191*BaseLoad!H190*'Base Hours'!$AA191)</f>
        <v>-</v>
      </c>
      <c r="C191" s="177" t="str">
        <f>IF($A$1="Peak","-",'Base Hours'!C191*BaseLoad!I190*'Base Hours'!$AA191)</f>
        <v>-</v>
      </c>
      <c r="D191" s="177" t="str">
        <f>IF($A$1="Peak","-",'Base Hours'!D191*BaseLoad!J190*'Base Hours'!$AA191)</f>
        <v>-</v>
      </c>
      <c r="E191" s="177" t="str">
        <f>IF($A$1="Peak","-",'Base Hours'!E191*BaseLoad!K190*'Base Hours'!$AA191)</f>
        <v>-</v>
      </c>
      <c r="F191" s="177" t="str">
        <f>IF($A$1="Peak","-",'Base Hours'!F191*BaseLoad!L190*'Base Hours'!$AA191)</f>
        <v>-</v>
      </c>
      <c r="G191" s="177" t="str">
        <f>IF($A$1="Peak","-",'Base Hours'!G191*BaseLoad!M190*'Base Hours'!$AA191)</f>
        <v>-</v>
      </c>
      <c r="H191" s="177" t="str">
        <f>IF($A$1="Peak","-",'Base Hours'!H191*BaseLoad!N190*'Base Hours'!$AA191)</f>
        <v>-</v>
      </c>
      <c r="I191" s="177" t="str">
        <f>IF($A$1="Peak","-",'Base Hours'!I191*BaseLoad!O190*'Base Hours'!$AA191)</f>
        <v>-</v>
      </c>
      <c r="J191" s="177" t="str">
        <f>IF($A$1="Peak","-",'Base Hours'!J191*BaseLoad!P190*'Base Hours'!$AA191)</f>
        <v>-</v>
      </c>
      <c r="K191" s="177" t="str">
        <f>IF($A$1="Peak","-",'Base Hours'!K191*BaseLoad!Q190*'Base Hours'!$AA191)</f>
        <v>-</v>
      </c>
      <c r="L191" s="177" t="str">
        <f>IF($A$1="Peak","-",'Base Hours'!L191*BaseLoad!R190*'Base Hours'!$AA191)</f>
        <v>-</v>
      </c>
      <c r="M191" s="177" t="str">
        <f>IF($A$1="Peak","-",'Base Hours'!M191*BaseLoad!S190*'Base Hours'!$AA191)</f>
        <v>-</v>
      </c>
      <c r="N191" s="177" t="str">
        <f>IF($A$1="Peak","-",'Base Hours'!N191*BaseLoad!T190*'Base Hours'!$AA191)</f>
        <v>-</v>
      </c>
      <c r="O191" s="177" t="str">
        <f>IF($A$1="Peak","-",'Base Hours'!O191*BaseLoad!U190*'Base Hours'!$AA191)</f>
        <v>-</v>
      </c>
      <c r="P191" s="177" t="str">
        <f>IF($A$1="Peak","-",'Base Hours'!P191*BaseLoad!V190*'Base Hours'!$AA191)</f>
        <v>-</v>
      </c>
      <c r="Q191" s="177" t="str">
        <f>IF($A$1="Peak","-",'Base Hours'!Q191*BaseLoad!W190*'Base Hours'!$AA191)</f>
        <v>-</v>
      </c>
      <c r="R191" s="177" t="str">
        <f>IF($A$1="Peak","-",'Base Hours'!R191*BaseLoad!X190*'Base Hours'!$AA191)</f>
        <v>-</v>
      </c>
      <c r="S191" s="177" t="str">
        <f>IF($A$1="Peak","-",'Base Hours'!S191*BaseLoad!Y190*'Base Hours'!$AA191)</f>
        <v>-</v>
      </c>
      <c r="T191" s="177" t="str">
        <f>IF($A$1="Peak","-",'Base Hours'!T191*BaseLoad!Z190*'Base Hours'!$AA191)</f>
        <v>-</v>
      </c>
      <c r="U191" s="177" t="str">
        <f>IF($A$1="Peak","-",'Base Hours'!U191*BaseLoad!AA190*'Base Hours'!$AA191)</f>
        <v>-</v>
      </c>
      <c r="V191" s="177">
        <f t="shared" si="6"/>
        <v>0</v>
      </c>
      <c r="W191" s="177"/>
      <c r="X191" s="177"/>
      <c r="Y191" s="206"/>
      <c r="Z191" s="206">
        <f>(BaseLoad!C190*'Base Hours'!V191*'Base Hours'!$AA191)*-1</f>
        <v>0</v>
      </c>
      <c r="AA191" s="206"/>
      <c r="AB191" s="206">
        <f>(BaseLoad!D190*'Base Hours'!V191*'Base Hours'!$AA191)*-1</f>
        <v>0</v>
      </c>
      <c r="AC191" s="206"/>
      <c r="AD191" s="206">
        <f>(BaseLoad!E190*'Base Hours'!V191*'Base Hours'!$AA191)*-1</f>
        <v>0</v>
      </c>
      <c r="AE191" s="206"/>
      <c r="AF191" s="206">
        <f>(BaseLoad!F190*'Base Hours'!V191*'Base Hours'!$AA191)*-1</f>
        <v>0</v>
      </c>
      <c r="AG191" s="206"/>
    </row>
    <row r="192" spans="1:33" x14ac:dyDescent="0.2">
      <c r="A192" s="1">
        <f t="shared" si="5"/>
        <v>42075.894000000233</v>
      </c>
      <c r="B192" s="177" t="str">
        <f>IF($A$1="Peak","-",'Base Hours'!B192*BaseLoad!H191*'Base Hours'!$AA192)</f>
        <v>-</v>
      </c>
      <c r="C192" s="177" t="str">
        <f>IF($A$1="Peak","-",'Base Hours'!C192*BaseLoad!I191*'Base Hours'!$AA192)</f>
        <v>-</v>
      </c>
      <c r="D192" s="177" t="str">
        <f>IF($A$1="Peak","-",'Base Hours'!D192*BaseLoad!J191*'Base Hours'!$AA192)</f>
        <v>-</v>
      </c>
      <c r="E192" s="177" t="str">
        <f>IF($A$1="Peak","-",'Base Hours'!E192*BaseLoad!K191*'Base Hours'!$AA192)</f>
        <v>-</v>
      </c>
      <c r="F192" s="177" t="str">
        <f>IF($A$1="Peak","-",'Base Hours'!F192*BaseLoad!L191*'Base Hours'!$AA192)</f>
        <v>-</v>
      </c>
      <c r="G192" s="177" t="str">
        <f>IF($A$1="Peak","-",'Base Hours'!G192*BaseLoad!M191*'Base Hours'!$AA192)</f>
        <v>-</v>
      </c>
      <c r="H192" s="177" t="str">
        <f>IF($A$1="Peak","-",'Base Hours'!H192*BaseLoad!N191*'Base Hours'!$AA192)</f>
        <v>-</v>
      </c>
      <c r="I192" s="177" t="str">
        <f>IF($A$1="Peak","-",'Base Hours'!I192*BaseLoad!O191*'Base Hours'!$AA192)</f>
        <v>-</v>
      </c>
      <c r="J192" s="177" t="str">
        <f>IF($A$1="Peak","-",'Base Hours'!J192*BaseLoad!P191*'Base Hours'!$AA192)</f>
        <v>-</v>
      </c>
      <c r="K192" s="177" t="str">
        <f>IF($A$1="Peak","-",'Base Hours'!K192*BaseLoad!Q191*'Base Hours'!$AA192)</f>
        <v>-</v>
      </c>
      <c r="L192" s="177" t="str">
        <f>IF($A$1="Peak","-",'Base Hours'!L192*BaseLoad!R191*'Base Hours'!$AA192)</f>
        <v>-</v>
      </c>
      <c r="M192" s="177" t="str">
        <f>IF($A$1="Peak","-",'Base Hours'!M192*BaseLoad!S191*'Base Hours'!$AA192)</f>
        <v>-</v>
      </c>
      <c r="N192" s="177" t="str">
        <f>IF($A$1="Peak","-",'Base Hours'!N192*BaseLoad!T191*'Base Hours'!$AA192)</f>
        <v>-</v>
      </c>
      <c r="O192" s="177" t="str">
        <f>IF($A$1="Peak","-",'Base Hours'!O192*BaseLoad!U191*'Base Hours'!$AA192)</f>
        <v>-</v>
      </c>
      <c r="P192" s="177" t="str">
        <f>IF($A$1="Peak","-",'Base Hours'!P192*BaseLoad!V191*'Base Hours'!$AA192)</f>
        <v>-</v>
      </c>
      <c r="Q192" s="177" t="str">
        <f>IF($A$1="Peak","-",'Base Hours'!Q192*BaseLoad!W191*'Base Hours'!$AA192)</f>
        <v>-</v>
      </c>
      <c r="R192" s="177" t="str">
        <f>IF($A$1="Peak","-",'Base Hours'!R192*BaseLoad!X191*'Base Hours'!$AA192)</f>
        <v>-</v>
      </c>
      <c r="S192" s="177" t="str">
        <f>IF($A$1="Peak","-",'Base Hours'!S192*BaseLoad!Y191*'Base Hours'!$AA192)</f>
        <v>-</v>
      </c>
      <c r="T192" s="177" t="str">
        <f>IF($A$1="Peak","-",'Base Hours'!T192*BaseLoad!Z191*'Base Hours'!$AA192)</f>
        <v>-</v>
      </c>
      <c r="U192" s="177" t="str">
        <f>IF($A$1="Peak","-",'Base Hours'!U192*BaseLoad!AA191*'Base Hours'!$AA192)</f>
        <v>-</v>
      </c>
      <c r="V192" s="177">
        <f t="shared" si="6"/>
        <v>0</v>
      </c>
      <c r="W192" s="177"/>
      <c r="X192" s="177"/>
      <c r="Y192" s="206"/>
      <c r="Z192" s="206">
        <f>(BaseLoad!C191*'Base Hours'!V192*'Base Hours'!$AA192)*-1</f>
        <v>0</v>
      </c>
      <c r="AA192" s="206"/>
      <c r="AB192" s="206">
        <f>(BaseLoad!D191*'Base Hours'!V192*'Base Hours'!$AA192)*-1</f>
        <v>0</v>
      </c>
      <c r="AC192" s="206"/>
      <c r="AD192" s="206">
        <f>(BaseLoad!E191*'Base Hours'!V192*'Base Hours'!$AA192)*-1</f>
        <v>0</v>
      </c>
      <c r="AE192" s="206"/>
      <c r="AF192" s="206">
        <f>(BaseLoad!F191*'Base Hours'!V192*'Base Hours'!$AA192)*-1</f>
        <v>0</v>
      </c>
      <c r="AG192" s="206"/>
    </row>
    <row r="193" spans="1:33" x14ac:dyDescent="0.2">
      <c r="A193" s="1">
        <f t="shared" si="5"/>
        <v>42106.311000000234</v>
      </c>
      <c r="B193" s="177" t="str">
        <f>IF($A$1="Peak","-",'Base Hours'!B193*BaseLoad!H192*'Base Hours'!$AA193)</f>
        <v>-</v>
      </c>
      <c r="C193" s="177" t="str">
        <f>IF($A$1="Peak","-",'Base Hours'!C193*BaseLoad!I192*'Base Hours'!$AA193)</f>
        <v>-</v>
      </c>
      <c r="D193" s="177" t="str">
        <f>IF($A$1="Peak","-",'Base Hours'!D193*BaseLoad!J192*'Base Hours'!$AA193)</f>
        <v>-</v>
      </c>
      <c r="E193" s="177" t="str">
        <f>IF($A$1="Peak","-",'Base Hours'!E193*BaseLoad!K192*'Base Hours'!$AA193)</f>
        <v>-</v>
      </c>
      <c r="F193" s="177" t="str">
        <f>IF($A$1="Peak","-",'Base Hours'!F193*BaseLoad!L192*'Base Hours'!$AA193)</f>
        <v>-</v>
      </c>
      <c r="G193" s="177" t="str">
        <f>IF($A$1="Peak","-",'Base Hours'!G193*BaseLoad!M192*'Base Hours'!$AA193)</f>
        <v>-</v>
      </c>
      <c r="H193" s="177" t="str">
        <f>IF($A$1="Peak","-",'Base Hours'!H193*BaseLoad!N192*'Base Hours'!$AA193)</f>
        <v>-</v>
      </c>
      <c r="I193" s="177" t="str">
        <f>IF($A$1="Peak","-",'Base Hours'!I193*BaseLoad!O192*'Base Hours'!$AA193)</f>
        <v>-</v>
      </c>
      <c r="J193" s="177" t="str">
        <f>IF($A$1="Peak","-",'Base Hours'!J193*BaseLoad!P192*'Base Hours'!$AA193)</f>
        <v>-</v>
      </c>
      <c r="K193" s="177" t="str">
        <f>IF($A$1="Peak","-",'Base Hours'!K193*BaseLoad!Q192*'Base Hours'!$AA193)</f>
        <v>-</v>
      </c>
      <c r="L193" s="177" t="str">
        <f>IF($A$1="Peak","-",'Base Hours'!L193*BaseLoad!R192*'Base Hours'!$AA193)</f>
        <v>-</v>
      </c>
      <c r="M193" s="177" t="str">
        <f>IF($A$1="Peak","-",'Base Hours'!M193*BaseLoad!S192*'Base Hours'!$AA193)</f>
        <v>-</v>
      </c>
      <c r="N193" s="177" t="str">
        <f>IF($A$1="Peak","-",'Base Hours'!N193*BaseLoad!T192*'Base Hours'!$AA193)</f>
        <v>-</v>
      </c>
      <c r="O193" s="177" t="str">
        <f>IF($A$1="Peak","-",'Base Hours'!O193*BaseLoad!U192*'Base Hours'!$AA193)</f>
        <v>-</v>
      </c>
      <c r="P193" s="177" t="str">
        <f>IF($A$1="Peak","-",'Base Hours'!P193*BaseLoad!V192*'Base Hours'!$AA193)</f>
        <v>-</v>
      </c>
      <c r="Q193" s="177" t="str">
        <f>IF($A$1="Peak","-",'Base Hours'!Q193*BaseLoad!W192*'Base Hours'!$AA193)</f>
        <v>-</v>
      </c>
      <c r="R193" s="177" t="str">
        <f>IF($A$1="Peak","-",'Base Hours'!R193*BaseLoad!X192*'Base Hours'!$AA193)</f>
        <v>-</v>
      </c>
      <c r="S193" s="177" t="str">
        <f>IF($A$1="Peak","-",'Base Hours'!S193*BaseLoad!Y192*'Base Hours'!$AA193)</f>
        <v>-</v>
      </c>
      <c r="T193" s="177" t="str">
        <f>IF($A$1="Peak","-",'Base Hours'!T193*BaseLoad!Z192*'Base Hours'!$AA193)</f>
        <v>-</v>
      </c>
      <c r="U193" s="177" t="str">
        <f>IF($A$1="Peak","-",'Base Hours'!U193*BaseLoad!AA192*'Base Hours'!$AA193)</f>
        <v>-</v>
      </c>
      <c r="V193" s="177">
        <f t="shared" si="6"/>
        <v>0</v>
      </c>
      <c r="W193" s="177"/>
      <c r="X193" s="177"/>
      <c r="Y193" s="206"/>
      <c r="Z193" s="206">
        <f>(BaseLoad!C192*'Base Hours'!V193*'Base Hours'!$AA193)*-1</f>
        <v>0</v>
      </c>
      <c r="AA193" s="206"/>
      <c r="AB193" s="206">
        <f>(BaseLoad!D192*'Base Hours'!V193*'Base Hours'!$AA193)*-1</f>
        <v>0</v>
      </c>
      <c r="AC193" s="206"/>
      <c r="AD193" s="206">
        <f>(BaseLoad!E192*'Base Hours'!V193*'Base Hours'!$AA193)*-1</f>
        <v>0</v>
      </c>
      <c r="AE193" s="206"/>
      <c r="AF193" s="206">
        <f>(BaseLoad!F192*'Base Hours'!V193*'Base Hours'!$AA193)*-1</f>
        <v>0</v>
      </c>
      <c r="AG193" s="206"/>
    </row>
    <row r="194" spans="1:33" x14ac:dyDescent="0.2">
      <c r="A194" s="1">
        <f t="shared" si="5"/>
        <v>42136.728000000236</v>
      </c>
      <c r="B194" s="177" t="str">
        <f>IF($A$1="Peak","-",'Base Hours'!B194*BaseLoad!H193*'Base Hours'!$AA194)</f>
        <v>-</v>
      </c>
      <c r="C194" s="177" t="str">
        <f>IF($A$1="Peak","-",'Base Hours'!C194*BaseLoad!I193*'Base Hours'!$AA194)</f>
        <v>-</v>
      </c>
      <c r="D194" s="177" t="str">
        <f>IF($A$1="Peak","-",'Base Hours'!D194*BaseLoad!J193*'Base Hours'!$AA194)</f>
        <v>-</v>
      </c>
      <c r="E194" s="177" t="str">
        <f>IF($A$1="Peak","-",'Base Hours'!E194*BaseLoad!K193*'Base Hours'!$AA194)</f>
        <v>-</v>
      </c>
      <c r="F194" s="177" t="str">
        <f>IF($A$1="Peak","-",'Base Hours'!F194*BaseLoad!L193*'Base Hours'!$AA194)</f>
        <v>-</v>
      </c>
      <c r="G194" s="177" t="str">
        <f>IF($A$1="Peak","-",'Base Hours'!G194*BaseLoad!M193*'Base Hours'!$AA194)</f>
        <v>-</v>
      </c>
      <c r="H194" s="177" t="str">
        <f>IF($A$1="Peak","-",'Base Hours'!H194*BaseLoad!N193*'Base Hours'!$AA194)</f>
        <v>-</v>
      </c>
      <c r="I194" s="177" t="str">
        <f>IF($A$1="Peak","-",'Base Hours'!I194*BaseLoad!O193*'Base Hours'!$AA194)</f>
        <v>-</v>
      </c>
      <c r="J194" s="177" t="str">
        <f>IF($A$1="Peak","-",'Base Hours'!J194*BaseLoad!P193*'Base Hours'!$AA194)</f>
        <v>-</v>
      </c>
      <c r="K194" s="177" t="str">
        <f>IF($A$1="Peak","-",'Base Hours'!K194*BaseLoad!Q193*'Base Hours'!$AA194)</f>
        <v>-</v>
      </c>
      <c r="L194" s="177" t="str">
        <f>IF($A$1="Peak","-",'Base Hours'!L194*BaseLoad!R193*'Base Hours'!$AA194)</f>
        <v>-</v>
      </c>
      <c r="M194" s="177" t="str">
        <f>IF($A$1="Peak","-",'Base Hours'!M194*BaseLoad!S193*'Base Hours'!$AA194)</f>
        <v>-</v>
      </c>
      <c r="N194" s="177" t="str">
        <f>IF($A$1="Peak","-",'Base Hours'!N194*BaseLoad!T193*'Base Hours'!$AA194)</f>
        <v>-</v>
      </c>
      <c r="O194" s="177" t="str">
        <f>IF($A$1="Peak","-",'Base Hours'!O194*BaseLoad!U193*'Base Hours'!$AA194)</f>
        <v>-</v>
      </c>
      <c r="P194" s="177" t="str">
        <f>IF($A$1="Peak","-",'Base Hours'!P194*BaseLoad!V193*'Base Hours'!$AA194)</f>
        <v>-</v>
      </c>
      <c r="Q194" s="177" t="str">
        <f>IF($A$1="Peak","-",'Base Hours'!Q194*BaseLoad!W193*'Base Hours'!$AA194)</f>
        <v>-</v>
      </c>
      <c r="R194" s="177" t="str">
        <f>IF($A$1="Peak","-",'Base Hours'!R194*BaseLoad!X193*'Base Hours'!$AA194)</f>
        <v>-</v>
      </c>
      <c r="S194" s="177" t="str">
        <f>IF($A$1="Peak","-",'Base Hours'!S194*BaseLoad!Y193*'Base Hours'!$AA194)</f>
        <v>-</v>
      </c>
      <c r="T194" s="177" t="str">
        <f>IF($A$1="Peak","-",'Base Hours'!T194*BaseLoad!Z193*'Base Hours'!$AA194)</f>
        <v>-</v>
      </c>
      <c r="U194" s="177" t="str">
        <f>IF($A$1="Peak","-",'Base Hours'!U194*BaseLoad!AA193*'Base Hours'!$AA194)</f>
        <v>-</v>
      </c>
      <c r="V194" s="177">
        <f t="shared" si="6"/>
        <v>0</v>
      </c>
      <c r="W194" s="177"/>
      <c r="X194" s="177"/>
      <c r="Y194" s="206"/>
      <c r="Z194" s="206">
        <f>(BaseLoad!C193*'Base Hours'!V194*'Base Hours'!$AA194)*-1</f>
        <v>0</v>
      </c>
      <c r="AA194" s="206"/>
      <c r="AB194" s="206">
        <f>(BaseLoad!D193*'Base Hours'!V194*'Base Hours'!$AA194)*-1</f>
        <v>0</v>
      </c>
      <c r="AC194" s="206"/>
      <c r="AD194" s="206">
        <f>(BaseLoad!E193*'Base Hours'!V194*'Base Hours'!$AA194)*-1</f>
        <v>0</v>
      </c>
      <c r="AE194" s="206"/>
      <c r="AF194" s="206">
        <f>(BaseLoad!F193*'Base Hours'!V194*'Base Hours'!$AA194)*-1</f>
        <v>0</v>
      </c>
      <c r="AG194" s="206"/>
    </row>
    <row r="195" spans="1:33" x14ac:dyDescent="0.2">
      <c r="A195" s="1">
        <f t="shared" si="5"/>
        <v>42167.145000000237</v>
      </c>
      <c r="B195" s="177" t="str">
        <f>IF($A$1="Peak","-",'Base Hours'!B195*BaseLoad!H194*'Base Hours'!$AA195)</f>
        <v>-</v>
      </c>
      <c r="C195" s="177" t="str">
        <f>IF($A$1="Peak","-",'Base Hours'!C195*BaseLoad!I194*'Base Hours'!$AA195)</f>
        <v>-</v>
      </c>
      <c r="D195" s="177" t="str">
        <f>IF($A$1="Peak","-",'Base Hours'!D195*BaseLoad!J194*'Base Hours'!$AA195)</f>
        <v>-</v>
      </c>
      <c r="E195" s="177" t="str">
        <f>IF($A$1="Peak","-",'Base Hours'!E195*BaseLoad!K194*'Base Hours'!$AA195)</f>
        <v>-</v>
      </c>
      <c r="F195" s="177" t="str">
        <f>IF($A$1="Peak","-",'Base Hours'!F195*BaseLoad!L194*'Base Hours'!$AA195)</f>
        <v>-</v>
      </c>
      <c r="G195" s="177" t="str">
        <f>IF($A$1="Peak","-",'Base Hours'!G195*BaseLoad!M194*'Base Hours'!$AA195)</f>
        <v>-</v>
      </c>
      <c r="H195" s="177" t="str">
        <f>IF($A$1="Peak","-",'Base Hours'!H195*BaseLoad!N194*'Base Hours'!$AA195)</f>
        <v>-</v>
      </c>
      <c r="I195" s="177" t="str">
        <f>IF($A$1="Peak","-",'Base Hours'!I195*BaseLoad!O194*'Base Hours'!$AA195)</f>
        <v>-</v>
      </c>
      <c r="J195" s="177" t="str">
        <f>IF($A$1="Peak","-",'Base Hours'!J195*BaseLoad!P194*'Base Hours'!$AA195)</f>
        <v>-</v>
      </c>
      <c r="K195" s="177" t="str">
        <f>IF($A$1="Peak","-",'Base Hours'!K195*BaseLoad!Q194*'Base Hours'!$AA195)</f>
        <v>-</v>
      </c>
      <c r="L195" s="177" t="str">
        <f>IF($A$1="Peak","-",'Base Hours'!L195*BaseLoad!R194*'Base Hours'!$AA195)</f>
        <v>-</v>
      </c>
      <c r="M195" s="177" t="str">
        <f>IF($A$1="Peak","-",'Base Hours'!M195*BaseLoad!S194*'Base Hours'!$AA195)</f>
        <v>-</v>
      </c>
      <c r="N195" s="177" t="str">
        <f>IF($A$1="Peak","-",'Base Hours'!N195*BaseLoad!T194*'Base Hours'!$AA195)</f>
        <v>-</v>
      </c>
      <c r="O195" s="177" t="str">
        <f>IF($A$1="Peak","-",'Base Hours'!O195*BaseLoad!U194*'Base Hours'!$AA195)</f>
        <v>-</v>
      </c>
      <c r="P195" s="177" t="str">
        <f>IF($A$1="Peak","-",'Base Hours'!P195*BaseLoad!V194*'Base Hours'!$AA195)</f>
        <v>-</v>
      </c>
      <c r="Q195" s="177" t="str">
        <f>IF($A$1="Peak","-",'Base Hours'!Q195*BaseLoad!W194*'Base Hours'!$AA195)</f>
        <v>-</v>
      </c>
      <c r="R195" s="177" t="str">
        <f>IF($A$1="Peak","-",'Base Hours'!R195*BaseLoad!X194*'Base Hours'!$AA195)</f>
        <v>-</v>
      </c>
      <c r="S195" s="177" t="str">
        <f>IF($A$1="Peak","-",'Base Hours'!S195*BaseLoad!Y194*'Base Hours'!$AA195)</f>
        <v>-</v>
      </c>
      <c r="T195" s="177" t="str">
        <f>IF($A$1="Peak","-",'Base Hours'!T195*BaseLoad!Z194*'Base Hours'!$AA195)</f>
        <v>-</v>
      </c>
      <c r="U195" s="177" t="str">
        <f>IF($A$1="Peak","-",'Base Hours'!U195*BaseLoad!AA194*'Base Hours'!$AA195)</f>
        <v>-</v>
      </c>
      <c r="V195" s="177">
        <f t="shared" si="6"/>
        <v>0</v>
      </c>
      <c r="W195" s="177"/>
      <c r="X195" s="177"/>
      <c r="Y195" s="206"/>
      <c r="Z195" s="206">
        <f>(BaseLoad!C194*'Base Hours'!V195*'Base Hours'!$AA195)*-1</f>
        <v>0</v>
      </c>
      <c r="AA195" s="206"/>
      <c r="AB195" s="206">
        <f>(BaseLoad!D194*'Base Hours'!V195*'Base Hours'!$AA195)*-1</f>
        <v>0</v>
      </c>
      <c r="AC195" s="206"/>
      <c r="AD195" s="206">
        <f>(BaseLoad!E194*'Base Hours'!V195*'Base Hours'!$AA195)*-1</f>
        <v>0</v>
      </c>
      <c r="AE195" s="206"/>
      <c r="AF195" s="206">
        <f>(BaseLoad!F194*'Base Hours'!V195*'Base Hours'!$AA195)*-1</f>
        <v>0</v>
      </c>
      <c r="AG195" s="206"/>
    </row>
    <row r="196" spans="1:33" x14ac:dyDescent="0.2">
      <c r="A196" s="1">
        <f t="shared" si="5"/>
        <v>42197.562000000238</v>
      </c>
      <c r="B196" s="177" t="str">
        <f>IF($A$1="Peak","-",'Base Hours'!B196*BaseLoad!H195*'Base Hours'!$AA196)</f>
        <v>-</v>
      </c>
      <c r="C196" s="177" t="str">
        <f>IF($A$1="Peak","-",'Base Hours'!C196*BaseLoad!I195*'Base Hours'!$AA196)</f>
        <v>-</v>
      </c>
      <c r="D196" s="177" t="str">
        <f>IF($A$1="Peak","-",'Base Hours'!D196*BaseLoad!J195*'Base Hours'!$AA196)</f>
        <v>-</v>
      </c>
      <c r="E196" s="177" t="str">
        <f>IF($A$1="Peak","-",'Base Hours'!E196*BaseLoad!K195*'Base Hours'!$AA196)</f>
        <v>-</v>
      </c>
      <c r="F196" s="177" t="str">
        <f>IF($A$1="Peak","-",'Base Hours'!F196*BaseLoad!L195*'Base Hours'!$AA196)</f>
        <v>-</v>
      </c>
      <c r="G196" s="177" t="str">
        <f>IF($A$1="Peak","-",'Base Hours'!G196*BaseLoad!M195*'Base Hours'!$AA196)</f>
        <v>-</v>
      </c>
      <c r="H196" s="177" t="str">
        <f>IF($A$1="Peak","-",'Base Hours'!H196*BaseLoad!N195*'Base Hours'!$AA196)</f>
        <v>-</v>
      </c>
      <c r="I196" s="177" t="str">
        <f>IF($A$1="Peak","-",'Base Hours'!I196*BaseLoad!O195*'Base Hours'!$AA196)</f>
        <v>-</v>
      </c>
      <c r="J196" s="177" t="str">
        <f>IF($A$1="Peak","-",'Base Hours'!J196*BaseLoad!P195*'Base Hours'!$AA196)</f>
        <v>-</v>
      </c>
      <c r="K196" s="177" t="str">
        <f>IF($A$1="Peak","-",'Base Hours'!K196*BaseLoad!Q195*'Base Hours'!$AA196)</f>
        <v>-</v>
      </c>
      <c r="L196" s="177" t="str">
        <f>IF($A$1="Peak","-",'Base Hours'!L196*BaseLoad!R195*'Base Hours'!$AA196)</f>
        <v>-</v>
      </c>
      <c r="M196" s="177" t="str">
        <f>IF($A$1="Peak","-",'Base Hours'!M196*BaseLoad!S195*'Base Hours'!$AA196)</f>
        <v>-</v>
      </c>
      <c r="N196" s="177" t="str">
        <f>IF($A$1="Peak","-",'Base Hours'!N196*BaseLoad!T195*'Base Hours'!$AA196)</f>
        <v>-</v>
      </c>
      <c r="O196" s="177" t="str">
        <f>IF($A$1="Peak","-",'Base Hours'!O196*BaseLoad!U195*'Base Hours'!$AA196)</f>
        <v>-</v>
      </c>
      <c r="P196" s="177" t="str">
        <f>IF($A$1="Peak","-",'Base Hours'!P196*BaseLoad!V195*'Base Hours'!$AA196)</f>
        <v>-</v>
      </c>
      <c r="Q196" s="177" t="str">
        <f>IF($A$1="Peak","-",'Base Hours'!Q196*BaseLoad!W195*'Base Hours'!$AA196)</f>
        <v>-</v>
      </c>
      <c r="R196" s="177" t="str">
        <f>IF($A$1="Peak","-",'Base Hours'!R196*BaseLoad!X195*'Base Hours'!$AA196)</f>
        <v>-</v>
      </c>
      <c r="S196" s="177" t="str">
        <f>IF($A$1="Peak","-",'Base Hours'!S196*BaseLoad!Y195*'Base Hours'!$AA196)</f>
        <v>-</v>
      </c>
      <c r="T196" s="177" t="str">
        <f>IF($A$1="Peak","-",'Base Hours'!T196*BaseLoad!Z195*'Base Hours'!$AA196)</f>
        <v>-</v>
      </c>
      <c r="U196" s="177" t="str">
        <f>IF($A$1="Peak","-",'Base Hours'!U196*BaseLoad!AA195*'Base Hours'!$AA196)</f>
        <v>-</v>
      </c>
      <c r="V196" s="177">
        <f t="shared" si="6"/>
        <v>0</v>
      </c>
      <c r="W196" s="177"/>
      <c r="X196" s="177"/>
      <c r="Y196" s="206"/>
      <c r="Z196" s="206">
        <f>(BaseLoad!C195*'Base Hours'!V196*'Base Hours'!$AA196)*-1</f>
        <v>0</v>
      </c>
      <c r="AA196" s="206"/>
      <c r="AB196" s="206">
        <f>(BaseLoad!D195*'Base Hours'!V196*'Base Hours'!$AA196)*-1</f>
        <v>0</v>
      </c>
      <c r="AC196" s="206"/>
      <c r="AD196" s="206">
        <f>(BaseLoad!E195*'Base Hours'!V196*'Base Hours'!$AA196)*-1</f>
        <v>0</v>
      </c>
      <c r="AE196" s="206"/>
      <c r="AF196" s="206">
        <f>(BaseLoad!F195*'Base Hours'!V196*'Base Hours'!$AA196)*-1</f>
        <v>0</v>
      </c>
      <c r="AG196" s="206"/>
    </row>
    <row r="197" spans="1:33" x14ac:dyDescent="0.2">
      <c r="A197" s="1">
        <f t="shared" si="5"/>
        <v>42227.979000000239</v>
      </c>
      <c r="B197" s="177" t="str">
        <f>IF($A$1="Peak","-",'Base Hours'!B197*BaseLoad!H196*'Base Hours'!$AA197)</f>
        <v>-</v>
      </c>
      <c r="C197" s="177" t="str">
        <f>IF($A$1="Peak","-",'Base Hours'!C197*BaseLoad!I196*'Base Hours'!$AA197)</f>
        <v>-</v>
      </c>
      <c r="D197" s="177" t="str">
        <f>IF($A$1="Peak","-",'Base Hours'!D197*BaseLoad!J196*'Base Hours'!$AA197)</f>
        <v>-</v>
      </c>
      <c r="E197" s="177" t="str">
        <f>IF($A$1="Peak","-",'Base Hours'!E197*BaseLoad!K196*'Base Hours'!$AA197)</f>
        <v>-</v>
      </c>
      <c r="F197" s="177" t="str">
        <f>IF($A$1="Peak","-",'Base Hours'!F197*BaseLoad!L196*'Base Hours'!$AA197)</f>
        <v>-</v>
      </c>
      <c r="G197" s="177" t="str">
        <f>IF($A$1="Peak","-",'Base Hours'!G197*BaseLoad!M196*'Base Hours'!$AA197)</f>
        <v>-</v>
      </c>
      <c r="H197" s="177" t="str">
        <f>IF($A$1="Peak","-",'Base Hours'!H197*BaseLoad!N196*'Base Hours'!$AA197)</f>
        <v>-</v>
      </c>
      <c r="I197" s="177" t="str">
        <f>IF($A$1="Peak","-",'Base Hours'!I197*BaseLoad!O196*'Base Hours'!$AA197)</f>
        <v>-</v>
      </c>
      <c r="J197" s="177" t="str">
        <f>IF($A$1="Peak","-",'Base Hours'!J197*BaseLoad!P196*'Base Hours'!$AA197)</f>
        <v>-</v>
      </c>
      <c r="K197" s="177" t="str">
        <f>IF($A$1="Peak","-",'Base Hours'!K197*BaseLoad!Q196*'Base Hours'!$AA197)</f>
        <v>-</v>
      </c>
      <c r="L197" s="177" t="str">
        <f>IF($A$1="Peak","-",'Base Hours'!L197*BaseLoad!R196*'Base Hours'!$AA197)</f>
        <v>-</v>
      </c>
      <c r="M197" s="177" t="str">
        <f>IF($A$1="Peak","-",'Base Hours'!M197*BaseLoad!S196*'Base Hours'!$AA197)</f>
        <v>-</v>
      </c>
      <c r="N197" s="177" t="str">
        <f>IF($A$1="Peak","-",'Base Hours'!N197*BaseLoad!T196*'Base Hours'!$AA197)</f>
        <v>-</v>
      </c>
      <c r="O197" s="177" t="str">
        <f>IF($A$1="Peak","-",'Base Hours'!O197*BaseLoad!U196*'Base Hours'!$AA197)</f>
        <v>-</v>
      </c>
      <c r="P197" s="177" t="str">
        <f>IF($A$1="Peak","-",'Base Hours'!P197*BaseLoad!V196*'Base Hours'!$AA197)</f>
        <v>-</v>
      </c>
      <c r="Q197" s="177" t="str">
        <f>IF($A$1="Peak","-",'Base Hours'!Q197*BaseLoad!W196*'Base Hours'!$AA197)</f>
        <v>-</v>
      </c>
      <c r="R197" s="177" t="str">
        <f>IF($A$1="Peak","-",'Base Hours'!R197*BaseLoad!X196*'Base Hours'!$AA197)</f>
        <v>-</v>
      </c>
      <c r="S197" s="177" t="str">
        <f>IF($A$1="Peak","-",'Base Hours'!S197*BaseLoad!Y196*'Base Hours'!$AA197)</f>
        <v>-</v>
      </c>
      <c r="T197" s="177" t="str">
        <f>IF($A$1="Peak","-",'Base Hours'!T197*BaseLoad!Z196*'Base Hours'!$AA197)</f>
        <v>-</v>
      </c>
      <c r="U197" s="177" t="str">
        <f>IF($A$1="Peak","-",'Base Hours'!U197*BaseLoad!AA196*'Base Hours'!$AA197)</f>
        <v>-</v>
      </c>
      <c r="V197" s="177">
        <f t="shared" si="6"/>
        <v>0</v>
      </c>
      <c r="W197" s="177"/>
      <c r="X197" s="177"/>
      <c r="Y197" s="206"/>
      <c r="Z197" s="206">
        <f>(BaseLoad!C196*'Base Hours'!V197*'Base Hours'!$AA197)*-1</f>
        <v>0</v>
      </c>
      <c r="AA197" s="206"/>
      <c r="AB197" s="206">
        <f>(BaseLoad!D196*'Base Hours'!V197*'Base Hours'!$AA197)*-1</f>
        <v>0</v>
      </c>
      <c r="AC197" s="206"/>
      <c r="AD197" s="206">
        <f>(BaseLoad!E196*'Base Hours'!V197*'Base Hours'!$AA197)*-1</f>
        <v>0</v>
      </c>
      <c r="AE197" s="206"/>
      <c r="AF197" s="206">
        <f>(BaseLoad!F196*'Base Hours'!V197*'Base Hours'!$AA197)*-1</f>
        <v>0</v>
      </c>
      <c r="AG197" s="206"/>
    </row>
    <row r="198" spans="1:33" x14ac:dyDescent="0.2">
      <c r="A198" s="1">
        <f t="shared" si="5"/>
        <v>42258.396000000241</v>
      </c>
      <c r="B198" s="177" t="str">
        <f>IF($A$1="Peak","-",'Base Hours'!B198*BaseLoad!H197*'Base Hours'!$AA198)</f>
        <v>-</v>
      </c>
      <c r="C198" s="177" t="str">
        <f>IF($A$1="Peak","-",'Base Hours'!C198*BaseLoad!I197*'Base Hours'!$AA198)</f>
        <v>-</v>
      </c>
      <c r="D198" s="177" t="str">
        <f>IF($A$1="Peak","-",'Base Hours'!D198*BaseLoad!J197*'Base Hours'!$AA198)</f>
        <v>-</v>
      </c>
      <c r="E198" s="177" t="str">
        <f>IF($A$1="Peak","-",'Base Hours'!E198*BaseLoad!K197*'Base Hours'!$AA198)</f>
        <v>-</v>
      </c>
      <c r="F198" s="177" t="str">
        <f>IF($A$1="Peak","-",'Base Hours'!F198*BaseLoad!L197*'Base Hours'!$AA198)</f>
        <v>-</v>
      </c>
      <c r="G198" s="177" t="str">
        <f>IF($A$1="Peak","-",'Base Hours'!G198*BaseLoad!M197*'Base Hours'!$AA198)</f>
        <v>-</v>
      </c>
      <c r="H198" s="177" t="str">
        <f>IF($A$1="Peak","-",'Base Hours'!H198*BaseLoad!N197*'Base Hours'!$AA198)</f>
        <v>-</v>
      </c>
      <c r="I198" s="177" t="str">
        <f>IF($A$1="Peak","-",'Base Hours'!I198*BaseLoad!O197*'Base Hours'!$AA198)</f>
        <v>-</v>
      </c>
      <c r="J198" s="177" t="str">
        <f>IF($A$1="Peak","-",'Base Hours'!J198*BaseLoad!P197*'Base Hours'!$AA198)</f>
        <v>-</v>
      </c>
      <c r="K198" s="177" t="str">
        <f>IF($A$1="Peak","-",'Base Hours'!K198*BaseLoad!Q197*'Base Hours'!$AA198)</f>
        <v>-</v>
      </c>
      <c r="L198" s="177" t="str">
        <f>IF($A$1="Peak","-",'Base Hours'!L198*BaseLoad!R197*'Base Hours'!$AA198)</f>
        <v>-</v>
      </c>
      <c r="M198" s="177" t="str">
        <f>IF($A$1="Peak","-",'Base Hours'!M198*BaseLoad!S197*'Base Hours'!$AA198)</f>
        <v>-</v>
      </c>
      <c r="N198" s="177" t="str">
        <f>IF($A$1="Peak","-",'Base Hours'!N198*BaseLoad!T197*'Base Hours'!$AA198)</f>
        <v>-</v>
      </c>
      <c r="O198" s="177" t="str">
        <f>IF($A$1="Peak","-",'Base Hours'!O198*BaseLoad!U197*'Base Hours'!$AA198)</f>
        <v>-</v>
      </c>
      <c r="P198" s="177" t="str">
        <f>IF($A$1="Peak","-",'Base Hours'!P198*BaseLoad!V197*'Base Hours'!$AA198)</f>
        <v>-</v>
      </c>
      <c r="Q198" s="177" t="str">
        <f>IF($A$1="Peak","-",'Base Hours'!Q198*BaseLoad!W197*'Base Hours'!$AA198)</f>
        <v>-</v>
      </c>
      <c r="R198" s="177" t="str">
        <f>IF($A$1="Peak","-",'Base Hours'!R198*BaseLoad!X197*'Base Hours'!$AA198)</f>
        <v>-</v>
      </c>
      <c r="S198" s="177" t="str">
        <f>IF($A$1="Peak","-",'Base Hours'!S198*BaseLoad!Y197*'Base Hours'!$AA198)</f>
        <v>-</v>
      </c>
      <c r="T198" s="177" t="str">
        <f>IF($A$1="Peak","-",'Base Hours'!T198*BaseLoad!Z197*'Base Hours'!$AA198)</f>
        <v>-</v>
      </c>
      <c r="U198" s="177" t="str">
        <f>IF($A$1="Peak","-",'Base Hours'!U198*BaseLoad!AA197*'Base Hours'!$AA198)</f>
        <v>-</v>
      </c>
      <c r="V198" s="177">
        <f t="shared" si="6"/>
        <v>0</v>
      </c>
      <c r="W198" s="177"/>
      <c r="X198" s="177"/>
      <c r="Y198" s="206"/>
      <c r="Z198" s="206">
        <f>(BaseLoad!C197*'Base Hours'!V198*'Base Hours'!$AA198)*-1</f>
        <v>0</v>
      </c>
      <c r="AA198" s="206"/>
      <c r="AB198" s="206">
        <f>(BaseLoad!D197*'Base Hours'!V198*'Base Hours'!$AA198)*-1</f>
        <v>0</v>
      </c>
      <c r="AC198" s="206"/>
      <c r="AD198" s="206">
        <f>(BaseLoad!E197*'Base Hours'!V198*'Base Hours'!$AA198)*-1</f>
        <v>0</v>
      </c>
      <c r="AE198" s="206"/>
      <c r="AF198" s="206">
        <f>(BaseLoad!F197*'Base Hours'!V198*'Base Hours'!$AA198)*-1</f>
        <v>0</v>
      </c>
      <c r="AG198" s="206"/>
    </row>
    <row r="199" spans="1:33" x14ac:dyDescent="0.2">
      <c r="A199" s="1">
        <f t="shared" si="5"/>
        <v>42288.813000000242</v>
      </c>
      <c r="B199" s="177" t="str">
        <f>IF($A$1="Peak","-",'Base Hours'!B199*BaseLoad!H198*'Base Hours'!$AA199)</f>
        <v>-</v>
      </c>
      <c r="C199" s="177" t="str">
        <f>IF($A$1="Peak","-",'Base Hours'!C199*BaseLoad!I198*'Base Hours'!$AA199)</f>
        <v>-</v>
      </c>
      <c r="D199" s="177" t="str">
        <f>IF($A$1="Peak","-",'Base Hours'!D199*BaseLoad!J198*'Base Hours'!$AA199)</f>
        <v>-</v>
      </c>
      <c r="E199" s="177" t="str">
        <f>IF($A$1="Peak","-",'Base Hours'!E199*BaseLoad!K198*'Base Hours'!$AA199)</f>
        <v>-</v>
      </c>
      <c r="F199" s="177" t="str">
        <f>IF($A$1="Peak","-",'Base Hours'!F199*BaseLoad!L198*'Base Hours'!$AA199)</f>
        <v>-</v>
      </c>
      <c r="G199" s="177" t="str">
        <f>IF($A$1="Peak","-",'Base Hours'!G199*BaseLoad!M198*'Base Hours'!$AA199)</f>
        <v>-</v>
      </c>
      <c r="H199" s="177" t="str">
        <f>IF($A$1="Peak","-",'Base Hours'!H199*BaseLoad!N198*'Base Hours'!$AA199)</f>
        <v>-</v>
      </c>
      <c r="I199" s="177" t="str">
        <f>IF($A$1="Peak","-",'Base Hours'!I199*BaseLoad!O198*'Base Hours'!$AA199)</f>
        <v>-</v>
      </c>
      <c r="J199" s="177" t="str">
        <f>IF($A$1="Peak","-",'Base Hours'!J199*BaseLoad!P198*'Base Hours'!$AA199)</f>
        <v>-</v>
      </c>
      <c r="K199" s="177" t="str">
        <f>IF($A$1="Peak","-",'Base Hours'!K199*BaseLoad!Q198*'Base Hours'!$AA199)</f>
        <v>-</v>
      </c>
      <c r="L199" s="177" t="str">
        <f>IF($A$1="Peak","-",'Base Hours'!L199*BaseLoad!R198*'Base Hours'!$AA199)</f>
        <v>-</v>
      </c>
      <c r="M199" s="177" t="str">
        <f>IF($A$1="Peak","-",'Base Hours'!M199*BaseLoad!S198*'Base Hours'!$AA199)</f>
        <v>-</v>
      </c>
      <c r="N199" s="177" t="str">
        <f>IF($A$1="Peak","-",'Base Hours'!N199*BaseLoad!T198*'Base Hours'!$AA199)</f>
        <v>-</v>
      </c>
      <c r="O199" s="177" t="str">
        <f>IF($A$1="Peak","-",'Base Hours'!O199*BaseLoad!U198*'Base Hours'!$AA199)</f>
        <v>-</v>
      </c>
      <c r="P199" s="177" t="str">
        <f>IF($A$1="Peak","-",'Base Hours'!P199*BaseLoad!V198*'Base Hours'!$AA199)</f>
        <v>-</v>
      </c>
      <c r="Q199" s="177" t="str">
        <f>IF($A$1="Peak","-",'Base Hours'!Q199*BaseLoad!W198*'Base Hours'!$AA199)</f>
        <v>-</v>
      </c>
      <c r="R199" s="177" t="str">
        <f>IF($A$1="Peak","-",'Base Hours'!R199*BaseLoad!X198*'Base Hours'!$AA199)</f>
        <v>-</v>
      </c>
      <c r="S199" s="177" t="str">
        <f>IF($A$1="Peak","-",'Base Hours'!S199*BaseLoad!Y198*'Base Hours'!$AA199)</f>
        <v>-</v>
      </c>
      <c r="T199" s="177" t="str">
        <f>IF($A$1="Peak","-",'Base Hours'!T199*BaseLoad!Z198*'Base Hours'!$AA199)</f>
        <v>-</v>
      </c>
      <c r="U199" s="177" t="str">
        <f>IF($A$1="Peak","-",'Base Hours'!U199*BaseLoad!AA198*'Base Hours'!$AA199)</f>
        <v>-</v>
      </c>
      <c r="V199" s="177">
        <f t="shared" si="6"/>
        <v>0</v>
      </c>
      <c r="W199" s="177"/>
      <c r="X199" s="177"/>
      <c r="Y199" s="206"/>
      <c r="Z199" s="206">
        <f>(BaseLoad!C198*'Base Hours'!V199*'Base Hours'!$AA199)*-1</f>
        <v>0</v>
      </c>
      <c r="AA199" s="206"/>
      <c r="AB199" s="206">
        <f>(BaseLoad!D198*'Base Hours'!V199*'Base Hours'!$AA199)*-1</f>
        <v>0</v>
      </c>
      <c r="AC199" s="206"/>
      <c r="AD199" s="206">
        <f>(BaseLoad!E198*'Base Hours'!V199*'Base Hours'!$AA199)*-1</f>
        <v>0</v>
      </c>
      <c r="AE199" s="206"/>
      <c r="AF199" s="206">
        <f>(BaseLoad!F198*'Base Hours'!V199*'Base Hours'!$AA199)*-1</f>
        <v>0</v>
      </c>
      <c r="AG199" s="206"/>
    </row>
    <row r="200" spans="1:33" x14ac:dyDescent="0.2">
      <c r="A200" s="1">
        <f t="shared" si="5"/>
        <v>42319.230000000243</v>
      </c>
      <c r="B200" s="177" t="str">
        <f>IF($A$1="Peak","-",'Base Hours'!B200*BaseLoad!H199*'Base Hours'!$AA200)</f>
        <v>-</v>
      </c>
      <c r="C200" s="177" t="str">
        <f>IF($A$1="Peak","-",'Base Hours'!C200*BaseLoad!I199*'Base Hours'!$AA200)</f>
        <v>-</v>
      </c>
      <c r="D200" s="177" t="str">
        <f>IF($A$1="Peak","-",'Base Hours'!D200*BaseLoad!J199*'Base Hours'!$AA200)</f>
        <v>-</v>
      </c>
      <c r="E200" s="177" t="str">
        <f>IF($A$1="Peak","-",'Base Hours'!E200*BaseLoad!K199*'Base Hours'!$AA200)</f>
        <v>-</v>
      </c>
      <c r="F200" s="177" t="str">
        <f>IF($A$1="Peak","-",'Base Hours'!F200*BaseLoad!L199*'Base Hours'!$AA200)</f>
        <v>-</v>
      </c>
      <c r="G200" s="177" t="str">
        <f>IF($A$1="Peak","-",'Base Hours'!G200*BaseLoad!M199*'Base Hours'!$AA200)</f>
        <v>-</v>
      </c>
      <c r="H200" s="177" t="str">
        <f>IF($A$1="Peak","-",'Base Hours'!H200*BaseLoad!N199*'Base Hours'!$AA200)</f>
        <v>-</v>
      </c>
      <c r="I200" s="177" t="str">
        <f>IF($A$1="Peak","-",'Base Hours'!I200*BaseLoad!O199*'Base Hours'!$AA200)</f>
        <v>-</v>
      </c>
      <c r="J200" s="177" t="str">
        <f>IF($A$1="Peak","-",'Base Hours'!J200*BaseLoad!P199*'Base Hours'!$AA200)</f>
        <v>-</v>
      </c>
      <c r="K200" s="177" t="str">
        <f>IF($A$1="Peak","-",'Base Hours'!K200*BaseLoad!Q199*'Base Hours'!$AA200)</f>
        <v>-</v>
      </c>
      <c r="L200" s="177" t="str">
        <f>IF($A$1="Peak","-",'Base Hours'!L200*BaseLoad!R199*'Base Hours'!$AA200)</f>
        <v>-</v>
      </c>
      <c r="M200" s="177" t="str">
        <f>IF($A$1="Peak","-",'Base Hours'!M200*BaseLoad!S199*'Base Hours'!$AA200)</f>
        <v>-</v>
      </c>
      <c r="N200" s="177" t="str">
        <f>IF($A$1="Peak","-",'Base Hours'!N200*BaseLoad!T199*'Base Hours'!$AA200)</f>
        <v>-</v>
      </c>
      <c r="O200" s="177" t="str">
        <f>IF($A$1="Peak","-",'Base Hours'!O200*BaseLoad!U199*'Base Hours'!$AA200)</f>
        <v>-</v>
      </c>
      <c r="P200" s="177" t="str">
        <f>IF($A$1="Peak","-",'Base Hours'!P200*BaseLoad!V199*'Base Hours'!$AA200)</f>
        <v>-</v>
      </c>
      <c r="Q200" s="177" t="str">
        <f>IF($A$1="Peak","-",'Base Hours'!Q200*BaseLoad!W199*'Base Hours'!$AA200)</f>
        <v>-</v>
      </c>
      <c r="R200" s="177" t="str">
        <f>IF($A$1="Peak","-",'Base Hours'!R200*BaseLoad!X199*'Base Hours'!$AA200)</f>
        <v>-</v>
      </c>
      <c r="S200" s="177" t="str">
        <f>IF($A$1="Peak","-",'Base Hours'!S200*BaseLoad!Y199*'Base Hours'!$AA200)</f>
        <v>-</v>
      </c>
      <c r="T200" s="177" t="str">
        <f>IF($A$1="Peak","-",'Base Hours'!T200*BaseLoad!Z199*'Base Hours'!$AA200)</f>
        <v>-</v>
      </c>
      <c r="U200" s="177" t="str">
        <f>IF($A$1="Peak","-",'Base Hours'!U200*BaseLoad!AA199*'Base Hours'!$AA200)</f>
        <v>-</v>
      </c>
      <c r="V200" s="177">
        <f t="shared" si="6"/>
        <v>0</v>
      </c>
      <c r="W200" s="177"/>
      <c r="X200" s="177"/>
      <c r="Y200" s="206"/>
      <c r="Z200" s="206">
        <f>(BaseLoad!C199*'Base Hours'!V200*'Base Hours'!$AA200)*-1</f>
        <v>0</v>
      </c>
      <c r="AA200" s="206"/>
      <c r="AB200" s="206">
        <f>(BaseLoad!D199*'Base Hours'!V200*'Base Hours'!$AA200)*-1</f>
        <v>0</v>
      </c>
      <c r="AC200" s="206"/>
      <c r="AD200" s="206">
        <f>(BaseLoad!E199*'Base Hours'!V200*'Base Hours'!$AA200)*-1</f>
        <v>0</v>
      </c>
      <c r="AE200" s="206"/>
      <c r="AF200" s="206">
        <f>(BaseLoad!F199*'Base Hours'!V200*'Base Hours'!$AA200)*-1</f>
        <v>0</v>
      </c>
      <c r="AG200" s="206"/>
    </row>
    <row r="201" spans="1:33" x14ac:dyDescent="0.2">
      <c r="A201" s="1">
        <f t="shared" si="5"/>
        <v>42349.647000000245</v>
      </c>
      <c r="B201" s="177" t="str">
        <f>IF($A$1="Peak","-",'Base Hours'!B201*BaseLoad!H200*'Base Hours'!$AA201)</f>
        <v>-</v>
      </c>
      <c r="C201" s="177" t="str">
        <f>IF($A$1="Peak","-",'Base Hours'!C201*BaseLoad!I200*'Base Hours'!$AA201)</f>
        <v>-</v>
      </c>
      <c r="D201" s="177" t="str">
        <f>IF($A$1="Peak","-",'Base Hours'!D201*BaseLoad!J200*'Base Hours'!$AA201)</f>
        <v>-</v>
      </c>
      <c r="E201" s="177" t="str">
        <f>IF($A$1="Peak","-",'Base Hours'!E201*BaseLoad!K200*'Base Hours'!$AA201)</f>
        <v>-</v>
      </c>
      <c r="F201" s="177" t="str">
        <f>IF($A$1="Peak","-",'Base Hours'!F201*BaseLoad!L200*'Base Hours'!$AA201)</f>
        <v>-</v>
      </c>
      <c r="G201" s="177" t="str">
        <f>IF($A$1="Peak","-",'Base Hours'!G201*BaseLoad!M200*'Base Hours'!$AA201)</f>
        <v>-</v>
      </c>
      <c r="H201" s="177" t="str">
        <f>IF($A$1="Peak","-",'Base Hours'!H201*BaseLoad!N200*'Base Hours'!$AA201)</f>
        <v>-</v>
      </c>
      <c r="I201" s="177" t="str">
        <f>IF($A$1="Peak","-",'Base Hours'!I201*BaseLoad!O200*'Base Hours'!$AA201)</f>
        <v>-</v>
      </c>
      <c r="J201" s="177" t="str">
        <f>IF($A$1="Peak","-",'Base Hours'!J201*BaseLoad!P200*'Base Hours'!$AA201)</f>
        <v>-</v>
      </c>
      <c r="K201" s="177" t="str">
        <f>IF($A$1="Peak","-",'Base Hours'!K201*BaseLoad!Q200*'Base Hours'!$AA201)</f>
        <v>-</v>
      </c>
      <c r="L201" s="177" t="str">
        <f>IF($A$1="Peak","-",'Base Hours'!L201*BaseLoad!R200*'Base Hours'!$AA201)</f>
        <v>-</v>
      </c>
      <c r="M201" s="177" t="str">
        <f>IF($A$1="Peak","-",'Base Hours'!M201*BaseLoad!S200*'Base Hours'!$AA201)</f>
        <v>-</v>
      </c>
      <c r="N201" s="177" t="str">
        <f>IF($A$1="Peak","-",'Base Hours'!N201*BaseLoad!T200*'Base Hours'!$AA201)</f>
        <v>-</v>
      </c>
      <c r="O201" s="177" t="str">
        <f>IF($A$1="Peak","-",'Base Hours'!O201*BaseLoad!U200*'Base Hours'!$AA201)</f>
        <v>-</v>
      </c>
      <c r="P201" s="177" t="str">
        <f>IF($A$1="Peak","-",'Base Hours'!P201*BaseLoad!V200*'Base Hours'!$AA201)</f>
        <v>-</v>
      </c>
      <c r="Q201" s="177" t="str">
        <f>IF($A$1="Peak","-",'Base Hours'!Q201*BaseLoad!W200*'Base Hours'!$AA201)</f>
        <v>-</v>
      </c>
      <c r="R201" s="177" t="str">
        <f>IF($A$1="Peak","-",'Base Hours'!R201*BaseLoad!X200*'Base Hours'!$AA201)</f>
        <v>-</v>
      </c>
      <c r="S201" s="177" t="str">
        <f>IF($A$1="Peak","-",'Base Hours'!S201*BaseLoad!Y200*'Base Hours'!$AA201)</f>
        <v>-</v>
      </c>
      <c r="T201" s="177" t="str">
        <f>IF($A$1="Peak","-",'Base Hours'!T201*BaseLoad!Z200*'Base Hours'!$AA201)</f>
        <v>-</v>
      </c>
      <c r="U201" s="177" t="str">
        <f>IF($A$1="Peak","-",'Base Hours'!U201*BaseLoad!AA200*'Base Hours'!$AA201)</f>
        <v>-</v>
      </c>
      <c r="V201" s="177">
        <f t="shared" si="6"/>
        <v>0</v>
      </c>
      <c r="W201" s="177"/>
      <c r="X201" s="177"/>
      <c r="Y201" s="206">
        <f>SUM(B190:U201)</f>
        <v>0</v>
      </c>
      <c r="Z201" s="206">
        <f>(BaseLoad!C200*'Base Hours'!V201*'Base Hours'!$AA201)*-1</f>
        <v>0</v>
      </c>
      <c r="AA201" s="206">
        <f>SUM(Z190:Z201)</f>
        <v>0</v>
      </c>
      <c r="AB201" s="206">
        <f>(BaseLoad!D200*'Base Hours'!V201*'Base Hours'!$AA201)*-1</f>
        <v>0</v>
      </c>
      <c r="AC201" s="206">
        <f>SUM(AB190:AB201)</f>
        <v>0</v>
      </c>
      <c r="AD201" s="206">
        <f>(BaseLoad!E200*'Base Hours'!V201*'Base Hours'!$AA201)*-1</f>
        <v>0</v>
      </c>
      <c r="AE201" s="206">
        <f>SUM(AD190:AD201)</f>
        <v>0</v>
      </c>
      <c r="AF201" s="206">
        <f>(BaseLoad!F200*'Base Hours'!V201*'Base Hours'!$AA201)*-1</f>
        <v>0</v>
      </c>
      <c r="AG201" s="206">
        <f>SUM(AF190:AF201)</f>
        <v>0</v>
      </c>
    </row>
    <row r="202" spans="1:33" x14ac:dyDescent="0.2">
      <c r="A202" s="1">
        <f t="shared" si="5"/>
        <v>42380.064000000246</v>
      </c>
      <c r="B202" s="177" t="str">
        <f>IF($A$1="Peak","-",'Base Hours'!B202*BaseLoad!H201*'Base Hours'!$AA202)</f>
        <v>-</v>
      </c>
      <c r="C202" s="177" t="str">
        <f>IF($A$1="Peak","-",'Base Hours'!C202*BaseLoad!I201*'Base Hours'!$AA202)</f>
        <v>-</v>
      </c>
      <c r="D202" s="177" t="str">
        <f>IF($A$1="Peak","-",'Base Hours'!D202*BaseLoad!J201*'Base Hours'!$AA202)</f>
        <v>-</v>
      </c>
      <c r="E202" s="177" t="str">
        <f>IF($A$1="Peak","-",'Base Hours'!E202*BaseLoad!K201*'Base Hours'!$AA202)</f>
        <v>-</v>
      </c>
      <c r="F202" s="177" t="str">
        <f>IF($A$1="Peak","-",'Base Hours'!F202*BaseLoad!L201*'Base Hours'!$AA202)</f>
        <v>-</v>
      </c>
      <c r="G202" s="177" t="str">
        <f>IF($A$1="Peak","-",'Base Hours'!G202*BaseLoad!M201*'Base Hours'!$AA202)</f>
        <v>-</v>
      </c>
      <c r="H202" s="177" t="str">
        <f>IF($A$1="Peak","-",'Base Hours'!H202*BaseLoad!N201*'Base Hours'!$AA202)</f>
        <v>-</v>
      </c>
      <c r="I202" s="177" t="str">
        <f>IF($A$1="Peak","-",'Base Hours'!I202*BaseLoad!O201*'Base Hours'!$AA202)</f>
        <v>-</v>
      </c>
      <c r="J202" s="177" t="str">
        <f>IF($A$1="Peak","-",'Base Hours'!J202*BaseLoad!P201*'Base Hours'!$AA202)</f>
        <v>-</v>
      </c>
      <c r="K202" s="177" t="str">
        <f>IF($A$1="Peak","-",'Base Hours'!K202*BaseLoad!Q201*'Base Hours'!$AA202)</f>
        <v>-</v>
      </c>
      <c r="L202" s="177" t="str">
        <f>IF($A$1="Peak","-",'Base Hours'!L202*BaseLoad!R201*'Base Hours'!$AA202)</f>
        <v>-</v>
      </c>
      <c r="M202" s="177" t="str">
        <f>IF($A$1="Peak","-",'Base Hours'!M202*BaseLoad!S201*'Base Hours'!$AA202)</f>
        <v>-</v>
      </c>
      <c r="N202" s="177" t="str">
        <f>IF($A$1="Peak","-",'Base Hours'!N202*BaseLoad!T201*'Base Hours'!$AA202)</f>
        <v>-</v>
      </c>
      <c r="O202" s="177" t="str">
        <f>IF($A$1="Peak","-",'Base Hours'!O202*BaseLoad!U201*'Base Hours'!$AA202)</f>
        <v>-</v>
      </c>
      <c r="P202" s="177" t="str">
        <f>IF($A$1="Peak","-",'Base Hours'!P202*BaseLoad!V201*'Base Hours'!$AA202)</f>
        <v>-</v>
      </c>
      <c r="Q202" s="177" t="str">
        <f>IF($A$1="Peak","-",'Base Hours'!Q202*BaseLoad!W201*'Base Hours'!$AA202)</f>
        <v>-</v>
      </c>
      <c r="R202" s="177" t="str">
        <f>IF($A$1="Peak","-",'Base Hours'!R202*BaseLoad!X201*'Base Hours'!$AA202)</f>
        <v>-</v>
      </c>
      <c r="S202" s="177" t="str">
        <f>IF($A$1="Peak","-",'Base Hours'!S202*BaseLoad!Y201*'Base Hours'!$AA202)</f>
        <v>-</v>
      </c>
      <c r="T202" s="177" t="str">
        <f>IF($A$1="Peak","-",'Base Hours'!T202*BaseLoad!Z201*'Base Hours'!$AA202)</f>
        <v>-</v>
      </c>
      <c r="U202" s="177" t="str">
        <f>IF($A$1="Peak","-",'Base Hours'!U202*BaseLoad!AA201*'Base Hours'!$AA202)</f>
        <v>-</v>
      </c>
      <c r="V202" s="177">
        <f t="shared" si="6"/>
        <v>0</v>
      </c>
      <c r="W202" s="177"/>
      <c r="X202" s="177"/>
      <c r="Y202" s="206"/>
      <c r="Z202" s="206">
        <f>(BaseLoad!C201*'Base Hours'!V202*'Base Hours'!$AA202)*-1</f>
        <v>0</v>
      </c>
      <c r="AA202" s="206"/>
      <c r="AB202" s="206">
        <f>(BaseLoad!D201*'Base Hours'!V202*'Base Hours'!$AA202)*-1</f>
        <v>0</v>
      </c>
      <c r="AC202" s="206"/>
      <c r="AD202" s="206">
        <f>(BaseLoad!E201*'Base Hours'!V202*'Base Hours'!$AA202)*-1</f>
        <v>0</v>
      </c>
      <c r="AE202" s="206"/>
      <c r="AF202" s="206">
        <f>(BaseLoad!F201*'Base Hours'!V202*'Base Hours'!$AA202)*-1</f>
        <v>0</v>
      </c>
      <c r="AG202" s="206"/>
    </row>
    <row r="203" spans="1:33" x14ac:dyDescent="0.2">
      <c r="A203" s="1">
        <f t="shared" si="5"/>
        <v>42410.481000000247</v>
      </c>
      <c r="B203" s="177" t="str">
        <f>IF($A$1="Peak","-",'Base Hours'!B203*BaseLoad!H202*'Base Hours'!$AA203)</f>
        <v>-</v>
      </c>
      <c r="C203" s="177" t="str">
        <f>IF($A$1="Peak","-",'Base Hours'!C203*BaseLoad!I202*'Base Hours'!$AA203)</f>
        <v>-</v>
      </c>
      <c r="D203" s="177" t="str">
        <f>IF($A$1="Peak","-",'Base Hours'!D203*BaseLoad!J202*'Base Hours'!$AA203)</f>
        <v>-</v>
      </c>
      <c r="E203" s="177" t="str">
        <f>IF($A$1="Peak","-",'Base Hours'!E203*BaseLoad!K202*'Base Hours'!$AA203)</f>
        <v>-</v>
      </c>
      <c r="F203" s="177" t="str">
        <f>IF($A$1="Peak","-",'Base Hours'!F203*BaseLoad!L202*'Base Hours'!$AA203)</f>
        <v>-</v>
      </c>
      <c r="G203" s="177" t="str">
        <f>IF($A$1="Peak","-",'Base Hours'!G203*BaseLoad!M202*'Base Hours'!$AA203)</f>
        <v>-</v>
      </c>
      <c r="H203" s="177" t="str">
        <f>IF($A$1="Peak","-",'Base Hours'!H203*BaseLoad!N202*'Base Hours'!$AA203)</f>
        <v>-</v>
      </c>
      <c r="I203" s="177" t="str">
        <f>IF($A$1="Peak","-",'Base Hours'!I203*BaseLoad!O202*'Base Hours'!$AA203)</f>
        <v>-</v>
      </c>
      <c r="J203" s="177" t="str">
        <f>IF($A$1="Peak","-",'Base Hours'!J203*BaseLoad!P202*'Base Hours'!$AA203)</f>
        <v>-</v>
      </c>
      <c r="K203" s="177" t="str">
        <f>IF($A$1="Peak","-",'Base Hours'!K203*BaseLoad!Q202*'Base Hours'!$AA203)</f>
        <v>-</v>
      </c>
      <c r="L203" s="177" t="str">
        <f>IF($A$1="Peak","-",'Base Hours'!L203*BaseLoad!R202*'Base Hours'!$AA203)</f>
        <v>-</v>
      </c>
      <c r="M203" s="177" t="str">
        <f>IF($A$1="Peak","-",'Base Hours'!M203*BaseLoad!S202*'Base Hours'!$AA203)</f>
        <v>-</v>
      </c>
      <c r="N203" s="177" t="str">
        <f>IF($A$1="Peak","-",'Base Hours'!N203*BaseLoad!T202*'Base Hours'!$AA203)</f>
        <v>-</v>
      </c>
      <c r="O203" s="177" t="str">
        <f>IF($A$1="Peak","-",'Base Hours'!O203*BaseLoad!U202*'Base Hours'!$AA203)</f>
        <v>-</v>
      </c>
      <c r="P203" s="177" t="str">
        <f>IF($A$1="Peak","-",'Base Hours'!P203*BaseLoad!V202*'Base Hours'!$AA203)</f>
        <v>-</v>
      </c>
      <c r="Q203" s="177" t="str">
        <f>IF($A$1="Peak","-",'Base Hours'!Q203*BaseLoad!W202*'Base Hours'!$AA203)</f>
        <v>-</v>
      </c>
      <c r="R203" s="177" t="str">
        <f>IF($A$1="Peak","-",'Base Hours'!R203*BaseLoad!X202*'Base Hours'!$AA203)</f>
        <v>-</v>
      </c>
      <c r="S203" s="177" t="str">
        <f>IF($A$1="Peak","-",'Base Hours'!S203*BaseLoad!Y202*'Base Hours'!$AA203)</f>
        <v>-</v>
      </c>
      <c r="T203" s="177" t="str">
        <f>IF($A$1="Peak","-",'Base Hours'!T203*BaseLoad!Z202*'Base Hours'!$AA203)</f>
        <v>-</v>
      </c>
      <c r="U203" s="177" t="str">
        <f>IF($A$1="Peak","-",'Base Hours'!U203*BaseLoad!AA202*'Base Hours'!$AA203)</f>
        <v>-</v>
      </c>
      <c r="V203" s="177">
        <f t="shared" si="6"/>
        <v>0</v>
      </c>
      <c r="W203" s="177"/>
      <c r="X203" s="177"/>
      <c r="Y203" s="206"/>
      <c r="Z203" s="206">
        <f>(BaseLoad!C202*'Base Hours'!V203*'Base Hours'!$AA203)*-1</f>
        <v>0</v>
      </c>
      <c r="AA203" s="206"/>
      <c r="AB203" s="206">
        <f>(BaseLoad!D202*'Base Hours'!V203*'Base Hours'!$AA203)*-1</f>
        <v>0</v>
      </c>
      <c r="AC203" s="206"/>
      <c r="AD203" s="206">
        <f>(BaseLoad!E202*'Base Hours'!V203*'Base Hours'!$AA203)*-1</f>
        <v>0</v>
      </c>
      <c r="AE203" s="206"/>
      <c r="AF203" s="206">
        <f>(BaseLoad!F202*'Base Hours'!V203*'Base Hours'!$AA203)*-1</f>
        <v>0</v>
      </c>
      <c r="AG203" s="206"/>
    </row>
    <row r="204" spans="1:33" x14ac:dyDescent="0.2">
      <c r="A204" s="1">
        <f t="shared" ref="A204:A249" si="7">A203+30.417</f>
        <v>42440.898000000248</v>
      </c>
      <c r="B204" s="177" t="str">
        <f>IF($A$1="Peak","-",'Base Hours'!B204*BaseLoad!H203*'Base Hours'!$AA204)</f>
        <v>-</v>
      </c>
      <c r="C204" s="177" t="str">
        <f>IF($A$1="Peak","-",'Base Hours'!C204*BaseLoad!I203*'Base Hours'!$AA204)</f>
        <v>-</v>
      </c>
      <c r="D204" s="177" t="str">
        <f>IF($A$1="Peak","-",'Base Hours'!D204*BaseLoad!J203*'Base Hours'!$AA204)</f>
        <v>-</v>
      </c>
      <c r="E204" s="177" t="str">
        <f>IF($A$1="Peak","-",'Base Hours'!E204*BaseLoad!K203*'Base Hours'!$AA204)</f>
        <v>-</v>
      </c>
      <c r="F204" s="177" t="str">
        <f>IF($A$1="Peak","-",'Base Hours'!F204*BaseLoad!L203*'Base Hours'!$AA204)</f>
        <v>-</v>
      </c>
      <c r="G204" s="177" t="str">
        <f>IF($A$1="Peak","-",'Base Hours'!G204*BaseLoad!M203*'Base Hours'!$AA204)</f>
        <v>-</v>
      </c>
      <c r="H204" s="177" t="str">
        <f>IF($A$1="Peak","-",'Base Hours'!H204*BaseLoad!N203*'Base Hours'!$AA204)</f>
        <v>-</v>
      </c>
      <c r="I204" s="177" t="str">
        <f>IF($A$1="Peak","-",'Base Hours'!I204*BaseLoad!O203*'Base Hours'!$AA204)</f>
        <v>-</v>
      </c>
      <c r="J204" s="177" t="str">
        <f>IF($A$1="Peak","-",'Base Hours'!J204*BaseLoad!P203*'Base Hours'!$AA204)</f>
        <v>-</v>
      </c>
      <c r="K204" s="177" t="str">
        <f>IF($A$1="Peak","-",'Base Hours'!K204*BaseLoad!Q203*'Base Hours'!$AA204)</f>
        <v>-</v>
      </c>
      <c r="L204" s="177" t="str">
        <f>IF($A$1="Peak","-",'Base Hours'!L204*BaseLoad!R203*'Base Hours'!$AA204)</f>
        <v>-</v>
      </c>
      <c r="M204" s="177" t="str">
        <f>IF($A$1="Peak","-",'Base Hours'!M204*BaseLoad!S203*'Base Hours'!$AA204)</f>
        <v>-</v>
      </c>
      <c r="N204" s="177" t="str">
        <f>IF($A$1="Peak","-",'Base Hours'!N204*BaseLoad!T203*'Base Hours'!$AA204)</f>
        <v>-</v>
      </c>
      <c r="O204" s="177" t="str">
        <f>IF($A$1="Peak","-",'Base Hours'!O204*BaseLoad!U203*'Base Hours'!$AA204)</f>
        <v>-</v>
      </c>
      <c r="P204" s="177" t="str">
        <f>IF($A$1="Peak","-",'Base Hours'!P204*BaseLoad!V203*'Base Hours'!$AA204)</f>
        <v>-</v>
      </c>
      <c r="Q204" s="177" t="str">
        <f>IF($A$1="Peak","-",'Base Hours'!Q204*BaseLoad!W203*'Base Hours'!$AA204)</f>
        <v>-</v>
      </c>
      <c r="R204" s="177" t="str">
        <f>IF($A$1="Peak","-",'Base Hours'!R204*BaseLoad!X203*'Base Hours'!$AA204)</f>
        <v>-</v>
      </c>
      <c r="S204" s="177" t="str">
        <f>IF($A$1="Peak","-",'Base Hours'!S204*BaseLoad!Y203*'Base Hours'!$AA204)</f>
        <v>-</v>
      </c>
      <c r="T204" s="177" t="str">
        <f>IF($A$1="Peak","-",'Base Hours'!T204*BaseLoad!Z203*'Base Hours'!$AA204)</f>
        <v>-</v>
      </c>
      <c r="U204" s="177" t="str">
        <f>IF($A$1="Peak","-",'Base Hours'!U204*BaseLoad!AA203*'Base Hours'!$AA204)</f>
        <v>-</v>
      </c>
      <c r="V204" s="177">
        <f t="shared" ref="V204:V249" si="8">SUM(B204:U204)-(MAX(B204:U204))</f>
        <v>0</v>
      </c>
      <c r="W204" s="177"/>
      <c r="X204" s="177"/>
      <c r="Y204" s="206"/>
      <c r="Z204" s="206">
        <f>(BaseLoad!C203*'Base Hours'!V204*'Base Hours'!$AA204)*-1</f>
        <v>0</v>
      </c>
      <c r="AA204" s="206"/>
      <c r="AB204" s="206">
        <f>(BaseLoad!D203*'Base Hours'!V204*'Base Hours'!$AA204)*-1</f>
        <v>0</v>
      </c>
      <c r="AC204" s="206"/>
      <c r="AD204" s="206">
        <f>(BaseLoad!E203*'Base Hours'!V204*'Base Hours'!$AA204)*-1</f>
        <v>0</v>
      </c>
      <c r="AE204" s="206"/>
      <c r="AF204" s="206">
        <f>(BaseLoad!F203*'Base Hours'!V204*'Base Hours'!$AA204)*-1</f>
        <v>0</v>
      </c>
      <c r="AG204" s="206"/>
    </row>
    <row r="205" spans="1:33" x14ac:dyDescent="0.2">
      <c r="A205" s="1">
        <f t="shared" si="7"/>
        <v>42471.31500000025</v>
      </c>
      <c r="B205" s="177" t="str">
        <f>IF($A$1="Peak","-",'Base Hours'!B205*BaseLoad!H204*'Base Hours'!$AA205)</f>
        <v>-</v>
      </c>
      <c r="C205" s="177" t="str">
        <f>IF($A$1="Peak","-",'Base Hours'!C205*BaseLoad!I204*'Base Hours'!$AA205)</f>
        <v>-</v>
      </c>
      <c r="D205" s="177" t="str">
        <f>IF($A$1="Peak","-",'Base Hours'!D205*BaseLoad!J204*'Base Hours'!$AA205)</f>
        <v>-</v>
      </c>
      <c r="E205" s="177" t="str">
        <f>IF($A$1="Peak","-",'Base Hours'!E205*BaseLoad!K204*'Base Hours'!$AA205)</f>
        <v>-</v>
      </c>
      <c r="F205" s="177" t="str">
        <f>IF($A$1="Peak","-",'Base Hours'!F205*BaseLoad!L204*'Base Hours'!$AA205)</f>
        <v>-</v>
      </c>
      <c r="G205" s="177" t="str">
        <f>IF($A$1="Peak","-",'Base Hours'!G205*BaseLoad!M204*'Base Hours'!$AA205)</f>
        <v>-</v>
      </c>
      <c r="H205" s="177" t="str">
        <f>IF($A$1="Peak","-",'Base Hours'!H205*BaseLoad!N204*'Base Hours'!$AA205)</f>
        <v>-</v>
      </c>
      <c r="I205" s="177" t="str">
        <f>IF($A$1="Peak","-",'Base Hours'!I205*BaseLoad!O204*'Base Hours'!$AA205)</f>
        <v>-</v>
      </c>
      <c r="J205" s="177" t="str">
        <f>IF($A$1="Peak","-",'Base Hours'!J205*BaseLoad!P204*'Base Hours'!$AA205)</f>
        <v>-</v>
      </c>
      <c r="K205" s="177" t="str">
        <f>IF($A$1="Peak","-",'Base Hours'!K205*BaseLoad!Q204*'Base Hours'!$AA205)</f>
        <v>-</v>
      </c>
      <c r="L205" s="177" t="str">
        <f>IF($A$1="Peak","-",'Base Hours'!L205*BaseLoad!R204*'Base Hours'!$AA205)</f>
        <v>-</v>
      </c>
      <c r="M205" s="177" t="str">
        <f>IF($A$1="Peak","-",'Base Hours'!M205*BaseLoad!S204*'Base Hours'!$AA205)</f>
        <v>-</v>
      </c>
      <c r="N205" s="177" t="str">
        <f>IF($A$1="Peak","-",'Base Hours'!N205*BaseLoad!T204*'Base Hours'!$AA205)</f>
        <v>-</v>
      </c>
      <c r="O205" s="177" t="str">
        <f>IF($A$1="Peak","-",'Base Hours'!O205*BaseLoad!U204*'Base Hours'!$AA205)</f>
        <v>-</v>
      </c>
      <c r="P205" s="177" t="str">
        <f>IF($A$1="Peak","-",'Base Hours'!P205*BaseLoad!V204*'Base Hours'!$AA205)</f>
        <v>-</v>
      </c>
      <c r="Q205" s="177" t="str">
        <f>IF($A$1="Peak","-",'Base Hours'!Q205*BaseLoad!W204*'Base Hours'!$AA205)</f>
        <v>-</v>
      </c>
      <c r="R205" s="177" t="str">
        <f>IF($A$1="Peak","-",'Base Hours'!R205*BaseLoad!X204*'Base Hours'!$AA205)</f>
        <v>-</v>
      </c>
      <c r="S205" s="177" t="str">
        <f>IF($A$1="Peak","-",'Base Hours'!S205*BaseLoad!Y204*'Base Hours'!$AA205)</f>
        <v>-</v>
      </c>
      <c r="T205" s="177" t="str">
        <f>IF($A$1="Peak","-",'Base Hours'!T205*BaseLoad!Z204*'Base Hours'!$AA205)</f>
        <v>-</v>
      </c>
      <c r="U205" s="177" t="str">
        <f>IF($A$1="Peak","-",'Base Hours'!U205*BaseLoad!AA204*'Base Hours'!$AA205)</f>
        <v>-</v>
      </c>
      <c r="V205" s="177">
        <f t="shared" si="8"/>
        <v>0</v>
      </c>
      <c r="W205" s="177"/>
      <c r="X205" s="177"/>
      <c r="Y205" s="206"/>
      <c r="Z205" s="206">
        <f>(BaseLoad!C204*'Base Hours'!V205*'Base Hours'!$AA205)*-1</f>
        <v>0</v>
      </c>
      <c r="AA205" s="206"/>
      <c r="AB205" s="206">
        <f>(BaseLoad!D204*'Base Hours'!V205*'Base Hours'!$AA205)*-1</f>
        <v>0</v>
      </c>
      <c r="AC205" s="206"/>
      <c r="AD205" s="206">
        <f>(BaseLoad!E204*'Base Hours'!V205*'Base Hours'!$AA205)*-1</f>
        <v>0</v>
      </c>
      <c r="AE205" s="206"/>
      <c r="AF205" s="206">
        <f>(BaseLoad!F204*'Base Hours'!V205*'Base Hours'!$AA205)*-1</f>
        <v>0</v>
      </c>
      <c r="AG205" s="206"/>
    </row>
    <row r="206" spans="1:33" x14ac:dyDescent="0.2">
      <c r="A206" s="1">
        <f t="shared" si="7"/>
        <v>42501.732000000251</v>
      </c>
      <c r="B206" s="177" t="str">
        <f>IF($A$1="Peak","-",'Base Hours'!B206*BaseLoad!H205*'Base Hours'!$AA206)</f>
        <v>-</v>
      </c>
      <c r="C206" s="177" t="str">
        <f>IF($A$1="Peak","-",'Base Hours'!C206*BaseLoad!I205*'Base Hours'!$AA206)</f>
        <v>-</v>
      </c>
      <c r="D206" s="177" t="str">
        <f>IF($A$1="Peak","-",'Base Hours'!D206*BaseLoad!J205*'Base Hours'!$AA206)</f>
        <v>-</v>
      </c>
      <c r="E206" s="177" t="str">
        <f>IF($A$1="Peak","-",'Base Hours'!E206*BaseLoad!K205*'Base Hours'!$AA206)</f>
        <v>-</v>
      </c>
      <c r="F206" s="177" t="str">
        <f>IF($A$1="Peak","-",'Base Hours'!F206*BaseLoad!L205*'Base Hours'!$AA206)</f>
        <v>-</v>
      </c>
      <c r="G206" s="177" t="str">
        <f>IF($A$1="Peak","-",'Base Hours'!G206*BaseLoad!M205*'Base Hours'!$AA206)</f>
        <v>-</v>
      </c>
      <c r="H206" s="177" t="str">
        <f>IF($A$1="Peak","-",'Base Hours'!H206*BaseLoad!N205*'Base Hours'!$AA206)</f>
        <v>-</v>
      </c>
      <c r="I206" s="177" t="str">
        <f>IF($A$1="Peak","-",'Base Hours'!I206*BaseLoad!O205*'Base Hours'!$AA206)</f>
        <v>-</v>
      </c>
      <c r="J206" s="177" t="str">
        <f>IF($A$1="Peak","-",'Base Hours'!J206*BaseLoad!P205*'Base Hours'!$AA206)</f>
        <v>-</v>
      </c>
      <c r="K206" s="177" t="str">
        <f>IF($A$1="Peak","-",'Base Hours'!K206*BaseLoad!Q205*'Base Hours'!$AA206)</f>
        <v>-</v>
      </c>
      <c r="L206" s="177" t="str">
        <f>IF($A$1="Peak","-",'Base Hours'!L206*BaseLoad!R205*'Base Hours'!$AA206)</f>
        <v>-</v>
      </c>
      <c r="M206" s="177" t="str">
        <f>IF($A$1="Peak","-",'Base Hours'!M206*BaseLoad!S205*'Base Hours'!$AA206)</f>
        <v>-</v>
      </c>
      <c r="N206" s="177" t="str">
        <f>IF($A$1="Peak","-",'Base Hours'!N206*BaseLoad!T205*'Base Hours'!$AA206)</f>
        <v>-</v>
      </c>
      <c r="O206" s="177" t="str">
        <f>IF($A$1="Peak","-",'Base Hours'!O206*BaseLoad!U205*'Base Hours'!$AA206)</f>
        <v>-</v>
      </c>
      <c r="P206" s="177" t="str">
        <f>IF($A$1="Peak","-",'Base Hours'!P206*BaseLoad!V205*'Base Hours'!$AA206)</f>
        <v>-</v>
      </c>
      <c r="Q206" s="177" t="str">
        <f>IF($A$1="Peak","-",'Base Hours'!Q206*BaseLoad!W205*'Base Hours'!$AA206)</f>
        <v>-</v>
      </c>
      <c r="R206" s="177" t="str">
        <f>IF($A$1="Peak","-",'Base Hours'!R206*BaseLoad!X205*'Base Hours'!$AA206)</f>
        <v>-</v>
      </c>
      <c r="S206" s="177" t="str">
        <f>IF($A$1="Peak","-",'Base Hours'!S206*BaseLoad!Y205*'Base Hours'!$AA206)</f>
        <v>-</v>
      </c>
      <c r="T206" s="177" t="str">
        <f>IF($A$1="Peak","-",'Base Hours'!T206*BaseLoad!Z205*'Base Hours'!$AA206)</f>
        <v>-</v>
      </c>
      <c r="U206" s="177" t="str">
        <f>IF($A$1="Peak","-",'Base Hours'!U206*BaseLoad!AA205*'Base Hours'!$AA206)</f>
        <v>-</v>
      </c>
      <c r="V206" s="177">
        <f t="shared" si="8"/>
        <v>0</v>
      </c>
      <c r="W206" s="177"/>
      <c r="X206" s="177"/>
      <c r="Y206" s="206"/>
      <c r="Z206" s="206">
        <f>(BaseLoad!C205*'Base Hours'!V206*'Base Hours'!$AA206)*-1</f>
        <v>0</v>
      </c>
      <c r="AA206" s="206"/>
      <c r="AB206" s="206">
        <f>(BaseLoad!D205*'Base Hours'!V206*'Base Hours'!$AA206)*-1</f>
        <v>0</v>
      </c>
      <c r="AC206" s="206"/>
      <c r="AD206" s="206">
        <f>(BaseLoad!E205*'Base Hours'!V206*'Base Hours'!$AA206)*-1</f>
        <v>0</v>
      </c>
      <c r="AE206" s="206"/>
      <c r="AF206" s="206">
        <f>(BaseLoad!F205*'Base Hours'!V206*'Base Hours'!$AA206)*-1</f>
        <v>0</v>
      </c>
      <c r="AG206" s="206"/>
    </row>
    <row r="207" spans="1:33" x14ac:dyDescent="0.2">
      <c r="A207" s="1">
        <f t="shared" si="7"/>
        <v>42532.149000000252</v>
      </c>
      <c r="B207" s="177" t="str">
        <f>IF($A$1="Peak","-",'Base Hours'!B207*BaseLoad!H206*'Base Hours'!$AA207)</f>
        <v>-</v>
      </c>
      <c r="C207" s="177" t="str">
        <f>IF($A$1="Peak","-",'Base Hours'!C207*BaseLoad!I206*'Base Hours'!$AA207)</f>
        <v>-</v>
      </c>
      <c r="D207" s="177" t="str">
        <f>IF($A$1="Peak","-",'Base Hours'!D207*BaseLoad!J206*'Base Hours'!$AA207)</f>
        <v>-</v>
      </c>
      <c r="E207" s="177" t="str">
        <f>IF($A$1="Peak","-",'Base Hours'!E207*BaseLoad!K206*'Base Hours'!$AA207)</f>
        <v>-</v>
      </c>
      <c r="F207" s="177" t="str">
        <f>IF($A$1="Peak","-",'Base Hours'!F207*BaseLoad!L206*'Base Hours'!$AA207)</f>
        <v>-</v>
      </c>
      <c r="G207" s="177" t="str">
        <f>IF($A$1="Peak","-",'Base Hours'!G207*BaseLoad!M206*'Base Hours'!$AA207)</f>
        <v>-</v>
      </c>
      <c r="H207" s="177" t="str">
        <f>IF($A$1="Peak","-",'Base Hours'!H207*BaseLoad!N206*'Base Hours'!$AA207)</f>
        <v>-</v>
      </c>
      <c r="I207" s="177" t="str">
        <f>IF($A$1="Peak","-",'Base Hours'!I207*BaseLoad!O206*'Base Hours'!$AA207)</f>
        <v>-</v>
      </c>
      <c r="J207" s="177" t="str">
        <f>IF($A$1="Peak","-",'Base Hours'!J207*BaseLoad!P206*'Base Hours'!$AA207)</f>
        <v>-</v>
      </c>
      <c r="K207" s="177" t="str">
        <f>IF($A$1="Peak","-",'Base Hours'!K207*BaseLoad!Q206*'Base Hours'!$AA207)</f>
        <v>-</v>
      </c>
      <c r="L207" s="177" t="str">
        <f>IF($A$1="Peak","-",'Base Hours'!L207*BaseLoad!R206*'Base Hours'!$AA207)</f>
        <v>-</v>
      </c>
      <c r="M207" s="177" t="str">
        <f>IF($A$1="Peak","-",'Base Hours'!M207*BaseLoad!S206*'Base Hours'!$AA207)</f>
        <v>-</v>
      </c>
      <c r="N207" s="177" t="str">
        <f>IF($A$1="Peak","-",'Base Hours'!N207*BaseLoad!T206*'Base Hours'!$AA207)</f>
        <v>-</v>
      </c>
      <c r="O207" s="177" t="str">
        <f>IF($A$1="Peak","-",'Base Hours'!O207*BaseLoad!U206*'Base Hours'!$AA207)</f>
        <v>-</v>
      </c>
      <c r="P207" s="177" t="str">
        <f>IF($A$1="Peak","-",'Base Hours'!P207*BaseLoad!V206*'Base Hours'!$AA207)</f>
        <v>-</v>
      </c>
      <c r="Q207" s="177" t="str">
        <f>IF($A$1="Peak","-",'Base Hours'!Q207*BaseLoad!W206*'Base Hours'!$AA207)</f>
        <v>-</v>
      </c>
      <c r="R207" s="177" t="str">
        <f>IF($A$1="Peak","-",'Base Hours'!R207*BaseLoad!X206*'Base Hours'!$AA207)</f>
        <v>-</v>
      </c>
      <c r="S207" s="177" t="str">
        <f>IF($A$1="Peak","-",'Base Hours'!S207*BaseLoad!Y206*'Base Hours'!$AA207)</f>
        <v>-</v>
      </c>
      <c r="T207" s="177" t="str">
        <f>IF($A$1="Peak","-",'Base Hours'!T207*BaseLoad!Z206*'Base Hours'!$AA207)</f>
        <v>-</v>
      </c>
      <c r="U207" s="177" t="str">
        <f>IF($A$1="Peak","-",'Base Hours'!U207*BaseLoad!AA206*'Base Hours'!$AA207)</f>
        <v>-</v>
      </c>
      <c r="V207" s="177">
        <f t="shared" si="8"/>
        <v>0</v>
      </c>
      <c r="W207" s="177"/>
      <c r="X207" s="177"/>
      <c r="Y207" s="206"/>
      <c r="Z207" s="206">
        <f>(BaseLoad!C206*'Base Hours'!V207*'Base Hours'!$AA207)*-1</f>
        <v>0</v>
      </c>
      <c r="AA207" s="206"/>
      <c r="AB207" s="206">
        <f>(BaseLoad!D206*'Base Hours'!V207*'Base Hours'!$AA207)*-1</f>
        <v>0</v>
      </c>
      <c r="AC207" s="206"/>
      <c r="AD207" s="206">
        <f>(BaseLoad!E206*'Base Hours'!V207*'Base Hours'!$AA207)*-1</f>
        <v>0</v>
      </c>
      <c r="AE207" s="206"/>
      <c r="AF207" s="206">
        <f>(BaseLoad!F206*'Base Hours'!V207*'Base Hours'!$AA207)*-1</f>
        <v>0</v>
      </c>
      <c r="AG207" s="206"/>
    </row>
    <row r="208" spans="1:33" x14ac:dyDescent="0.2">
      <c r="A208" s="1">
        <f t="shared" si="7"/>
        <v>42562.566000000254</v>
      </c>
      <c r="B208" s="177" t="str">
        <f>IF($A$1="Peak","-",'Base Hours'!B208*BaseLoad!H207*'Base Hours'!$AA208)</f>
        <v>-</v>
      </c>
      <c r="C208" s="177" t="str">
        <f>IF($A$1="Peak","-",'Base Hours'!C208*BaseLoad!I207*'Base Hours'!$AA208)</f>
        <v>-</v>
      </c>
      <c r="D208" s="177" t="str">
        <f>IF($A$1="Peak","-",'Base Hours'!D208*BaseLoad!J207*'Base Hours'!$AA208)</f>
        <v>-</v>
      </c>
      <c r="E208" s="177" t="str">
        <f>IF($A$1="Peak","-",'Base Hours'!E208*BaseLoad!K207*'Base Hours'!$AA208)</f>
        <v>-</v>
      </c>
      <c r="F208" s="177" t="str">
        <f>IF($A$1="Peak","-",'Base Hours'!F208*BaseLoad!L207*'Base Hours'!$AA208)</f>
        <v>-</v>
      </c>
      <c r="G208" s="177" t="str">
        <f>IF($A$1="Peak","-",'Base Hours'!G208*BaseLoad!M207*'Base Hours'!$AA208)</f>
        <v>-</v>
      </c>
      <c r="H208" s="177" t="str">
        <f>IF($A$1="Peak","-",'Base Hours'!H208*BaseLoad!N207*'Base Hours'!$AA208)</f>
        <v>-</v>
      </c>
      <c r="I208" s="177" t="str">
        <f>IF($A$1="Peak","-",'Base Hours'!I208*BaseLoad!O207*'Base Hours'!$AA208)</f>
        <v>-</v>
      </c>
      <c r="J208" s="177" t="str">
        <f>IF($A$1="Peak","-",'Base Hours'!J208*BaseLoad!P207*'Base Hours'!$AA208)</f>
        <v>-</v>
      </c>
      <c r="K208" s="177" t="str">
        <f>IF($A$1="Peak","-",'Base Hours'!K208*BaseLoad!Q207*'Base Hours'!$AA208)</f>
        <v>-</v>
      </c>
      <c r="L208" s="177" t="str">
        <f>IF($A$1="Peak","-",'Base Hours'!L208*BaseLoad!R207*'Base Hours'!$AA208)</f>
        <v>-</v>
      </c>
      <c r="M208" s="177" t="str">
        <f>IF($A$1="Peak","-",'Base Hours'!M208*BaseLoad!S207*'Base Hours'!$AA208)</f>
        <v>-</v>
      </c>
      <c r="N208" s="177" t="str">
        <f>IF($A$1="Peak","-",'Base Hours'!N208*BaseLoad!T207*'Base Hours'!$AA208)</f>
        <v>-</v>
      </c>
      <c r="O208" s="177" t="str">
        <f>IF($A$1="Peak","-",'Base Hours'!O208*BaseLoad!U207*'Base Hours'!$AA208)</f>
        <v>-</v>
      </c>
      <c r="P208" s="177" t="str">
        <f>IF($A$1="Peak","-",'Base Hours'!P208*BaseLoad!V207*'Base Hours'!$AA208)</f>
        <v>-</v>
      </c>
      <c r="Q208" s="177" t="str">
        <f>IF($A$1="Peak","-",'Base Hours'!Q208*BaseLoad!W207*'Base Hours'!$AA208)</f>
        <v>-</v>
      </c>
      <c r="R208" s="177" t="str">
        <f>IF($A$1="Peak","-",'Base Hours'!R208*BaseLoad!X207*'Base Hours'!$AA208)</f>
        <v>-</v>
      </c>
      <c r="S208" s="177" t="str">
        <f>IF($A$1="Peak","-",'Base Hours'!S208*BaseLoad!Y207*'Base Hours'!$AA208)</f>
        <v>-</v>
      </c>
      <c r="T208" s="177" t="str">
        <f>IF($A$1="Peak","-",'Base Hours'!T208*BaseLoad!Z207*'Base Hours'!$AA208)</f>
        <v>-</v>
      </c>
      <c r="U208" s="177" t="str">
        <f>IF($A$1="Peak","-",'Base Hours'!U208*BaseLoad!AA207*'Base Hours'!$AA208)</f>
        <v>-</v>
      </c>
      <c r="V208" s="177">
        <f t="shared" si="8"/>
        <v>0</v>
      </c>
      <c r="W208" s="177"/>
      <c r="X208" s="177"/>
      <c r="Y208" s="206"/>
      <c r="Z208" s="206">
        <f>(BaseLoad!C207*'Base Hours'!V208*'Base Hours'!$AA208)*-1</f>
        <v>0</v>
      </c>
      <c r="AA208" s="206"/>
      <c r="AB208" s="206">
        <f>(BaseLoad!D207*'Base Hours'!V208*'Base Hours'!$AA208)*-1</f>
        <v>0</v>
      </c>
      <c r="AC208" s="206"/>
      <c r="AD208" s="206">
        <f>(BaseLoad!E207*'Base Hours'!V208*'Base Hours'!$AA208)*-1</f>
        <v>0</v>
      </c>
      <c r="AE208" s="206"/>
      <c r="AF208" s="206">
        <f>(BaseLoad!F207*'Base Hours'!V208*'Base Hours'!$AA208)*-1</f>
        <v>0</v>
      </c>
      <c r="AG208" s="206"/>
    </row>
    <row r="209" spans="1:33" x14ac:dyDescent="0.2">
      <c r="A209" s="1">
        <f t="shared" si="7"/>
        <v>42592.983000000255</v>
      </c>
      <c r="B209" s="177" t="str">
        <f>IF($A$1="Peak","-",'Base Hours'!B209*BaseLoad!H208*'Base Hours'!$AA209)</f>
        <v>-</v>
      </c>
      <c r="C209" s="177" t="str">
        <f>IF($A$1="Peak","-",'Base Hours'!C209*BaseLoad!I208*'Base Hours'!$AA209)</f>
        <v>-</v>
      </c>
      <c r="D209" s="177" t="str">
        <f>IF($A$1="Peak","-",'Base Hours'!D209*BaseLoad!J208*'Base Hours'!$AA209)</f>
        <v>-</v>
      </c>
      <c r="E209" s="177" t="str">
        <f>IF($A$1="Peak","-",'Base Hours'!E209*BaseLoad!K208*'Base Hours'!$AA209)</f>
        <v>-</v>
      </c>
      <c r="F209" s="177" t="str">
        <f>IF($A$1="Peak","-",'Base Hours'!F209*BaseLoad!L208*'Base Hours'!$AA209)</f>
        <v>-</v>
      </c>
      <c r="G209" s="177" t="str">
        <f>IF($A$1="Peak","-",'Base Hours'!G209*BaseLoad!M208*'Base Hours'!$AA209)</f>
        <v>-</v>
      </c>
      <c r="H209" s="177" t="str">
        <f>IF($A$1="Peak","-",'Base Hours'!H209*BaseLoad!N208*'Base Hours'!$AA209)</f>
        <v>-</v>
      </c>
      <c r="I209" s="177" t="str">
        <f>IF($A$1="Peak","-",'Base Hours'!I209*BaseLoad!O208*'Base Hours'!$AA209)</f>
        <v>-</v>
      </c>
      <c r="J209" s="177" t="str">
        <f>IF($A$1="Peak","-",'Base Hours'!J209*BaseLoad!P208*'Base Hours'!$AA209)</f>
        <v>-</v>
      </c>
      <c r="K209" s="177" t="str">
        <f>IF($A$1="Peak","-",'Base Hours'!K209*BaseLoad!Q208*'Base Hours'!$AA209)</f>
        <v>-</v>
      </c>
      <c r="L209" s="177" t="str">
        <f>IF($A$1="Peak","-",'Base Hours'!L209*BaseLoad!R208*'Base Hours'!$AA209)</f>
        <v>-</v>
      </c>
      <c r="M209" s="177" t="str">
        <f>IF($A$1="Peak","-",'Base Hours'!M209*BaseLoad!S208*'Base Hours'!$AA209)</f>
        <v>-</v>
      </c>
      <c r="N209" s="177" t="str">
        <f>IF($A$1="Peak","-",'Base Hours'!N209*BaseLoad!T208*'Base Hours'!$AA209)</f>
        <v>-</v>
      </c>
      <c r="O209" s="177" t="str">
        <f>IF($A$1="Peak","-",'Base Hours'!O209*BaseLoad!U208*'Base Hours'!$AA209)</f>
        <v>-</v>
      </c>
      <c r="P209" s="177" t="str">
        <f>IF($A$1="Peak","-",'Base Hours'!P209*BaseLoad!V208*'Base Hours'!$AA209)</f>
        <v>-</v>
      </c>
      <c r="Q209" s="177" t="str">
        <f>IF($A$1="Peak","-",'Base Hours'!Q209*BaseLoad!W208*'Base Hours'!$AA209)</f>
        <v>-</v>
      </c>
      <c r="R209" s="177" t="str">
        <f>IF($A$1="Peak","-",'Base Hours'!R209*BaseLoad!X208*'Base Hours'!$AA209)</f>
        <v>-</v>
      </c>
      <c r="S209" s="177" t="str">
        <f>IF($A$1="Peak","-",'Base Hours'!S209*BaseLoad!Y208*'Base Hours'!$AA209)</f>
        <v>-</v>
      </c>
      <c r="T209" s="177" t="str">
        <f>IF($A$1="Peak","-",'Base Hours'!T209*BaseLoad!Z208*'Base Hours'!$AA209)</f>
        <v>-</v>
      </c>
      <c r="U209" s="177" t="str">
        <f>IF($A$1="Peak","-",'Base Hours'!U209*BaseLoad!AA208*'Base Hours'!$AA209)</f>
        <v>-</v>
      </c>
      <c r="V209" s="177">
        <f t="shared" si="8"/>
        <v>0</v>
      </c>
      <c r="W209" s="177"/>
      <c r="X209" s="177"/>
      <c r="Y209" s="206"/>
      <c r="Z209" s="206">
        <f>(BaseLoad!C208*'Base Hours'!V209*'Base Hours'!$AA209)*-1</f>
        <v>0</v>
      </c>
      <c r="AA209" s="206"/>
      <c r="AB209" s="206">
        <f>(BaseLoad!D208*'Base Hours'!V209*'Base Hours'!$AA209)*-1</f>
        <v>0</v>
      </c>
      <c r="AC209" s="206"/>
      <c r="AD209" s="206">
        <f>(BaseLoad!E208*'Base Hours'!V209*'Base Hours'!$AA209)*-1</f>
        <v>0</v>
      </c>
      <c r="AE209" s="206"/>
      <c r="AF209" s="206">
        <f>(BaseLoad!F208*'Base Hours'!V209*'Base Hours'!$AA209)*-1</f>
        <v>0</v>
      </c>
      <c r="AG209" s="206"/>
    </row>
    <row r="210" spans="1:33" x14ac:dyDescent="0.2">
      <c r="A210" s="1">
        <f t="shared" si="7"/>
        <v>42623.400000000256</v>
      </c>
      <c r="B210" s="177" t="str">
        <f>IF($A$1="Peak","-",'Base Hours'!B210*BaseLoad!H209*'Base Hours'!$AA210)</f>
        <v>-</v>
      </c>
      <c r="C210" s="177" t="str">
        <f>IF($A$1="Peak","-",'Base Hours'!C210*BaseLoad!I209*'Base Hours'!$AA210)</f>
        <v>-</v>
      </c>
      <c r="D210" s="177" t="str">
        <f>IF($A$1="Peak","-",'Base Hours'!D210*BaseLoad!J209*'Base Hours'!$AA210)</f>
        <v>-</v>
      </c>
      <c r="E210" s="177" t="str">
        <f>IF($A$1="Peak","-",'Base Hours'!E210*BaseLoad!K209*'Base Hours'!$AA210)</f>
        <v>-</v>
      </c>
      <c r="F210" s="177" t="str">
        <f>IF($A$1="Peak","-",'Base Hours'!F210*BaseLoad!L209*'Base Hours'!$AA210)</f>
        <v>-</v>
      </c>
      <c r="G210" s="177" t="str">
        <f>IF($A$1="Peak","-",'Base Hours'!G210*BaseLoad!M209*'Base Hours'!$AA210)</f>
        <v>-</v>
      </c>
      <c r="H210" s="177" t="str">
        <f>IF($A$1="Peak","-",'Base Hours'!H210*BaseLoad!N209*'Base Hours'!$AA210)</f>
        <v>-</v>
      </c>
      <c r="I210" s="177" t="str">
        <f>IF($A$1="Peak","-",'Base Hours'!I210*BaseLoad!O209*'Base Hours'!$AA210)</f>
        <v>-</v>
      </c>
      <c r="J210" s="177" t="str">
        <f>IF($A$1="Peak","-",'Base Hours'!J210*BaseLoad!P209*'Base Hours'!$AA210)</f>
        <v>-</v>
      </c>
      <c r="K210" s="177" t="str">
        <f>IF($A$1="Peak","-",'Base Hours'!K210*BaseLoad!Q209*'Base Hours'!$AA210)</f>
        <v>-</v>
      </c>
      <c r="L210" s="177" t="str">
        <f>IF($A$1="Peak","-",'Base Hours'!L210*BaseLoad!R209*'Base Hours'!$AA210)</f>
        <v>-</v>
      </c>
      <c r="M210" s="177" t="str">
        <f>IF($A$1="Peak","-",'Base Hours'!M210*BaseLoad!S209*'Base Hours'!$AA210)</f>
        <v>-</v>
      </c>
      <c r="N210" s="177" t="str">
        <f>IF($A$1="Peak","-",'Base Hours'!N210*BaseLoad!T209*'Base Hours'!$AA210)</f>
        <v>-</v>
      </c>
      <c r="O210" s="177" t="str">
        <f>IF($A$1="Peak","-",'Base Hours'!O210*BaseLoad!U209*'Base Hours'!$AA210)</f>
        <v>-</v>
      </c>
      <c r="P210" s="177" t="str">
        <f>IF($A$1="Peak","-",'Base Hours'!P210*BaseLoad!V209*'Base Hours'!$AA210)</f>
        <v>-</v>
      </c>
      <c r="Q210" s="177" t="str">
        <f>IF($A$1="Peak","-",'Base Hours'!Q210*BaseLoad!W209*'Base Hours'!$AA210)</f>
        <v>-</v>
      </c>
      <c r="R210" s="177" t="str">
        <f>IF($A$1="Peak","-",'Base Hours'!R210*BaseLoad!X209*'Base Hours'!$AA210)</f>
        <v>-</v>
      </c>
      <c r="S210" s="177" t="str">
        <f>IF($A$1="Peak","-",'Base Hours'!S210*BaseLoad!Y209*'Base Hours'!$AA210)</f>
        <v>-</v>
      </c>
      <c r="T210" s="177" t="str">
        <f>IF($A$1="Peak","-",'Base Hours'!T210*BaseLoad!Z209*'Base Hours'!$AA210)</f>
        <v>-</v>
      </c>
      <c r="U210" s="177" t="str">
        <f>IF($A$1="Peak","-",'Base Hours'!U210*BaseLoad!AA209*'Base Hours'!$AA210)</f>
        <v>-</v>
      </c>
      <c r="V210" s="177">
        <f t="shared" si="8"/>
        <v>0</v>
      </c>
      <c r="W210" s="177"/>
      <c r="X210" s="177"/>
      <c r="Y210" s="206"/>
      <c r="Z210" s="206">
        <f>(BaseLoad!C209*'Base Hours'!V210*'Base Hours'!$AA210)*-1</f>
        <v>0</v>
      </c>
      <c r="AA210" s="206"/>
      <c r="AB210" s="206">
        <f>(BaseLoad!D209*'Base Hours'!V210*'Base Hours'!$AA210)*-1</f>
        <v>0</v>
      </c>
      <c r="AC210" s="206"/>
      <c r="AD210" s="206">
        <f>(BaseLoad!E209*'Base Hours'!V210*'Base Hours'!$AA210)*-1</f>
        <v>0</v>
      </c>
      <c r="AE210" s="206"/>
      <c r="AF210" s="206">
        <f>(BaseLoad!F209*'Base Hours'!V210*'Base Hours'!$AA210)*-1</f>
        <v>0</v>
      </c>
      <c r="AG210" s="206"/>
    </row>
    <row r="211" spans="1:33" x14ac:dyDescent="0.2">
      <c r="A211" s="1">
        <f t="shared" si="7"/>
        <v>42653.817000000257</v>
      </c>
      <c r="B211" s="177" t="str">
        <f>IF($A$1="Peak","-",'Base Hours'!B211*BaseLoad!H210*'Base Hours'!$AA211)</f>
        <v>-</v>
      </c>
      <c r="C211" s="177" t="str">
        <f>IF($A$1="Peak","-",'Base Hours'!C211*BaseLoad!I210*'Base Hours'!$AA211)</f>
        <v>-</v>
      </c>
      <c r="D211" s="177" t="str">
        <f>IF($A$1="Peak","-",'Base Hours'!D211*BaseLoad!J210*'Base Hours'!$AA211)</f>
        <v>-</v>
      </c>
      <c r="E211" s="177" t="str">
        <f>IF($A$1="Peak","-",'Base Hours'!E211*BaseLoad!K210*'Base Hours'!$AA211)</f>
        <v>-</v>
      </c>
      <c r="F211" s="177" t="str">
        <f>IF($A$1="Peak","-",'Base Hours'!F211*BaseLoad!L210*'Base Hours'!$AA211)</f>
        <v>-</v>
      </c>
      <c r="G211" s="177" t="str">
        <f>IF($A$1="Peak","-",'Base Hours'!G211*BaseLoad!M210*'Base Hours'!$AA211)</f>
        <v>-</v>
      </c>
      <c r="H211" s="177" t="str">
        <f>IF($A$1="Peak","-",'Base Hours'!H211*BaseLoad!N210*'Base Hours'!$AA211)</f>
        <v>-</v>
      </c>
      <c r="I211" s="177" t="str">
        <f>IF($A$1="Peak","-",'Base Hours'!I211*BaseLoad!O210*'Base Hours'!$AA211)</f>
        <v>-</v>
      </c>
      <c r="J211" s="177" t="str">
        <f>IF($A$1="Peak","-",'Base Hours'!J211*BaseLoad!P210*'Base Hours'!$AA211)</f>
        <v>-</v>
      </c>
      <c r="K211" s="177" t="str">
        <f>IF($A$1="Peak","-",'Base Hours'!K211*BaseLoad!Q210*'Base Hours'!$AA211)</f>
        <v>-</v>
      </c>
      <c r="L211" s="177" t="str">
        <f>IF($A$1="Peak","-",'Base Hours'!L211*BaseLoad!R210*'Base Hours'!$AA211)</f>
        <v>-</v>
      </c>
      <c r="M211" s="177" t="str">
        <f>IF($A$1="Peak","-",'Base Hours'!M211*BaseLoad!S210*'Base Hours'!$AA211)</f>
        <v>-</v>
      </c>
      <c r="N211" s="177" t="str">
        <f>IF($A$1="Peak","-",'Base Hours'!N211*BaseLoad!T210*'Base Hours'!$AA211)</f>
        <v>-</v>
      </c>
      <c r="O211" s="177" t="str">
        <f>IF($A$1="Peak","-",'Base Hours'!O211*BaseLoad!U210*'Base Hours'!$AA211)</f>
        <v>-</v>
      </c>
      <c r="P211" s="177" t="str">
        <f>IF($A$1="Peak","-",'Base Hours'!P211*BaseLoad!V210*'Base Hours'!$AA211)</f>
        <v>-</v>
      </c>
      <c r="Q211" s="177" t="str">
        <f>IF($A$1="Peak","-",'Base Hours'!Q211*BaseLoad!W210*'Base Hours'!$AA211)</f>
        <v>-</v>
      </c>
      <c r="R211" s="177" t="str">
        <f>IF($A$1="Peak","-",'Base Hours'!R211*BaseLoad!X210*'Base Hours'!$AA211)</f>
        <v>-</v>
      </c>
      <c r="S211" s="177" t="str">
        <f>IF($A$1="Peak","-",'Base Hours'!S211*BaseLoad!Y210*'Base Hours'!$AA211)</f>
        <v>-</v>
      </c>
      <c r="T211" s="177" t="str">
        <f>IF($A$1="Peak","-",'Base Hours'!T211*BaseLoad!Z210*'Base Hours'!$AA211)</f>
        <v>-</v>
      </c>
      <c r="U211" s="177" t="str">
        <f>IF($A$1="Peak","-",'Base Hours'!U211*BaseLoad!AA210*'Base Hours'!$AA211)</f>
        <v>-</v>
      </c>
      <c r="V211" s="177">
        <f t="shared" si="8"/>
        <v>0</v>
      </c>
      <c r="W211" s="177"/>
      <c r="X211" s="177"/>
      <c r="Y211" s="206"/>
      <c r="Z211" s="206">
        <f>(BaseLoad!C210*'Base Hours'!V211*'Base Hours'!$AA211)*-1</f>
        <v>0</v>
      </c>
      <c r="AA211" s="206"/>
      <c r="AB211" s="206">
        <f>(BaseLoad!D210*'Base Hours'!V211*'Base Hours'!$AA211)*-1</f>
        <v>0</v>
      </c>
      <c r="AC211" s="206"/>
      <c r="AD211" s="206">
        <f>(BaseLoad!E210*'Base Hours'!V211*'Base Hours'!$AA211)*-1</f>
        <v>0</v>
      </c>
      <c r="AE211" s="206"/>
      <c r="AF211" s="206">
        <f>(BaseLoad!F210*'Base Hours'!V211*'Base Hours'!$AA211)*-1</f>
        <v>0</v>
      </c>
      <c r="AG211" s="206"/>
    </row>
    <row r="212" spans="1:33" x14ac:dyDescent="0.2">
      <c r="A212" s="1">
        <f t="shared" si="7"/>
        <v>42684.234000000259</v>
      </c>
      <c r="B212" s="177" t="str">
        <f>IF($A$1="Peak","-",'Base Hours'!B212*BaseLoad!H211*'Base Hours'!$AA212)</f>
        <v>-</v>
      </c>
      <c r="C212" s="177" t="str">
        <f>IF($A$1="Peak","-",'Base Hours'!C212*BaseLoad!I211*'Base Hours'!$AA212)</f>
        <v>-</v>
      </c>
      <c r="D212" s="177" t="str">
        <f>IF($A$1="Peak","-",'Base Hours'!D212*BaseLoad!J211*'Base Hours'!$AA212)</f>
        <v>-</v>
      </c>
      <c r="E212" s="177" t="str">
        <f>IF($A$1="Peak","-",'Base Hours'!E212*BaseLoad!K211*'Base Hours'!$AA212)</f>
        <v>-</v>
      </c>
      <c r="F212" s="177" t="str">
        <f>IF($A$1="Peak","-",'Base Hours'!F212*BaseLoad!L211*'Base Hours'!$AA212)</f>
        <v>-</v>
      </c>
      <c r="G212" s="177" t="str">
        <f>IF($A$1="Peak","-",'Base Hours'!G212*BaseLoad!M211*'Base Hours'!$AA212)</f>
        <v>-</v>
      </c>
      <c r="H212" s="177" t="str">
        <f>IF($A$1="Peak","-",'Base Hours'!H212*BaseLoad!N211*'Base Hours'!$AA212)</f>
        <v>-</v>
      </c>
      <c r="I212" s="177" t="str">
        <f>IF($A$1="Peak","-",'Base Hours'!I212*BaseLoad!O211*'Base Hours'!$AA212)</f>
        <v>-</v>
      </c>
      <c r="J212" s="177" t="str">
        <f>IF($A$1="Peak","-",'Base Hours'!J212*BaseLoad!P211*'Base Hours'!$AA212)</f>
        <v>-</v>
      </c>
      <c r="K212" s="177" t="str">
        <f>IF($A$1="Peak","-",'Base Hours'!K212*BaseLoad!Q211*'Base Hours'!$AA212)</f>
        <v>-</v>
      </c>
      <c r="L212" s="177" t="str">
        <f>IF($A$1="Peak","-",'Base Hours'!L212*BaseLoad!R211*'Base Hours'!$AA212)</f>
        <v>-</v>
      </c>
      <c r="M212" s="177" t="str">
        <f>IF($A$1="Peak","-",'Base Hours'!M212*BaseLoad!S211*'Base Hours'!$AA212)</f>
        <v>-</v>
      </c>
      <c r="N212" s="177" t="str">
        <f>IF($A$1="Peak","-",'Base Hours'!N212*BaseLoad!T211*'Base Hours'!$AA212)</f>
        <v>-</v>
      </c>
      <c r="O212" s="177" t="str">
        <f>IF($A$1="Peak","-",'Base Hours'!O212*BaseLoad!U211*'Base Hours'!$AA212)</f>
        <v>-</v>
      </c>
      <c r="P212" s="177" t="str">
        <f>IF($A$1="Peak","-",'Base Hours'!P212*BaseLoad!V211*'Base Hours'!$AA212)</f>
        <v>-</v>
      </c>
      <c r="Q212" s="177" t="str">
        <f>IF($A$1="Peak","-",'Base Hours'!Q212*BaseLoad!W211*'Base Hours'!$AA212)</f>
        <v>-</v>
      </c>
      <c r="R212" s="177" t="str">
        <f>IF($A$1="Peak","-",'Base Hours'!R212*BaseLoad!X211*'Base Hours'!$AA212)</f>
        <v>-</v>
      </c>
      <c r="S212" s="177" t="str">
        <f>IF($A$1="Peak","-",'Base Hours'!S212*BaseLoad!Y211*'Base Hours'!$AA212)</f>
        <v>-</v>
      </c>
      <c r="T212" s="177" t="str">
        <f>IF($A$1="Peak","-",'Base Hours'!T212*BaseLoad!Z211*'Base Hours'!$AA212)</f>
        <v>-</v>
      </c>
      <c r="U212" s="177" t="str">
        <f>IF($A$1="Peak","-",'Base Hours'!U212*BaseLoad!AA211*'Base Hours'!$AA212)</f>
        <v>-</v>
      </c>
      <c r="V212" s="177">
        <f t="shared" si="8"/>
        <v>0</v>
      </c>
      <c r="W212" s="177"/>
      <c r="X212" s="177"/>
      <c r="Y212" s="206"/>
      <c r="Z212" s="206">
        <f>(BaseLoad!C211*'Base Hours'!V212*'Base Hours'!$AA212)*-1</f>
        <v>0</v>
      </c>
      <c r="AA212" s="206"/>
      <c r="AB212" s="206">
        <f>(BaseLoad!D211*'Base Hours'!V212*'Base Hours'!$AA212)*-1</f>
        <v>0</v>
      </c>
      <c r="AC212" s="206"/>
      <c r="AD212" s="206">
        <f>(BaseLoad!E211*'Base Hours'!V212*'Base Hours'!$AA212)*-1</f>
        <v>0</v>
      </c>
      <c r="AE212" s="206"/>
      <c r="AF212" s="206">
        <f>(BaseLoad!F211*'Base Hours'!V212*'Base Hours'!$AA212)*-1</f>
        <v>0</v>
      </c>
      <c r="AG212" s="206"/>
    </row>
    <row r="213" spans="1:33" x14ac:dyDescent="0.2">
      <c r="A213" s="1">
        <f t="shared" si="7"/>
        <v>42714.65100000026</v>
      </c>
      <c r="B213" s="177" t="str">
        <f>IF($A$1="Peak","-",'Base Hours'!B213*BaseLoad!H212*'Base Hours'!$AA213)</f>
        <v>-</v>
      </c>
      <c r="C213" s="177" t="str">
        <f>IF($A$1="Peak","-",'Base Hours'!C213*BaseLoad!I212*'Base Hours'!$AA213)</f>
        <v>-</v>
      </c>
      <c r="D213" s="177" t="str">
        <f>IF($A$1="Peak","-",'Base Hours'!D213*BaseLoad!J212*'Base Hours'!$AA213)</f>
        <v>-</v>
      </c>
      <c r="E213" s="177" t="str">
        <f>IF($A$1="Peak","-",'Base Hours'!E213*BaseLoad!K212*'Base Hours'!$AA213)</f>
        <v>-</v>
      </c>
      <c r="F213" s="177" t="str">
        <f>IF($A$1="Peak","-",'Base Hours'!F213*BaseLoad!L212*'Base Hours'!$AA213)</f>
        <v>-</v>
      </c>
      <c r="G213" s="177" t="str">
        <f>IF($A$1="Peak","-",'Base Hours'!G213*BaseLoad!M212*'Base Hours'!$AA213)</f>
        <v>-</v>
      </c>
      <c r="H213" s="177" t="str">
        <f>IF($A$1="Peak","-",'Base Hours'!H213*BaseLoad!N212*'Base Hours'!$AA213)</f>
        <v>-</v>
      </c>
      <c r="I213" s="177" t="str">
        <f>IF($A$1="Peak","-",'Base Hours'!I213*BaseLoad!O212*'Base Hours'!$AA213)</f>
        <v>-</v>
      </c>
      <c r="J213" s="177" t="str">
        <f>IF($A$1="Peak","-",'Base Hours'!J213*BaseLoad!P212*'Base Hours'!$AA213)</f>
        <v>-</v>
      </c>
      <c r="K213" s="177" t="str">
        <f>IF($A$1="Peak","-",'Base Hours'!K213*BaseLoad!Q212*'Base Hours'!$AA213)</f>
        <v>-</v>
      </c>
      <c r="L213" s="177" t="str">
        <f>IF($A$1="Peak","-",'Base Hours'!L213*BaseLoad!R212*'Base Hours'!$AA213)</f>
        <v>-</v>
      </c>
      <c r="M213" s="177" t="str">
        <f>IF($A$1="Peak","-",'Base Hours'!M213*BaseLoad!S212*'Base Hours'!$AA213)</f>
        <v>-</v>
      </c>
      <c r="N213" s="177" t="str">
        <f>IF($A$1="Peak","-",'Base Hours'!N213*BaseLoad!T212*'Base Hours'!$AA213)</f>
        <v>-</v>
      </c>
      <c r="O213" s="177" t="str">
        <f>IF($A$1="Peak","-",'Base Hours'!O213*BaseLoad!U212*'Base Hours'!$AA213)</f>
        <v>-</v>
      </c>
      <c r="P213" s="177" t="str">
        <f>IF($A$1="Peak","-",'Base Hours'!P213*BaseLoad!V212*'Base Hours'!$AA213)</f>
        <v>-</v>
      </c>
      <c r="Q213" s="177" t="str">
        <f>IF($A$1="Peak","-",'Base Hours'!Q213*BaseLoad!W212*'Base Hours'!$AA213)</f>
        <v>-</v>
      </c>
      <c r="R213" s="177" t="str">
        <f>IF($A$1="Peak","-",'Base Hours'!R213*BaseLoad!X212*'Base Hours'!$AA213)</f>
        <v>-</v>
      </c>
      <c r="S213" s="177" t="str">
        <f>IF($A$1="Peak","-",'Base Hours'!S213*BaseLoad!Y212*'Base Hours'!$AA213)</f>
        <v>-</v>
      </c>
      <c r="T213" s="177" t="str">
        <f>IF($A$1="Peak","-",'Base Hours'!T213*BaseLoad!Z212*'Base Hours'!$AA213)</f>
        <v>-</v>
      </c>
      <c r="U213" s="177" t="str">
        <f>IF($A$1="Peak","-",'Base Hours'!U213*BaseLoad!AA212*'Base Hours'!$AA213)</f>
        <v>-</v>
      </c>
      <c r="V213" s="177">
        <f t="shared" si="8"/>
        <v>0</v>
      </c>
      <c r="W213" s="177"/>
      <c r="X213" s="177"/>
      <c r="Y213" s="206">
        <f>SUM(B202:U213)</f>
        <v>0</v>
      </c>
      <c r="Z213" s="206">
        <f>(BaseLoad!C212*'Base Hours'!V213*'Base Hours'!$AA213)*-1</f>
        <v>0</v>
      </c>
      <c r="AA213" s="206">
        <f>SUM(Z202:Z213)</f>
        <v>0</v>
      </c>
      <c r="AB213" s="206">
        <f>(BaseLoad!D212*'Base Hours'!V213*'Base Hours'!$AA213)*-1</f>
        <v>0</v>
      </c>
      <c r="AC213" s="206">
        <f>SUM(AB202:AB213)</f>
        <v>0</v>
      </c>
      <c r="AD213" s="206">
        <f>(BaseLoad!E212*'Base Hours'!V213*'Base Hours'!$AA213)*-1</f>
        <v>0</v>
      </c>
      <c r="AE213" s="206">
        <f>SUM(AD202:AD213)</f>
        <v>0</v>
      </c>
      <c r="AF213" s="206">
        <f>(BaseLoad!F212*'Base Hours'!V213*'Base Hours'!$AA213)*-1</f>
        <v>0</v>
      </c>
      <c r="AG213" s="206">
        <f>SUM(AF202:AF213)</f>
        <v>0</v>
      </c>
    </row>
    <row r="214" spans="1:33" x14ac:dyDescent="0.2">
      <c r="A214" s="1">
        <f t="shared" si="7"/>
        <v>42745.068000000261</v>
      </c>
      <c r="B214" s="177" t="str">
        <f>IF($A$1="Peak","-",'Base Hours'!B214*BaseLoad!H213*'Base Hours'!$AA214)</f>
        <v>-</v>
      </c>
      <c r="C214" s="177" t="str">
        <f>IF($A$1="Peak","-",'Base Hours'!C214*BaseLoad!I213*'Base Hours'!$AA214)</f>
        <v>-</v>
      </c>
      <c r="D214" s="177" t="str">
        <f>IF($A$1="Peak","-",'Base Hours'!D214*BaseLoad!J213*'Base Hours'!$AA214)</f>
        <v>-</v>
      </c>
      <c r="E214" s="177" t="str">
        <f>IF($A$1="Peak","-",'Base Hours'!E214*BaseLoad!K213*'Base Hours'!$AA214)</f>
        <v>-</v>
      </c>
      <c r="F214" s="177" t="str">
        <f>IF($A$1="Peak","-",'Base Hours'!F214*BaseLoad!L213*'Base Hours'!$AA214)</f>
        <v>-</v>
      </c>
      <c r="G214" s="177" t="str">
        <f>IF($A$1="Peak","-",'Base Hours'!G214*BaseLoad!M213*'Base Hours'!$AA214)</f>
        <v>-</v>
      </c>
      <c r="H214" s="177" t="str">
        <f>IF($A$1="Peak","-",'Base Hours'!H214*BaseLoad!N213*'Base Hours'!$AA214)</f>
        <v>-</v>
      </c>
      <c r="I214" s="177" t="str">
        <f>IF($A$1="Peak","-",'Base Hours'!I214*BaseLoad!O213*'Base Hours'!$AA214)</f>
        <v>-</v>
      </c>
      <c r="J214" s="177" t="str">
        <f>IF($A$1="Peak","-",'Base Hours'!J214*BaseLoad!P213*'Base Hours'!$AA214)</f>
        <v>-</v>
      </c>
      <c r="K214" s="177" t="str">
        <f>IF($A$1="Peak","-",'Base Hours'!K214*BaseLoad!Q213*'Base Hours'!$AA214)</f>
        <v>-</v>
      </c>
      <c r="L214" s="177" t="str">
        <f>IF($A$1="Peak","-",'Base Hours'!L214*BaseLoad!R213*'Base Hours'!$AA214)</f>
        <v>-</v>
      </c>
      <c r="M214" s="177" t="str">
        <f>IF($A$1="Peak","-",'Base Hours'!M214*BaseLoad!S213*'Base Hours'!$AA214)</f>
        <v>-</v>
      </c>
      <c r="N214" s="177" t="str">
        <f>IF($A$1="Peak","-",'Base Hours'!N214*BaseLoad!T213*'Base Hours'!$AA214)</f>
        <v>-</v>
      </c>
      <c r="O214" s="177" t="str">
        <f>IF($A$1="Peak","-",'Base Hours'!O214*BaseLoad!U213*'Base Hours'!$AA214)</f>
        <v>-</v>
      </c>
      <c r="P214" s="177" t="str">
        <f>IF($A$1="Peak","-",'Base Hours'!P214*BaseLoad!V213*'Base Hours'!$AA214)</f>
        <v>-</v>
      </c>
      <c r="Q214" s="177" t="str">
        <f>IF($A$1="Peak","-",'Base Hours'!Q214*BaseLoad!W213*'Base Hours'!$AA214)</f>
        <v>-</v>
      </c>
      <c r="R214" s="177" t="str">
        <f>IF($A$1="Peak","-",'Base Hours'!R214*BaseLoad!X213*'Base Hours'!$AA214)</f>
        <v>-</v>
      </c>
      <c r="S214" s="177" t="str">
        <f>IF($A$1="Peak","-",'Base Hours'!S214*BaseLoad!Y213*'Base Hours'!$AA214)</f>
        <v>-</v>
      </c>
      <c r="T214" s="177" t="str">
        <f>IF($A$1="Peak","-",'Base Hours'!T214*BaseLoad!Z213*'Base Hours'!$AA214)</f>
        <v>-</v>
      </c>
      <c r="U214" s="177" t="str">
        <f>IF($A$1="Peak","-",'Base Hours'!U214*BaseLoad!AA213*'Base Hours'!$AA214)</f>
        <v>-</v>
      </c>
      <c r="V214" s="177">
        <f t="shared" si="8"/>
        <v>0</v>
      </c>
      <c r="W214" s="177"/>
      <c r="X214" s="177"/>
      <c r="Y214" s="206"/>
      <c r="Z214" s="206">
        <f>(BaseLoad!C213*'Base Hours'!V214*'Base Hours'!$AA214)*-1</f>
        <v>0</v>
      </c>
      <c r="AA214" s="206"/>
      <c r="AB214" s="206">
        <f>(BaseLoad!D213*'Base Hours'!V214*'Base Hours'!$AA214)*-1</f>
        <v>0</v>
      </c>
      <c r="AC214" s="206"/>
      <c r="AD214" s="206">
        <f>(BaseLoad!E213*'Base Hours'!V214*'Base Hours'!$AA214)*-1</f>
        <v>0</v>
      </c>
      <c r="AE214" s="206"/>
      <c r="AF214" s="206">
        <f>(BaseLoad!F213*'Base Hours'!V214*'Base Hours'!$AA214)*-1</f>
        <v>0</v>
      </c>
      <c r="AG214" s="206"/>
    </row>
    <row r="215" spans="1:33" x14ac:dyDescent="0.2">
      <c r="A215" s="1">
        <f t="shared" si="7"/>
        <v>42775.485000000263</v>
      </c>
      <c r="B215" s="177" t="str">
        <f>IF($A$1="Peak","-",'Base Hours'!B215*BaseLoad!H214*'Base Hours'!$AA215)</f>
        <v>-</v>
      </c>
      <c r="C215" s="177" t="str">
        <f>IF($A$1="Peak","-",'Base Hours'!C215*BaseLoad!I214*'Base Hours'!$AA215)</f>
        <v>-</v>
      </c>
      <c r="D215" s="177" t="str">
        <f>IF($A$1="Peak","-",'Base Hours'!D215*BaseLoad!J214*'Base Hours'!$AA215)</f>
        <v>-</v>
      </c>
      <c r="E215" s="177" t="str">
        <f>IF($A$1="Peak","-",'Base Hours'!E215*BaseLoad!K214*'Base Hours'!$AA215)</f>
        <v>-</v>
      </c>
      <c r="F215" s="177" t="str">
        <f>IF($A$1="Peak","-",'Base Hours'!F215*BaseLoad!L214*'Base Hours'!$AA215)</f>
        <v>-</v>
      </c>
      <c r="G215" s="177" t="str">
        <f>IF($A$1="Peak","-",'Base Hours'!G215*BaseLoad!M214*'Base Hours'!$AA215)</f>
        <v>-</v>
      </c>
      <c r="H215" s="177" t="str">
        <f>IF($A$1="Peak","-",'Base Hours'!H215*BaseLoad!N214*'Base Hours'!$AA215)</f>
        <v>-</v>
      </c>
      <c r="I215" s="177" t="str">
        <f>IF($A$1="Peak","-",'Base Hours'!I215*BaseLoad!O214*'Base Hours'!$AA215)</f>
        <v>-</v>
      </c>
      <c r="J215" s="177" t="str">
        <f>IF($A$1="Peak","-",'Base Hours'!J215*BaseLoad!P214*'Base Hours'!$AA215)</f>
        <v>-</v>
      </c>
      <c r="K215" s="177" t="str">
        <f>IF($A$1="Peak","-",'Base Hours'!K215*BaseLoad!Q214*'Base Hours'!$AA215)</f>
        <v>-</v>
      </c>
      <c r="L215" s="177" t="str">
        <f>IF($A$1="Peak","-",'Base Hours'!L215*BaseLoad!R214*'Base Hours'!$AA215)</f>
        <v>-</v>
      </c>
      <c r="M215" s="177" t="str">
        <f>IF($A$1="Peak","-",'Base Hours'!M215*BaseLoad!S214*'Base Hours'!$AA215)</f>
        <v>-</v>
      </c>
      <c r="N215" s="177" t="str">
        <f>IF($A$1="Peak","-",'Base Hours'!N215*BaseLoad!T214*'Base Hours'!$AA215)</f>
        <v>-</v>
      </c>
      <c r="O215" s="177" t="str">
        <f>IF($A$1="Peak","-",'Base Hours'!O215*BaseLoad!U214*'Base Hours'!$AA215)</f>
        <v>-</v>
      </c>
      <c r="P215" s="177" t="str">
        <f>IF($A$1="Peak","-",'Base Hours'!P215*BaseLoad!V214*'Base Hours'!$AA215)</f>
        <v>-</v>
      </c>
      <c r="Q215" s="177" t="str">
        <f>IF($A$1="Peak","-",'Base Hours'!Q215*BaseLoad!W214*'Base Hours'!$AA215)</f>
        <v>-</v>
      </c>
      <c r="R215" s="177" t="str">
        <f>IF($A$1="Peak","-",'Base Hours'!R215*BaseLoad!X214*'Base Hours'!$AA215)</f>
        <v>-</v>
      </c>
      <c r="S215" s="177" t="str">
        <f>IF($A$1="Peak","-",'Base Hours'!S215*BaseLoad!Y214*'Base Hours'!$AA215)</f>
        <v>-</v>
      </c>
      <c r="T215" s="177" t="str">
        <f>IF($A$1="Peak","-",'Base Hours'!T215*BaseLoad!Z214*'Base Hours'!$AA215)</f>
        <v>-</v>
      </c>
      <c r="U215" s="177" t="str">
        <f>IF($A$1="Peak","-",'Base Hours'!U215*BaseLoad!AA214*'Base Hours'!$AA215)</f>
        <v>-</v>
      </c>
      <c r="V215" s="177">
        <f t="shared" si="8"/>
        <v>0</v>
      </c>
      <c r="W215" s="177"/>
      <c r="X215" s="177"/>
      <c r="Y215" s="206"/>
      <c r="Z215" s="206">
        <f>(BaseLoad!C214*'Base Hours'!V215*'Base Hours'!$AA215)*-1</f>
        <v>0</v>
      </c>
      <c r="AA215" s="206"/>
      <c r="AB215" s="206">
        <f>(BaseLoad!D214*'Base Hours'!V215*'Base Hours'!$AA215)*-1</f>
        <v>0</v>
      </c>
      <c r="AC215" s="206"/>
      <c r="AD215" s="206">
        <f>(BaseLoad!E214*'Base Hours'!V215*'Base Hours'!$AA215)*-1</f>
        <v>0</v>
      </c>
      <c r="AE215" s="206"/>
      <c r="AF215" s="206">
        <f>(BaseLoad!F214*'Base Hours'!V215*'Base Hours'!$AA215)*-1</f>
        <v>0</v>
      </c>
      <c r="AG215" s="206"/>
    </row>
    <row r="216" spans="1:33" x14ac:dyDescent="0.2">
      <c r="A216" s="1">
        <f t="shared" si="7"/>
        <v>42805.902000000264</v>
      </c>
      <c r="B216" s="177" t="str">
        <f>IF($A$1="Peak","-",'Base Hours'!B216*BaseLoad!H215*'Base Hours'!$AA216)</f>
        <v>-</v>
      </c>
      <c r="C216" s="177" t="str">
        <f>IF($A$1="Peak","-",'Base Hours'!C216*BaseLoad!I215*'Base Hours'!$AA216)</f>
        <v>-</v>
      </c>
      <c r="D216" s="177" t="str">
        <f>IF($A$1="Peak","-",'Base Hours'!D216*BaseLoad!J215*'Base Hours'!$AA216)</f>
        <v>-</v>
      </c>
      <c r="E216" s="177" t="str">
        <f>IF($A$1="Peak","-",'Base Hours'!E216*BaseLoad!K215*'Base Hours'!$AA216)</f>
        <v>-</v>
      </c>
      <c r="F216" s="177" t="str">
        <f>IF($A$1="Peak","-",'Base Hours'!F216*BaseLoad!L215*'Base Hours'!$AA216)</f>
        <v>-</v>
      </c>
      <c r="G216" s="177" t="str">
        <f>IF($A$1="Peak","-",'Base Hours'!G216*BaseLoad!M215*'Base Hours'!$AA216)</f>
        <v>-</v>
      </c>
      <c r="H216" s="177" t="str">
        <f>IF($A$1="Peak","-",'Base Hours'!H216*BaseLoad!N215*'Base Hours'!$AA216)</f>
        <v>-</v>
      </c>
      <c r="I216" s="177" t="str">
        <f>IF($A$1="Peak","-",'Base Hours'!I216*BaseLoad!O215*'Base Hours'!$AA216)</f>
        <v>-</v>
      </c>
      <c r="J216" s="177" t="str">
        <f>IF($A$1="Peak","-",'Base Hours'!J216*BaseLoad!P215*'Base Hours'!$AA216)</f>
        <v>-</v>
      </c>
      <c r="K216" s="177" t="str">
        <f>IF($A$1="Peak","-",'Base Hours'!K216*BaseLoad!Q215*'Base Hours'!$AA216)</f>
        <v>-</v>
      </c>
      <c r="L216" s="177" t="str">
        <f>IF($A$1="Peak","-",'Base Hours'!L216*BaseLoad!R215*'Base Hours'!$AA216)</f>
        <v>-</v>
      </c>
      <c r="M216" s="177" t="str">
        <f>IF($A$1="Peak","-",'Base Hours'!M216*BaseLoad!S215*'Base Hours'!$AA216)</f>
        <v>-</v>
      </c>
      <c r="N216" s="177" t="str">
        <f>IF($A$1="Peak","-",'Base Hours'!N216*BaseLoad!T215*'Base Hours'!$AA216)</f>
        <v>-</v>
      </c>
      <c r="O216" s="177" t="str">
        <f>IF($A$1="Peak","-",'Base Hours'!O216*BaseLoad!U215*'Base Hours'!$AA216)</f>
        <v>-</v>
      </c>
      <c r="P216" s="177" t="str">
        <f>IF($A$1="Peak","-",'Base Hours'!P216*BaseLoad!V215*'Base Hours'!$AA216)</f>
        <v>-</v>
      </c>
      <c r="Q216" s="177" t="str">
        <f>IF($A$1="Peak","-",'Base Hours'!Q216*BaseLoad!W215*'Base Hours'!$AA216)</f>
        <v>-</v>
      </c>
      <c r="R216" s="177" t="str">
        <f>IF($A$1="Peak","-",'Base Hours'!R216*BaseLoad!X215*'Base Hours'!$AA216)</f>
        <v>-</v>
      </c>
      <c r="S216" s="177" t="str">
        <f>IF($A$1="Peak","-",'Base Hours'!S216*BaseLoad!Y215*'Base Hours'!$AA216)</f>
        <v>-</v>
      </c>
      <c r="T216" s="177" t="str">
        <f>IF($A$1="Peak","-",'Base Hours'!T216*BaseLoad!Z215*'Base Hours'!$AA216)</f>
        <v>-</v>
      </c>
      <c r="U216" s="177" t="str">
        <f>IF($A$1="Peak","-",'Base Hours'!U216*BaseLoad!AA215*'Base Hours'!$AA216)</f>
        <v>-</v>
      </c>
      <c r="V216" s="177">
        <f t="shared" si="8"/>
        <v>0</v>
      </c>
      <c r="W216" s="177"/>
      <c r="X216" s="177"/>
      <c r="Y216" s="206"/>
      <c r="Z216" s="206">
        <f>(BaseLoad!C215*'Base Hours'!V216*'Base Hours'!$AA216)*-1</f>
        <v>0</v>
      </c>
      <c r="AA216" s="206"/>
      <c r="AB216" s="206">
        <f>(BaseLoad!D215*'Base Hours'!V216*'Base Hours'!$AA216)*-1</f>
        <v>0</v>
      </c>
      <c r="AC216" s="206"/>
      <c r="AD216" s="206">
        <f>(BaseLoad!E215*'Base Hours'!V216*'Base Hours'!$AA216)*-1</f>
        <v>0</v>
      </c>
      <c r="AE216" s="206"/>
      <c r="AF216" s="206">
        <f>(BaseLoad!F215*'Base Hours'!V216*'Base Hours'!$AA216)*-1</f>
        <v>0</v>
      </c>
      <c r="AG216" s="206"/>
    </row>
    <row r="217" spans="1:33" x14ac:dyDescent="0.2">
      <c r="A217" s="1">
        <f t="shared" si="7"/>
        <v>42836.319000000265</v>
      </c>
      <c r="B217" s="177" t="str">
        <f>IF($A$1="Peak","-",'Base Hours'!B217*BaseLoad!H216*'Base Hours'!$AA217)</f>
        <v>-</v>
      </c>
      <c r="C217" s="177" t="str">
        <f>IF($A$1="Peak","-",'Base Hours'!C217*BaseLoad!I216*'Base Hours'!$AA217)</f>
        <v>-</v>
      </c>
      <c r="D217" s="177" t="str">
        <f>IF($A$1="Peak","-",'Base Hours'!D217*BaseLoad!J216*'Base Hours'!$AA217)</f>
        <v>-</v>
      </c>
      <c r="E217" s="177" t="str">
        <f>IF($A$1="Peak","-",'Base Hours'!E217*BaseLoad!K216*'Base Hours'!$AA217)</f>
        <v>-</v>
      </c>
      <c r="F217" s="177" t="str">
        <f>IF($A$1="Peak","-",'Base Hours'!F217*BaseLoad!L216*'Base Hours'!$AA217)</f>
        <v>-</v>
      </c>
      <c r="G217" s="177" t="str">
        <f>IF($A$1="Peak","-",'Base Hours'!G217*BaseLoad!M216*'Base Hours'!$AA217)</f>
        <v>-</v>
      </c>
      <c r="H217" s="177" t="str">
        <f>IF($A$1="Peak","-",'Base Hours'!H217*BaseLoad!N216*'Base Hours'!$AA217)</f>
        <v>-</v>
      </c>
      <c r="I217" s="177" t="str">
        <f>IF($A$1="Peak","-",'Base Hours'!I217*BaseLoad!O216*'Base Hours'!$AA217)</f>
        <v>-</v>
      </c>
      <c r="J217" s="177" t="str">
        <f>IF($A$1="Peak","-",'Base Hours'!J217*BaseLoad!P216*'Base Hours'!$AA217)</f>
        <v>-</v>
      </c>
      <c r="K217" s="177" t="str">
        <f>IF($A$1="Peak","-",'Base Hours'!K217*BaseLoad!Q216*'Base Hours'!$AA217)</f>
        <v>-</v>
      </c>
      <c r="L217" s="177" t="str">
        <f>IF($A$1="Peak","-",'Base Hours'!L217*BaseLoad!R216*'Base Hours'!$AA217)</f>
        <v>-</v>
      </c>
      <c r="M217" s="177" t="str">
        <f>IF($A$1="Peak","-",'Base Hours'!M217*BaseLoad!S216*'Base Hours'!$AA217)</f>
        <v>-</v>
      </c>
      <c r="N217" s="177" t="str">
        <f>IF($A$1="Peak","-",'Base Hours'!N217*BaseLoad!T216*'Base Hours'!$AA217)</f>
        <v>-</v>
      </c>
      <c r="O217" s="177" t="str">
        <f>IF($A$1="Peak","-",'Base Hours'!O217*BaseLoad!U216*'Base Hours'!$AA217)</f>
        <v>-</v>
      </c>
      <c r="P217" s="177" t="str">
        <f>IF($A$1="Peak","-",'Base Hours'!P217*BaseLoad!V216*'Base Hours'!$AA217)</f>
        <v>-</v>
      </c>
      <c r="Q217" s="177" t="str">
        <f>IF($A$1="Peak","-",'Base Hours'!Q217*BaseLoad!W216*'Base Hours'!$AA217)</f>
        <v>-</v>
      </c>
      <c r="R217" s="177" t="str">
        <f>IF($A$1="Peak","-",'Base Hours'!R217*BaseLoad!X216*'Base Hours'!$AA217)</f>
        <v>-</v>
      </c>
      <c r="S217" s="177" t="str">
        <f>IF($A$1="Peak","-",'Base Hours'!S217*BaseLoad!Y216*'Base Hours'!$AA217)</f>
        <v>-</v>
      </c>
      <c r="T217" s="177" t="str">
        <f>IF($A$1="Peak","-",'Base Hours'!T217*BaseLoad!Z216*'Base Hours'!$AA217)</f>
        <v>-</v>
      </c>
      <c r="U217" s="177" t="str">
        <f>IF($A$1="Peak","-",'Base Hours'!U217*BaseLoad!AA216*'Base Hours'!$AA217)</f>
        <v>-</v>
      </c>
      <c r="V217" s="177">
        <f t="shared" si="8"/>
        <v>0</v>
      </c>
      <c r="W217" s="177"/>
      <c r="X217" s="177"/>
      <c r="Y217" s="206"/>
      <c r="Z217" s="206">
        <f>(BaseLoad!C216*'Base Hours'!V217*'Base Hours'!$AA217)*-1</f>
        <v>0</v>
      </c>
      <c r="AA217" s="206"/>
      <c r="AB217" s="206">
        <f>(BaseLoad!D216*'Base Hours'!V217*'Base Hours'!$AA217)*-1</f>
        <v>0</v>
      </c>
      <c r="AC217" s="206"/>
      <c r="AD217" s="206">
        <f>(BaseLoad!E216*'Base Hours'!V217*'Base Hours'!$AA217)*-1</f>
        <v>0</v>
      </c>
      <c r="AE217" s="206"/>
      <c r="AF217" s="206">
        <f>(BaseLoad!F216*'Base Hours'!V217*'Base Hours'!$AA217)*-1</f>
        <v>0</v>
      </c>
      <c r="AG217" s="206"/>
    </row>
    <row r="218" spans="1:33" x14ac:dyDescent="0.2">
      <c r="A218" s="1">
        <f t="shared" si="7"/>
        <v>42866.736000000266</v>
      </c>
      <c r="B218" s="177" t="str">
        <f>IF($A$1="Peak","-",'Base Hours'!B218*BaseLoad!H217*'Base Hours'!$AA218)</f>
        <v>-</v>
      </c>
      <c r="C218" s="177" t="str">
        <f>IF($A$1="Peak","-",'Base Hours'!C218*BaseLoad!I217*'Base Hours'!$AA218)</f>
        <v>-</v>
      </c>
      <c r="D218" s="177" t="str">
        <f>IF($A$1="Peak","-",'Base Hours'!D218*BaseLoad!J217*'Base Hours'!$AA218)</f>
        <v>-</v>
      </c>
      <c r="E218" s="177" t="str">
        <f>IF($A$1="Peak","-",'Base Hours'!E218*BaseLoad!K217*'Base Hours'!$AA218)</f>
        <v>-</v>
      </c>
      <c r="F218" s="177" t="str">
        <f>IF($A$1="Peak","-",'Base Hours'!F218*BaseLoad!L217*'Base Hours'!$AA218)</f>
        <v>-</v>
      </c>
      <c r="G218" s="177" t="str">
        <f>IF($A$1="Peak","-",'Base Hours'!G218*BaseLoad!M217*'Base Hours'!$AA218)</f>
        <v>-</v>
      </c>
      <c r="H218" s="177" t="str">
        <f>IF($A$1="Peak","-",'Base Hours'!H218*BaseLoad!N217*'Base Hours'!$AA218)</f>
        <v>-</v>
      </c>
      <c r="I218" s="177" t="str">
        <f>IF($A$1="Peak","-",'Base Hours'!I218*BaseLoad!O217*'Base Hours'!$AA218)</f>
        <v>-</v>
      </c>
      <c r="J218" s="177" t="str">
        <f>IF($A$1="Peak","-",'Base Hours'!J218*BaseLoad!P217*'Base Hours'!$AA218)</f>
        <v>-</v>
      </c>
      <c r="K218" s="177" t="str">
        <f>IF($A$1="Peak","-",'Base Hours'!K218*BaseLoad!Q217*'Base Hours'!$AA218)</f>
        <v>-</v>
      </c>
      <c r="L218" s="177" t="str">
        <f>IF($A$1="Peak","-",'Base Hours'!L218*BaseLoad!R217*'Base Hours'!$AA218)</f>
        <v>-</v>
      </c>
      <c r="M218" s="177" t="str">
        <f>IF($A$1="Peak","-",'Base Hours'!M218*BaseLoad!S217*'Base Hours'!$AA218)</f>
        <v>-</v>
      </c>
      <c r="N218" s="177" t="str">
        <f>IF($A$1="Peak","-",'Base Hours'!N218*BaseLoad!T217*'Base Hours'!$AA218)</f>
        <v>-</v>
      </c>
      <c r="O218" s="177" t="str">
        <f>IF($A$1="Peak","-",'Base Hours'!O218*BaseLoad!U217*'Base Hours'!$AA218)</f>
        <v>-</v>
      </c>
      <c r="P218" s="177" t="str">
        <f>IF($A$1="Peak","-",'Base Hours'!P218*BaseLoad!V217*'Base Hours'!$AA218)</f>
        <v>-</v>
      </c>
      <c r="Q218" s="177" t="str">
        <f>IF($A$1="Peak","-",'Base Hours'!Q218*BaseLoad!W217*'Base Hours'!$AA218)</f>
        <v>-</v>
      </c>
      <c r="R218" s="177" t="str">
        <f>IF($A$1="Peak","-",'Base Hours'!R218*BaseLoad!X217*'Base Hours'!$AA218)</f>
        <v>-</v>
      </c>
      <c r="S218" s="177" t="str">
        <f>IF($A$1="Peak","-",'Base Hours'!S218*BaseLoad!Y217*'Base Hours'!$AA218)</f>
        <v>-</v>
      </c>
      <c r="T218" s="177" t="str">
        <f>IF($A$1="Peak","-",'Base Hours'!T218*BaseLoad!Z217*'Base Hours'!$AA218)</f>
        <v>-</v>
      </c>
      <c r="U218" s="177" t="str">
        <f>IF($A$1="Peak","-",'Base Hours'!U218*BaseLoad!AA217*'Base Hours'!$AA218)</f>
        <v>-</v>
      </c>
      <c r="V218" s="177">
        <f t="shared" si="8"/>
        <v>0</v>
      </c>
      <c r="W218" s="177"/>
      <c r="X218" s="177"/>
      <c r="Y218" s="206"/>
      <c r="Z218" s="206">
        <f>(BaseLoad!C217*'Base Hours'!V218*'Base Hours'!$AA218)*-1</f>
        <v>0</v>
      </c>
      <c r="AA218" s="206"/>
      <c r="AB218" s="206">
        <f>(BaseLoad!D217*'Base Hours'!V218*'Base Hours'!$AA218)*-1</f>
        <v>0</v>
      </c>
      <c r="AC218" s="206"/>
      <c r="AD218" s="206">
        <f>(BaseLoad!E217*'Base Hours'!V218*'Base Hours'!$AA218)*-1</f>
        <v>0</v>
      </c>
      <c r="AE218" s="206"/>
      <c r="AF218" s="206">
        <f>(BaseLoad!F217*'Base Hours'!V218*'Base Hours'!$AA218)*-1</f>
        <v>0</v>
      </c>
      <c r="AG218" s="206"/>
    </row>
    <row r="219" spans="1:33" x14ac:dyDescent="0.2">
      <c r="A219" s="1">
        <f t="shared" si="7"/>
        <v>42897.153000000268</v>
      </c>
      <c r="B219" s="177" t="str">
        <f>IF($A$1="Peak","-",'Base Hours'!B219*BaseLoad!H218*'Base Hours'!$AA219)</f>
        <v>-</v>
      </c>
      <c r="C219" s="177" t="str">
        <f>IF($A$1="Peak","-",'Base Hours'!C219*BaseLoad!I218*'Base Hours'!$AA219)</f>
        <v>-</v>
      </c>
      <c r="D219" s="177" t="str">
        <f>IF($A$1="Peak","-",'Base Hours'!D219*BaseLoad!J218*'Base Hours'!$AA219)</f>
        <v>-</v>
      </c>
      <c r="E219" s="177" t="str">
        <f>IF($A$1="Peak","-",'Base Hours'!E219*BaseLoad!K218*'Base Hours'!$AA219)</f>
        <v>-</v>
      </c>
      <c r="F219" s="177" t="str">
        <f>IF($A$1="Peak","-",'Base Hours'!F219*BaseLoad!L218*'Base Hours'!$AA219)</f>
        <v>-</v>
      </c>
      <c r="G219" s="177" t="str">
        <f>IF($A$1="Peak","-",'Base Hours'!G219*BaseLoad!M218*'Base Hours'!$AA219)</f>
        <v>-</v>
      </c>
      <c r="H219" s="177" t="str">
        <f>IF($A$1="Peak","-",'Base Hours'!H219*BaseLoad!N218*'Base Hours'!$AA219)</f>
        <v>-</v>
      </c>
      <c r="I219" s="177" t="str">
        <f>IF($A$1="Peak","-",'Base Hours'!I219*BaseLoad!O218*'Base Hours'!$AA219)</f>
        <v>-</v>
      </c>
      <c r="J219" s="177" t="str">
        <f>IF($A$1="Peak","-",'Base Hours'!J219*BaseLoad!P218*'Base Hours'!$AA219)</f>
        <v>-</v>
      </c>
      <c r="K219" s="177" t="str">
        <f>IF($A$1="Peak","-",'Base Hours'!K219*BaseLoad!Q218*'Base Hours'!$AA219)</f>
        <v>-</v>
      </c>
      <c r="L219" s="177" t="str">
        <f>IF($A$1="Peak","-",'Base Hours'!L219*BaseLoad!R218*'Base Hours'!$AA219)</f>
        <v>-</v>
      </c>
      <c r="M219" s="177" t="str">
        <f>IF($A$1="Peak","-",'Base Hours'!M219*BaseLoad!S218*'Base Hours'!$AA219)</f>
        <v>-</v>
      </c>
      <c r="N219" s="177" t="str">
        <f>IF($A$1="Peak","-",'Base Hours'!N219*BaseLoad!T218*'Base Hours'!$AA219)</f>
        <v>-</v>
      </c>
      <c r="O219" s="177" t="str">
        <f>IF($A$1="Peak","-",'Base Hours'!O219*BaseLoad!U218*'Base Hours'!$AA219)</f>
        <v>-</v>
      </c>
      <c r="P219" s="177" t="str">
        <f>IF($A$1="Peak","-",'Base Hours'!P219*BaseLoad!V218*'Base Hours'!$AA219)</f>
        <v>-</v>
      </c>
      <c r="Q219" s="177" t="str">
        <f>IF($A$1="Peak","-",'Base Hours'!Q219*BaseLoad!W218*'Base Hours'!$AA219)</f>
        <v>-</v>
      </c>
      <c r="R219" s="177" t="str">
        <f>IF($A$1="Peak","-",'Base Hours'!R219*BaseLoad!X218*'Base Hours'!$AA219)</f>
        <v>-</v>
      </c>
      <c r="S219" s="177" t="str">
        <f>IF($A$1="Peak","-",'Base Hours'!S219*BaseLoad!Y218*'Base Hours'!$AA219)</f>
        <v>-</v>
      </c>
      <c r="T219" s="177" t="str">
        <f>IF($A$1="Peak","-",'Base Hours'!T219*BaseLoad!Z218*'Base Hours'!$AA219)</f>
        <v>-</v>
      </c>
      <c r="U219" s="177" t="str">
        <f>IF($A$1="Peak","-",'Base Hours'!U219*BaseLoad!AA218*'Base Hours'!$AA219)</f>
        <v>-</v>
      </c>
      <c r="V219" s="177">
        <f t="shared" si="8"/>
        <v>0</v>
      </c>
      <c r="W219" s="177"/>
      <c r="X219" s="177"/>
      <c r="Y219" s="206"/>
      <c r="Z219" s="206">
        <f>(BaseLoad!C218*'Base Hours'!V219*'Base Hours'!$AA219)*-1</f>
        <v>0</v>
      </c>
      <c r="AA219" s="206"/>
      <c r="AB219" s="206">
        <f>(BaseLoad!D218*'Base Hours'!V219*'Base Hours'!$AA219)*-1</f>
        <v>0</v>
      </c>
      <c r="AC219" s="206"/>
      <c r="AD219" s="206">
        <f>(BaseLoad!E218*'Base Hours'!V219*'Base Hours'!$AA219)*-1</f>
        <v>0</v>
      </c>
      <c r="AE219" s="206"/>
      <c r="AF219" s="206">
        <f>(BaseLoad!F218*'Base Hours'!V219*'Base Hours'!$AA219)*-1</f>
        <v>0</v>
      </c>
      <c r="AG219" s="206"/>
    </row>
    <row r="220" spans="1:33" x14ac:dyDescent="0.2">
      <c r="A220" s="1">
        <f t="shared" si="7"/>
        <v>42927.570000000269</v>
      </c>
      <c r="B220" s="177" t="str">
        <f>IF($A$1="Peak","-",'Base Hours'!B220*BaseLoad!H219*'Base Hours'!$AA220)</f>
        <v>-</v>
      </c>
      <c r="C220" s="177" t="str">
        <f>IF($A$1="Peak","-",'Base Hours'!C220*BaseLoad!I219*'Base Hours'!$AA220)</f>
        <v>-</v>
      </c>
      <c r="D220" s="177" t="str">
        <f>IF($A$1="Peak","-",'Base Hours'!D220*BaseLoad!J219*'Base Hours'!$AA220)</f>
        <v>-</v>
      </c>
      <c r="E220" s="177" t="str">
        <f>IF($A$1="Peak","-",'Base Hours'!E220*BaseLoad!K219*'Base Hours'!$AA220)</f>
        <v>-</v>
      </c>
      <c r="F220" s="177" t="str">
        <f>IF($A$1="Peak","-",'Base Hours'!F220*BaseLoad!L219*'Base Hours'!$AA220)</f>
        <v>-</v>
      </c>
      <c r="G220" s="177" t="str">
        <f>IF($A$1="Peak","-",'Base Hours'!G220*BaseLoad!M219*'Base Hours'!$AA220)</f>
        <v>-</v>
      </c>
      <c r="H220" s="177" t="str">
        <f>IF($A$1="Peak","-",'Base Hours'!H220*BaseLoad!N219*'Base Hours'!$AA220)</f>
        <v>-</v>
      </c>
      <c r="I220" s="177" t="str">
        <f>IF($A$1="Peak","-",'Base Hours'!I220*BaseLoad!O219*'Base Hours'!$AA220)</f>
        <v>-</v>
      </c>
      <c r="J220" s="177" t="str">
        <f>IF($A$1="Peak","-",'Base Hours'!J220*BaseLoad!P219*'Base Hours'!$AA220)</f>
        <v>-</v>
      </c>
      <c r="K220" s="177" t="str">
        <f>IF($A$1="Peak","-",'Base Hours'!K220*BaseLoad!Q219*'Base Hours'!$AA220)</f>
        <v>-</v>
      </c>
      <c r="L220" s="177" t="str">
        <f>IF($A$1="Peak","-",'Base Hours'!L220*BaseLoad!R219*'Base Hours'!$AA220)</f>
        <v>-</v>
      </c>
      <c r="M220" s="177" t="str">
        <f>IF($A$1="Peak","-",'Base Hours'!M220*BaseLoad!S219*'Base Hours'!$AA220)</f>
        <v>-</v>
      </c>
      <c r="N220" s="177" t="str">
        <f>IF($A$1="Peak","-",'Base Hours'!N220*BaseLoad!T219*'Base Hours'!$AA220)</f>
        <v>-</v>
      </c>
      <c r="O220" s="177" t="str">
        <f>IF($A$1="Peak","-",'Base Hours'!O220*BaseLoad!U219*'Base Hours'!$AA220)</f>
        <v>-</v>
      </c>
      <c r="P220" s="177" t="str">
        <f>IF($A$1="Peak","-",'Base Hours'!P220*BaseLoad!V219*'Base Hours'!$AA220)</f>
        <v>-</v>
      </c>
      <c r="Q220" s="177" t="str">
        <f>IF($A$1="Peak","-",'Base Hours'!Q220*BaseLoad!W219*'Base Hours'!$AA220)</f>
        <v>-</v>
      </c>
      <c r="R220" s="177" t="str">
        <f>IF($A$1="Peak","-",'Base Hours'!R220*BaseLoad!X219*'Base Hours'!$AA220)</f>
        <v>-</v>
      </c>
      <c r="S220" s="177" t="str">
        <f>IF($A$1="Peak","-",'Base Hours'!S220*BaseLoad!Y219*'Base Hours'!$AA220)</f>
        <v>-</v>
      </c>
      <c r="T220" s="177" t="str">
        <f>IF($A$1="Peak","-",'Base Hours'!T220*BaseLoad!Z219*'Base Hours'!$AA220)</f>
        <v>-</v>
      </c>
      <c r="U220" s="177" t="str">
        <f>IF($A$1="Peak","-",'Base Hours'!U220*BaseLoad!AA219*'Base Hours'!$AA220)</f>
        <v>-</v>
      </c>
      <c r="V220" s="177">
        <f t="shared" si="8"/>
        <v>0</v>
      </c>
      <c r="W220" s="177"/>
      <c r="X220" s="177"/>
      <c r="Y220" s="206"/>
      <c r="Z220" s="206">
        <f>(BaseLoad!C219*'Base Hours'!V220*'Base Hours'!$AA220)*-1</f>
        <v>0</v>
      </c>
      <c r="AA220" s="206"/>
      <c r="AB220" s="206">
        <f>(BaseLoad!D219*'Base Hours'!V220*'Base Hours'!$AA220)*-1</f>
        <v>0</v>
      </c>
      <c r="AC220" s="206"/>
      <c r="AD220" s="206">
        <f>(BaseLoad!E219*'Base Hours'!V220*'Base Hours'!$AA220)*-1</f>
        <v>0</v>
      </c>
      <c r="AE220" s="206"/>
      <c r="AF220" s="206">
        <f>(BaseLoad!F219*'Base Hours'!V220*'Base Hours'!$AA220)*-1</f>
        <v>0</v>
      </c>
      <c r="AG220" s="206"/>
    </row>
    <row r="221" spans="1:33" x14ac:dyDescent="0.2">
      <c r="A221" s="1">
        <f t="shared" si="7"/>
        <v>42957.98700000027</v>
      </c>
      <c r="B221" s="177" t="str">
        <f>IF($A$1="Peak","-",'Base Hours'!B221*BaseLoad!H220*'Base Hours'!$AA221)</f>
        <v>-</v>
      </c>
      <c r="C221" s="177" t="str">
        <f>IF($A$1="Peak","-",'Base Hours'!C221*BaseLoad!I220*'Base Hours'!$AA221)</f>
        <v>-</v>
      </c>
      <c r="D221" s="177" t="str">
        <f>IF($A$1="Peak","-",'Base Hours'!D221*BaseLoad!J220*'Base Hours'!$AA221)</f>
        <v>-</v>
      </c>
      <c r="E221" s="177" t="str">
        <f>IF($A$1="Peak","-",'Base Hours'!E221*BaseLoad!K220*'Base Hours'!$AA221)</f>
        <v>-</v>
      </c>
      <c r="F221" s="177" t="str">
        <f>IF($A$1="Peak","-",'Base Hours'!F221*BaseLoad!L220*'Base Hours'!$AA221)</f>
        <v>-</v>
      </c>
      <c r="G221" s="177" t="str">
        <f>IF($A$1="Peak","-",'Base Hours'!G221*BaseLoad!M220*'Base Hours'!$AA221)</f>
        <v>-</v>
      </c>
      <c r="H221" s="177" t="str">
        <f>IF($A$1="Peak","-",'Base Hours'!H221*BaseLoad!N220*'Base Hours'!$AA221)</f>
        <v>-</v>
      </c>
      <c r="I221" s="177" t="str">
        <f>IF($A$1="Peak","-",'Base Hours'!I221*BaseLoad!O220*'Base Hours'!$AA221)</f>
        <v>-</v>
      </c>
      <c r="J221" s="177" t="str">
        <f>IF($A$1="Peak","-",'Base Hours'!J221*BaseLoad!P220*'Base Hours'!$AA221)</f>
        <v>-</v>
      </c>
      <c r="K221" s="177" t="str">
        <f>IF($A$1="Peak","-",'Base Hours'!K221*BaseLoad!Q220*'Base Hours'!$AA221)</f>
        <v>-</v>
      </c>
      <c r="L221" s="177" t="str">
        <f>IF($A$1="Peak","-",'Base Hours'!L221*BaseLoad!R220*'Base Hours'!$AA221)</f>
        <v>-</v>
      </c>
      <c r="M221" s="177" t="str">
        <f>IF($A$1="Peak","-",'Base Hours'!M221*BaseLoad!S220*'Base Hours'!$AA221)</f>
        <v>-</v>
      </c>
      <c r="N221" s="177" t="str">
        <f>IF($A$1="Peak","-",'Base Hours'!N221*BaseLoad!T220*'Base Hours'!$AA221)</f>
        <v>-</v>
      </c>
      <c r="O221" s="177" t="str">
        <f>IF($A$1="Peak","-",'Base Hours'!O221*BaseLoad!U220*'Base Hours'!$AA221)</f>
        <v>-</v>
      </c>
      <c r="P221" s="177" t="str">
        <f>IF($A$1="Peak","-",'Base Hours'!P221*BaseLoad!V220*'Base Hours'!$AA221)</f>
        <v>-</v>
      </c>
      <c r="Q221" s="177" t="str">
        <f>IF($A$1="Peak","-",'Base Hours'!Q221*BaseLoad!W220*'Base Hours'!$AA221)</f>
        <v>-</v>
      </c>
      <c r="R221" s="177" t="str">
        <f>IF($A$1="Peak","-",'Base Hours'!R221*BaseLoad!X220*'Base Hours'!$AA221)</f>
        <v>-</v>
      </c>
      <c r="S221" s="177" t="str">
        <f>IF($A$1="Peak","-",'Base Hours'!S221*BaseLoad!Y220*'Base Hours'!$AA221)</f>
        <v>-</v>
      </c>
      <c r="T221" s="177" t="str">
        <f>IF($A$1="Peak","-",'Base Hours'!T221*BaseLoad!Z220*'Base Hours'!$AA221)</f>
        <v>-</v>
      </c>
      <c r="U221" s="177" t="str">
        <f>IF($A$1="Peak","-",'Base Hours'!U221*BaseLoad!AA220*'Base Hours'!$AA221)</f>
        <v>-</v>
      </c>
      <c r="V221" s="177">
        <f t="shared" si="8"/>
        <v>0</v>
      </c>
      <c r="W221" s="177"/>
      <c r="X221" s="177"/>
      <c r="Y221" s="206"/>
      <c r="Z221" s="206">
        <f>(BaseLoad!C220*'Base Hours'!V221*'Base Hours'!$AA221)*-1</f>
        <v>0</v>
      </c>
      <c r="AA221" s="206"/>
      <c r="AB221" s="206">
        <f>(BaseLoad!D220*'Base Hours'!V221*'Base Hours'!$AA221)*-1</f>
        <v>0</v>
      </c>
      <c r="AC221" s="206"/>
      <c r="AD221" s="206">
        <f>(BaseLoad!E220*'Base Hours'!V221*'Base Hours'!$AA221)*-1</f>
        <v>0</v>
      </c>
      <c r="AE221" s="206"/>
      <c r="AF221" s="206">
        <f>(BaseLoad!F220*'Base Hours'!V221*'Base Hours'!$AA221)*-1</f>
        <v>0</v>
      </c>
      <c r="AG221" s="206"/>
    </row>
    <row r="222" spans="1:33" x14ac:dyDescent="0.2">
      <c r="A222" s="1">
        <f t="shared" si="7"/>
        <v>42988.404000000271</v>
      </c>
      <c r="B222" s="177" t="str">
        <f>IF($A$1="Peak","-",'Base Hours'!B222*BaseLoad!H221*'Base Hours'!$AA222)</f>
        <v>-</v>
      </c>
      <c r="C222" s="177" t="str">
        <f>IF($A$1="Peak","-",'Base Hours'!C222*BaseLoad!I221*'Base Hours'!$AA222)</f>
        <v>-</v>
      </c>
      <c r="D222" s="177" t="str">
        <f>IF($A$1="Peak","-",'Base Hours'!D222*BaseLoad!J221*'Base Hours'!$AA222)</f>
        <v>-</v>
      </c>
      <c r="E222" s="177" t="str">
        <f>IF($A$1="Peak","-",'Base Hours'!E222*BaseLoad!K221*'Base Hours'!$AA222)</f>
        <v>-</v>
      </c>
      <c r="F222" s="177" t="str">
        <f>IF($A$1="Peak","-",'Base Hours'!F222*BaseLoad!L221*'Base Hours'!$AA222)</f>
        <v>-</v>
      </c>
      <c r="G222" s="177" t="str">
        <f>IF($A$1="Peak","-",'Base Hours'!G222*BaseLoad!M221*'Base Hours'!$AA222)</f>
        <v>-</v>
      </c>
      <c r="H222" s="177" t="str">
        <f>IF($A$1="Peak","-",'Base Hours'!H222*BaseLoad!N221*'Base Hours'!$AA222)</f>
        <v>-</v>
      </c>
      <c r="I222" s="177" t="str">
        <f>IF($A$1="Peak","-",'Base Hours'!I222*BaseLoad!O221*'Base Hours'!$AA222)</f>
        <v>-</v>
      </c>
      <c r="J222" s="177" t="str">
        <f>IF($A$1="Peak","-",'Base Hours'!J222*BaseLoad!P221*'Base Hours'!$AA222)</f>
        <v>-</v>
      </c>
      <c r="K222" s="177" t="str">
        <f>IF($A$1="Peak","-",'Base Hours'!K222*BaseLoad!Q221*'Base Hours'!$AA222)</f>
        <v>-</v>
      </c>
      <c r="L222" s="177" t="str">
        <f>IF($A$1="Peak","-",'Base Hours'!L222*BaseLoad!R221*'Base Hours'!$AA222)</f>
        <v>-</v>
      </c>
      <c r="M222" s="177" t="str">
        <f>IF($A$1="Peak","-",'Base Hours'!M222*BaseLoad!S221*'Base Hours'!$AA222)</f>
        <v>-</v>
      </c>
      <c r="N222" s="177" t="str">
        <f>IF($A$1="Peak","-",'Base Hours'!N222*BaseLoad!T221*'Base Hours'!$AA222)</f>
        <v>-</v>
      </c>
      <c r="O222" s="177" t="str">
        <f>IF($A$1="Peak","-",'Base Hours'!O222*BaseLoad!U221*'Base Hours'!$AA222)</f>
        <v>-</v>
      </c>
      <c r="P222" s="177" t="str">
        <f>IF($A$1="Peak","-",'Base Hours'!P222*BaseLoad!V221*'Base Hours'!$AA222)</f>
        <v>-</v>
      </c>
      <c r="Q222" s="177" t="str">
        <f>IF($A$1="Peak","-",'Base Hours'!Q222*BaseLoad!W221*'Base Hours'!$AA222)</f>
        <v>-</v>
      </c>
      <c r="R222" s="177" t="str">
        <f>IF($A$1="Peak","-",'Base Hours'!R222*BaseLoad!X221*'Base Hours'!$AA222)</f>
        <v>-</v>
      </c>
      <c r="S222" s="177" t="str">
        <f>IF($A$1="Peak","-",'Base Hours'!S222*BaseLoad!Y221*'Base Hours'!$AA222)</f>
        <v>-</v>
      </c>
      <c r="T222" s="177" t="str">
        <f>IF($A$1="Peak","-",'Base Hours'!T222*BaseLoad!Z221*'Base Hours'!$AA222)</f>
        <v>-</v>
      </c>
      <c r="U222" s="177" t="str">
        <f>IF($A$1="Peak","-",'Base Hours'!U222*BaseLoad!AA221*'Base Hours'!$AA222)</f>
        <v>-</v>
      </c>
      <c r="V222" s="177">
        <f t="shared" si="8"/>
        <v>0</v>
      </c>
      <c r="W222" s="177"/>
      <c r="X222" s="177"/>
      <c r="Y222" s="206"/>
      <c r="Z222" s="206">
        <f>(BaseLoad!C221*'Base Hours'!V222*'Base Hours'!$AA222)*-1</f>
        <v>0</v>
      </c>
      <c r="AA222" s="206"/>
      <c r="AB222" s="206">
        <f>(BaseLoad!D221*'Base Hours'!V222*'Base Hours'!$AA222)*-1</f>
        <v>0</v>
      </c>
      <c r="AC222" s="206"/>
      <c r="AD222" s="206">
        <f>(BaseLoad!E221*'Base Hours'!V222*'Base Hours'!$AA222)*-1</f>
        <v>0</v>
      </c>
      <c r="AE222" s="206"/>
      <c r="AF222" s="206">
        <f>(BaseLoad!F221*'Base Hours'!V222*'Base Hours'!$AA222)*-1</f>
        <v>0</v>
      </c>
      <c r="AG222" s="206"/>
    </row>
    <row r="223" spans="1:33" x14ac:dyDescent="0.2">
      <c r="A223" s="1">
        <f t="shared" si="7"/>
        <v>43018.821000000273</v>
      </c>
      <c r="B223" s="177" t="str">
        <f>IF($A$1="Peak","-",'Base Hours'!B223*BaseLoad!H222*'Base Hours'!$AA223)</f>
        <v>-</v>
      </c>
      <c r="C223" s="177" t="str">
        <f>IF($A$1="Peak","-",'Base Hours'!C223*BaseLoad!I222*'Base Hours'!$AA223)</f>
        <v>-</v>
      </c>
      <c r="D223" s="177" t="str">
        <f>IF($A$1="Peak","-",'Base Hours'!D223*BaseLoad!J222*'Base Hours'!$AA223)</f>
        <v>-</v>
      </c>
      <c r="E223" s="177" t="str">
        <f>IF($A$1="Peak","-",'Base Hours'!E223*BaseLoad!K222*'Base Hours'!$AA223)</f>
        <v>-</v>
      </c>
      <c r="F223" s="177" t="str">
        <f>IF($A$1="Peak","-",'Base Hours'!F223*BaseLoad!L222*'Base Hours'!$AA223)</f>
        <v>-</v>
      </c>
      <c r="G223" s="177" t="str">
        <f>IF($A$1="Peak","-",'Base Hours'!G223*BaseLoad!M222*'Base Hours'!$AA223)</f>
        <v>-</v>
      </c>
      <c r="H223" s="177" t="str">
        <f>IF($A$1="Peak","-",'Base Hours'!H223*BaseLoad!N222*'Base Hours'!$AA223)</f>
        <v>-</v>
      </c>
      <c r="I223" s="177" t="str">
        <f>IF($A$1="Peak","-",'Base Hours'!I223*BaseLoad!O222*'Base Hours'!$AA223)</f>
        <v>-</v>
      </c>
      <c r="J223" s="177" t="str">
        <f>IF($A$1="Peak","-",'Base Hours'!J223*BaseLoad!P222*'Base Hours'!$AA223)</f>
        <v>-</v>
      </c>
      <c r="K223" s="177" t="str">
        <f>IF($A$1="Peak","-",'Base Hours'!K223*BaseLoad!Q222*'Base Hours'!$AA223)</f>
        <v>-</v>
      </c>
      <c r="L223" s="177" t="str">
        <f>IF($A$1="Peak","-",'Base Hours'!L223*BaseLoad!R222*'Base Hours'!$AA223)</f>
        <v>-</v>
      </c>
      <c r="M223" s="177" t="str">
        <f>IF($A$1="Peak","-",'Base Hours'!M223*BaseLoad!S222*'Base Hours'!$AA223)</f>
        <v>-</v>
      </c>
      <c r="N223" s="177" t="str">
        <f>IF($A$1="Peak","-",'Base Hours'!N223*BaseLoad!T222*'Base Hours'!$AA223)</f>
        <v>-</v>
      </c>
      <c r="O223" s="177" t="str">
        <f>IF($A$1="Peak","-",'Base Hours'!O223*BaseLoad!U222*'Base Hours'!$AA223)</f>
        <v>-</v>
      </c>
      <c r="P223" s="177" t="str">
        <f>IF($A$1="Peak","-",'Base Hours'!P223*BaseLoad!V222*'Base Hours'!$AA223)</f>
        <v>-</v>
      </c>
      <c r="Q223" s="177" t="str">
        <f>IF($A$1="Peak","-",'Base Hours'!Q223*BaseLoad!W222*'Base Hours'!$AA223)</f>
        <v>-</v>
      </c>
      <c r="R223" s="177" t="str">
        <f>IF($A$1="Peak","-",'Base Hours'!R223*BaseLoad!X222*'Base Hours'!$AA223)</f>
        <v>-</v>
      </c>
      <c r="S223" s="177" t="str">
        <f>IF($A$1="Peak","-",'Base Hours'!S223*BaseLoad!Y222*'Base Hours'!$AA223)</f>
        <v>-</v>
      </c>
      <c r="T223" s="177" t="str">
        <f>IF($A$1="Peak","-",'Base Hours'!T223*BaseLoad!Z222*'Base Hours'!$AA223)</f>
        <v>-</v>
      </c>
      <c r="U223" s="177" t="str">
        <f>IF($A$1="Peak","-",'Base Hours'!U223*BaseLoad!AA222*'Base Hours'!$AA223)</f>
        <v>-</v>
      </c>
      <c r="V223" s="177">
        <f t="shared" si="8"/>
        <v>0</v>
      </c>
      <c r="W223" s="177"/>
      <c r="X223" s="177"/>
      <c r="Y223" s="206"/>
      <c r="Z223" s="206">
        <f>(BaseLoad!C222*'Base Hours'!V223*'Base Hours'!$AA223)*-1</f>
        <v>0</v>
      </c>
      <c r="AA223" s="206"/>
      <c r="AB223" s="206">
        <f>(BaseLoad!D222*'Base Hours'!V223*'Base Hours'!$AA223)*-1</f>
        <v>0</v>
      </c>
      <c r="AC223" s="206"/>
      <c r="AD223" s="206">
        <f>(BaseLoad!E222*'Base Hours'!V223*'Base Hours'!$AA223)*-1</f>
        <v>0</v>
      </c>
      <c r="AE223" s="206"/>
      <c r="AF223" s="206">
        <f>(BaseLoad!F222*'Base Hours'!V223*'Base Hours'!$AA223)*-1</f>
        <v>0</v>
      </c>
      <c r="AG223" s="206"/>
    </row>
    <row r="224" spans="1:33" x14ac:dyDescent="0.2">
      <c r="A224" s="1">
        <f t="shared" si="7"/>
        <v>43049.238000000274</v>
      </c>
      <c r="B224" s="177" t="str">
        <f>IF($A$1="Peak","-",'Base Hours'!B224*BaseLoad!H223*'Base Hours'!$AA224)</f>
        <v>-</v>
      </c>
      <c r="C224" s="177" t="str">
        <f>IF($A$1="Peak","-",'Base Hours'!C224*BaseLoad!I223*'Base Hours'!$AA224)</f>
        <v>-</v>
      </c>
      <c r="D224" s="177" t="str">
        <f>IF($A$1="Peak","-",'Base Hours'!D224*BaseLoad!J223*'Base Hours'!$AA224)</f>
        <v>-</v>
      </c>
      <c r="E224" s="177" t="str">
        <f>IF($A$1="Peak","-",'Base Hours'!E224*BaseLoad!K223*'Base Hours'!$AA224)</f>
        <v>-</v>
      </c>
      <c r="F224" s="177" t="str">
        <f>IF($A$1="Peak","-",'Base Hours'!F224*BaseLoad!L223*'Base Hours'!$AA224)</f>
        <v>-</v>
      </c>
      <c r="G224" s="177" t="str">
        <f>IF($A$1="Peak","-",'Base Hours'!G224*BaseLoad!M223*'Base Hours'!$AA224)</f>
        <v>-</v>
      </c>
      <c r="H224" s="177" t="str">
        <f>IF($A$1="Peak","-",'Base Hours'!H224*BaseLoad!N223*'Base Hours'!$AA224)</f>
        <v>-</v>
      </c>
      <c r="I224" s="177" t="str">
        <f>IF($A$1="Peak","-",'Base Hours'!I224*BaseLoad!O223*'Base Hours'!$AA224)</f>
        <v>-</v>
      </c>
      <c r="J224" s="177" t="str">
        <f>IF($A$1="Peak","-",'Base Hours'!J224*BaseLoad!P223*'Base Hours'!$AA224)</f>
        <v>-</v>
      </c>
      <c r="K224" s="177" t="str">
        <f>IF($A$1="Peak","-",'Base Hours'!K224*BaseLoad!Q223*'Base Hours'!$AA224)</f>
        <v>-</v>
      </c>
      <c r="L224" s="177" t="str">
        <f>IF($A$1="Peak","-",'Base Hours'!L224*BaseLoad!R223*'Base Hours'!$AA224)</f>
        <v>-</v>
      </c>
      <c r="M224" s="177" t="str">
        <f>IF($A$1="Peak","-",'Base Hours'!M224*BaseLoad!S223*'Base Hours'!$AA224)</f>
        <v>-</v>
      </c>
      <c r="N224" s="177" t="str">
        <f>IF($A$1="Peak","-",'Base Hours'!N224*BaseLoad!T223*'Base Hours'!$AA224)</f>
        <v>-</v>
      </c>
      <c r="O224" s="177" t="str">
        <f>IF($A$1="Peak","-",'Base Hours'!O224*BaseLoad!U223*'Base Hours'!$AA224)</f>
        <v>-</v>
      </c>
      <c r="P224" s="177" t="str">
        <f>IF($A$1="Peak","-",'Base Hours'!P224*BaseLoad!V223*'Base Hours'!$AA224)</f>
        <v>-</v>
      </c>
      <c r="Q224" s="177" t="str">
        <f>IF($A$1="Peak","-",'Base Hours'!Q224*BaseLoad!W223*'Base Hours'!$AA224)</f>
        <v>-</v>
      </c>
      <c r="R224" s="177" t="str">
        <f>IF($A$1="Peak","-",'Base Hours'!R224*BaseLoad!X223*'Base Hours'!$AA224)</f>
        <v>-</v>
      </c>
      <c r="S224" s="177" t="str">
        <f>IF($A$1="Peak","-",'Base Hours'!S224*BaseLoad!Y223*'Base Hours'!$AA224)</f>
        <v>-</v>
      </c>
      <c r="T224" s="177" t="str">
        <f>IF($A$1="Peak","-",'Base Hours'!T224*BaseLoad!Z223*'Base Hours'!$AA224)</f>
        <v>-</v>
      </c>
      <c r="U224" s="177" t="str">
        <f>IF($A$1="Peak","-",'Base Hours'!U224*BaseLoad!AA223*'Base Hours'!$AA224)</f>
        <v>-</v>
      </c>
      <c r="V224" s="177">
        <f t="shared" si="8"/>
        <v>0</v>
      </c>
      <c r="W224" s="177"/>
      <c r="X224" s="177"/>
      <c r="Y224" s="206"/>
      <c r="Z224" s="206">
        <f>(BaseLoad!C223*'Base Hours'!V224*'Base Hours'!$AA224)*-1</f>
        <v>0</v>
      </c>
      <c r="AA224" s="206"/>
      <c r="AB224" s="206">
        <f>(BaseLoad!D223*'Base Hours'!V224*'Base Hours'!$AA224)*-1</f>
        <v>0</v>
      </c>
      <c r="AC224" s="206"/>
      <c r="AD224" s="206">
        <f>(BaseLoad!E223*'Base Hours'!V224*'Base Hours'!$AA224)*-1</f>
        <v>0</v>
      </c>
      <c r="AE224" s="206"/>
      <c r="AF224" s="206">
        <f>(BaseLoad!F223*'Base Hours'!V224*'Base Hours'!$AA224)*-1</f>
        <v>0</v>
      </c>
      <c r="AG224" s="206"/>
    </row>
    <row r="225" spans="1:33" x14ac:dyDescent="0.2">
      <c r="A225" s="1">
        <f t="shared" si="7"/>
        <v>43079.655000000275</v>
      </c>
      <c r="B225" s="177" t="str">
        <f>IF($A$1="Peak","-",'Base Hours'!B225*BaseLoad!H224*'Base Hours'!$AA225)</f>
        <v>-</v>
      </c>
      <c r="C225" s="177" t="str">
        <f>IF($A$1="Peak","-",'Base Hours'!C225*BaseLoad!I224*'Base Hours'!$AA225)</f>
        <v>-</v>
      </c>
      <c r="D225" s="177" t="str">
        <f>IF($A$1="Peak","-",'Base Hours'!D225*BaseLoad!J224*'Base Hours'!$AA225)</f>
        <v>-</v>
      </c>
      <c r="E225" s="177" t="str">
        <f>IF($A$1="Peak","-",'Base Hours'!E225*BaseLoad!K224*'Base Hours'!$AA225)</f>
        <v>-</v>
      </c>
      <c r="F225" s="177" t="str">
        <f>IF($A$1="Peak","-",'Base Hours'!F225*BaseLoad!L224*'Base Hours'!$AA225)</f>
        <v>-</v>
      </c>
      <c r="G225" s="177" t="str">
        <f>IF($A$1="Peak","-",'Base Hours'!G225*BaseLoad!M224*'Base Hours'!$AA225)</f>
        <v>-</v>
      </c>
      <c r="H225" s="177" t="str">
        <f>IF($A$1="Peak","-",'Base Hours'!H225*BaseLoad!N224*'Base Hours'!$AA225)</f>
        <v>-</v>
      </c>
      <c r="I225" s="177" t="str">
        <f>IF($A$1="Peak","-",'Base Hours'!I225*BaseLoad!O224*'Base Hours'!$AA225)</f>
        <v>-</v>
      </c>
      <c r="J225" s="177" t="str">
        <f>IF($A$1="Peak","-",'Base Hours'!J225*BaseLoad!P224*'Base Hours'!$AA225)</f>
        <v>-</v>
      </c>
      <c r="K225" s="177" t="str">
        <f>IF($A$1="Peak","-",'Base Hours'!K225*BaseLoad!Q224*'Base Hours'!$AA225)</f>
        <v>-</v>
      </c>
      <c r="L225" s="177" t="str">
        <f>IF($A$1="Peak","-",'Base Hours'!L225*BaseLoad!R224*'Base Hours'!$AA225)</f>
        <v>-</v>
      </c>
      <c r="M225" s="177" t="str">
        <f>IF($A$1="Peak","-",'Base Hours'!M225*BaseLoad!S224*'Base Hours'!$AA225)</f>
        <v>-</v>
      </c>
      <c r="N225" s="177" t="str">
        <f>IF($A$1="Peak","-",'Base Hours'!N225*BaseLoad!T224*'Base Hours'!$AA225)</f>
        <v>-</v>
      </c>
      <c r="O225" s="177" t="str">
        <f>IF($A$1="Peak","-",'Base Hours'!O225*BaseLoad!U224*'Base Hours'!$AA225)</f>
        <v>-</v>
      </c>
      <c r="P225" s="177" t="str">
        <f>IF($A$1="Peak","-",'Base Hours'!P225*BaseLoad!V224*'Base Hours'!$AA225)</f>
        <v>-</v>
      </c>
      <c r="Q225" s="177" t="str">
        <f>IF($A$1="Peak","-",'Base Hours'!Q225*BaseLoad!W224*'Base Hours'!$AA225)</f>
        <v>-</v>
      </c>
      <c r="R225" s="177" t="str">
        <f>IF($A$1="Peak","-",'Base Hours'!R225*BaseLoad!X224*'Base Hours'!$AA225)</f>
        <v>-</v>
      </c>
      <c r="S225" s="177" t="str">
        <f>IF($A$1="Peak","-",'Base Hours'!S225*BaseLoad!Y224*'Base Hours'!$AA225)</f>
        <v>-</v>
      </c>
      <c r="T225" s="177" t="str">
        <f>IF($A$1="Peak","-",'Base Hours'!T225*BaseLoad!Z224*'Base Hours'!$AA225)</f>
        <v>-</v>
      </c>
      <c r="U225" s="177" t="str">
        <f>IF($A$1="Peak","-",'Base Hours'!U225*BaseLoad!AA224*'Base Hours'!$AA225)</f>
        <v>-</v>
      </c>
      <c r="V225" s="177">
        <f t="shared" si="8"/>
        <v>0</v>
      </c>
      <c r="W225" s="177"/>
      <c r="X225" s="177"/>
      <c r="Y225" s="206">
        <f>SUM(B214:U225)</f>
        <v>0</v>
      </c>
      <c r="Z225" s="206">
        <f>(BaseLoad!C224*'Base Hours'!V225*'Base Hours'!$AA225)*-1</f>
        <v>0</v>
      </c>
      <c r="AA225" s="206">
        <f>SUM(Z214:Z225)</f>
        <v>0</v>
      </c>
      <c r="AB225" s="206">
        <f>(BaseLoad!D224*'Base Hours'!V225*'Base Hours'!$AA225)*-1</f>
        <v>0</v>
      </c>
      <c r="AC225" s="206">
        <f>SUM(AB214:AB225)</f>
        <v>0</v>
      </c>
      <c r="AD225" s="206">
        <f>(BaseLoad!E224*'Base Hours'!V225*'Base Hours'!$AA225)*-1</f>
        <v>0</v>
      </c>
      <c r="AE225" s="206">
        <f>SUM(AD214:AD225)</f>
        <v>0</v>
      </c>
      <c r="AF225" s="206">
        <f>(BaseLoad!F224*'Base Hours'!V225*'Base Hours'!$AA225)*-1</f>
        <v>0</v>
      </c>
      <c r="AG225" s="206">
        <f>SUM(AF214:AF225)</f>
        <v>0</v>
      </c>
    </row>
    <row r="226" spans="1:33" x14ac:dyDescent="0.2">
      <c r="A226" s="1">
        <f t="shared" si="7"/>
        <v>43110.072000000277</v>
      </c>
      <c r="B226" s="177" t="str">
        <f>IF($A$1="Peak","-",'Base Hours'!B226*BaseLoad!H225*'Base Hours'!$AA226)</f>
        <v>-</v>
      </c>
      <c r="C226" s="177" t="str">
        <f>IF($A$1="Peak","-",'Base Hours'!C226*BaseLoad!I225*'Base Hours'!$AA226)</f>
        <v>-</v>
      </c>
      <c r="D226" s="177" t="str">
        <f>IF($A$1="Peak","-",'Base Hours'!D226*BaseLoad!J225*'Base Hours'!$AA226)</f>
        <v>-</v>
      </c>
      <c r="E226" s="177" t="str">
        <f>IF($A$1="Peak","-",'Base Hours'!E226*BaseLoad!K225*'Base Hours'!$AA226)</f>
        <v>-</v>
      </c>
      <c r="F226" s="177" t="str">
        <f>IF($A$1="Peak","-",'Base Hours'!F226*BaseLoad!L225*'Base Hours'!$AA226)</f>
        <v>-</v>
      </c>
      <c r="G226" s="177" t="str">
        <f>IF($A$1="Peak","-",'Base Hours'!G226*BaseLoad!M225*'Base Hours'!$AA226)</f>
        <v>-</v>
      </c>
      <c r="H226" s="177" t="str">
        <f>IF($A$1="Peak","-",'Base Hours'!H226*BaseLoad!N225*'Base Hours'!$AA226)</f>
        <v>-</v>
      </c>
      <c r="I226" s="177" t="str">
        <f>IF($A$1="Peak","-",'Base Hours'!I226*BaseLoad!O225*'Base Hours'!$AA226)</f>
        <v>-</v>
      </c>
      <c r="J226" s="177" t="str">
        <f>IF($A$1="Peak","-",'Base Hours'!J226*BaseLoad!P225*'Base Hours'!$AA226)</f>
        <v>-</v>
      </c>
      <c r="K226" s="177" t="str">
        <f>IF($A$1="Peak","-",'Base Hours'!K226*BaseLoad!Q225*'Base Hours'!$AA226)</f>
        <v>-</v>
      </c>
      <c r="L226" s="177" t="str">
        <f>IF($A$1="Peak","-",'Base Hours'!L226*BaseLoad!R225*'Base Hours'!$AA226)</f>
        <v>-</v>
      </c>
      <c r="M226" s="177" t="str">
        <f>IF($A$1="Peak","-",'Base Hours'!M226*BaseLoad!S225*'Base Hours'!$AA226)</f>
        <v>-</v>
      </c>
      <c r="N226" s="177" t="str">
        <f>IF($A$1="Peak","-",'Base Hours'!N226*BaseLoad!T225*'Base Hours'!$AA226)</f>
        <v>-</v>
      </c>
      <c r="O226" s="177" t="str">
        <f>IF($A$1="Peak","-",'Base Hours'!O226*BaseLoad!U225*'Base Hours'!$AA226)</f>
        <v>-</v>
      </c>
      <c r="P226" s="177" t="str">
        <f>IF($A$1="Peak","-",'Base Hours'!P226*BaseLoad!V225*'Base Hours'!$AA226)</f>
        <v>-</v>
      </c>
      <c r="Q226" s="177" t="str">
        <f>IF($A$1="Peak","-",'Base Hours'!Q226*BaseLoad!W225*'Base Hours'!$AA226)</f>
        <v>-</v>
      </c>
      <c r="R226" s="177" t="str">
        <f>IF($A$1="Peak","-",'Base Hours'!R226*BaseLoad!X225*'Base Hours'!$AA226)</f>
        <v>-</v>
      </c>
      <c r="S226" s="177" t="str">
        <f>IF($A$1="Peak","-",'Base Hours'!S226*BaseLoad!Y225*'Base Hours'!$AA226)</f>
        <v>-</v>
      </c>
      <c r="T226" s="177" t="str">
        <f>IF($A$1="Peak","-",'Base Hours'!T226*BaseLoad!Z225*'Base Hours'!$AA226)</f>
        <v>-</v>
      </c>
      <c r="U226" s="177" t="str">
        <f>IF($A$1="Peak","-",'Base Hours'!U226*BaseLoad!AA225*'Base Hours'!$AA226)</f>
        <v>-</v>
      </c>
      <c r="V226" s="177">
        <f t="shared" si="8"/>
        <v>0</v>
      </c>
      <c r="W226" s="177"/>
      <c r="X226" s="177"/>
      <c r="Y226" s="206"/>
      <c r="Z226" s="206">
        <f>(BaseLoad!C225*'Base Hours'!V226*'Base Hours'!$AA226)*-1</f>
        <v>0</v>
      </c>
      <c r="AA226" s="206"/>
      <c r="AB226" s="206">
        <f>(BaseLoad!D225*'Base Hours'!V226*'Base Hours'!$AA226)*-1</f>
        <v>0</v>
      </c>
      <c r="AC226" s="206"/>
      <c r="AD226" s="206">
        <f>(BaseLoad!E225*'Base Hours'!V226*'Base Hours'!$AA226)*-1</f>
        <v>0</v>
      </c>
      <c r="AE226" s="206"/>
      <c r="AF226" s="206">
        <f>(BaseLoad!F225*'Base Hours'!V226*'Base Hours'!$AA226)*-1</f>
        <v>0</v>
      </c>
      <c r="AG226" s="206"/>
    </row>
    <row r="227" spans="1:33" x14ac:dyDescent="0.2">
      <c r="A227" s="1">
        <f t="shared" si="7"/>
        <v>43140.489000000278</v>
      </c>
      <c r="B227" s="177" t="str">
        <f>IF($A$1="Peak","-",'Base Hours'!B227*BaseLoad!H226*'Base Hours'!$AA227)</f>
        <v>-</v>
      </c>
      <c r="C227" s="177" t="str">
        <f>IF($A$1="Peak","-",'Base Hours'!C227*BaseLoad!I226*'Base Hours'!$AA227)</f>
        <v>-</v>
      </c>
      <c r="D227" s="177" t="str">
        <f>IF($A$1="Peak","-",'Base Hours'!D227*BaseLoad!J226*'Base Hours'!$AA227)</f>
        <v>-</v>
      </c>
      <c r="E227" s="177" t="str">
        <f>IF($A$1="Peak","-",'Base Hours'!E227*BaseLoad!K226*'Base Hours'!$AA227)</f>
        <v>-</v>
      </c>
      <c r="F227" s="177" t="str">
        <f>IF($A$1="Peak","-",'Base Hours'!F227*BaseLoad!L226*'Base Hours'!$AA227)</f>
        <v>-</v>
      </c>
      <c r="G227" s="177" t="str">
        <f>IF($A$1="Peak","-",'Base Hours'!G227*BaseLoad!M226*'Base Hours'!$AA227)</f>
        <v>-</v>
      </c>
      <c r="H227" s="177" t="str">
        <f>IF($A$1="Peak","-",'Base Hours'!H227*BaseLoad!N226*'Base Hours'!$AA227)</f>
        <v>-</v>
      </c>
      <c r="I227" s="177" t="str">
        <f>IF($A$1="Peak","-",'Base Hours'!I227*BaseLoad!O226*'Base Hours'!$AA227)</f>
        <v>-</v>
      </c>
      <c r="J227" s="177" t="str">
        <f>IF($A$1="Peak","-",'Base Hours'!J227*BaseLoad!P226*'Base Hours'!$AA227)</f>
        <v>-</v>
      </c>
      <c r="K227" s="177" t="str">
        <f>IF($A$1="Peak","-",'Base Hours'!K227*BaseLoad!Q226*'Base Hours'!$AA227)</f>
        <v>-</v>
      </c>
      <c r="L227" s="177" t="str">
        <f>IF($A$1="Peak","-",'Base Hours'!L227*BaseLoad!R226*'Base Hours'!$AA227)</f>
        <v>-</v>
      </c>
      <c r="M227" s="177" t="str">
        <f>IF($A$1="Peak","-",'Base Hours'!M227*BaseLoad!S226*'Base Hours'!$AA227)</f>
        <v>-</v>
      </c>
      <c r="N227" s="177" t="str">
        <f>IF($A$1="Peak","-",'Base Hours'!N227*BaseLoad!T226*'Base Hours'!$AA227)</f>
        <v>-</v>
      </c>
      <c r="O227" s="177" t="str">
        <f>IF($A$1="Peak","-",'Base Hours'!O227*BaseLoad!U226*'Base Hours'!$AA227)</f>
        <v>-</v>
      </c>
      <c r="P227" s="177" t="str">
        <f>IF($A$1="Peak","-",'Base Hours'!P227*BaseLoad!V226*'Base Hours'!$AA227)</f>
        <v>-</v>
      </c>
      <c r="Q227" s="177" t="str">
        <f>IF($A$1="Peak","-",'Base Hours'!Q227*BaseLoad!W226*'Base Hours'!$AA227)</f>
        <v>-</v>
      </c>
      <c r="R227" s="177" t="str">
        <f>IF($A$1="Peak","-",'Base Hours'!R227*BaseLoad!X226*'Base Hours'!$AA227)</f>
        <v>-</v>
      </c>
      <c r="S227" s="177" t="str">
        <f>IF($A$1="Peak","-",'Base Hours'!S227*BaseLoad!Y226*'Base Hours'!$AA227)</f>
        <v>-</v>
      </c>
      <c r="T227" s="177" t="str">
        <f>IF($A$1="Peak","-",'Base Hours'!T227*BaseLoad!Z226*'Base Hours'!$AA227)</f>
        <v>-</v>
      </c>
      <c r="U227" s="177" t="str">
        <f>IF($A$1="Peak","-",'Base Hours'!U227*BaseLoad!AA226*'Base Hours'!$AA227)</f>
        <v>-</v>
      </c>
      <c r="V227" s="177">
        <f t="shared" si="8"/>
        <v>0</v>
      </c>
      <c r="W227" s="177"/>
      <c r="X227" s="177"/>
      <c r="Y227" s="206"/>
      <c r="Z227" s="206">
        <f>(BaseLoad!C226*'Base Hours'!V227*'Base Hours'!$AA227)*-1</f>
        <v>0</v>
      </c>
      <c r="AA227" s="206"/>
      <c r="AB227" s="206">
        <f>(BaseLoad!D226*'Base Hours'!V227*'Base Hours'!$AA227)*-1</f>
        <v>0</v>
      </c>
      <c r="AC227" s="206"/>
      <c r="AD227" s="206">
        <f>(BaseLoad!E226*'Base Hours'!V227*'Base Hours'!$AA227)*-1</f>
        <v>0</v>
      </c>
      <c r="AE227" s="206"/>
      <c r="AF227" s="206">
        <f>(BaseLoad!F226*'Base Hours'!V227*'Base Hours'!$AA227)*-1</f>
        <v>0</v>
      </c>
      <c r="AG227" s="206"/>
    </row>
    <row r="228" spans="1:33" x14ac:dyDescent="0.2">
      <c r="A228" s="1">
        <f t="shared" si="7"/>
        <v>43170.906000000279</v>
      </c>
      <c r="B228" s="177" t="str">
        <f>IF($A$1="Peak","-",'Base Hours'!B228*BaseLoad!H227*'Base Hours'!$AA228)</f>
        <v>-</v>
      </c>
      <c r="C228" s="177" t="str">
        <f>IF($A$1="Peak","-",'Base Hours'!C228*BaseLoad!I227*'Base Hours'!$AA228)</f>
        <v>-</v>
      </c>
      <c r="D228" s="177" t="str">
        <f>IF($A$1="Peak","-",'Base Hours'!D228*BaseLoad!J227*'Base Hours'!$AA228)</f>
        <v>-</v>
      </c>
      <c r="E228" s="177" t="str">
        <f>IF($A$1="Peak","-",'Base Hours'!E228*BaseLoad!K227*'Base Hours'!$AA228)</f>
        <v>-</v>
      </c>
      <c r="F228" s="177" t="str">
        <f>IF($A$1="Peak","-",'Base Hours'!F228*BaseLoad!L227*'Base Hours'!$AA228)</f>
        <v>-</v>
      </c>
      <c r="G228" s="177" t="str">
        <f>IF($A$1="Peak","-",'Base Hours'!G228*BaseLoad!M227*'Base Hours'!$AA228)</f>
        <v>-</v>
      </c>
      <c r="H228" s="177" t="str">
        <f>IF($A$1="Peak","-",'Base Hours'!H228*BaseLoad!N227*'Base Hours'!$AA228)</f>
        <v>-</v>
      </c>
      <c r="I228" s="177" t="str">
        <f>IF($A$1="Peak","-",'Base Hours'!I228*BaseLoad!O227*'Base Hours'!$AA228)</f>
        <v>-</v>
      </c>
      <c r="J228" s="177" t="str">
        <f>IF($A$1="Peak","-",'Base Hours'!J228*BaseLoad!P227*'Base Hours'!$AA228)</f>
        <v>-</v>
      </c>
      <c r="K228" s="177" t="str">
        <f>IF($A$1="Peak","-",'Base Hours'!K228*BaseLoad!Q227*'Base Hours'!$AA228)</f>
        <v>-</v>
      </c>
      <c r="L228" s="177" t="str">
        <f>IF($A$1="Peak","-",'Base Hours'!L228*BaseLoad!R227*'Base Hours'!$AA228)</f>
        <v>-</v>
      </c>
      <c r="M228" s="177" t="str">
        <f>IF($A$1="Peak","-",'Base Hours'!M228*BaseLoad!S227*'Base Hours'!$AA228)</f>
        <v>-</v>
      </c>
      <c r="N228" s="177" t="str">
        <f>IF($A$1="Peak","-",'Base Hours'!N228*BaseLoad!T227*'Base Hours'!$AA228)</f>
        <v>-</v>
      </c>
      <c r="O228" s="177" t="str">
        <f>IF($A$1="Peak","-",'Base Hours'!O228*BaseLoad!U227*'Base Hours'!$AA228)</f>
        <v>-</v>
      </c>
      <c r="P228" s="177" t="str">
        <f>IF($A$1="Peak","-",'Base Hours'!P228*BaseLoad!V227*'Base Hours'!$AA228)</f>
        <v>-</v>
      </c>
      <c r="Q228" s="177" t="str">
        <f>IF($A$1="Peak","-",'Base Hours'!Q228*BaseLoad!W227*'Base Hours'!$AA228)</f>
        <v>-</v>
      </c>
      <c r="R228" s="177" t="str">
        <f>IF($A$1="Peak","-",'Base Hours'!R228*BaseLoad!X227*'Base Hours'!$AA228)</f>
        <v>-</v>
      </c>
      <c r="S228" s="177" t="str">
        <f>IF($A$1="Peak","-",'Base Hours'!S228*BaseLoad!Y227*'Base Hours'!$AA228)</f>
        <v>-</v>
      </c>
      <c r="T228" s="177" t="str">
        <f>IF($A$1="Peak","-",'Base Hours'!T228*BaseLoad!Z227*'Base Hours'!$AA228)</f>
        <v>-</v>
      </c>
      <c r="U228" s="177" t="str">
        <f>IF($A$1="Peak","-",'Base Hours'!U228*BaseLoad!AA227*'Base Hours'!$AA228)</f>
        <v>-</v>
      </c>
      <c r="V228" s="177">
        <f t="shared" si="8"/>
        <v>0</v>
      </c>
      <c r="W228" s="177"/>
      <c r="X228" s="177"/>
      <c r="Y228" s="206"/>
      <c r="Z228" s="206">
        <f>(BaseLoad!C227*'Base Hours'!V228*'Base Hours'!$AA228)*-1</f>
        <v>0</v>
      </c>
      <c r="AA228" s="206"/>
      <c r="AB228" s="206">
        <f>(BaseLoad!D227*'Base Hours'!V228*'Base Hours'!$AA228)*-1</f>
        <v>0</v>
      </c>
      <c r="AC228" s="206"/>
      <c r="AD228" s="206">
        <f>(BaseLoad!E227*'Base Hours'!V228*'Base Hours'!$AA228)*-1</f>
        <v>0</v>
      </c>
      <c r="AE228" s="206"/>
      <c r="AF228" s="206">
        <f>(BaseLoad!F227*'Base Hours'!V228*'Base Hours'!$AA228)*-1</f>
        <v>0</v>
      </c>
      <c r="AG228" s="206"/>
    </row>
    <row r="229" spans="1:33" x14ac:dyDescent="0.2">
      <c r="A229" s="1">
        <f t="shared" si="7"/>
        <v>43201.32300000028</v>
      </c>
      <c r="B229" s="177" t="str">
        <f>IF($A$1="Peak","-",'Base Hours'!B229*BaseLoad!H228*'Base Hours'!$AA229)</f>
        <v>-</v>
      </c>
      <c r="C229" s="177" t="str">
        <f>IF($A$1="Peak","-",'Base Hours'!C229*BaseLoad!I228*'Base Hours'!$AA229)</f>
        <v>-</v>
      </c>
      <c r="D229" s="177" t="str">
        <f>IF($A$1="Peak","-",'Base Hours'!D229*BaseLoad!J228*'Base Hours'!$AA229)</f>
        <v>-</v>
      </c>
      <c r="E229" s="177" t="str">
        <f>IF($A$1="Peak","-",'Base Hours'!E229*BaseLoad!K228*'Base Hours'!$AA229)</f>
        <v>-</v>
      </c>
      <c r="F229" s="177" t="str">
        <f>IF($A$1="Peak","-",'Base Hours'!F229*BaseLoad!L228*'Base Hours'!$AA229)</f>
        <v>-</v>
      </c>
      <c r="G229" s="177" t="str">
        <f>IF($A$1="Peak","-",'Base Hours'!G229*BaseLoad!M228*'Base Hours'!$AA229)</f>
        <v>-</v>
      </c>
      <c r="H229" s="177" t="str">
        <f>IF($A$1="Peak","-",'Base Hours'!H229*BaseLoad!N228*'Base Hours'!$AA229)</f>
        <v>-</v>
      </c>
      <c r="I229" s="177" t="str">
        <f>IF($A$1="Peak","-",'Base Hours'!I229*BaseLoad!O228*'Base Hours'!$AA229)</f>
        <v>-</v>
      </c>
      <c r="J229" s="177" t="str">
        <f>IF($A$1="Peak","-",'Base Hours'!J229*BaseLoad!P228*'Base Hours'!$AA229)</f>
        <v>-</v>
      </c>
      <c r="K229" s="177" t="str">
        <f>IF($A$1="Peak","-",'Base Hours'!K229*BaseLoad!Q228*'Base Hours'!$AA229)</f>
        <v>-</v>
      </c>
      <c r="L229" s="177" t="str">
        <f>IF($A$1="Peak","-",'Base Hours'!L229*BaseLoad!R228*'Base Hours'!$AA229)</f>
        <v>-</v>
      </c>
      <c r="M229" s="177" t="str">
        <f>IF($A$1="Peak","-",'Base Hours'!M229*BaseLoad!S228*'Base Hours'!$AA229)</f>
        <v>-</v>
      </c>
      <c r="N229" s="177" t="str">
        <f>IF($A$1="Peak","-",'Base Hours'!N229*BaseLoad!T228*'Base Hours'!$AA229)</f>
        <v>-</v>
      </c>
      <c r="O229" s="177" t="str">
        <f>IF($A$1="Peak","-",'Base Hours'!O229*BaseLoad!U228*'Base Hours'!$AA229)</f>
        <v>-</v>
      </c>
      <c r="P229" s="177" t="str">
        <f>IF($A$1="Peak","-",'Base Hours'!P229*BaseLoad!V228*'Base Hours'!$AA229)</f>
        <v>-</v>
      </c>
      <c r="Q229" s="177" t="str">
        <f>IF($A$1="Peak","-",'Base Hours'!Q229*BaseLoad!W228*'Base Hours'!$AA229)</f>
        <v>-</v>
      </c>
      <c r="R229" s="177" t="str">
        <f>IF($A$1="Peak","-",'Base Hours'!R229*BaseLoad!X228*'Base Hours'!$AA229)</f>
        <v>-</v>
      </c>
      <c r="S229" s="177" t="str">
        <f>IF($A$1="Peak","-",'Base Hours'!S229*BaseLoad!Y228*'Base Hours'!$AA229)</f>
        <v>-</v>
      </c>
      <c r="T229" s="177" t="str">
        <f>IF($A$1="Peak","-",'Base Hours'!T229*BaseLoad!Z228*'Base Hours'!$AA229)</f>
        <v>-</v>
      </c>
      <c r="U229" s="177" t="str">
        <f>IF($A$1="Peak","-",'Base Hours'!U229*BaseLoad!AA228*'Base Hours'!$AA229)</f>
        <v>-</v>
      </c>
      <c r="V229" s="177">
        <f t="shared" si="8"/>
        <v>0</v>
      </c>
      <c r="W229" s="177"/>
      <c r="X229" s="177"/>
      <c r="Y229" s="206"/>
      <c r="Z229" s="206">
        <f>(BaseLoad!C228*'Base Hours'!V229*'Base Hours'!$AA229)*-1</f>
        <v>0</v>
      </c>
      <c r="AA229" s="206"/>
      <c r="AB229" s="206">
        <f>(BaseLoad!D228*'Base Hours'!V229*'Base Hours'!$AA229)*-1</f>
        <v>0</v>
      </c>
      <c r="AC229" s="206"/>
      <c r="AD229" s="206">
        <f>(BaseLoad!E228*'Base Hours'!V229*'Base Hours'!$AA229)*-1</f>
        <v>0</v>
      </c>
      <c r="AE229" s="206"/>
      <c r="AF229" s="206">
        <f>(BaseLoad!F228*'Base Hours'!V229*'Base Hours'!$AA229)*-1</f>
        <v>0</v>
      </c>
      <c r="AG229" s="206"/>
    </row>
    <row r="230" spans="1:33" x14ac:dyDescent="0.2">
      <c r="A230" s="1">
        <f t="shared" si="7"/>
        <v>43231.740000000282</v>
      </c>
      <c r="B230" s="177" t="str">
        <f>IF($A$1="Peak","-",'Base Hours'!B230*BaseLoad!H229*'Base Hours'!$AA230)</f>
        <v>-</v>
      </c>
      <c r="C230" s="177" t="str">
        <f>IF($A$1="Peak","-",'Base Hours'!C230*BaseLoad!I229*'Base Hours'!$AA230)</f>
        <v>-</v>
      </c>
      <c r="D230" s="177" t="str">
        <f>IF($A$1="Peak","-",'Base Hours'!D230*BaseLoad!J229*'Base Hours'!$AA230)</f>
        <v>-</v>
      </c>
      <c r="E230" s="177" t="str">
        <f>IF($A$1="Peak","-",'Base Hours'!E230*BaseLoad!K229*'Base Hours'!$AA230)</f>
        <v>-</v>
      </c>
      <c r="F230" s="177" t="str">
        <f>IF($A$1="Peak","-",'Base Hours'!F230*BaseLoad!L229*'Base Hours'!$AA230)</f>
        <v>-</v>
      </c>
      <c r="G230" s="177" t="str">
        <f>IF($A$1="Peak","-",'Base Hours'!G230*BaseLoad!M229*'Base Hours'!$AA230)</f>
        <v>-</v>
      </c>
      <c r="H230" s="177" t="str">
        <f>IF($A$1="Peak","-",'Base Hours'!H230*BaseLoad!N229*'Base Hours'!$AA230)</f>
        <v>-</v>
      </c>
      <c r="I230" s="177" t="str">
        <f>IF($A$1="Peak","-",'Base Hours'!I230*BaseLoad!O229*'Base Hours'!$AA230)</f>
        <v>-</v>
      </c>
      <c r="J230" s="177" t="str">
        <f>IF($A$1="Peak","-",'Base Hours'!J230*BaseLoad!P229*'Base Hours'!$AA230)</f>
        <v>-</v>
      </c>
      <c r="K230" s="177" t="str">
        <f>IF($A$1="Peak","-",'Base Hours'!K230*BaseLoad!Q229*'Base Hours'!$AA230)</f>
        <v>-</v>
      </c>
      <c r="L230" s="177" t="str">
        <f>IF($A$1="Peak","-",'Base Hours'!L230*BaseLoad!R229*'Base Hours'!$AA230)</f>
        <v>-</v>
      </c>
      <c r="M230" s="177" t="str">
        <f>IF($A$1="Peak","-",'Base Hours'!M230*BaseLoad!S229*'Base Hours'!$AA230)</f>
        <v>-</v>
      </c>
      <c r="N230" s="177" t="str">
        <f>IF($A$1="Peak","-",'Base Hours'!N230*BaseLoad!T229*'Base Hours'!$AA230)</f>
        <v>-</v>
      </c>
      <c r="O230" s="177" t="str">
        <f>IF($A$1="Peak","-",'Base Hours'!O230*BaseLoad!U229*'Base Hours'!$AA230)</f>
        <v>-</v>
      </c>
      <c r="P230" s="177" t="str">
        <f>IF($A$1="Peak","-",'Base Hours'!P230*BaseLoad!V229*'Base Hours'!$AA230)</f>
        <v>-</v>
      </c>
      <c r="Q230" s="177" t="str">
        <f>IF($A$1="Peak","-",'Base Hours'!Q230*BaseLoad!W229*'Base Hours'!$AA230)</f>
        <v>-</v>
      </c>
      <c r="R230" s="177" t="str">
        <f>IF($A$1="Peak","-",'Base Hours'!R230*BaseLoad!X229*'Base Hours'!$AA230)</f>
        <v>-</v>
      </c>
      <c r="S230" s="177" t="str">
        <f>IF($A$1="Peak","-",'Base Hours'!S230*BaseLoad!Y229*'Base Hours'!$AA230)</f>
        <v>-</v>
      </c>
      <c r="T230" s="177" t="str">
        <f>IF($A$1="Peak","-",'Base Hours'!T230*BaseLoad!Z229*'Base Hours'!$AA230)</f>
        <v>-</v>
      </c>
      <c r="U230" s="177" t="str">
        <f>IF($A$1="Peak","-",'Base Hours'!U230*BaseLoad!AA229*'Base Hours'!$AA230)</f>
        <v>-</v>
      </c>
      <c r="V230" s="177">
        <f t="shared" si="8"/>
        <v>0</v>
      </c>
      <c r="W230" s="177"/>
      <c r="X230" s="177"/>
      <c r="Y230" s="206"/>
      <c r="Z230" s="206">
        <f>(BaseLoad!C229*'Base Hours'!V230*'Base Hours'!$AA230)*-1</f>
        <v>0</v>
      </c>
      <c r="AA230" s="206"/>
      <c r="AB230" s="206">
        <f>(BaseLoad!D229*'Base Hours'!V230*'Base Hours'!$AA230)*-1</f>
        <v>0</v>
      </c>
      <c r="AC230" s="206"/>
      <c r="AD230" s="206">
        <f>(BaseLoad!E229*'Base Hours'!V230*'Base Hours'!$AA230)*-1</f>
        <v>0</v>
      </c>
      <c r="AE230" s="206"/>
      <c r="AF230" s="206">
        <f>(BaseLoad!F229*'Base Hours'!V230*'Base Hours'!$AA230)*-1</f>
        <v>0</v>
      </c>
      <c r="AG230" s="206"/>
    </row>
    <row r="231" spans="1:33" x14ac:dyDescent="0.2">
      <c r="A231" s="1">
        <f t="shared" si="7"/>
        <v>43262.157000000283</v>
      </c>
      <c r="B231" s="177" t="str">
        <f>IF($A$1="Peak","-",'Base Hours'!B231*BaseLoad!H230*'Base Hours'!$AA231)</f>
        <v>-</v>
      </c>
      <c r="C231" s="177" t="str">
        <f>IF($A$1="Peak","-",'Base Hours'!C231*BaseLoad!I230*'Base Hours'!$AA231)</f>
        <v>-</v>
      </c>
      <c r="D231" s="177" t="str">
        <f>IF($A$1="Peak","-",'Base Hours'!D231*BaseLoad!J230*'Base Hours'!$AA231)</f>
        <v>-</v>
      </c>
      <c r="E231" s="177" t="str">
        <f>IF($A$1="Peak","-",'Base Hours'!E231*BaseLoad!K230*'Base Hours'!$AA231)</f>
        <v>-</v>
      </c>
      <c r="F231" s="177" t="str">
        <f>IF($A$1="Peak","-",'Base Hours'!F231*BaseLoad!L230*'Base Hours'!$AA231)</f>
        <v>-</v>
      </c>
      <c r="G231" s="177" t="str">
        <f>IF($A$1="Peak","-",'Base Hours'!G231*BaseLoad!M230*'Base Hours'!$AA231)</f>
        <v>-</v>
      </c>
      <c r="H231" s="177" t="str">
        <f>IF($A$1="Peak","-",'Base Hours'!H231*BaseLoad!N230*'Base Hours'!$AA231)</f>
        <v>-</v>
      </c>
      <c r="I231" s="177" t="str">
        <f>IF($A$1="Peak","-",'Base Hours'!I231*BaseLoad!O230*'Base Hours'!$AA231)</f>
        <v>-</v>
      </c>
      <c r="J231" s="177" t="str">
        <f>IF($A$1="Peak","-",'Base Hours'!J231*BaseLoad!P230*'Base Hours'!$AA231)</f>
        <v>-</v>
      </c>
      <c r="K231" s="177" t="str">
        <f>IF($A$1="Peak","-",'Base Hours'!K231*BaseLoad!Q230*'Base Hours'!$AA231)</f>
        <v>-</v>
      </c>
      <c r="L231" s="177" t="str">
        <f>IF($A$1="Peak","-",'Base Hours'!L231*BaseLoad!R230*'Base Hours'!$AA231)</f>
        <v>-</v>
      </c>
      <c r="M231" s="177" t="str">
        <f>IF($A$1="Peak","-",'Base Hours'!M231*BaseLoad!S230*'Base Hours'!$AA231)</f>
        <v>-</v>
      </c>
      <c r="N231" s="177" t="str">
        <f>IF($A$1="Peak","-",'Base Hours'!N231*BaseLoad!T230*'Base Hours'!$AA231)</f>
        <v>-</v>
      </c>
      <c r="O231" s="177" t="str">
        <f>IF($A$1="Peak","-",'Base Hours'!O231*BaseLoad!U230*'Base Hours'!$AA231)</f>
        <v>-</v>
      </c>
      <c r="P231" s="177" t="str">
        <f>IF($A$1="Peak","-",'Base Hours'!P231*BaseLoad!V230*'Base Hours'!$AA231)</f>
        <v>-</v>
      </c>
      <c r="Q231" s="177" t="str">
        <f>IF($A$1="Peak","-",'Base Hours'!Q231*BaseLoad!W230*'Base Hours'!$AA231)</f>
        <v>-</v>
      </c>
      <c r="R231" s="177" t="str">
        <f>IF($A$1="Peak","-",'Base Hours'!R231*BaseLoad!X230*'Base Hours'!$AA231)</f>
        <v>-</v>
      </c>
      <c r="S231" s="177" t="str">
        <f>IF($A$1="Peak","-",'Base Hours'!S231*BaseLoad!Y230*'Base Hours'!$AA231)</f>
        <v>-</v>
      </c>
      <c r="T231" s="177" t="str">
        <f>IF($A$1="Peak","-",'Base Hours'!T231*BaseLoad!Z230*'Base Hours'!$AA231)</f>
        <v>-</v>
      </c>
      <c r="U231" s="177" t="str">
        <f>IF($A$1="Peak","-",'Base Hours'!U231*BaseLoad!AA230*'Base Hours'!$AA231)</f>
        <v>-</v>
      </c>
      <c r="V231" s="177">
        <f t="shared" si="8"/>
        <v>0</v>
      </c>
      <c r="W231" s="177"/>
      <c r="X231" s="177"/>
      <c r="Y231" s="206"/>
      <c r="Z231" s="206">
        <f>(BaseLoad!C230*'Base Hours'!V231*'Base Hours'!$AA231)*-1</f>
        <v>0</v>
      </c>
      <c r="AA231" s="206"/>
      <c r="AB231" s="206">
        <f>(BaseLoad!D230*'Base Hours'!V231*'Base Hours'!$AA231)*-1</f>
        <v>0</v>
      </c>
      <c r="AC231" s="206"/>
      <c r="AD231" s="206">
        <f>(BaseLoad!E230*'Base Hours'!V231*'Base Hours'!$AA231)*-1</f>
        <v>0</v>
      </c>
      <c r="AE231" s="206"/>
      <c r="AF231" s="206">
        <f>(BaseLoad!F230*'Base Hours'!V231*'Base Hours'!$AA231)*-1</f>
        <v>0</v>
      </c>
      <c r="AG231" s="206"/>
    </row>
    <row r="232" spans="1:33" x14ac:dyDescent="0.2">
      <c r="A232" s="1">
        <f t="shared" si="7"/>
        <v>43292.574000000284</v>
      </c>
      <c r="B232" s="177" t="str">
        <f>IF($A$1="Peak","-",'Base Hours'!B232*BaseLoad!H231*'Base Hours'!$AA232)</f>
        <v>-</v>
      </c>
      <c r="C232" s="177" t="str">
        <f>IF($A$1="Peak","-",'Base Hours'!C232*BaseLoad!I231*'Base Hours'!$AA232)</f>
        <v>-</v>
      </c>
      <c r="D232" s="177" t="str">
        <f>IF($A$1="Peak","-",'Base Hours'!D232*BaseLoad!J231*'Base Hours'!$AA232)</f>
        <v>-</v>
      </c>
      <c r="E232" s="177" t="str">
        <f>IF($A$1="Peak","-",'Base Hours'!E232*BaseLoad!K231*'Base Hours'!$AA232)</f>
        <v>-</v>
      </c>
      <c r="F232" s="177" t="str">
        <f>IF($A$1="Peak","-",'Base Hours'!F232*BaseLoad!L231*'Base Hours'!$AA232)</f>
        <v>-</v>
      </c>
      <c r="G232" s="177" t="str">
        <f>IF($A$1="Peak","-",'Base Hours'!G232*BaseLoad!M231*'Base Hours'!$AA232)</f>
        <v>-</v>
      </c>
      <c r="H232" s="177" t="str">
        <f>IF($A$1="Peak","-",'Base Hours'!H232*BaseLoad!N231*'Base Hours'!$AA232)</f>
        <v>-</v>
      </c>
      <c r="I232" s="177" t="str">
        <f>IF($A$1="Peak","-",'Base Hours'!I232*BaseLoad!O231*'Base Hours'!$AA232)</f>
        <v>-</v>
      </c>
      <c r="J232" s="177" t="str">
        <f>IF($A$1="Peak","-",'Base Hours'!J232*BaseLoad!P231*'Base Hours'!$AA232)</f>
        <v>-</v>
      </c>
      <c r="K232" s="177" t="str">
        <f>IF($A$1="Peak","-",'Base Hours'!K232*BaseLoad!Q231*'Base Hours'!$AA232)</f>
        <v>-</v>
      </c>
      <c r="L232" s="177" t="str">
        <f>IF($A$1="Peak","-",'Base Hours'!L232*BaseLoad!R231*'Base Hours'!$AA232)</f>
        <v>-</v>
      </c>
      <c r="M232" s="177" t="str">
        <f>IF($A$1="Peak","-",'Base Hours'!M232*BaseLoad!S231*'Base Hours'!$AA232)</f>
        <v>-</v>
      </c>
      <c r="N232" s="177" t="str">
        <f>IF($A$1="Peak","-",'Base Hours'!N232*BaseLoad!T231*'Base Hours'!$AA232)</f>
        <v>-</v>
      </c>
      <c r="O232" s="177" t="str">
        <f>IF($A$1="Peak","-",'Base Hours'!O232*BaseLoad!U231*'Base Hours'!$AA232)</f>
        <v>-</v>
      </c>
      <c r="P232" s="177" t="str">
        <f>IF($A$1="Peak","-",'Base Hours'!P232*BaseLoad!V231*'Base Hours'!$AA232)</f>
        <v>-</v>
      </c>
      <c r="Q232" s="177" t="str">
        <f>IF($A$1="Peak","-",'Base Hours'!Q232*BaseLoad!W231*'Base Hours'!$AA232)</f>
        <v>-</v>
      </c>
      <c r="R232" s="177" t="str">
        <f>IF($A$1="Peak","-",'Base Hours'!R232*BaseLoad!X231*'Base Hours'!$AA232)</f>
        <v>-</v>
      </c>
      <c r="S232" s="177" t="str">
        <f>IF($A$1="Peak","-",'Base Hours'!S232*BaseLoad!Y231*'Base Hours'!$AA232)</f>
        <v>-</v>
      </c>
      <c r="T232" s="177" t="str">
        <f>IF($A$1="Peak","-",'Base Hours'!T232*BaseLoad!Z231*'Base Hours'!$AA232)</f>
        <v>-</v>
      </c>
      <c r="U232" s="177" t="str">
        <f>IF($A$1="Peak","-",'Base Hours'!U232*BaseLoad!AA231*'Base Hours'!$AA232)</f>
        <v>-</v>
      </c>
      <c r="V232" s="177">
        <f t="shared" si="8"/>
        <v>0</v>
      </c>
      <c r="W232" s="177"/>
      <c r="X232" s="177"/>
      <c r="Y232" s="206"/>
      <c r="Z232" s="206">
        <f>(BaseLoad!C231*'Base Hours'!V232*'Base Hours'!$AA232)*-1</f>
        <v>0</v>
      </c>
      <c r="AA232" s="206"/>
      <c r="AB232" s="206">
        <f>(BaseLoad!D231*'Base Hours'!V232*'Base Hours'!$AA232)*-1</f>
        <v>0</v>
      </c>
      <c r="AC232" s="206"/>
      <c r="AD232" s="206">
        <f>(BaseLoad!E231*'Base Hours'!V232*'Base Hours'!$AA232)*-1</f>
        <v>0</v>
      </c>
      <c r="AE232" s="206"/>
      <c r="AF232" s="206">
        <f>(BaseLoad!F231*'Base Hours'!V232*'Base Hours'!$AA232)*-1</f>
        <v>0</v>
      </c>
      <c r="AG232" s="206"/>
    </row>
    <row r="233" spans="1:33" x14ac:dyDescent="0.2">
      <c r="A233" s="1">
        <f t="shared" si="7"/>
        <v>43322.991000000286</v>
      </c>
      <c r="B233" s="177" t="str">
        <f>IF($A$1="Peak","-",'Base Hours'!B233*BaseLoad!H232*'Base Hours'!$AA233)</f>
        <v>-</v>
      </c>
      <c r="C233" s="177" t="str">
        <f>IF($A$1="Peak","-",'Base Hours'!C233*BaseLoad!I232*'Base Hours'!$AA233)</f>
        <v>-</v>
      </c>
      <c r="D233" s="177" t="str">
        <f>IF($A$1="Peak","-",'Base Hours'!D233*BaseLoad!J232*'Base Hours'!$AA233)</f>
        <v>-</v>
      </c>
      <c r="E233" s="177" t="str">
        <f>IF($A$1="Peak","-",'Base Hours'!E233*BaseLoad!K232*'Base Hours'!$AA233)</f>
        <v>-</v>
      </c>
      <c r="F233" s="177" t="str">
        <f>IF($A$1="Peak","-",'Base Hours'!F233*BaseLoad!L232*'Base Hours'!$AA233)</f>
        <v>-</v>
      </c>
      <c r="G233" s="177" t="str">
        <f>IF($A$1="Peak","-",'Base Hours'!G233*BaseLoad!M232*'Base Hours'!$AA233)</f>
        <v>-</v>
      </c>
      <c r="H233" s="177" t="str">
        <f>IF($A$1="Peak","-",'Base Hours'!H233*BaseLoad!N232*'Base Hours'!$AA233)</f>
        <v>-</v>
      </c>
      <c r="I233" s="177" t="str">
        <f>IF($A$1="Peak","-",'Base Hours'!I233*BaseLoad!O232*'Base Hours'!$AA233)</f>
        <v>-</v>
      </c>
      <c r="J233" s="177" t="str">
        <f>IF($A$1="Peak","-",'Base Hours'!J233*BaseLoad!P232*'Base Hours'!$AA233)</f>
        <v>-</v>
      </c>
      <c r="K233" s="177" t="str">
        <f>IF($A$1="Peak","-",'Base Hours'!K233*BaseLoad!Q232*'Base Hours'!$AA233)</f>
        <v>-</v>
      </c>
      <c r="L233" s="177" t="str">
        <f>IF($A$1="Peak","-",'Base Hours'!L233*BaseLoad!R232*'Base Hours'!$AA233)</f>
        <v>-</v>
      </c>
      <c r="M233" s="177" t="str">
        <f>IF($A$1="Peak","-",'Base Hours'!M233*BaseLoad!S232*'Base Hours'!$AA233)</f>
        <v>-</v>
      </c>
      <c r="N233" s="177" t="str">
        <f>IF($A$1="Peak","-",'Base Hours'!N233*BaseLoad!T232*'Base Hours'!$AA233)</f>
        <v>-</v>
      </c>
      <c r="O233" s="177" t="str">
        <f>IF($A$1="Peak","-",'Base Hours'!O233*BaseLoad!U232*'Base Hours'!$AA233)</f>
        <v>-</v>
      </c>
      <c r="P233" s="177" t="str">
        <f>IF($A$1="Peak","-",'Base Hours'!P233*BaseLoad!V232*'Base Hours'!$AA233)</f>
        <v>-</v>
      </c>
      <c r="Q233" s="177" t="str">
        <f>IF($A$1="Peak","-",'Base Hours'!Q233*BaseLoad!W232*'Base Hours'!$AA233)</f>
        <v>-</v>
      </c>
      <c r="R233" s="177" t="str">
        <f>IF($A$1="Peak","-",'Base Hours'!R233*BaseLoad!X232*'Base Hours'!$AA233)</f>
        <v>-</v>
      </c>
      <c r="S233" s="177" t="str">
        <f>IF($A$1="Peak","-",'Base Hours'!S233*BaseLoad!Y232*'Base Hours'!$AA233)</f>
        <v>-</v>
      </c>
      <c r="T233" s="177" t="str">
        <f>IF($A$1="Peak","-",'Base Hours'!T233*BaseLoad!Z232*'Base Hours'!$AA233)</f>
        <v>-</v>
      </c>
      <c r="U233" s="177" t="str">
        <f>IF($A$1="Peak","-",'Base Hours'!U233*BaseLoad!AA232*'Base Hours'!$AA233)</f>
        <v>-</v>
      </c>
      <c r="V233" s="177">
        <f t="shared" si="8"/>
        <v>0</v>
      </c>
      <c r="W233" s="177"/>
      <c r="X233" s="177"/>
      <c r="Y233" s="206"/>
      <c r="Z233" s="206">
        <f>(BaseLoad!C232*'Base Hours'!V233*'Base Hours'!$AA233)*-1</f>
        <v>0</v>
      </c>
      <c r="AA233" s="206"/>
      <c r="AB233" s="206">
        <f>(BaseLoad!D232*'Base Hours'!V233*'Base Hours'!$AA233)*-1</f>
        <v>0</v>
      </c>
      <c r="AC233" s="206"/>
      <c r="AD233" s="206">
        <f>(BaseLoad!E232*'Base Hours'!V233*'Base Hours'!$AA233)*-1</f>
        <v>0</v>
      </c>
      <c r="AE233" s="206"/>
      <c r="AF233" s="206">
        <f>(BaseLoad!F232*'Base Hours'!V233*'Base Hours'!$AA233)*-1</f>
        <v>0</v>
      </c>
      <c r="AG233" s="206"/>
    </row>
    <row r="234" spans="1:33" x14ac:dyDescent="0.2">
      <c r="A234" s="1">
        <f t="shared" si="7"/>
        <v>43353.408000000287</v>
      </c>
      <c r="B234" s="177" t="str">
        <f>IF($A$1="Peak","-",'Base Hours'!B234*BaseLoad!H233*'Base Hours'!$AA234)</f>
        <v>-</v>
      </c>
      <c r="C234" s="177" t="str">
        <f>IF($A$1="Peak","-",'Base Hours'!C234*BaseLoad!I233*'Base Hours'!$AA234)</f>
        <v>-</v>
      </c>
      <c r="D234" s="177" t="str">
        <f>IF($A$1="Peak","-",'Base Hours'!D234*BaseLoad!J233*'Base Hours'!$AA234)</f>
        <v>-</v>
      </c>
      <c r="E234" s="177" t="str">
        <f>IF($A$1="Peak","-",'Base Hours'!E234*BaseLoad!K233*'Base Hours'!$AA234)</f>
        <v>-</v>
      </c>
      <c r="F234" s="177" t="str">
        <f>IF($A$1="Peak","-",'Base Hours'!F234*BaseLoad!L233*'Base Hours'!$AA234)</f>
        <v>-</v>
      </c>
      <c r="G234" s="177" t="str">
        <f>IF($A$1="Peak","-",'Base Hours'!G234*BaseLoad!M233*'Base Hours'!$AA234)</f>
        <v>-</v>
      </c>
      <c r="H234" s="177" t="str">
        <f>IF($A$1="Peak","-",'Base Hours'!H234*BaseLoad!N233*'Base Hours'!$AA234)</f>
        <v>-</v>
      </c>
      <c r="I234" s="177" t="str">
        <f>IF($A$1="Peak","-",'Base Hours'!I234*BaseLoad!O233*'Base Hours'!$AA234)</f>
        <v>-</v>
      </c>
      <c r="J234" s="177" t="str">
        <f>IF($A$1="Peak","-",'Base Hours'!J234*BaseLoad!P233*'Base Hours'!$AA234)</f>
        <v>-</v>
      </c>
      <c r="K234" s="177" t="str">
        <f>IF($A$1="Peak","-",'Base Hours'!K234*BaseLoad!Q233*'Base Hours'!$AA234)</f>
        <v>-</v>
      </c>
      <c r="L234" s="177" t="str">
        <f>IF($A$1="Peak","-",'Base Hours'!L234*BaseLoad!R233*'Base Hours'!$AA234)</f>
        <v>-</v>
      </c>
      <c r="M234" s="177" t="str">
        <f>IF($A$1="Peak","-",'Base Hours'!M234*BaseLoad!S233*'Base Hours'!$AA234)</f>
        <v>-</v>
      </c>
      <c r="N234" s="177" t="str">
        <f>IF($A$1="Peak","-",'Base Hours'!N234*BaseLoad!T233*'Base Hours'!$AA234)</f>
        <v>-</v>
      </c>
      <c r="O234" s="177" t="str">
        <f>IF($A$1="Peak","-",'Base Hours'!O234*BaseLoad!U233*'Base Hours'!$AA234)</f>
        <v>-</v>
      </c>
      <c r="P234" s="177" t="str">
        <f>IF($A$1="Peak","-",'Base Hours'!P234*BaseLoad!V233*'Base Hours'!$AA234)</f>
        <v>-</v>
      </c>
      <c r="Q234" s="177" t="str">
        <f>IF($A$1="Peak","-",'Base Hours'!Q234*BaseLoad!W233*'Base Hours'!$AA234)</f>
        <v>-</v>
      </c>
      <c r="R234" s="177" t="str">
        <f>IF($A$1="Peak","-",'Base Hours'!R234*BaseLoad!X233*'Base Hours'!$AA234)</f>
        <v>-</v>
      </c>
      <c r="S234" s="177" t="str">
        <f>IF($A$1="Peak","-",'Base Hours'!S234*BaseLoad!Y233*'Base Hours'!$AA234)</f>
        <v>-</v>
      </c>
      <c r="T234" s="177" t="str">
        <f>IF($A$1="Peak","-",'Base Hours'!T234*BaseLoad!Z233*'Base Hours'!$AA234)</f>
        <v>-</v>
      </c>
      <c r="U234" s="177" t="str">
        <f>IF($A$1="Peak","-",'Base Hours'!U234*BaseLoad!AA233*'Base Hours'!$AA234)</f>
        <v>-</v>
      </c>
      <c r="V234" s="177">
        <f t="shared" si="8"/>
        <v>0</v>
      </c>
      <c r="W234" s="177"/>
      <c r="X234" s="177"/>
      <c r="Y234" s="206"/>
      <c r="Z234" s="206">
        <f>(BaseLoad!C233*'Base Hours'!V234*'Base Hours'!$AA234)*-1</f>
        <v>0</v>
      </c>
      <c r="AA234" s="206"/>
      <c r="AB234" s="206">
        <f>(BaseLoad!D233*'Base Hours'!V234*'Base Hours'!$AA234)*-1</f>
        <v>0</v>
      </c>
      <c r="AC234" s="206"/>
      <c r="AD234" s="206">
        <f>(BaseLoad!E233*'Base Hours'!V234*'Base Hours'!$AA234)*-1</f>
        <v>0</v>
      </c>
      <c r="AE234" s="206"/>
      <c r="AF234" s="206">
        <f>(BaseLoad!F233*'Base Hours'!V234*'Base Hours'!$AA234)*-1</f>
        <v>0</v>
      </c>
      <c r="AG234" s="206"/>
    </row>
    <row r="235" spans="1:33" x14ac:dyDescent="0.2">
      <c r="A235" s="1">
        <f t="shared" si="7"/>
        <v>43383.825000000288</v>
      </c>
      <c r="B235" s="177" t="str">
        <f>IF($A$1="Peak","-",'Base Hours'!B235*BaseLoad!H234*'Base Hours'!$AA235)</f>
        <v>-</v>
      </c>
      <c r="C235" s="177" t="str">
        <f>IF($A$1="Peak","-",'Base Hours'!C235*BaseLoad!I234*'Base Hours'!$AA235)</f>
        <v>-</v>
      </c>
      <c r="D235" s="177" t="str">
        <f>IF($A$1="Peak","-",'Base Hours'!D235*BaseLoad!J234*'Base Hours'!$AA235)</f>
        <v>-</v>
      </c>
      <c r="E235" s="177" t="str">
        <f>IF($A$1="Peak","-",'Base Hours'!E235*BaseLoad!K234*'Base Hours'!$AA235)</f>
        <v>-</v>
      </c>
      <c r="F235" s="177" t="str">
        <f>IF($A$1="Peak","-",'Base Hours'!F235*BaseLoad!L234*'Base Hours'!$AA235)</f>
        <v>-</v>
      </c>
      <c r="G235" s="177" t="str">
        <f>IF($A$1="Peak","-",'Base Hours'!G235*BaseLoad!M234*'Base Hours'!$AA235)</f>
        <v>-</v>
      </c>
      <c r="H235" s="177" t="str">
        <f>IF($A$1="Peak","-",'Base Hours'!H235*BaseLoad!N234*'Base Hours'!$AA235)</f>
        <v>-</v>
      </c>
      <c r="I235" s="177" t="str">
        <f>IF($A$1="Peak","-",'Base Hours'!I235*BaseLoad!O234*'Base Hours'!$AA235)</f>
        <v>-</v>
      </c>
      <c r="J235" s="177" t="str">
        <f>IF($A$1="Peak","-",'Base Hours'!J235*BaseLoad!P234*'Base Hours'!$AA235)</f>
        <v>-</v>
      </c>
      <c r="K235" s="177" t="str">
        <f>IF($A$1="Peak","-",'Base Hours'!K235*BaseLoad!Q234*'Base Hours'!$AA235)</f>
        <v>-</v>
      </c>
      <c r="L235" s="177" t="str">
        <f>IF($A$1="Peak","-",'Base Hours'!L235*BaseLoad!R234*'Base Hours'!$AA235)</f>
        <v>-</v>
      </c>
      <c r="M235" s="177" t="str">
        <f>IF($A$1="Peak","-",'Base Hours'!M235*BaseLoad!S234*'Base Hours'!$AA235)</f>
        <v>-</v>
      </c>
      <c r="N235" s="177" t="str">
        <f>IF($A$1="Peak","-",'Base Hours'!N235*BaseLoad!T234*'Base Hours'!$AA235)</f>
        <v>-</v>
      </c>
      <c r="O235" s="177" t="str">
        <f>IF($A$1="Peak","-",'Base Hours'!O235*BaseLoad!U234*'Base Hours'!$AA235)</f>
        <v>-</v>
      </c>
      <c r="P235" s="177" t="str">
        <f>IF($A$1="Peak","-",'Base Hours'!P235*BaseLoad!V234*'Base Hours'!$AA235)</f>
        <v>-</v>
      </c>
      <c r="Q235" s="177" t="str">
        <f>IF($A$1="Peak","-",'Base Hours'!Q235*BaseLoad!W234*'Base Hours'!$AA235)</f>
        <v>-</v>
      </c>
      <c r="R235" s="177" t="str">
        <f>IF($A$1="Peak","-",'Base Hours'!R235*BaseLoad!X234*'Base Hours'!$AA235)</f>
        <v>-</v>
      </c>
      <c r="S235" s="177" t="str">
        <f>IF($A$1="Peak","-",'Base Hours'!S235*BaseLoad!Y234*'Base Hours'!$AA235)</f>
        <v>-</v>
      </c>
      <c r="T235" s="177" t="str">
        <f>IF($A$1="Peak","-",'Base Hours'!T235*BaseLoad!Z234*'Base Hours'!$AA235)</f>
        <v>-</v>
      </c>
      <c r="U235" s="177" t="str">
        <f>IF($A$1="Peak","-",'Base Hours'!U235*BaseLoad!AA234*'Base Hours'!$AA235)</f>
        <v>-</v>
      </c>
      <c r="V235" s="177">
        <f t="shared" si="8"/>
        <v>0</v>
      </c>
      <c r="W235" s="177"/>
      <c r="X235" s="177"/>
      <c r="Y235" s="206"/>
      <c r="Z235" s="206">
        <f>(BaseLoad!C234*'Base Hours'!V235*'Base Hours'!$AA235)*-1</f>
        <v>0</v>
      </c>
      <c r="AA235" s="206"/>
      <c r="AB235" s="206">
        <f>(BaseLoad!D234*'Base Hours'!V235*'Base Hours'!$AA235)*-1</f>
        <v>0</v>
      </c>
      <c r="AC235" s="206"/>
      <c r="AD235" s="206">
        <f>(BaseLoad!E234*'Base Hours'!V235*'Base Hours'!$AA235)*-1</f>
        <v>0</v>
      </c>
      <c r="AE235" s="206"/>
      <c r="AF235" s="206">
        <f>(BaseLoad!F234*'Base Hours'!V235*'Base Hours'!$AA235)*-1</f>
        <v>0</v>
      </c>
      <c r="AG235" s="206"/>
    </row>
    <row r="236" spans="1:33" x14ac:dyDescent="0.2">
      <c r="A236" s="1">
        <f t="shared" si="7"/>
        <v>43414.242000000289</v>
      </c>
      <c r="B236" s="177" t="str">
        <f>IF($A$1="Peak","-",'Base Hours'!B236*BaseLoad!H235*'Base Hours'!$AA236)</f>
        <v>-</v>
      </c>
      <c r="C236" s="177" t="str">
        <f>IF($A$1="Peak","-",'Base Hours'!C236*BaseLoad!I235*'Base Hours'!$AA236)</f>
        <v>-</v>
      </c>
      <c r="D236" s="177" t="str">
        <f>IF($A$1="Peak","-",'Base Hours'!D236*BaseLoad!J235*'Base Hours'!$AA236)</f>
        <v>-</v>
      </c>
      <c r="E236" s="177" t="str">
        <f>IF($A$1="Peak","-",'Base Hours'!E236*BaseLoad!K235*'Base Hours'!$AA236)</f>
        <v>-</v>
      </c>
      <c r="F236" s="177" t="str">
        <f>IF($A$1="Peak","-",'Base Hours'!F236*BaseLoad!L235*'Base Hours'!$AA236)</f>
        <v>-</v>
      </c>
      <c r="G236" s="177" t="str">
        <f>IF($A$1="Peak","-",'Base Hours'!G236*BaseLoad!M235*'Base Hours'!$AA236)</f>
        <v>-</v>
      </c>
      <c r="H236" s="177" t="str">
        <f>IF($A$1="Peak","-",'Base Hours'!H236*BaseLoad!N235*'Base Hours'!$AA236)</f>
        <v>-</v>
      </c>
      <c r="I236" s="177" t="str">
        <f>IF($A$1="Peak","-",'Base Hours'!I236*BaseLoad!O235*'Base Hours'!$AA236)</f>
        <v>-</v>
      </c>
      <c r="J236" s="177" t="str">
        <f>IF($A$1="Peak","-",'Base Hours'!J236*BaseLoad!P235*'Base Hours'!$AA236)</f>
        <v>-</v>
      </c>
      <c r="K236" s="177" t="str">
        <f>IF($A$1="Peak","-",'Base Hours'!K236*BaseLoad!Q235*'Base Hours'!$AA236)</f>
        <v>-</v>
      </c>
      <c r="L236" s="177" t="str">
        <f>IF($A$1="Peak","-",'Base Hours'!L236*BaseLoad!R235*'Base Hours'!$AA236)</f>
        <v>-</v>
      </c>
      <c r="M236" s="177" t="str">
        <f>IF($A$1="Peak","-",'Base Hours'!M236*BaseLoad!S235*'Base Hours'!$AA236)</f>
        <v>-</v>
      </c>
      <c r="N236" s="177" t="str">
        <f>IF($A$1="Peak","-",'Base Hours'!N236*BaseLoad!T235*'Base Hours'!$AA236)</f>
        <v>-</v>
      </c>
      <c r="O236" s="177" t="str">
        <f>IF($A$1="Peak","-",'Base Hours'!O236*BaseLoad!U235*'Base Hours'!$AA236)</f>
        <v>-</v>
      </c>
      <c r="P236" s="177" t="str">
        <f>IF($A$1="Peak","-",'Base Hours'!P236*BaseLoad!V235*'Base Hours'!$AA236)</f>
        <v>-</v>
      </c>
      <c r="Q236" s="177" t="str">
        <f>IF($A$1="Peak","-",'Base Hours'!Q236*BaseLoad!W235*'Base Hours'!$AA236)</f>
        <v>-</v>
      </c>
      <c r="R236" s="177" t="str">
        <f>IF($A$1="Peak","-",'Base Hours'!R236*BaseLoad!X235*'Base Hours'!$AA236)</f>
        <v>-</v>
      </c>
      <c r="S236" s="177" t="str">
        <f>IF($A$1="Peak","-",'Base Hours'!S236*BaseLoad!Y235*'Base Hours'!$AA236)</f>
        <v>-</v>
      </c>
      <c r="T236" s="177" t="str">
        <f>IF($A$1="Peak","-",'Base Hours'!T236*BaseLoad!Z235*'Base Hours'!$AA236)</f>
        <v>-</v>
      </c>
      <c r="U236" s="177" t="str">
        <f>IF($A$1="Peak","-",'Base Hours'!U236*BaseLoad!AA235*'Base Hours'!$AA236)</f>
        <v>-</v>
      </c>
      <c r="V236" s="177">
        <f t="shared" si="8"/>
        <v>0</v>
      </c>
      <c r="W236" s="177"/>
      <c r="X236" s="177"/>
      <c r="Y236" s="206"/>
      <c r="Z236" s="206">
        <f>(BaseLoad!C235*'Base Hours'!V236*'Base Hours'!$AA236)*-1</f>
        <v>0</v>
      </c>
      <c r="AA236" s="206"/>
      <c r="AB236" s="206">
        <f>(BaseLoad!D235*'Base Hours'!V236*'Base Hours'!$AA236)*-1</f>
        <v>0</v>
      </c>
      <c r="AC236" s="206"/>
      <c r="AD236" s="206">
        <f>(BaseLoad!E235*'Base Hours'!V236*'Base Hours'!$AA236)*-1</f>
        <v>0</v>
      </c>
      <c r="AE236" s="206"/>
      <c r="AF236" s="206">
        <f>(BaseLoad!F235*'Base Hours'!V236*'Base Hours'!$AA236)*-1</f>
        <v>0</v>
      </c>
      <c r="AG236" s="206"/>
    </row>
    <row r="237" spans="1:33" x14ac:dyDescent="0.2">
      <c r="A237" s="1">
        <f t="shared" si="7"/>
        <v>43444.659000000291</v>
      </c>
      <c r="B237" s="177" t="str">
        <f>IF($A$1="Peak","-",'Base Hours'!B237*BaseLoad!H236*'Base Hours'!$AA237)</f>
        <v>-</v>
      </c>
      <c r="C237" s="177" t="str">
        <f>IF($A$1="Peak","-",'Base Hours'!C237*BaseLoad!I236*'Base Hours'!$AA237)</f>
        <v>-</v>
      </c>
      <c r="D237" s="177" t="str">
        <f>IF($A$1="Peak","-",'Base Hours'!D237*BaseLoad!J236*'Base Hours'!$AA237)</f>
        <v>-</v>
      </c>
      <c r="E237" s="177" t="str">
        <f>IF($A$1="Peak","-",'Base Hours'!E237*BaseLoad!K236*'Base Hours'!$AA237)</f>
        <v>-</v>
      </c>
      <c r="F237" s="177" t="str">
        <f>IF($A$1="Peak","-",'Base Hours'!F237*BaseLoad!L236*'Base Hours'!$AA237)</f>
        <v>-</v>
      </c>
      <c r="G237" s="177" t="str">
        <f>IF($A$1="Peak","-",'Base Hours'!G237*BaseLoad!M236*'Base Hours'!$AA237)</f>
        <v>-</v>
      </c>
      <c r="H237" s="177" t="str">
        <f>IF($A$1="Peak","-",'Base Hours'!H237*BaseLoad!N236*'Base Hours'!$AA237)</f>
        <v>-</v>
      </c>
      <c r="I237" s="177" t="str">
        <f>IF($A$1="Peak","-",'Base Hours'!I237*BaseLoad!O236*'Base Hours'!$AA237)</f>
        <v>-</v>
      </c>
      <c r="J237" s="177" t="str">
        <f>IF($A$1="Peak","-",'Base Hours'!J237*BaseLoad!P236*'Base Hours'!$AA237)</f>
        <v>-</v>
      </c>
      <c r="K237" s="177" t="str">
        <f>IF($A$1="Peak","-",'Base Hours'!K237*BaseLoad!Q236*'Base Hours'!$AA237)</f>
        <v>-</v>
      </c>
      <c r="L237" s="177" t="str">
        <f>IF($A$1="Peak","-",'Base Hours'!L237*BaseLoad!R236*'Base Hours'!$AA237)</f>
        <v>-</v>
      </c>
      <c r="M237" s="177" t="str">
        <f>IF($A$1="Peak","-",'Base Hours'!M237*BaseLoad!S236*'Base Hours'!$AA237)</f>
        <v>-</v>
      </c>
      <c r="N237" s="177" t="str">
        <f>IF($A$1="Peak","-",'Base Hours'!N237*BaseLoad!T236*'Base Hours'!$AA237)</f>
        <v>-</v>
      </c>
      <c r="O237" s="177" t="str">
        <f>IF($A$1="Peak","-",'Base Hours'!O237*BaseLoad!U236*'Base Hours'!$AA237)</f>
        <v>-</v>
      </c>
      <c r="P237" s="177" t="str">
        <f>IF($A$1="Peak","-",'Base Hours'!P237*BaseLoad!V236*'Base Hours'!$AA237)</f>
        <v>-</v>
      </c>
      <c r="Q237" s="177" t="str">
        <f>IF($A$1="Peak","-",'Base Hours'!Q237*BaseLoad!W236*'Base Hours'!$AA237)</f>
        <v>-</v>
      </c>
      <c r="R237" s="177" t="str">
        <f>IF($A$1="Peak","-",'Base Hours'!R237*BaseLoad!X236*'Base Hours'!$AA237)</f>
        <v>-</v>
      </c>
      <c r="S237" s="177" t="str">
        <f>IF($A$1="Peak","-",'Base Hours'!S237*BaseLoad!Y236*'Base Hours'!$AA237)</f>
        <v>-</v>
      </c>
      <c r="T237" s="177" t="str">
        <f>IF($A$1="Peak","-",'Base Hours'!T237*BaseLoad!Z236*'Base Hours'!$AA237)</f>
        <v>-</v>
      </c>
      <c r="U237" s="177" t="str">
        <f>IF($A$1="Peak","-",'Base Hours'!U237*BaseLoad!AA236*'Base Hours'!$AA237)</f>
        <v>-</v>
      </c>
      <c r="V237" s="177">
        <f t="shared" si="8"/>
        <v>0</v>
      </c>
      <c r="W237" s="177"/>
      <c r="X237" s="177"/>
      <c r="Y237" s="206">
        <f>SUM(B226:U237)</f>
        <v>0</v>
      </c>
      <c r="Z237" s="206">
        <f>(BaseLoad!C236*'Base Hours'!V237*'Base Hours'!$AA237)*-1</f>
        <v>0</v>
      </c>
      <c r="AA237" s="206">
        <f>SUM(Z226:Z237)</f>
        <v>0</v>
      </c>
      <c r="AB237" s="206">
        <f>(BaseLoad!D236*'Base Hours'!V237*'Base Hours'!$AA237)*-1</f>
        <v>0</v>
      </c>
      <c r="AC237" s="206">
        <f>SUM(AB226:AB237)</f>
        <v>0</v>
      </c>
      <c r="AD237" s="206">
        <f>(BaseLoad!E236*'Base Hours'!V237*'Base Hours'!$AA237)*-1</f>
        <v>0</v>
      </c>
      <c r="AE237" s="206">
        <f>SUM(AD226:AD237)</f>
        <v>0</v>
      </c>
      <c r="AF237" s="206">
        <f>(BaseLoad!F236*'Base Hours'!V237*'Base Hours'!$AA237)*-1</f>
        <v>0</v>
      </c>
      <c r="AG237" s="206">
        <f>SUM(AF226:AF237)</f>
        <v>0</v>
      </c>
    </row>
    <row r="238" spans="1:33" x14ac:dyDescent="0.2">
      <c r="A238" s="1">
        <f t="shared" si="7"/>
        <v>43475.076000000292</v>
      </c>
      <c r="B238" s="177" t="str">
        <f>IF($A$1="Peak","-",'Base Hours'!B238*BaseLoad!H237*'Base Hours'!$AA238)</f>
        <v>-</v>
      </c>
      <c r="C238" s="177" t="str">
        <f>IF($A$1="Peak","-",'Base Hours'!C238*BaseLoad!I237*'Base Hours'!$AA238)</f>
        <v>-</v>
      </c>
      <c r="D238" s="177" t="str">
        <f>IF($A$1="Peak","-",'Base Hours'!D238*BaseLoad!J237*'Base Hours'!$AA238)</f>
        <v>-</v>
      </c>
      <c r="E238" s="177" t="str">
        <f>IF($A$1="Peak","-",'Base Hours'!E238*BaseLoad!K237*'Base Hours'!$AA238)</f>
        <v>-</v>
      </c>
      <c r="F238" s="177" t="str">
        <f>IF($A$1="Peak","-",'Base Hours'!F238*BaseLoad!L237*'Base Hours'!$AA238)</f>
        <v>-</v>
      </c>
      <c r="G238" s="177" t="str">
        <f>IF($A$1="Peak","-",'Base Hours'!G238*BaseLoad!M237*'Base Hours'!$AA238)</f>
        <v>-</v>
      </c>
      <c r="H238" s="177" t="str">
        <f>IF($A$1="Peak","-",'Base Hours'!H238*BaseLoad!N237*'Base Hours'!$AA238)</f>
        <v>-</v>
      </c>
      <c r="I238" s="177" t="str">
        <f>IF($A$1="Peak","-",'Base Hours'!I238*BaseLoad!O237*'Base Hours'!$AA238)</f>
        <v>-</v>
      </c>
      <c r="J238" s="177" t="str">
        <f>IF($A$1="Peak","-",'Base Hours'!J238*BaseLoad!P237*'Base Hours'!$AA238)</f>
        <v>-</v>
      </c>
      <c r="K238" s="177" t="str">
        <f>IF($A$1="Peak","-",'Base Hours'!K238*BaseLoad!Q237*'Base Hours'!$AA238)</f>
        <v>-</v>
      </c>
      <c r="L238" s="177" t="str">
        <f>IF($A$1="Peak","-",'Base Hours'!L238*BaseLoad!R237*'Base Hours'!$AA238)</f>
        <v>-</v>
      </c>
      <c r="M238" s="177" t="str">
        <f>IF($A$1="Peak","-",'Base Hours'!M238*BaseLoad!S237*'Base Hours'!$AA238)</f>
        <v>-</v>
      </c>
      <c r="N238" s="177" t="str">
        <f>IF($A$1="Peak","-",'Base Hours'!N238*BaseLoad!T237*'Base Hours'!$AA238)</f>
        <v>-</v>
      </c>
      <c r="O238" s="177" t="str">
        <f>IF($A$1="Peak","-",'Base Hours'!O238*BaseLoad!U237*'Base Hours'!$AA238)</f>
        <v>-</v>
      </c>
      <c r="P238" s="177" t="str">
        <f>IF($A$1="Peak","-",'Base Hours'!P238*BaseLoad!V237*'Base Hours'!$AA238)</f>
        <v>-</v>
      </c>
      <c r="Q238" s="177" t="str">
        <f>IF($A$1="Peak","-",'Base Hours'!Q238*BaseLoad!W237*'Base Hours'!$AA238)</f>
        <v>-</v>
      </c>
      <c r="R238" s="177" t="str">
        <f>IF($A$1="Peak","-",'Base Hours'!R238*BaseLoad!X237*'Base Hours'!$AA238)</f>
        <v>-</v>
      </c>
      <c r="S238" s="177" t="str">
        <f>IF($A$1="Peak","-",'Base Hours'!S238*BaseLoad!Y237*'Base Hours'!$AA238)</f>
        <v>-</v>
      </c>
      <c r="T238" s="177" t="str">
        <f>IF($A$1="Peak","-",'Base Hours'!T238*BaseLoad!Z237*'Base Hours'!$AA238)</f>
        <v>-</v>
      </c>
      <c r="U238" s="177" t="str">
        <f>IF($A$1="Peak","-",'Base Hours'!U238*BaseLoad!AA237*'Base Hours'!$AA238)</f>
        <v>-</v>
      </c>
      <c r="V238" s="177">
        <f t="shared" si="8"/>
        <v>0</v>
      </c>
      <c r="W238" s="177"/>
      <c r="X238" s="177"/>
      <c r="Y238" s="206"/>
      <c r="Z238" s="206">
        <f>(BaseLoad!C237*'Base Hours'!V238*'Base Hours'!$AA238)*-1</f>
        <v>0</v>
      </c>
      <c r="AA238" s="206"/>
      <c r="AB238" s="206">
        <f>(BaseLoad!D237*'Base Hours'!V238*'Base Hours'!$AA238)*-1</f>
        <v>0</v>
      </c>
      <c r="AC238" s="206"/>
      <c r="AD238" s="206">
        <f>(BaseLoad!E237*'Base Hours'!V238*'Base Hours'!$AA238)*-1</f>
        <v>0</v>
      </c>
      <c r="AE238" s="206"/>
      <c r="AF238" s="206">
        <f>(BaseLoad!F237*'Base Hours'!V238*'Base Hours'!$AA238)*-1</f>
        <v>0</v>
      </c>
      <c r="AG238" s="206"/>
    </row>
    <row r="239" spans="1:33" x14ac:dyDescent="0.2">
      <c r="A239" s="1">
        <f t="shared" si="7"/>
        <v>43505.493000000293</v>
      </c>
      <c r="B239" s="177" t="str">
        <f>IF($A$1="Peak","-",'Base Hours'!B239*BaseLoad!H238*'Base Hours'!$AA239)</f>
        <v>-</v>
      </c>
      <c r="C239" s="177" t="str">
        <f>IF($A$1="Peak","-",'Base Hours'!C239*BaseLoad!I238*'Base Hours'!$AA239)</f>
        <v>-</v>
      </c>
      <c r="D239" s="177" t="str">
        <f>IF($A$1="Peak","-",'Base Hours'!D239*BaseLoad!J238*'Base Hours'!$AA239)</f>
        <v>-</v>
      </c>
      <c r="E239" s="177" t="str">
        <f>IF($A$1="Peak","-",'Base Hours'!E239*BaseLoad!K238*'Base Hours'!$AA239)</f>
        <v>-</v>
      </c>
      <c r="F239" s="177" t="str">
        <f>IF($A$1="Peak","-",'Base Hours'!F239*BaseLoad!L238*'Base Hours'!$AA239)</f>
        <v>-</v>
      </c>
      <c r="G239" s="177" t="str">
        <f>IF($A$1="Peak","-",'Base Hours'!G239*BaseLoad!M238*'Base Hours'!$AA239)</f>
        <v>-</v>
      </c>
      <c r="H239" s="177" t="str">
        <f>IF($A$1="Peak","-",'Base Hours'!H239*BaseLoad!N238*'Base Hours'!$AA239)</f>
        <v>-</v>
      </c>
      <c r="I239" s="177" t="str">
        <f>IF($A$1="Peak","-",'Base Hours'!I239*BaseLoad!O238*'Base Hours'!$AA239)</f>
        <v>-</v>
      </c>
      <c r="J239" s="177" t="str">
        <f>IF($A$1="Peak","-",'Base Hours'!J239*BaseLoad!P238*'Base Hours'!$AA239)</f>
        <v>-</v>
      </c>
      <c r="K239" s="177" t="str">
        <f>IF($A$1="Peak","-",'Base Hours'!K239*BaseLoad!Q238*'Base Hours'!$AA239)</f>
        <v>-</v>
      </c>
      <c r="L239" s="177" t="str">
        <f>IF($A$1="Peak","-",'Base Hours'!L239*BaseLoad!R238*'Base Hours'!$AA239)</f>
        <v>-</v>
      </c>
      <c r="M239" s="177" t="str">
        <f>IF($A$1="Peak","-",'Base Hours'!M239*BaseLoad!S238*'Base Hours'!$AA239)</f>
        <v>-</v>
      </c>
      <c r="N239" s="177" t="str">
        <f>IF($A$1="Peak","-",'Base Hours'!N239*BaseLoad!T238*'Base Hours'!$AA239)</f>
        <v>-</v>
      </c>
      <c r="O239" s="177" t="str">
        <f>IF($A$1="Peak","-",'Base Hours'!O239*BaseLoad!U238*'Base Hours'!$AA239)</f>
        <v>-</v>
      </c>
      <c r="P239" s="177" t="str">
        <f>IF($A$1="Peak","-",'Base Hours'!P239*BaseLoad!V238*'Base Hours'!$AA239)</f>
        <v>-</v>
      </c>
      <c r="Q239" s="177" t="str">
        <f>IF($A$1="Peak","-",'Base Hours'!Q239*BaseLoad!W238*'Base Hours'!$AA239)</f>
        <v>-</v>
      </c>
      <c r="R239" s="177" t="str">
        <f>IF($A$1="Peak","-",'Base Hours'!R239*BaseLoad!X238*'Base Hours'!$AA239)</f>
        <v>-</v>
      </c>
      <c r="S239" s="177" t="str">
        <f>IF($A$1="Peak","-",'Base Hours'!S239*BaseLoad!Y238*'Base Hours'!$AA239)</f>
        <v>-</v>
      </c>
      <c r="T239" s="177" t="str">
        <f>IF($A$1="Peak","-",'Base Hours'!T239*BaseLoad!Z238*'Base Hours'!$AA239)</f>
        <v>-</v>
      </c>
      <c r="U239" s="177" t="str">
        <f>IF($A$1="Peak","-",'Base Hours'!U239*BaseLoad!AA238*'Base Hours'!$AA239)</f>
        <v>-</v>
      </c>
      <c r="V239" s="177">
        <f t="shared" si="8"/>
        <v>0</v>
      </c>
      <c r="W239" s="177"/>
      <c r="X239" s="177"/>
      <c r="Y239" s="206"/>
      <c r="Z239" s="206">
        <f>(BaseLoad!C238*'Base Hours'!V239*'Base Hours'!$AA239)*-1</f>
        <v>0</v>
      </c>
      <c r="AA239" s="206"/>
      <c r="AB239" s="206">
        <f>(BaseLoad!D238*'Base Hours'!V239*'Base Hours'!$AA239)*-1</f>
        <v>0</v>
      </c>
      <c r="AC239" s="206"/>
      <c r="AD239" s="206">
        <f>(BaseLoad!E238*'Base Hours'!V239*'Base Hours'!$AA239)*-1</f>
        <v>0</v>
      </c>
      <c r="AE239" s="206"/>
      <c r="AF239" s="206">
        <f>(BaseLoad!F238*'Base Hours'!V239*'Base Hours'!$AA239)*-1</f>
        <v>0</v>
      </c>
      <c r="AG239" s="206"/>
    </row>
    <row r="240" spans="1:33" x14ac:dyDescent="0.2">
      <c r="A240" s="1">
        <f t="shared" si="7"/>
        <v>43535.910000000295</v>
      </c>
      <c r="B240" s="177" t="str">
        <f>IF($A$1="Peak","-",'Base Hours'!B240*BaseLoad!H239*'Base Hours'!$AA240)</f>
        <v>-</v>
      </c>
      <c r="C240" s="177" t="str">
        <f>IF($A$1="Peak","-",'Base Hours'!C240*BaseLoad!I239*'Base Hours'!$AA240)</f>
        <v>-</v>
      </c>
      <c r="D240" s="177" t="str">
        <f>IF($A$1="Peak","-",'Base Hours'!D240*BaseLoad!J239*'Base Hours'!$AA240)</f>
        <v>-</v>
      </c>
      <c r="E240" s="177" t="str">
        <f>IF($A$1="Peak","-",'Base Hours'!E240*BaseLoad!K239*'Base Hours'!$AA240)</f>
        <v>-</v>
      </c>
      <c r="F240" s="177" t="str">
        <f>IF($A$1="Peak","-",'Base Hours'!F240*BaseLoad!L239*'Base Hours'!$AA240)</f>
        <v>-</v>
      </c>
      <c r="G240" s="177" t="str">
        <f>IF($A$1="Peak","-",'Base Hours'!G240*BaseLoad!M239*'Base Hours'!$AA240)</f>
        <v>-</v>
      </c>
      <c r="H240" s="177" t="str">
        <f>IF($A$1="Peak","-",'Base Hours'!H240*BaseLoad!N239*'Base Hours'!$AA240)</f>
        <v>-</v>
      </c>
      <c r="I240" s="177" t="str">
        <f>IF($A$1="Peak","-",'Base Hours'!I240*BaseLoad!O239*'Base Hours'!$AA240)</f>
        <v>-</v>
      </c>
      <c r="J240" s="177" t="str">
        <f>IF($A$1="Peak","-",'Base Hours'!J240*BaseLoad!P239*'Base Hours'!$AA240)</f>
        <v>-</v>
      </c>
      <c r="K240" s="177" t="str">
        <f>IF($A$1="Peak","-",'Base Hours'!K240*BaseLoad!Q239*'Base Hours'!$AA240)</f>
        <v>-</v>
      </c>
      <c r="L240" s="177" t="str">
        <f>IF($A$1="Peak","-",'Base Hours'!L240*BaseLoad!R239*'Base Hours'!$AA240)</f>
        <v>-</v>
      </c>
      <c r="M240" s="177" t="str">
        <f>IF($A$1="Peak","-",'Base Hours'!M240*BaseLoad!S239*'Base Hours'!$AA240)</f>
        <v>-</v>
      </c>
      <c r="N240" s="177" t="str">
        <f>IF($A$1="Peak","-",'Base Hours'!N240*BaseLoad!T239*'Base Hours'!$AA240)</f>
        <v>-</v>
      </c>
      <c r="O240" s="177" t="str">
        <f>IF($A$1="Peak","-",'Base Hours'!O240*BaseLoad!U239*'Base Hours'!$AA240)</f>
        <v>-</v>
      </c>
      <c r="P240" s="177" t="str">
        <f>IF($A$1="Peak","-",'Base Hours'!P240*BaseLoad!V239*'Base Hours'!$AA240)</f>
        <v>-</v>
      </c>
      <c r="Q240" s="177" t="str">
        <f>IF($A$1="Peak","-",'Base Hours'!Q240*BaseLoad!W239*'Base Hours'!$AA240)</f>
        <v>-</v>
      </c>
      <c r="R240" s="177" t="str">
        <f>IF($A$1="Peak","-",'Base Hours'!R240*BaseLoad!X239*'Base Hours'!$AA240)</f>
        <v>-</v>
      </c>
      <c r="S240" s="177" t="str">
        <f>IF($A$1="Peak","-",'Base Hours'!S240*BaseLoad!Y239*'Base Hours'!$AA240)</f>
        <v>-</v>
      </c>
      <c r="T240" s="177" t="str">
        <f>IF($A$1="Peak","-",'Base Hours'!T240*BaseLoad!Z239*'Base Hours'!$AA240)</f>
        <v>-</v>
      </c>
      <c r="U240" s="177" t="str">
        <f>IF($A$1="Peak","-",'Base Hours'!U240*BaseLoad!AA239*'Base Hours'!$AA240)</f>
        <v>-</v>
      </c>
      <c r="V240" s="177">
        <f t="shared" si="8"/>
        <v>0</v>
      </c>
      <c r="W240" s="177"/>
      <c r="X240" s="177"/>
      <c r="Y240" s="206"/>
      <c r="Z240" s="206">
        <f>(BaseLoad!C239*'Base Hours'!V240*'Base Hours'!$AA240)*-1</f>
        <v>0</v>
      </c>
      <c r="AA240" s="206"/>
      <c r="AB240" s="206">
        <f>(BaseLoad!D239*'Base Hours'!V240*'Base Hours'!$AA240)*-1</f>
        <v>0</v>
      </c>
      <c r="AC240" s="206"/>
      <c r="AD240" s="206">
        <f>(BaseLoad!E239*'Base Hours'!V240*'Base Hours'!$AA240)*-1</f>
        <v>0</v>
      </c>
      <c r="AE240" s="206"/>
      <c r="AF240" s="206">
        <f>(BaseLoad!F239*'Base Hours'!V240*'Base Hours'!$AA240)*-1</f>
        <v>0</v>
      </c>
      <c r="AG240" s="206"/>
    </row>
    <row r="241" spans="1:33" x14ac:dyDescent="0.2">
      <c r="A241" s="1">
        <f t="shared" si="7"/>
        <v>43566.327000000296</v>
      </c>
      <c r="B241" s="177" t="str">
        <f>IF($A$1="Peak","-",'Base Hours'!B241*BaseLoad!H240*'Base Hours'!$AA241)</f>
        <v>-</v>
      </c>
      <c r="C241" s="177" t="str">
        <f>IF($A$1="Peak","-",'Base Hours'!C241*BaseLoad!I240*'Base Hours'!$AA241)</f>
        <v>-</v>
      </c>
      <c r="D241" s="177" t="str">
        <f>IF($A$1="Peak","-",'Base Hours'!D241*BaseLoad!J240*'Base Hours'!$AA241)</f>
        <v>-</v>
      </c>
      <c r="E241" s="177" t="str">
        <f>IF($A$1="Peak","-",'Base Hours'!E241*BaseLoad!K240*'Base Hours'!$AA241)</f>
        <v>-</v>
      </c>
      <c r="F241" s="177" t="str">
        <f>IF($A$1="Peak","-",'Base Hours'!F241*BaseLoad!L240*'Base Hours'!$AA241)</f>
        <v>-</v>
      </c>
      <c r="G241" s="177" t="str">
        <f>IF($A$1="Peak","-",'Base Hours'!G241*BaseLoad!M240*'Base Hours'!$AA241)</f>
        <v>-</v>
      </c>
      <c r="H241" s="177" t="str">
        <f>IF($A$1="Peak","-",'Base Hours'!H241*BaseLoad!N240*'Base Hours'!$AA241)</f>
        <v>-</v>
      </c>
      <c r="I241" s="177" t="str">
        <f>IF($A$1="Peak","-",'Base Hours'!I241*BaseLoad!O240*'Base Hours'!$AA241)</f>
        <v>-</v>
      </c>
      <c r="J241" s="177" t="str">
        <f>IF($A$1="Peak","-",'Base Hours'!J241*BaseLoad!P240*'Base Hours'!$AA241)</f>
        <v>-</v>
      </c>
      <c r="K241" s="177" t="str">
        <f>IF($A$1="Peak","-",'Base Hours'!K241*BaseLoad!Q240*'Base Hours'!$AA241)</f>
        <v>-</v>
      </c>
      <c r="L241" s="177" t="str">
        <f>IF($A$1="Peak","-",'Base Hours'!L241*BaseLoad!R240*'Base Hours'!$AA241)</f>
        <v>-</v>
      </c>
      <c r="M241" s="177" t="str">
        <f>IF($A$1="Peak","-",'Base Hours'!M241*BaseLoad!S240*'Base Hours'!$AA241)</f>
        <v>-</v>
      </c>
      <c r="N241" s="177" t="str">
        <f>IF($A$1="Peak","-",'Base Hours'!N241*BaseLoad!T240*'Base Hours'!$AA241)</f>
        <v>-</v>
      </c>
      <c r="O241" s="177" t="str">
        <f>IF($A$1="Peak","-",'Base Hours'!O241*BaseLoad!U240*'Base Hours'!$AA241)</f>
        <v>-</v>
      </c>
      <c r="P241" s="177" t="str">
        <f>IF($A$1="Peak","-",'Base Hours'!P241*BaseLoad!V240*'Base Hours'!$AA241)</f>
        <v>-</v>
      </c>
      <c r="Q241" s="177" t="str">
        <f>IF($A$1="Peak","-",'Base Hours'!Q241*BaseLoad!W240*'Base Hours'!$AA241)</f>
        <v>-</v>
      </c>
      <c r="R241" s="177" t="str">
        <f>IF($A$1="Peak","-",'Base Hours'!R241*BaseLoad!X240*'Base Hours'!$AA241)</f>
        <v>-</v>
      </c>
      <c r="S241" s="177" t="str">
        <f>IF($A$1="Peak","-",'Base Hours'!S241*BaseLoad!Y240*'Base Hours'!$AA241)</f>
        <v>-</v>
      </c>
      <c r="T241" s="177" t="str">
        <f>IF($A$1="Peak","-",'Base Hours'!T241*BaseLoad!Z240*'Base Hours'!$AA241)</f>
        <v>-</v>
      </c>
      <c r="U241" s="177" t="str">
        <f>IF($A$1="Peak","-",'Base Hours'!U241*BaseLoad!AA240*'Base Hours'!$AA241)</f>
        <v>-</v>
      </c>
      <c r="V241" s="177">
        <f t="shared" si="8"/>
        <v>0</v>
      </c>
      <c r="W241" s="177"/>
      <c r="X241" s="177"/>
      <c r="Y241" s="206"/>
      <c r="Z241" s="206">
        <f>(BaseLoad!C240*'Base Hours'!V241*'Base Hours'!$AA241)*-1</f>
        <v>0</v>
      </c>
      <c r="AA241" s="206"/>
      <c r="AB241" s="206">
        <f>(BaseLoad!D240*'Base Hours'!V241*'Base Hours'!$AA241)*-1</f>
        <v>0</v>
      </c>
      <c r="AC241" s="206"/>
      <c r="AD241" s="206">
        <f>(BaseLoad!E240*'Base Hours'!V241*'Base Hours'!$AA241)*-1</f>
        <v>0</v>
      </c>
      <c r="AE241" s="206"/>
      <c r="AF241" s="206">
        <f>(BaseLoad!F240*'Base Hours'!V241*'Base Hours'!$AA241)*-1</f>
        <v>0</v>
      </c>
      <c r="AG241" s="206"/>
    </row>
    <row r="242" spans="1:33" x14ac:dyDescent="0.2">
      <c r="A242" s="1">
        <f t="shared" si="7"/>
        <v>43596.744000000297</v>
      </c>
      <c r="B242" s="177" t="str">
        <f>IF($A$1="Peak","-",'Base Hours'!B242*BaseLoad!H241*'Base Hours'!$AA242)</f>
        <v>-</v>
      </c>
      <c r="C242" s="177" t="str">
        <f>IF($A$1="Peak","-",'Base Hours'!C242*BaseLoad!I241*'Base Hours'!$AA242)</f>
        <v>-</v>
      </c>
      <c r="D242" s="177" t="str">
        <f>IF($A$1="Peak","-",'Base Hours'!D242*BaseLoad!J241*'Base Hours'!$AA242)</f>
        <v>-</v>
      </c>
      <c r="E242" s="177" t="str">
        <f>IF($A$1="Peak","-",'Base Hours'!E242*BaseLoad!K241*'Base Hours'!$AA242)</f>
        <v>-</v>
      </c>
      <c r="F242" s="177" t="str">
        <f>IF($A$1="Peak","-",'Base Hours'!F242*BaseLoad!L241*'Base Hours'!$AA242)</f>
        <v>-</v>
      </c>
      <c r="G242" s="177" t="str">
        <f>IF($A$1="Peak","-",'Base Hours'!G242*BaseLoad!M241*'Base Hours'!$AA242)</f>
        <v>-</v>
      </c>
      <c r="H242" s="177" t="str">
        <f>IF($A$1="Peak","-",'Base Hours'!H242*BaseLoad!N241*'Base Hours'!$AA242)</f>
        <v>-</v>
      </c>
      <c r="I242" s="177" t="str">
        <f>IF($A$1="Peak","-",'Base Hours'!I242*BaseLoad!O241*'Base Hours'!$AA242)</f>
        <v>-</v>
      </c>
      <c r="J242" s="177" t="str">
        <f>IF($A$1="Peak","-",'Base Hours'!J242*BaseLoad!P241*'Base Hours'!$AA242)</f>
        <v>-</v>
      </c>
      <c r="K242" s="177" t="str">
        <f>IF($A$1="Peak","-",'Base Hours'!K242*BaseLoad!Q241*'Base Hours'!$AA242)</f>
        <v>-</v>
      </c>
      <c r="L242" s="177" t="str">
        <f>IF($A$1="Peak","-",'Base Hours'!L242*BaseLoad!R241*'Base Hours'!$AA242)</f>
        <v>-</v>
      </c>
      <c r="M242" s="177" t="str">
        <f>IF($A$1="Peak","-",'Base Hours'!M242*BaseLoad!S241*'Base Hours'!$AA242)</f>
        <v>-</v>
      </c>
      <c r="N242" s="177" t="str">
        <f>IF($A$1="Peak","-",'Base Hours'!N242*BaseLoad!T241*'Base Hours'!$AA242)</f>
        <v>-</v>
      </c>
      <c r="O242" s="177" t="str">
        <f>IF($A$1="Peak","-",'Base Hours'!O242*BaseLoad!U241*'Base Hours'!$AA242)</f>
        <v>-</v>
      </c>
      <c r="P242" s="177" t="str">
        <f>IF($A$1="Peak","-",'Base Hours'!P242*BaseLoad!V241*'Base Hours'!$AA242)</f>
        <v>-</v>
      </c>
      <c r="Q242" s="177" t="str">
        <f>IF($A$1="Peak","-",'Base Hours'!Q242*BaseLoad!W241*'Base Hours'!$AA242)</f>
        <v>-</v>
      </c>
      <c r="R242" s="177" t="str">
        <f>IF($A$1="Peak","-",'Base Hours'!R242*BaseLoad!X241*'Base Hours'!$AA242)</f>
        <v>-</v>
      </c>
      <c r="S242" s="177" t="str">
        <f>IF($A$1="Peak","-",'Base Hours'!S242*BaseLoad!Y241*'Base Hours'!$AA242)</f>
        <v>-</v>
      </c>
      <c r="T242" s="177" t="str">
        <f>IF($A$1="Peak","-",'Base Hours'!T242*BaseLoad!Z241*'Base Hours'!$AA242)</f>
        <v>-</v>
      </c>
      <c r="U242" s="177" t="str">
        <f>IF($A$1="Peak","-",'Base Hours'!U242*BaseLoad!AA241*'Base Hours'!$AA242)</f>
        <v>-</v>
      </c>
      <c r="V242" s="177">
        <f t="shared" si="8"/>
        <v>0</v>
      </c>
      <c r="W242" s="177"/>
      <c r="X242" s="177"/>
      <c r="Y242" s="206"/>
      <c r="Z242" s="206">
        <f>(BaseLoad!C241*'Base Hours'!V242*'Base Hours'!$AA242)*-1</f>
        <v>0</v>
      </c>
      <c r="AA242" s="206"/>
      <c r="AB242" s="206">
        <f>(BaseLoad!D241*'Base Hours'!V242*'Base Hours'!$AA242)*-1</f>
        <v>0</v>
      </c>
      <c r="AC242" s="206"/>
      <c r="AD242" s="206">
        <f>(BaseLoad!E241*'Base Hours'!V242*'Base Hours'!$AA242)*-1</f>
        <v>0</v>
      </c>
      <c r="AE242" s="206"/>
      <c r="AF242" s="206">
        <f>(BaseLoad!F241*'Base Hours'!V242*'Base Hours'!$AA242)*-1</f>
        <v>0</v>
      </c>
      <c r="AG242" s="206"/>
    </row>
    <row r="243" spans="1:33" x14ac:dyDescent="0.2">
      <c r="A243" s="1">
        <f t="shared" si="7"/>
        <v>43627.161000000298</v>
      </c>
      <c r="B243" s="177" t="str">
        <f>IF($A$1="Peak","-",'Base Hours'!B243*BaseLoad!H242*'Base Hours'!$AA243)</f>
        <v>-</v>
      </c>
      <c r="C243" s="177" t="str">
        <f>IF($A$1="Peak","-",'Base Hours'!C243*BaseLoad!I242*'Base Hours'!$AA243)</f>
        <v>-</v>
      </c>
      <c r="D243" s="177" t="str">
        <f>IF($A$1="Peak","-",'Base Hours'!D243*BaseLoad!J242*'Base Hours'!$AA243)</f>
        <v>-</v>
      </c>
      <c r="E243" s="177" t="str">
        <f>IF($A$1="Peak","-",'Base Hours'!E243*BaseLoad!K242*'Base Hours'!$AA243)</f>
        <v>-</v>
      </c>
      <c r="F243" s="177" t="str">
        <f>IF($A$1="Peak","-",'Base Hours'!F243*BaseLoad!L242*'Base Hours'!$AA243)</f>
        <v>-</v>
      </c>
      <c r="G243" s="177" t="str">
        <f>IF($A$1="Peak","-",'Base Hours'!G243*BaseLoad!M242*'Base Hours'!$AA243)</f>
        <v>-</v>
      </c>
      <c r="H243" s="177" t="str">
        <f>IF($A$1="Peak","-",'Base Hours'!H243*BaseLoad!N242*'Base Hours'!$AA243)</f>
        <v>-</v>
      </c>
      <c r="I243" s="177" t="str">
        <f>IF($A$1="Peak","-",'Base Hours'!I243*BaseLoad!O242*'Base Hours'!$AA243)</f>
        <v>-</v>
      </c>
      <c r="J243" s="177" t="str">
        <f>IF($A$1="Peak","-",'Base Hours'!J243*BaseLoad!P242*'Base Hours'!$AA243)</f>
        <v>-</v>
      </c>
      <c r="K243" s="177" t="str">
        <f>IF($A$1="Peak","-",'Base Hours'!K243*BaseLoad!Q242*'Base Hours'!$AA243)</f>
        <v>-</v>
      </c>
      <c r="L243" s="177" t="str">
        <f>IF($A$1="Peak","-",'Base Hours'!L243*BaseLoad!R242*'Base Hours'!$AA243)</f>
        <v>-</v>
      </c>
      <c r="M243" s="177" t="str">
        <f>IF($A$1="Peak","-",'Base Hours'!M243*BaseLoad!S242*'Base Hours'!$AA243)</f>
        <v>-</v>
      </c>
      <c r="N243" s="177" t="str">
        <f>IF($A$1="Peak","-",'Base Hours'!N243*BaseLoad!T242*'Base Hours'!$AA243)</f>
        <v>-</v>
      </c>
      <c r="O243" s="177" t="str">
        <f>IF($A$1="Peak","-",'Base Hours'!O243*BaseLoad!U242*'Base Hours'!$AA243)</f>
        <v>-</v>
      </c>
      <c r="P243" s="177" t="str">
        <f>IF($A$1="Peak","-",'Base Hours'!P243*BaseLoad!V242*'Base Hours'!$AA243)</f>
        <v>-</v>
      </c>
      <c r="Q243" s="177" t="str">
        <f>IF($A$1="Peak","-",'Base Hours'!Q243*BaseLoad!W242*'Base Hours'!$AA243)</f>
        <v>-</v>
      </c>
      <c r="R243" s="177" t="str">
        <f>IF($A$1="Peak","-",'Base Hours'!R243*BaseLoad!X242*'Base Hours'!$AA243)</f>
        <v>-</v>
      </c>
      <c r="S243" s="177" t="str">
        <f>IF($A$1="Peak","-",'Base Hours'!S243*BaseLoad!Y242*'Base Hours'!$AA243)</f>
        <v>-</v>
      </c>
      <c r="T243" s="177" t="str">
        <f>IF($A$1="Peak","-",'Base Hours'!T243*BaseLoad!Z242*'Base Hours'!$AA243)</f>
        <v>-</v>
      </c>
      <c r="U243" s="177" t="str">
        <f>IF($A$1="Peak","-",'Base Hours'!U243*BaseLoad!AA242*'Base Hours'!$AA243)</f>
        <v>-</v>
      </c>
      <c r="V243" s="177">
        <f t="shared" si="8"/>
        <v>0</v>
      </c>
      <c r="W243" s="177"/>
      <c r="X243" s="177"/>
      <c r="Y243" s="206"/>
      <c r="Z243" s="206">
        <f>(BaseLoad!C242*'Base Hours'!V243*'Base Hours'!$AA243)*-1</f>
        <v>0</v>
      </c>
      <c r="AA243" s="206"/>
      <c r="AB243" s="206">
        <f>(BaseLoad!D242*'Base Hours'!V243*'Base Hours'!$AA243)*-1</f>
        <v>0</v>
      </c>
      <c r="AC243" s="206"/>
      <c r="AD243" s="206">
        <f>(BaseLoad!E242*'Base Hours'!V243*'Base Hours'!$AA243)*-1</f>
        <v>0</v>
      </c>
      <c r="AE243" s="206"/>
      <c r="AF243" s="206">
        <f>(BaseLoad!F242*'Base Hours'!V243*'Base Hours'!$AA243)*-1</f>
        <v>0</v>
      </c>
      <c r="AG243" s="206"/>
    </row>
    <row r="244" spans="1:33" x14ac:dyDescent="0.2">
      <c r="A244" s="1">
        <f t="shared" si="7"/>
        <v>43657.5780000003</v>
      </c>
      <c r="B244" s="177" t="str">
        <f>IF($A$1="Peak","-",'Base Hours'!B244*BaseLoad!H243*'Base Hours'!$AA244)</f>
        <v>-</v>
      </c>
      <c r="C244" s="177" t="str">
        <f>IF($A$1="Peak","-",'Base Hours'!C244*BaseLoad!I243*'Base Hours'!$AA244)</f>
        <v>-</v>
      </c>
      <c r="D244" s="177" t="str">
        <f>IF($A$1="Peak","-",'Base Hours'!D244*BaseLoad!J243*'Base Hours'!$AA244)</f>
        <v>-</v>
      </c>
      <c r="E244" s="177" t="str">
        <f>IF($A$1="Peak","-",'Base Hours'!E244*BaseLoad!K243*'Base Hours'!$AA244)</f>
        <v>-</v>
      </c>
      <c r="F244" s="177" t="str">
        <f>IF($A$1="Peak","-",'Base Hours'!F244*BaseLoad!L243*'Base Hours'!$AA244)</f>
        <v>-</v>
      </c>
      <c r="G244" s="177" t="str">
        <f>IF($A$1="Peak","-",'Base Hours'!G244*BaseLoad!M243*'Base Hours'!$AA244)</f>
        <v>-</v>
      </c>
      <c r="H244" s="177" t="str">
        <f>IF($A$1="Peak","-",'Base Hours'!H244*BaseLoad!N243*'Base Hours'!$AA244)</f>
        <v>-</v>
      </c>
      <c r="I244" s="177" t="str">
        <f>IF($A$1="Peak","-",'Base Hours'!I244*BaseLoad!O243*'Base Hours'!$AA244)</f>
        <v>-</v>
      </c>
      <c r="J244" s="177" t="str">
        <f>IF($A$1="Peak","-",'Base Hours'!J244*BaseLoad!P243*'Base Hours'!$AA244)</f>
        <v>-</v>
      </c>
      <c r="K244" s="177" t="str">
        <f>IF($A$1="Peak","-",'Base Hours'!K244*BaseLoad!Q243*'Base Hours'!$AA244)</f>
        <v>-</v>
      </c>
      <c r="L244" s="177" t="str">
        <f>IF($A$1="Peak","-",'Base Hours'!L244*BaseLoad!R243*'Base Hours'!$AA244)</f>
        <v>-</v>
      </c>
      <c r="M244" s="177" t="str">
        <f>IF($A$1="Peak","-",'Base Hours'!M244*BaseLoad!S243*'Base Hours'!$AA244)</f>
        <v>-</v>
      </c>
      <c r="N244" s="177" t="str">
        <f>IF($A$1="Peak","-",'Base Hours'!N244*BaseLoad!T243*'Base Hours'!$AA244)</f>
        <v>-</v>
      </c>
      <c r="O244" s="177" t="str">
        <f>IF($A$1="Peak","-",'Base Hours'!O244*BaseLoad!U243*'Base Hours'!$AA244)</f>
        <v>-</v>
      </c>
      <c r="P244" s="177" t="str">
        <f>IF($A$1="Peak","-",'Base Hours'!P244*BaseLoad!V243*'Base Hours'!$AA244)</f>
        <v>-</v>
      </c>
      <c r="Q244" s="177" t="str">
        <f>IF($A$1="Peak","-",'Base Hours'!Q244*BaseLoad!W243*'Base Hours'!$AA244)</f>
        <v>-</v>
      </c>
      <c r="R244" s="177" t="str">
        <f>IF($A$1="Peak","-",'Base Hours'!R244*BaseLoad!X243*'Base Hours'!$AA244)</f>
        <v>-</v>
      </c>
      <c r="S244" s="177" t="str">
        <f>IF($A$1="Peak","-",'Base Hours'!S244*BaseLoad!Y243*'Base Hours'!$AA244)</f>
        <v>-</v>
      </c>
      <c r="T244" s="177" t="str">
        <f>IF($A$1="Peak","-",'Base Hours'!T244*BaseLoad!Z243*'Base Hours'!$AA244)</f>
        <v>-</v>
      </c>
      <c r="U244" s="177" t="str">
        <f>IF($A$1="Peak","-",'Base Hours'!U244*BaseLoad!AA243*'Base Hours'!$AA244)</f>
        <v>-</v>
      </c>
      <c r="V244" s="177">
        <f t="shared" si="8"/>
        <v>0</v>
      </c>
      <c r="W244" s="177"/>
      <c r="X244" s="177"/>
      <c r="Y244" s="206"/>
      <c r="Z244" s="206">
        <f>(BaseLoad!C243*'Base Hours'!V244*'Base Hours'!$AA244)*-1</f>
        <v>0</v>
      </c>
      <c r="AA244" s="206"/>
      <c r="AB244" s="206">
        <f>(BaseLoad!D243*'Base Hours'!V244*'Base Hours'!$AA244)*-1</f>
        <v>0</v>
      </c>
      <c r="AC244" s="206"/>
      <c r="AD244" s="206">
        <f>(BaseLoad!E243*'Base Hours'!V244*'Base Hours'!$AA244)*-1</f>
        <v>0</v>
      </c>
      <c r="AE244" s="206"/>
      <c r="AF244" s="206">
        <f>(BaseLoad!F243*'Base Hours'!V244*'Base Hours'!$AA244)*-1</f>
        <v>0</v>
      </c>
      <c r="AG244" s="206"/>
    </row>
    <row r="245" spans="1:33" x14ac:dyDescent="0.2">
      <c r="A245" s="1">
        <f t="shared" si="7"/>
        <v>43687.995000000301</v>
      </c>
      <c r="B245" s="177" t="str">
        <f>IF($A$1="Peak","-",'Base Hours'!B245*BaseLoad!H244*'Base Hours'!$AA245)</f>
        <v>-</v>
      </c>
      <c r="C245" s="177" t="str">
        <f>IF($A$1="Peak","-",'Base Hours'!C245*BaseLoad!I244*'Base Hours'!$AA245)</f>
        <v>-</v>
      </c>
      <c r="D245" s="177" t="str">
        <f>IF($A$1="Peak","-",'Base Hours'!D245*BaseLoad!J244*'Base Hours'!$AA245)</f>
        <v>-</v>
      </c>
      <c r="E245" s="177" t="str">
        <f>IF($A$1="Peak","-",'Base Hours'!E245*BaseLoad!K244*'Base Hours'!$AA245)</f>
        <v>-</v>
      </c>
      <c r="F245" s="177" t="str">
        <f>IF($A$1="Peak","-",'Base Hours'!F245*BaseLoad!L244*'Base Hours'!$AA245)</f>
        <v>-</v>
      </c>
      <c r="G245" s="177" t="str">
        <f>IF($A$1="Peak","-",'Base Hours'!G245*BaseLoad!M244*'Base Hours'!$AA245)</f>
        <v>-</v>
      </c>
      <c r="H245" s="177" t="str">
        <f>IF($A$1="Peak","-",'Base Hours'!H245*BaseLoad!N244*'Base Hours'!$AA245)</f>
        <v>-</v>
      </c>
      <c r="I245" s="177" t="str">
        <f>IF($A$1="Peak","-",'Base Hours'!I245*BaseLoad!O244*'Base Hours'!$AA245)</f>
        <v>-</v>
      </c>
      <c r="J245" s="177" t="str">
        <f>IF($A$1="Peak","-",'Base Hours'!J245*BaseLoad!P244*'Base Hours'!$AA245)</f>
        <v>-</v>
      </c>
      <c r="K245" s="177" t="str">
        <f>IF($A$1="Peak","-",'Base Hours'!K245*BaseLoad!Q244*'Base Hours'!$AA245)</f>
        <v>-</v>
      </c>
      <c r="L245" s="177" t="str">
        <f>IF($A$1="Peak","-",'Base Hours'!L245*BaseLoad!R244*'Base Hours'!$AA245)</f>
        <v>-</v>
      </c>
      <c r="M245" s="177" t="str">
        <f>IF($A$1="Peak","-",'Base Hours'!M245*BaseLoad!S244*'Base Hours'!$AA245)</f>
        <v>-</v>
      </c>
      <c r="N245" s="177" t="str">
        <f>IF($A$1="Peak","-",'Base Hours'!N245*BaseLoad!T244*'Base Hours'!$AA245)</f>
        <v>-</v>
      </c>
      <c r="O245" s="177" t="str">
        <f>IF($A$1="Peak","-",'Base Hours'!O245*BaseLoad!U244*'Base Hours'!$AA245)</f>
        <v>-</v>
      </c>
      <c r="P245" s="177" t="str">
        <f>IF($A$1="Peak","-",'Base Hours'!P245*BaseLoad!V244*'Base Hours'!$AA245)</f>
        <v>-</v>
      </c>
      <c r="Q245" s="177" t="str">
        <f>IF($A$1="Peak","-",'Base Hours'!Q245*BaseLoad!W244*'Base Hours'!$AA245)</f>
        <v>-</v>
      </c>
      <c r="R245" s="177" t="str">
        <f>IF($A$1="Peak","-",'Base Hours'!R245*BaseLoad!X244*'Base Hours'!$AA245)</f>
        <v>-</v>
      </c>
      <c r="S245" s="177" t="str">
        <f>IF($A$1="Peak","-",'Base Hours'!S245*BaseLoad!Y244*'Base Hours'!$AA245)</f>
        <v>-</v>
      </c>
      <c r="T245" s="177" t="str">
        <f>IF($A$1="Peak","-",'Base Hours'!T245*BaseLoad!Z244*'Base Hours'!$AA245)</f>
        <v>-</v>
      </c>
      <c r="U245" s="177" t="str">
        <f>IF($A$1="Peak","-",'Base Hours'!U245*BaseLoad!AA244*'Base Hours'!$AA245)</f>
        <v>-</v>
      </c>
      <c r="V245" s="177">
        <f t="shared" si="8"/>
        <v>0</v>
      </c>
      <c r="W245" s="177"/>
      <c r="X245" s="177"/>
      <c r="Y245" s="206"/>
      <c r="Z245" s="206">
        <f>(BaseLoad!C244*'Base Hours'!V245*'Base Hours'!$AA245)*-1</f>
        <v>0</v>
      </c>
      <c r="AA245" s="206"/>
      <c r="AB245" s="206">
        <f>(BaseLoad!D244*'Base Hours'!V245*'Base Hours'!$AA245)*-1</f>
        <v>0</v>
      </c>
      <c r="AC245" s="206"/>
      <c r="AD245" s="206">
        <f>(BaseLoad!E244*'Base Hours'!V245*'Base Hours'!$AA245)*-1</f>
        <v>0</v>
      </c>
      <c r="AE245" s="206"/>
      <c r="AF245" s="206">
        <f>(BaseLoad!F244*'Base Hours'!V245*'Base Hours'!$AA245)*-1</f>
        <v>0</v>
      </c>
      <c r="AG245" s="206"/>
    </row>
    <row r="246" spans="1:33" x14ac:dyDescent="0.2">
      <c r="A246" s="1">
        <f t="shared" si="7"/>
        <v>43718.412000000302</v>
      </c>
      <c r="B246" s="177" t="str">
        <f>IF($A$1="Peak","-",'Base Hours'!B246*BaseLoad!H245*'Base Hours'!$AA246)</f>
        <v>-</v>
      </c>
      <c r="C246" s="177" t="str">
        <f>IF($A$1="Peak","-",'Base Hours'!C246*BaseLoad!I245*'Base Hours'!$AA246)</f>
        <v>-</v>
      </c>
      <c r="D246" s="177" t="str">
        <f>IF($A$1="Peak","-",'Base Hours'!D246*BaseLoad!J245*'Base Hours'!$AA246)</f>
        <v>-</v>
      </c>
      <c r="E246" s="177" t="str">
        <f>IF($A$1="Peak","-",'Base Hours'!E246*BaseLoad!K245*'Base Hours'!$AA246)</f>
        <v>-</v>
      </c>
      <c r="F246" s="177" t="str">
        <f>IF($A$1="Peak","-",'Base Hours'!F246*BaseLoad!L245*'Base Hours'!$AA246)</f>
        <v>-</v>
      </c>
      <c r="G246" s="177" t="str">
        <f>IF($A$1="Peak","-",'Base Hours'!G246*BaseLoad!M245*'Base Hours'!$AA246)</f>
        <v>-</v>
      </c>
      <c r="H246" s="177" t="str">
        <f>IF($A$1="Peak","-",'Base Hours'!H246*BaseLoad!N245*'Base Hours'!$AA246)</f>
        <v>-</v>
      </c>
      <c r="I246" s="177" t="str">
        <f>IF($A$1="Peak","-",'Base Hours'!I246*BaseLoad!O245*'Base Hours'!$AA246)</f>
        <v>-</v>
      </c>
      <c r="J246" s="177" t="str">
        <f>IF($A$1="Peak","-",'Base Hours'!J246*BaseLoad!P245*'Base Hours'!$AA246)</f>
        <v>-</v>
      </c>
      <c r="K246" s="177" t="str">
        <f>IF($A$1="Peak","-",'Base Hours'!K246*BaseLoad!Q245*'Base Hours'!$AA246)</f>
        <v>-</v>
      </c>
      <c r="L246" s="177" t="str">
        <f>IF($A$1="Peak","-",'Base Hours'!L246*BaseLoad!R245*'Base Hours'!$AA246)</f>
        <v>-</v>
      </c>
      <c r="M246" s="177" t="str">
        <f>IF($A$1="Peak","-",'Base Hours'!M246*BaseLoad!S245*'Base Hours'!$AA246)</f>
        <v>-</v>
      </c>
      <c r="N246" s="177" t="str">
        <f>IF($A$1="Peak","-",'Base Hours'!N246*BaseLoad!T245*'Base Hours'!$AA246)</f>
        <v>-</v>
      </c>
      <c r="O246" s="177" t="str">
        <f>IF($A$1="Peak","-",'Base Hours'!O246*BaseLoad!U245*'Base Hours'!$AA246)</f>
        <v>-</v>
      </c>
      <c r="P246" s="177" t="str">
        <f>IF($A$1="Peak","-",'Base Hours'!P246*BaseLoad!V245*'Base Hours'!$AA246)</f>
        <v>-</v>
      </c>
      <c r="Q246" s="177" t="str">
        <f>IF($A$1="Peak","-",'Base Hours'!Q246*BaseLoad!W245*'Base Hours'!$AA246)</f>
        <v>-</v>
      </c>
      <c r="R246" s="177" t="str">
        <f>IF($A$1="Peak","-",'Base Hours'!R246*BaseLoad!X245*'Base Hours'!$AA246)</f>
        <v>-</v>
      </c>
      <c r="S246" s="177" t="str">
        <f>IF($A$1="Peak","-",'Base Hours'!S246*BaseLoad!Y245*'Base Hours'!$AA246)</f>
        <v>-</v>
      </c>
      <c r="T246" s="177" t="str">
        <f>IF($A$1="Peak","-",'Base Hours'!T246*BaseLoad!Z245*'Base Hours'!$AA246)</f>
        <v>-</v>
      </c>
      <c r="U246" s="177" t="str">
        <f>IF($A$1="Peak","-",'Base Hours'!U246*BaseLoad!AA245*'Base Hours'!$AA246)</f>
        <v>-</v>
      </c>
      <c r="V246" s="177">
        <f t="shared" si="8"/>
        <v>0</v>
      </c>
      <c r="W246" s="177"/>
      <c r="X246" s="177"/>
      <c r="Y246" s="206"/>
      <c r="Z246" s="206">
        <f>(BaseLoad!C245*'Base Hours'!V246*'Base Hours'!$AA246)*-1</f>
        <v>0</v>
      </c>
      <c r="AA246" s="206"/>
      <c r="AB246" s="206">
        <f>(BaseLoad!D245*'Base Hours'!V246*'Base Hours'!$AA246)*-1</f>
        <v>0</v>
      </c>
      <c r="AC246" s="206"/>
      <c r="AD246" s="206">
        <f>(BaseLoad!E245*'Base Hours'!V246*'Base Hours'!$AA246)*-1</f>
        <v>0</v>
      </c>
      <c r="AE246" s="206"/>
      <c r="AF246" s="206">
        <f>(BaseLoad!F245*'Base Hours'!V246*'Base Hours'!$AA246)*-1</f>
        <v>0</v>
      </c>
      <c r="AG246" s="206"/>
    </row>
    <row r="247" spans="1:33" x14ac:dyDescent="0.2">
      <c r="A247" s="1">
        <f t="shared" si="7"/>
        <v>43748.829000000303</v>
      </c>
      <c r="B247" s="177" t="str">
        <f>IF($A$1="Peak","-",'Base Hours'!B247*BaseLoad!H246*'Base Hours'!$AA247)</f>
        <v>-</v>
      </c>
      <c r="C247" s="177" t="str">
        <f>IF($A$1="Peak","-",'Base Hours'!C247*BaseLoad!I246*'Base Hours'!$AA247)</f>
        <v>-</v>
      </c>
      <c r="D247" s="177" t="str">
        <f>IF($A$1="Peak","-",'Base Hours'!D247*BaseLoad!J246*'Base Hours'!$AA247)</f>
        <v>-</v>
      </c>
      <c r="E247" s="177" t="str">
        <f>IF($A$1="Peak","-",'Base Hours'!E247*BaseLoad!K246*'Base Hours'!$AA247)</f>
        <v>-</v>
      </c>
      <c r="F247" s="177" t="str">
        <f>IF($A$1="Peak","-",'Base Hours'!F247*BaseLoad!L246*'Base Hours'!$AA247)</f>
        <v>-</v>
      </c>
      <c r="G247" s="177" t="str">
        <f>IF($A$1="Peak","-",'Base Hours'!G247*BaseLoad!M246*'Base Hours'!$AA247)</f>
        <v>-</v>
      </c>
      <c r="H247" s="177" t="str">
        <f>IF($A$1="Peak","-",'Base Hours'!H247*BaseLoad!N246*'Base Hours'!$AA247)</f>
        <v>-</v>
      </c>
      <c r="I247" s="177" t="str">
        <f>IF($A$1="Peak","-",'Base Hours'!I247*BaseLoad!O246*'Base Hours'!$AA247)</f>
        <v>-</v>
      </c>
      <c r="J247" s="177" t="str">
        <f>IF($A$1="Peak","-",'Base Hours'!J247*BaseLoad!P246*'Base Hours'!$AA247)</f>
        <v>-</v>
      </c>
      <c r="K247" s="177" t="str">
        <f>IF($A$1="Peak","-",'Base Hours'!K247*BaseLoad!Q246*'Base Hours'!$AA247)</f>
        <v>-</v>
      </c>
      <c r="L247" s="177" t="str">
        <f>IF($A$1="Peak","-",'Base Hours'!L247*BaseLoad!R246*'Base Hours'!$AA247)</f>
        <v>-</v>
      </c>
      <c r="M247" s="177" t="str">
        <f>IF($A$1="Peak","-",'Base Hours'!M247*BaseLoad!S246*'Base Hours'!$AA247)</f>
        <v>-</v>
      </c>
      <c r="N247" s="177" t="str">
        <f>IF($A$1="Peak","-",'Base Hours'!N247*BaseLoad!T246*'Base Hours'!$AA247)</f>
        <v>-</v>
      </c>
      <c r="O247" s="177" t="str">
        <f>IF($A$1="Peak","-",'Base Hours'!O247*BaseLoad!U246*'Base Hours'!$AA247)</f>
        <v>-</v>
      </c>
      <c r="P247" s="177" t="str">
        <f>IF($A$1="Peak","-",'Base Hours'!P247*BaseLoad!V246*'Base Hours'!$AA247)</f>
        <v>-</v>
      </c>
      <c r="Q247" s="177" t="str">
        <f>IF($A$1="Peak","-",'Base Hours'!Q247*BaseLoad!W246*'Base Hours'!$AA247)</f>
        <v>-</v>
      </c>
      <c r="R247" s="177" t="str">
        <f>IF($A$1="Peak","-",'Base Hours'!R247*BaseLoad!X246*'Base Hours'!$AA247)</f>
        <v>-</v>
      </c>
      <c r="S247" s="177" t="str">
        <f>IF($A$1="Peak","-",'Base Hours'!S247*BaseLoad!Y246*'Base Hours'!$AA247)</f>
        <v>-</v>
      </c>
      <c r="T247" s="177" t="str">
        <f>IF($A$1="Peak","-",'Base Hours'!T247*BaseLoad!Z246*'Base Hours'!$AA247)</f>
        <v>-</v>
      </c>
      <c r="U247" s="177" t="str">
        <f>IF($A$1="Peak","-",'Base Hours'!U247*BaseLoad!AA246*'Base Hours'!$AA247)</f>
        <v>-</v>
      </c>
      <c r="V247" s="177">
        <f t="shared" si="8"/>
        <v>0</v>
      </c>
      <c r="W247" s="177"/>
      <c r="X247" s="177"/>
      <c r="Y247" s="206"/>
      <c r="Z247" s="206">
        <f>(BaseLoad!C246*'Base Hours'!V247*'Base Hours'!$AA247)*-1</f>
        <v>0</v>
      </c>
      <c r="AA247" s="206"/>
      <c r="AB247" s="206">
        <f>(BaseLoad!D246*'Base Hours'!V247*'Base Hours'!$AA247)*-1</f>
        <v>0</v>
      </c>
      <c r="AC247" s="206"/>
      <c r="AD247" s="206">
        <f>(BaseLoad!E246*'Base Hours'!V247*'Base Hours'!$AA247)*-1</f>
        <v>0</v>
      </c>
      <c r="AE247" s="206"/>
      <c r="AF247" s="206">
        <f>(BaseLoad!F246*'Base Hours'!V247*'Base Hours'!$AA247)*-1</f>
        <v>0</v>
      </c>
      <c r="AG247" s="206"/>
    </row>
    <row r="248" spans="1:33" x14ac:dyDescent="0.2">
      <c r="A248" s="1">
        <f t="shared" si="7"/>
        <v>43779.246000000305</v>
      </c>
      <c r="B248" s="177" t="str">
        <f>IF($A$1="Peak","-",'Base Hours'!B248*BaseLoad!H247*'Base Hours'!$AA248)</f>
        <v>-</v>
      </c>
      <c r="C248" s="177" t="str">
        <f>IF($A$1="Peak","-",'Base Hours'!C248*BaseLoad!I247*'Base Hours'!$AA248)</f>
        <v>-</v>
      </c>
      <c r="D248" s="177" t="str">
        <f>IF($A$1="Peak","-",'Base Hours'!D248*BaseLoad!J247*'Base Hours'!$AA248)</f>
        <v>-</v>
      </c>
      <c r="E248" s="177" t="str">
        <f>IF($A$1="Peak","-",'Base Hours'!E248*BaseLoad!K247*'Base Hours'!$AA248)</f>
        <v>-</v>
      </c>
      <c r="F248" s="177" t="str">
        <f>IF($A$1="Peak","-",'Base Hours'!F248*BaseLoad!L247*'Base Hours'!$AA248)</f>
        <v>-</v>
      </c>
      <c r="G248" s="177" t="str">
        <f>IF($A$1="Peak","-",'Base Hours'!G248*BaseLoad!M247*'Base Hours'!$AA248)</f>
        <v>-</v>
      </c>
      <c r="H248" s="177" t="str">
        <f>IF($A$1="Peak","-",'Base Hours'!H248*BaseLoad!N247*'Base Hours'!$AA248)</f>
        <v>-</v>
      </c>
      <c r="I248" s="177" t="str">
        <f>IF($A$1="Peak","-",'Base Hours'!I248*BaseLoad!O247*'Base Hours'!$AA248)</f>
        <v>-</v>
      </c>
      <c r="J248" s="177" t="str">
        <f>IF($A$1="Peak","-",'Base Hours'!J248*BaseLoad!P247*'Base Hours'!$AA248)</f>
        <v>-</v>
      </c>
      <c r="K248" s="177" t="str">
        <f>IF($A$1="Peak","-",'Base Hours'!K248*BaseLoad!Q247*'Base Hours'!$AA248)</f>
        <v>-</v>
      </c>
      <c r="L248" s="177" t="str">
        <f>IF($A$1="Peak","-",'Base Hours'!L248*BaseLoad!R247*'Base Hours'!$AA248)</f>
        <v>-</v>
      </c>
      <c r="M248" s="177" t="str">
        <f>IF($A$1="Peak","-",'Base Hours'!M248*BaseLoad!S247*'Base Hours'!$AA248)</f>
        <v>-</v>
      </c>
      <c r="N248" s="177" t="str">
        <f>IF($A$1="Peak","-",'Base Hours'!N248*BaseLoad!T247*'Base Hours'!$AA248)</f>
        <v>-</v>
      </c>
      <c r="O248" s="177" t="str">
        <f>IF($A$1="Peak","-",'Base Hours'!O248*BaseLoad!U247*'Base Hours'!$AA248)</f>
        <v>-</v>
      </c>
      <c r="P248" s="177" t="str">
        <f>IF($A$1="Peak","-",'Base Hours'!P248*BaseLoad!V247*'Base Hours'!$AA248)</f>
        <v>-</v>
      </c>
      <c r="Q248" s="177" t="str">
        <f>IF($A$1="Peak","-",'Base Hours'!Q248*BaseLoad!W247*'Base Hours'!$AA248)</f>
        <v>-</v>
      </c>
      <c r="R248" s="177" t="str">
        <f>IF($A$1="Peak","-",'Base Hours'!R248*BaseLoad!X247*'Base Hours'!$AA248)</f>
        <v>-</v>
      </c>
      <c r="S248" s="177" t="str">
        <f>IF($A$1="Peak","-",'Base Hours'!S248*BaseLoad!Y247*'Base Hours'!$AA248)</f>
        <v>-</v>
      </c>
      <c r="T248" s="177" t="str">
        <f>IF($A$1="Peak","-",'Base Hours'!T248*BaseLoad!Z247*'Base Hours'!$AA248)</f>
        <v>-</v>
      </c>
      <c r="U248" s="177" t="str">
        <f>IF($A$1="Peak","-",'Base Hours'!U248*BaseLoad!AA247*'Base Hours'!$AA248)</f>
        <v>-</v>
      </c>
      <c r="V248" s="177">
        <f t="shared" si="8"/>
        <v>0</v>
      </c>
      <c r="W248" s="177"/>
      <c r="X248" s="177"/>
      <c r="Y248" s="206"/>
      <c r="Z248" s="206">
        <f>(BaseLoad!C247*'Base Hours'!V248*'Base Hours'!$AA248)*-1</f>
        <v>0</v>
      </c>
      <c r="AA248" s="206"/>
      <c r="AB248" s="206">
        <f>(BaseLoad!D247*'Base Hours'!V248*'Base Hours'!$AA248)*-1</f>
        <v>0</v>
      </c>
      <c r="AC248" s="206"/>
      <c r="AD248" s="206">
        <f>(BaseLoad!E247*'Base Hours'!V248*'Base Hours'!$AA248)*-1</f>
        <v>0</v>
      </c>
      <c r="AE248" s="206"/>
      <c r="AF248" s="206">
        <f>(BaseLoad!F247*'Base Hours'!V248*'Base Hours'!$AA248)*-1</f>
        <v>0</v>
      </c>
      <c r="AG248" s="206"/>
    </row>
    <row r="249" spans="1:33" x14ac:dyDescent="0.2">
      <c r="A249" s="1">
        <f t="shared" si="7"/>
        <v>43809.663000000306</v>
      </c>
      <c r="B249" s="177" t="str">
        <f>IF($A$1="Peak","-",'Base Hours'!B249*BaseLoad!H248*'Base Hours'!$AA249)</f>
        <v>-</v>
      </c>
      <c r="C249" s="177" t="str">
        <f>IF($A$1="Peak","-",'Base Hours'!C249*BaseLoad!I248*'Base Hours'!$AA249)</f>
        <v>-</v>
      </c>
      <c r="D249" s="177" t="str">
        <f>IF($A$1="Peak","-",'Base Hours'!D249*BaseLoad!J248*'Base Hours'!$AA249)</f>
        <v>-</v>
      </c>
      <c r="E249" s="177" t="str">
        <f>IF($A$1="Peak","-",'Base Hours'!E249*BaseLoad!K248*'Base Hours'!$AA249)</f>
        <v>-</v>
      </c>
      <c r="F249" s="177" t="str">
        <f>IF($A$1="Peak","-",'Base Hours'!F249*BaseLoad!L248*'Base Hours'!$AA249)</f>
        <v>-</v>
      </c>
      <c r="G249" s="177" t="str">
        <f>IF($A$1="Peak","-",'Base Hours'!G249*BaseLoad!M248*'Base Hours'!$AA249)</f>
        <v>-</v>
      </c>
      <c r="H249" s="177" t="str">
        <f>IF($A$1="Peak","-",'Base Hours'!H249*BaseLoad!N248*'Base Hours'!$AA249)</f>
        <v>-</v>
      </c>
      <c r="I249" s="177" t="str">
        <f>IF($A$1="Peak","-",'Base Hours'!I249*BaseLoad!O248*'Base Hours'!$AA249)</f>
        <v>-</v>
      </c>
      <c r="J249" s="177" t="str">
        <f>IF($A$1="Peak","-",'Base Hours'!J249*BaseLoad!P248*'Base Hours'!$AA249)</f>
        <v>-</v>
      </c>
      <c r="K249" s="177" t="str">
        <f>IF($A$1="Peak","-",'Base Hours'!K249*BaseLoad!Q248*'Base Hours'!$AA249)</f>
        <v>-</v>
      </c>
      <c r="L249" s="177" t="str">
        <f>IF($A$1="Peak","-",'Base Hours'!L249*BaseLoad!R248*'Base Hours'!$AA249)</f>
        <v>-</v>
      </c>
      <c r="M249" s="177" t="str">
        <f>IF($A$1="Peak","-",'Base Hours'!M249*BaseLoad!S248*'Base Hours'!$AA249)</f>
        <v>-</v>
      </c>
      <c r="N249" s="177" t="str">
        <f>IF($A$1="Peak","-",'Base Hours'!N249*BaseLoad!T248*'Base Hours'!$AA249)</f>
        <v>-</v>
      </c>
      <c r="O249" s="177" t="str">
        <f>IF($A$1="Peak","-",'Base Hours'!O249*BaseLoad!U248*'Base Hours'!$AA249)</f>
        <v>-</v>
      </c>
      <c r="P249" s="177" t="str">
        <f>IF($A$1="Peak","-",'Base Hours'!P249*BaseLoad!V248*'Base Hours'!$AA249)</f>
        <v>-</v>
      </c>
      <c r="Q249" s="177" t="str">
        <f>IF($A$1="Peak","-",'Base Hours'!Q249*BaseLoad!W248*'Base Hours'!$AA249)</f>
        <v>-</v>
      </c>
      <c r="R249" s="177" t="str">
        <f>IF($A$1="Peak","-",'Base Hours'!R249*BaseLoad!X248*'Base Hours'!$AA249)</f>
        <v>-</v>
      </c>
      <c r="S249" s="177" t="str">
        <f>IF($A$1="Peak","-",'Base Hours'!S249*BaseLoad!Y248*'Base Hours'!$AA249)</f>
        <v>-</v>
      </c>
      <c r="T249" s="177" t="str">
        <f>IF($A$1="Peak","-",'Base Hours'!T249*BaseLoad!Z248*'Base Hours'!$AA249)</f>
        <v>-</v>
      </c>
      <c r="U249" s="177" t="str">
        <f>IF($A$1="Peak","-",'Base Hours'!U249*BaseLoad!AA248*'Base Hours'!$AA249)</f>
        <v>-</v>
      </c>
      <c r="V249" s="177">
        <f t="shared" si="8"/>
        <v>0</v>
      </c>
      <c r="W249" s="177"/>
      <c r="X249" s="177"/>
      <c r="Y249" s="206">
        <f>SUM(B238:U249)</f>
        <v>0</v>
      </c>
      <c r="Z249" s="206">
        <f>(BaseLoad!C248*'Base Hours'!V249*'Base Hours'!$AA249)*-1</f>
        <v>0</v>
      </c>
      <c r="AA249" s="206">
        <f>SUM(Z238:Z249)</f>
        <v>0</v>
      </c>
      <c r="AB249" s="206">
        <f>(BaseLoad!D248*'Base Hours'!V249*'Base Hours'!$AA249)*-1</f>
        <v>0</v>
      </c>
      <c r="AC249" s="206">
        <f>SUM(AB238:AB249)</f>
        <v>0</v>
      </c>
      <c r="AD249" s="206">
        <f>(BaseLoad!E248*'Base Hours'!V249*'Base Hours'!$AA249)*-1</f>
        <v>0</v>
      </c>
      <c r="AE249" s="206">
        <f>SUM(AD238:AD249)</f>
        <v>0</v>
      </c>
      <c r="AF249" s="206">
        <f>(BaseLoad!F248*'Base Hours'!V249*'Base Hours'!$AA249)*-1</f>
        <v>0</v>
      </c>
      <c r="AG249" s="206">
        <f>SUM(AF238:AF249)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2269"/>
  <sheetViews>
    <sheetView workbookViewId="0">
      <selection activeCell="A2178" sqref="A2178:W2236"/>
    </sheetView>
  </sheetViews>
  <sheetFormatPr defaultRowHeight="12.75" x14ac:dyDescent="0.2"/>
  <cols>
    <col min="1" max="1" width="28" style="24" bestFit="1" customWidth="1"/>
    <col min="2" max="2" width="27.5703125" style="24" bestFit="1" customWidth="1"/>
    <col min="3" max="3" width="19.7109375" style="24" bestFit="1" customWidth="1"/>
    <col min="4" max="4" width="17.85546875" style="24" bestFit="1" customWidth="1"/>
    <col min="5" max="5" width="17.7109375" style="24" bestFit="1" customWidth="1"/>
    <col min="6" max="6" width="18" style="24" bestFit="1" customWidth="1"/>
    <col min="7" max="7" width="19.85546875" style="24" bestFit="1" customWidth="1"/>
    <col min="8" max="8" width="18.140625" style="24" bestFit="1" customWidth="1"/>
    <col min="9" max="9" width="17.28515625" style="24" bestFit="1" customWidth="1"/>
    <col min="10" max="10" width="16" style="24" customWidth="1"/>
    <col min="11" max="11" width="17.42578125" style="24" bestFit="1" customWidth="1"/>
    <col min="12" max="12" width="17.85546875" style="24" bestFit="1" customWidth="1"/>
    <col min="13" max="13" width="18" style="24" bestFit="1" customWidth="1"/>
    <col min="14" max="14" width="17.85546875" style="24" bestFit="1" customWidth="1"/>
    <col min="15" max="15" width="16" style="24" customWidth="1"/>
    <col min="16" max="16" width="18" style="24" bestFit="1" customWidth="1"/>
    <col min="17" max="17" width="17.7109375" style="24" bestFit="1" customWidth="1"/>
    <col min="18" max="18" width="17.42578125" style="24" bestFit="1" customWidth="1"/>
    <col min="19" max="19" width="18.28515625" style="24" bestFit="1" customWidth="1"/>
    <col min="20" max="20" width="17.140625" style="24" bestFit="1" customWidth="1"/>
    <col min="21" max="21" width="17.42578125" style="24" bestFit="1" customWidth="1"/>
    <col min="22" max="22" width="13.28515625" style="24" bestFit="1" customWidth="1"/>
    <col min="23" max="23" width="4" style="24" customWidth="1"/>
    <col min="24" max="16384" width="9.140625" style="24"/>
  </cols>
  <sheetData>
    <row r="1" spans="1:23" s="9" customFormat="1" x14ac:dyDescent="0.2">
      <c r="A1" s="302"/>
      <c r="B1" s="303"/>
      <c r="C1" s="304"/>
      <c r="F1" s="475" t="s">
        <v>138</v>
      </c>
      <c r="G1" s="475"/>
      <c r="H1" s="475"/>
      <c r="I1" s="475"/>
    </row>
    <row r="2" spans="1:23" s="9" customFormat="1" x14ac:dyDescent="0.2">
      <c r="A2" s="259" t="s">
        <v>26</v>
      </c>
      <c r="B2" s="375">
        <f>Summary!C51</f>
        <v>5831.8480000000018</v>
      </c>
      <c r="C2" s="357"/>
      <c r="D2" s="261"/>
    </row>
    <row r="3" spans="1:23" s="9" customFormat="1" x14ac:dyDescent="0.2">
      <c r="A3" s="259" t="s">
        <v>99</v>
      </c>
      <c r="B3" s="376">
        <f>Assumptions!L16</f>
        <v>0.1</v>
      </c>
      <c r="C3" s="261"/>
      <c r="D3" s="261"/>
    </row>
    <row r="4" spans="1:23" s="9" customFormat="1" x14ac:dyDescent="0.2">
      <c r="A4" s="302"/>
      <c r="B4" s="303"/>
    </row>
    <row r="5" spans="1:23" s="9" customFormat="1" x14ac:dyDescent="0.2">
      <c r="B5" s="69"/>
    </row>
    <row r="6" spans="1:23" s="9" customFormat="1" ht="15.75" x14ac:dyDescent="0.25">
      <c r="A6" s="302" t="s">
        <v>29</v>
      </c>
      <c r="B6" s="305" t="s">
        <v>182</v>
      </c>
      <c r="C6" s="306">
        <v>2000</v>
      </c>
      <c r="D6" s="306">
        <v>2001</v>
      </c>
      <c r="E6" s="306">
        <v>2002</v>
      </c>
      <c r="F6" s="306">
        <v>2003</v>
      </c>
      <c r="G6" s="306">
        <v>2004</v>
      </c>
      <c r="H6" s="306">
        <v>2005</v>
      </c>
      <c r="I6" s="306">
        <v>2006</v>
      </c>
      <c r="J6" s="306">
        <v>2007</v>
      </c>
      <c r="K6" s="306">
        <v>2008</v>
      </c>
      <c r="L6" s="306">
        <v>2009</v>
      </c>
      <c r="M6" s="306">
        <v>2010</v>
      </c>
      <c r="N6" s="306">
        <v>2011</v>
      </c>
      <c r="O6" s="306">
        <v>2012</v>
      </c>
      <c r="P6" s="306">
        <v>2013</v>
      </c>
      <c r="Q6" s="306">
        <v>2014</v>
      </c>
      <c r="R6" s="306">
        <v>2015</v>
      </c>
      <c r="S6" s="306">
        <v>2016</v>
      </c>
      <c r="T6" s="306">
        <v>2017</v>
      </c>
      <c r="U6" s="306">
        <v>2018</v>
      </c>
      <c r="V6" s="306">
        <v>2019</v>
      </c>
      <c r="W6" s="306" t="s">
        <v>154</v>
      </c>
    </row>
    <row r="7" spans="1:23" s="9" customFormat="1" x14ac:dyDescent="0.2">
      <c r="A7" s="402">
        <f>Summary!F4</f>
        <v>0</v>
      </c>
      <c r="B7" s="307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</row>
    <row r="8" spans="1:23" s="327" customFormat="1" x14ac:dyDescent="0.2">
      <c r="A8" s="9"/>
      <c r="B8" s="403" t="s">
        <v>27</v>
      </c>
      <c r="C8" s="438">
        <v>0</v>
      </c>
      <c r="D8" s="404">
        <f>+D68+D134+D200+D266+D332+D398+D464+D530+D596+D662+D728+D794+D860+D926+D992+D1058+D1124+D1190+D1256+D1322+D1388+D1454+D1520+D1586+D1652+D1718+D1784+D1850+D1916+D1982+D2048+D2114+D2180</f>
        <v>1414573071.6836801</v>
      </c>
      <c r="E8" s="404">
        <f t="shared" ref="E8:V12" si="0">+E68+E134+E200+E266+E332+E398+E464+E530+E596+E662+E728+E794+E860+E926+E992+E1058+E1124+E1190+E1256+E1322+E1388+E1454+E1520+E1586+E1652+E1718+E1784+E1850+E1916+E1982+E2048+E2114+E2180</f>
        <v>1382436595.1179931</v>
      </c>
      <c r="F8" s="404">
        <f t="shared" si="0"/>
        <v>1409061440.9646938</v>
      </c>
      <c r="G8" s="404">
        <f t="shared" si="0"/>
        <v>1363624808.1771281</v>
      </c>
      <c r="H8" s="404">
        <f t="shared" si="0"/>
        <v>1380904364.7602797</v>
      </c>
      <c r="I8" s="404">
        <f t="shared" si="0"/>
        <v>1478541372.7535954</v>
      </c>
      <c r="J8" s="404">
        <f t="shared" si="0"/>
        <v>1592114015.0531437</v>
      </c>
      <c r="K8" s="404">
        <f t="shared" si="0"/>
        <v>1674572544.6117041</v>
      </c>
      <c r="L8" s="404">
        <f t="shared" si="0"/>
        <v>1706433849.6560583</v>
      </c>
      <c r="M8" s="404">
        <f t="shared" si="0"/>
        <v>1691102725.2123194</v>
      </c>
      <c r="N8" s="404">
        <f t="shared" si="0"/>
        <v>1728369331.0826836</v>
      </c>
      <c r="O8" s="404">
        <f t="shared" si="0"/>
        <v>1739991208.8627634</v>
      </c>
      <c r="P8" s="404">
        <f t="shared" si="0"/>
        <v>1752961669.5101495</v>
      </c>
      <c r="Q8" s="404">
        <f t="shared" si="0"/>
        <v>1837949667.3797607</v>
      </c>
      <c r="R8" s="404">
        <f t="shared" si="0"/>
        <v>1954760355.7654464</v>
      </c>
      <c r="S8" s="404">
        <f t="shared" si="0"/>
        <v>1913137512.8532109</v>
      </c>
      <c r="T8" s="404">
        <f t="shared" si="0"/>
        <v>1929699580.8481364</v>
      </c>
      <c r="U8" s="404">
        <f t="shared" si="0"/>
        <v>2028524965.9352164</v>
      </c>
      <c r="V8" s="404">
        <f t="shared" si="0"/>
        <v>2112047000.4714937</v>
      </c>
    </row>
    <row r="9" spans="1:23" s="327" customFormat="1" x14ac:dyDescent="0.2">
      <c r="A9" s="9"/>
      <c r="B9" s="403" t="s">
        <v>20</v>
      </c>
      <c r="C9" s="438">
        <v>0</v>
      </c>
      <c r="D9" s="404">
        <f>+D69+D135+D201+D267+D333+D399+D465+D531+D597+D663+D729+D795+D861+D927+D993+D1059+D1125+D1191+D1257+D1323+D1389+D1455+D1521+D1587+D1653+D1719+D1785+D1851+D1917+D1983+D2049+D2115+D2181</f>
        <v>-426786816.51168859</v>
      </c>
      <c r="E9" s="404">
        <f t="shared" ref="E9:S9" si="1">+E69+E135+E201+E267+E333+E399+E465+E531+E597+E663+E729+E795+E861+E927+E993+E1059+E1125+E1191+E1257+E1323+E1389+E1455+E1521+E1587+E1653+E1719+E1785+E1851+E1917+E1983+E2049+E2115+E2181</f>
        <v>-439410570.01131266</v>
      </c>
      <c r="F9" s="404">
        <f t="shared" si="1"/>
        <v>-454120006.27330738</v>
      </c>
      <c r="G9" s="404">
        <f t="shared" si="1"/>
        <v>-449055559.79379725</v>
      </c>
      <c r="H9" s="404">
        <f t="shared" si="1"/>
        <v>-467559884.56198072</v>
      </c>
      <c r="I9" s="404">
        <f t="shared" si="1"/>
        <v>-500096943.63382232</v>
      </c>
      <c r="J9" s="404">
        <f t="shared" si="1"/>
        <v>-521958050.97086513</v>
      </c>
      <c r="K9" s="404">
        <f t="shared" si="1"/>
        <v>-554642113.87917924</v>
      </c>
      <c r="L9" s="404">
        <f t="shared" si="1"/>
        <v>-565598497.7791431</v>
      </c>
      <c r="M9" s="404">
        <f t="shared" si="1"/>
        <v>-551038603.66279233</v>
      </c>
      <c r="N9" s="404">
        <f t="shared" si="1"/>
        <v>-575654224.02953219</v>
      </c>
      <c r="O9" s="404">
        <f t="shared" si="1"/>
        <v>-574024953.75922441</v>
      </c>
      <c r="P9" s="404">
        <f t="shared" si="1"/>
        <v>-580119527.96384633</v>
      </c>
      <c r="Q9" s="404">
        <f t="shared" si="1"/>
        <v>-604242693.08005893</v>
      </c>
      <c r="R9" s="404">
        <f t="shared" si="1"/>
        <v>-625412685.64821565</v>
      </c>
      <c r="S9" s="404">
        <f t="shared" si="1"/>
        <v>-618385553.45926857</v>
      </c>
      <c r="T9" s="404">
        <f t="shared" si="0"/>
        <v>-617947521.3176024</v>
      </c>
      <c r="U9" s="404">
        <f t="shared" si="0"/>
        <v>-634374041.97463584</v>
      </c>
      <c r="V9" s="404">
        <f t="shared" si="0"/>
        <v>-677144396.6885643</v>
      </c>
    </row>
    <row r="10" spans="1:23" s="327" customFormat="1" x14ac:dyDescent="0.2">
      <c r="A10" s="9"/>
      <c r="B10" s="403" t="s">
        <v>31</v>
      </c>
      <c r="C10" s="438">
        <v>0</v>
      </c>
      <c r="D10" s="404">
        <f>+D70+D136+D202+D268+D334+D400+D466+D532+D598+D664+D730+D796+D862+D928+D994+D1060+D1126+D1192+D1258+D1324+D1390+D1456+D1522+D1588+D1654+D1720+D1786+D1852+D1918+D1984+D2050+D2116+D2182</f>
        <v>-32623223.884720042</v>
      </c>
      <c r="E10" s="404">
        <f t="shared" si="0"/>
        <v>-33641589.288685344</v>
      </c>
      <c r="F10" s="404">
        <f t="shared" si="0"/>
        <v>-45941004.101375297</v>
      </c>
      <c r="G10" s="404">
        <f t="shared" si="0"/>
        <v>-46697545.505503498</v>
      </c>
      <c r="H10" s="404">
        <f t="shared" si="0"/>
        <v>-47887191.09093637</v>
      </c>
      <c r="I10" s="404">
        <f t="shared" si="0"/>
        <v>-49170207.780154467</v>
      </c>
      <c r="J10" s="404">
        <f t="shared" si="0"/>
        <v>-50368333.427569784</v>
      </c>
      <c r="K10" s="404">
        <f t="shared" si="0"/>
        <v>-52383164.963665277</v>
      </c>
      <c r="L10" s="404">
        <f t="shared" si="0"/>
        <v>-53467897.93603415</v>
      </c>
      <c r="M10" s="404">
        <f t="shared" si="0"/>
        <v>-53930417.023698129</v>
      </c>
      <c r="N10" s="404">
        <f t="shared" si="0"/>
        <v>-55446030.524972498</v>
      </c>
      <c r="O10" s="404">
        <f t="shared" si="0"/>
        <v>-56398176.557116754</v>
      </c>
      <c r="P10" s="404">
        <f t="shared" si="0"/>
        <v>-57327381.82715895</v>
      </c>
      <c r="Q10" s="404">
        <f t="shared" si="0"/>
        <v>-59004898.04319492</v>
      </c>
      <c r="R10" s="404">
        <f t="shared" si="0"/>
        <v>-60270076.079214402</v>
      </c>
      <c r="S10" s="404">
        <f t="shared" si="0"/>
        <v>-60977053.158418588</v>
      </c>
      <c r="T10" s="404">
        <f t="shared" si="0"/>
        <v>-61958978.319450326</v>
      </c>
      <c r="U10" s="404">
        <f t="shared" si="0"/>
        <v>-63401455.104894742</v>
      </c>
      <c r="V10" s="404">
        <f t="shared" si="0"/>
        <v>-65664045.944152497</v>
      </c>
    </row>
    <row r="11" spans="1:23" s="327" customFormat="1" x14ac:dyDescent="0.2">
      <c r="A11" s="9"/>
      <c r="B11" s="403" t="s">
        <v>32</v>
      </c>
      <c r="C11" s="438">
        <v>0</v>
      </c>
      <c r="D11" s="404">
        <f>+D71+D137+D203+D269+D335+D401+D467+D533+D599+D665+D731+D797+D863+D929+D995+D1061+D1127+D1193+D1259+D1325+D1391+D1457+D1523+D1589+D1655+D1721+D1787+D1853+D1919+D1985+D2051+D2117+D2183</f>
        <v>0</v>
      </c>
      <c r="E11" s="404">
        <f t="shared" si="0"/>
        <v>0</v>
      </c>
      <c r="F11" s="404">
        <f t="shared" si="0"/>
        <v>0</v>
      </c>
      <c r="G11" s="404">
        <f t="shared" si="0"/>
        <v>0</v>
      </c>
      <c r="H11" s="404">
        <f t="shared" si="0"/>
        <v>0</v>
      </c>
      <c r="I11" s="404">
        <f>+I71+I137+I203+I269+I335+I401+I467+I533+I599+I665+I731+I797+I863+I929+I995+I1061+I1127+I1193+I1259+I1325+I1391+I1457+I1523+I1589+I1655+I1721+I1787+I1853+I1919+I1985+I2051+I2117+I2183</f>
        <v>-15898191.422518428</v>
      </c>
      <c r="J11" s="404">
        <f t="shared" ref="J11:V11" si="2">+J71+J137+J203+J269+J335+J401+J467+J533+J599+J665+J731+J797+J863+J929+J995+J1061+J1127+J1193+J1259+J1325+J1391+J1457+J1523+J1589+J1655+J1721+J1787+J1853+J1919+J1985+J2051+J2117+J2183</f>
        <v>-17355060.392540675</v>
      </c>
      <c r="K11" s="404">
        <f t="shared" si="2"/>
        <v>-21624214.950185463</v>
      </c>
      <c r="L11" s="404">
        <f t="shared" si="2"/>
        <v>-21138839.621301491</v>
      </c>
      <c r="M11" s="404">
        <f t="shared" si="2"/>
        <v>-23551801.733274478</v>
      </c>
      <c r="N11" s="404">
        <f t="shared" si="2"/>
        <v>-26033194.588236615</v>
      </c>
      <c r="O11" s="404">
        <f t="shared" si="2"/>
        <v>-28768618.80580049</v>
      </c>
      <c r="P11" s="404">
        <f t="shared" si="2"/>
        <v>-32175947.883129854</v>
      </c>
      <c r="Q11" s="404">
        <f t="shared" si="2"/>
        <v>-36062267.103429697</v>
      </c>
      <c r="R11" s="404">
        <f t="shared" si="2"/>
        <v>-40521239.381404914</v>
      </c>
      <c r="S11" s="404">
        <f t="shared" si="2"/>
        <v>-43619362.380255453</v>
      </c>
      <c r="T11" s="404">
        <f t="shared" si="2"/>
        <v>-42900943.345939584</v>
      </c>
      <c r="U11" s="404">
        <f t="shared" si="2"/>
        <v>-37049823.768423371</v>
      </c>
      <c r="V11" s="404">
        <f t="shared" si="2"/>
        <v>-39453902.144779034</v>
      </c>
    </row>
    <row r="12" spans="1:23" s="327" customFormat="1" ht="13.5" thickBot="1" x14ac:dyDescent="0.25">
      <c r="A12" s="9"/>
      <c r="B12" s="405" t="s">
        <v>33</v>
      </c>
      <c r="C12" s="439">
        <v>0</v>
      </c>
      <c r="D12" s="406">
        <f>+D72+D138+D204+D270+D336+D402+D468+D534+D600+D666+D732+D798+D864+D930+D996+D1062+D1128+D1194+D1260+D1326+D1392+D1458+D1524+D1590+D1656+D1722+D1788+D1854+D1920+D1986+D2052+D2118+D2184</f>
        <v>0</v>
      </c>
      <c r="E12" s="406">
        <f t="shared" si="0"/>
        <v>0</v>
      </c>
      <c r="F12" s="406">
        <f t="shared" si="0"/>
        <v>-40491751.040847868</v>
      </c>
      <c r="G12" s="406">
        <f t="shared" si="0"/>
        <v>-34485730.631818861</v>
      </c>
      <c r="H12" s="406">
        <f t="shared" si="0"/>
        <v>-35767176.487480238</v>
      </c>
      <c r="I12" s="406">
        <f t="shared" si="0"/>
        <v>-34258606.616420068</v>
      </c>
      <c r="J12" s="406">
        <f t="shared" si="0"/>
        <v>-44430879.363192521</v>
      </c>
      <c r="K12" s="406">
        <f t="shared" si="0"/>
        <v>-38962272.642881848</v>
      </c>
      <c r="L12" s="406">
        <f t="shared" si="0"/>
        <v>-41215955.043873429</v>
      </c>
      <c r="M12" s="406">
        <f t="shared" si="0"/>
        <v>-39405514.806751058</v>
      </c>
      <c r="N12" s="406">
        <f t="shared" si="0"/>
        <v>-40927761.084092759</v>
      </c>
      <c r="O12" s="406">
        <f t="shared" si="0"/>
        <v>-41659212.969240002</v>
      </c>
      <c r="P12" s="406">
        <f t="shared" si="0"/>
        <v>-37176720.947137475</v>
      </c>
      <c r="Q12" s="406">
        <f t="shared" si="0"/>
        <v>-38919527.870159954</v>
      </c>
      <c r="R12" s="406">
        <f t="shared" si="0"/>
        <v>-40938643.578532182</v>
      </c>
      <c r="S12" s="406">
        <f t="shared" si="0"/>
        <v>-41976575.543384828</v>
      </c>
      <c r="T12" s="406">
        <f t="shared" si="0"/>
        <v>-39534806.523047358</v>
      </c>
      <c r="U12" s="406">
        <f t="shared" si="0"/>
        <v>-44092244.97336977</v>
      </c>
      <c r="V12" s="406">
        <f t="shared" si="0"/>
        <v>-25387987.008867539</v>
      </c>
    </row>
    <row r="13" spans="1:23" s="327" customFormat="1" ht="13.5" thickTop="1" x14ac:dyDescent="0.2">
      <c r="A13" s="9"/>
      <c r="B13" s="407" t="s">
        <v>38</v>
      </c>
      <c r="C13" s="440">
        <v>0</v>
      </c>
      <c r="D13" s="408">
        <f t="shared" ref="D13:V13" si="3">SUM(D8:D12)</f>
        <v>955163031.28727138</v>
      </c>
      <c r="E13" s="408">
        <f t="shared" si="3"/>
        <v>909384435.81799507</v>
      </c>
      <c r="F13" s="408">
        <f t="shared" si="3"/>
        <v>868508679.54916322</v>
      </c>
      <c r="G13" s="408">
        <f t="shared" si="3"/>
        <v>833385972.2460084</v>
      </c>
      <c r="H13" s="408">
        <f t="shared" si="3"/>
        <v>829690112.61988223</v>
      </c>
      <c r="I13" s="408">
        <f t="shared" si="3"/>
        <v>879117423.30068016</v>
      </c>
      <c r="J13" s="408">
        <f t="shared" si="3"/>
        <v>958001690.89897561</v>
      </c>
      <c r="K13" s="408">
        <f t="shared" si="3"/>
        <v>1006960778.1757923</v>
      </c>
      <c r="L13" s="408">
        <f t="shared" si="3"/>
        <v>1025012659.2757061</v>
      </c>
      <c r="M13" s="408">
        <f t="shared" si="3"/>
        <v>1023176387.9858036</v>
      </c>
      <c r="N13" s="408">
        <f t="shared" si="3"/>
        <v>1030308120.8558496</v>
      </c>
      <c r="O13" s="408">
        <f t="shared" si="3"/>
        <v>1039140246.7713819</v>
      </c>
      <c r="P13" s="408">
        <f t="shared" si="3"/>
        <v>1046162090.888877</v>
      </c>
      <c r="Q13" s="408">
        <f t="shared" si="3"/>
        <v>1099720281.282917</v>
      </c>
      <c r="R13" s="408">
        <f t="shared" si="3"/>
        <v>1187617711.0780795</v>
      </c>
      <c r="S13" s="408">
        <f t="shared" si="3"/>
        <v>1148178968.3118834</v>
      </c>
      <c r="T13" s="408">
        <f t="shared" si="3"/>
        <v>1167357331.3420966</v>
      </c>
      <c r="U13" s="408">
        <f t="shared" si="3"/>
        <v>1249607400.1138928</v>
      </c>
      <c r="V13" s="408">
        <f t="shared" si="3"/>
        <v>1304396668.6851304</v>
      </c>
    </row>
    <row r="14" spans="1:23" s="327" customFormat="1" x14ac:dyDescent="0.2">
      <c r="A14" s="9"/>
      <c r="B14" s="403" t="s">
        <v>34</v>
      </c>
      <c r="C14" s="438">
        <v>0</v>
      </c>
      <c r="D14" s="409">
        <f>+D74+D140+D206+D272+D338+D404+D470+D536+D602+D668+D734+D800+D866+D932+D998+D1064+D1130+D1196+D1262+D1328+D1394+D1460+D1526+D1592+D1658+D1724+D1790+D1856+D1922+D1988+D2054+D2120+D2186</f>
        <v>-68695001.786403477</v>
      </c>
      <c r="E14" s="409">
        <f t="shared" ref="E14:V16" si="4">+E74+E140+E206+E272+E338+E404+E470+E536+E602+E668+E734+E800+E866+E932+E998+E1064+E1130+E1196+E1262+E1328+E1394+E1460+E1526+E1592+E1658+E1724+E1790+E1856+E1922+E1988+E2054+E2120+E2186</f>
        <v>-70068901.822131574</v>
      </c>
      <c r="F14" s="409">
        <f t="shared" si="4"/>
        <v>-71981803.858574226</v>
      </c>
      <c r="G14" s="409">
        <f t="shared" si="4"/>
        <v>-73423997.555745676</v>
      </c>
      <c r="H14" s="409">
        <f t="shared" si="4"/>
        <v>-74895099.067360595</v>
      </c>
      <c r="I14" s="409">
        <f t="shared" si="4"/>
        <v>-76395688.14822033</v>
      </c>
      <c r="J14" s="409">
        <f t="shared" si="4"/>
        <v>-77926356.188185021</v>
      </c>
      <c r="K14" s="409">
        <f t="shared" si="4"/>
        <v>-79487706.44587411</v>
      </c>
      <c r="L14" s="409">
        <f t="shared" si="4"/>
        <v>-81080354.287065059</v>
      </c>
      <c r="M14" s="409">
        <f t="shared" si="4"/>
        <v>-82704927.427886605</v>
      </c>
      <c r="N14" s="409">
        <f t="shared" si="4"/>
        <v>-84362066.182901606</v>
      </c>
      <c r="O14" s="409">
        <f t="shared" si="4"/>
        <v>-86052423.718178377</v>
      </c>
      <c r="P14" s="409">
        <f t="shared" si="4"/>
        <v>-87776666.309451073</v>
      </c>
      <c r="Q14" s="409">
        <f t="shared" si="4"/>
        <v>-89535473.605472073</v>
      </c>
      <c r="R14" s="409">
        <f t="shared" si="4"/>
        <v>-91329538.8966593</v>
      </c>
      <c r="S14" s="409">
        <f t="shared" si="4"/>
        <v>-93159569.389147162</v>
      </c>
      <c r="T14" s="409">
        <f t="shared" si="4"/>
        <v>-95026286.48434858</v>
      </c>
      <c r="U14" s="409">
        <f t="shared" si="4"/>
        <v>-96930426.064139649</v>
      </c>
      <c r="V14" s="409">
        <f t="shared" si="4"/>
        <v>-98872738.781778947</v>
      </c>
    </row>
    <row r="15" spans="1:23" s="327" customFormat="1" x14ac:dyDescent="0.2">
      <c r="A15" s="9"/>
      <c r="B15" s="403" t="s">
        <v>35</v>
      </c>
      <c r="C15" s="438">
        <v>0</v>
      </c>
      <c r="D15" s="409">
        <f>+D75+D141+D207+D273+D339+D405+D471+D537+D603+D669+D735+D801+D867+D933+D999+D1065+D1131+D1197+D1263+D1329+D1395+D1461+D1527+D1593+D1659+D1725+D1791+D1857+D1923+D1989+D2055+D2121+D2187</f>
        <v>-12767905.913376469</v>
      </c>
      <c r="E15" s="409">
        <f t="shared" ref="E15:S15" si="5">+E75+E141+E207+E273+E339+E405+E471+E537+E603+E669+E735+E801+E867+E933+E999+E1065+E1131+E1197+E1263+E1329+E1395+E1461+E1527+E1593+E1659+E1725+E1791+E1857+E1923+E1989+E2055+E2121+E2187</f>
        <v>-12988349.945013341</v>
      </c>
      <c r="F15" s="409">
        <f t="shared" si="5"/>
        <v>-13166049.691189464</v>
      </c>
      <c r="G15" s="409">
        <f t="shared" si="5"/>
        <v>-13394738.925766969</v>
      </c>
      <c r="H15" s="409">
        <f t="shared" si="5"/>
        <v>-13923530.505658176</v>
      </c>
      <c r="I15" s="409">
        <f t="shared" si="5"/>
        <v>-14845595.034926198</v>
      </c>
      <c r="J15" s="409">
        <f t="shared" si="5"/>
        <v>-15413329.457260314</v>
      </c>
      <c r="K15" s="409">
        <f t="shared" si="5"/>
        <v>-15995796.514867311</v>
      </c>
      <c r="L15" s="409">
        <f t="shared" si="5"/>
        <v>-16537162.938873557</v>
      </c>
      <c r="M15" s="409">
        <f t="shared" si="5"/>
        <v>-16893245.369674541</v>
      </c>
      <c r="N15" s="409">
        <f t="shared" si="5"/>
        <v>-17101456.592494987</v>
      </c>
      <c r="O15" s="409">
        <f t="shared" si="5"/>
        <v>-17314791.204069324</v>
      </c>
      <c r="P15" s="409">
        <f t="shared" si="5"/>
        <v>-17530488.745849188</v>
      </c>
      <c r="Q15" s="409">
        <f t="shared" si="5"/>
        <v>-17751578.726173554</v>
      </c>
      <c r="R15" s="409">
        <f t="shared" si="5"/>
        <v>-17978218.065004054</v>
      </c>
      <c r="S15" s="409">
        <f t="shared" si="5"/>
        <v>-18210523.387305327</v>
      </c>
      <c r="T15" s="409">
        <f t="shared" si="4"/>
        <v>-18448589.881599657</v>
      </c>
      <c r="U15" s="409">
        <f t="shared" si="4"/>
        <v>-18692631.844900783</v>
      </c>
      <c r="V15" s="409">
        <f t="shared" si="4"/>
        <v>-18942799.261480771</v>
      </c>
    </row>
    <row r="16" spans="1:23" s="327" customFormat="1" ht="13.5" thickBot="1" x14ac:dyDescent="0.25">
      <c r="A16" s="9"/>
      <c r="B16" s="405" t="s">
        <v>36</v>
      </c>
      <c r="C16" s="439">
        <v>0</v>
      </c>
      <c r="D16" s="406">
        <f>+D76+D142+D208+D274+D340+D406+D472+D538+D604+D670+D736+D802+D868+D934+D1000+D1066+D1132+D1198+D1264+D1330+D1396+D1462+D1528+D1594+D1660+D1726+D1792+D1858+D1924+D1990+D2056+D2122+D2188</f>
        <v>-10698495.129002243</v>
      </c>
      <c r="E16" s="406">
        <f t="shared" si="4"/>
        <v>-10924570.78622425</v>
      </c>
      <c r="F16" s="406">
        <f t="shared" si="4"/>
        <v>-11163857.201222589</v>
      </c>
      <c r="G16" s="406">
        <f t="shared" si="4"/>
        <v>-11415925.427739171</v>
      </c>
      <c r="H16" s="406">
        <f t="shared" si="4"/>
        <v>-11686904.107775267</v>
      </c>
      <c r="I16" s="406">
        <f t="shared" si="4"/>
        <v>-11978527.530851079</v>
      </c>
      <c r="J16" s="406">
        <f t="shared" si="4"/>
        <v>-12274456.836925253</v>
      </c>
      <c r="K16" s="406">
        <f t="shared" si="4"/>
        <v>-12583733.824679468</v>
      </c>
      <c r="L16" s="406">
        <f t="shared" si="4"/>
        <v>-12893373.262775861</v>
      </c>
      <c r="M16" s="406">
        <f t="shared" si="4"/>
        <v>-13220592.606001101</v>
      </c>
      <c r="N16" s="406">
        <f t="shared" si="4"/>
        <v>-13539527.727062106</v>
      </c>
      <c r="O16" s="406">
        <f t="shared" si="4"/>
        <v>-13879232.493646793</v>
      </c>
      <c r="P16" s="406">
        <f t="shared" si="4"/>
        <v>-14230145.59870084</v>
      </c>
      <c r="Q16" s="406">
        <f t="shared" si="4"/>
        <v>-14584438.920647066</v>
      </c>
      <c r="R16" s="406">
        <f t="shared" si="4"/>
        <v>-14948966.144370275</v>
      </c>
      <c r="S16" s="406">
        <f t="shared" si="4"/>
        <v>-15321165.019171411</v>
      </c>
      <c r="T16" s="406">
        <f t="shared" si="4"/>
        <v>-15699674.999034358</v>
      </c>
      <c r="U16" s="406">
        <f t="shared" si="4"/>
        <v>-16092090.607889149</v>
      </c>
      <c r="V16" s="406">
        <f t="shared" si="4"/>
        <v>-16494319.631386483</v>
      </c>
    </row>
    <row r="17" spans="1:23" s="327" customFormat="1" ht="13.5" thickTop="1" x14ac:dyDescent="0.2">
      <c r="A17" s="9"/>
      <c r="B17" s="407" t="s">
        <v>220</v>
      </c>
      <c r="C17" s="441">
        <v>0</v>
      </c>
      <c r="D17" s="410">
        <f>SUM(D13:D16)</f>
        <v>863001628.45848918</v>
      </c>
      <c r="E17" s="410">
        <f t="shared" ref="E17:V17" si="6">SUM(E13:E16)</f>
        <v>815402613.26462591</v>
      </c>
      <c r="F17" s="410">
        <f t="shared" si="6"/>
        <v>772196968.798177</v>
      </c>
      <c r="G17" s="410">
        <f t="shared" si="6"/>
        <v>735151310.33675659</v>
      </c>
      <c r="H17" s="410">
        <f t="shared" si="6"/>
        <v>729184578.93908823</v>
      </c>
      <c r="I17" s="410">
        <f t="shared" si="6"/>
        <v>775897612.58668256</v>
      </c>
      <c r="J17" s="410">
        <f t="shared" si="6"/>
        <v>852387548.416605</v>
      </c>
      <c r="K17" s="410">
        <f t="shared" si="6"/>
        <v>898893541.39037144</v>
      </c>
      <c r="L17" s="410">
        <f t="shared" si="6"/>
        <v>914501768.7869916</v>
      </c>
      <c r="M17" s="410">
        <f t="shared" si="6"/>
        <v>910357622.5822413</v>
      </c>
      <c r="N17" s="410">
        <f t="shared" si="6"/>
        <v>915305070.35339093</v>
      </c>
      <c r="O17" s="410">
        <f t="shared" si="6"/>
        <v>921893799.35548735</v>
      </c>
      <c r="P17" s="410">
        <f t="shared" si="6"/>
        <v>926624790.23487592</v>
      </c>
      <c r="Q17" s="410">
        <f t="shared" si="6"/>
        <v>977848790.03062439</v>
      </c>
      <c r="R17" s="410">
        <f t="shared" si="6"/>
        <v>1063360987.9720457</v>
      </c>
      <c r="S17" s="410">
        <f t="shared" si="6"/>
        <v>1021487710.5162596</v>
      </c>
      <c r="T17" s="410">
        <f t="shared" si="6"/>
        <v>1038182779.977114</v>
      </c>
      <c r="U17" s="410">
        <f t="shared" si="6"/>
        <v>1117892251.5969632</v>
      </c>
      <c r="V17" s="410">
        <f t="shared" si="6"/>
        <v>1170086811.010484</v>
      </c>
    </row>
    <row r="18" spans="1:23" s="327" customFormat="1" x14ac:dyDescent="0.2">
      <c r="A18" s="9"/>
      <c r="B18" s="403" t="s">
        <v>37</v>
      </c>
      <c r="C18" s="438">
        <v>0</v>
      </c>
      <c r="D18" s="409">
        <f t="shared" ref="D18:V18" si="7">+D78+D144+D210+D276+D342+D408+D474+D540+D606+D672+D738+D804+D870+D936+D1002+D1068+D1134+D1200+D1266+D1332+D1398+D1464+D1530+D1596+D1662+D1728+D1794+D1860+D1926+D1992+D2058+D2124+D2190</f>
        <v>-124019323.54487899</v>
      </c>
      <c r="E18" s="409">
        <f t="shared" si="7"/>
        <v>-136819901.36602429</v>
      </c>
      <c r="F18" s="409">
        <f t="shared" si="7"/>
        <v>-142342503.45333138</v>
      </c>
      <c r="G18" s="409">
        <f t="shared" si="7"/>
        <v>-141672891.25210619</v>
      </c>
      <c r="H18" s="409">
        <f t="shared" si="7"/>
        <v>-96822825.121369198</v>
      </c>
      <c r="I18" s="409">
        <f t="shared" si="7"/>
        <v>-88718324.208471864</v>
      </c>
      <c r="J18" s="409">
        <f t="shared" si="7"/>
        <v>-73936424.798074126</v>
      </c>
      <c r="K18" s="409">
        <f t="shared" si="7"/>
        <v>-62452705.896495461</v>
      </c>
      <c r="L18" s="409">
        <f t="shared" si="7"/>
        <v>-60910415.507477529</v>
      </c>
      <c r="M18" s="409">
        <f t="shared" si="7"/>
        <v>-61716348.082673006</v>
      </c>
      <c r="N18" s="409">
        <f t="shared" si="7"/>
        <v>-62993297.942562923</v>
      </c>
      <c r="O18" s="409">
        <f t="shared" si="7"/>
        <v>-64212845.735393852</v>
      </c>
      <c r="P18" s="409">
        <f t="shared" si="7"/>
        <v>-65615934.808909237</v>
      </c>
      <c r="Q18" s="409">
        <f t="shared" si="7"/>
        <v>-66029126.304630086</v>
      </c>
      <c r="R18" s="409">
        <f t="shared" si="7"/>
        <v>-56520648.835222572</v>
      </c>
      <c r="S18" s="409">
        <f t="shared" si="7"/>
        <v>-58872034.021732844</v>
      </c>
      <c r="T18" s="409">
        <f t="shared" si="7"/>
        <v>-61062547.68383836</v>
      </c>
      <c r="U18" s="409">
        <f t="shared" si="7"/>
        <v>-63811499.095807113</v>
      </c>
      <c r="V18" s="409">
        <f t="shared" si="7"/>
        <v>-66325890.310134917</v>
      </c>
    </row>
    <row r="19" spans="1:23" s="327" customFormat="1" ht="13.5" thickBot="1" x14ac:dyDescent="0.25">
      <c r="A19" s="9"/>
      <c r="B19" s="405" t="s">
        <v>292</v>
      </c>
      <c r="C19" s="439">
        <v>0</v>
      </c>
      <c r="D19" s="406">
        <f t="shared" ref="D19:V19" si="8">+D79+D145+D211+D277+D343+D409+D475+D541+D607+D673+D739+D805+D871+D937+D1003+D1069+D1135+D1201+D1267+D1333+D1399+D1465+D1531+D1597+D1663+D1729+D1795+D1861+D1927+D1993+D2059+D2125+D2191</f>
        <v>-295592921.96544397</v>
      </c>
      <c r="E19" s="406">
        <f t="shared" si="8"/>
        <v>-271433084.75944132</v>
      </c>
      <c r="F19" s="406">
        <f t="shared" si="8"/>
        <v>-251941786.13793853</v>
      </c>
      <c r="G19" s="406">
        <f t="shared" si="8"/>
        <v>-237391367.63386044</v>
      </c>
      <c r="H19" s="406">
        <f t="shared" si="8"/>
        <v>-252944701.52708781</v>
      </c>
      <c r="I19" s="406">
        <f t="shared" si="8"/>
        <v>-274871715.35128427</v>
      </c>
      <c r="J19" s="406">
        <f t="shared" si="8"/>
        <v>-311380449.44741237</v>
      </c>
      <c r="K19" s="406">
        <f t="shared" si="8"/>
        <v>-334576334.19755012</v>
      </c>
      <c r="L19" s="406">
        <f t="shared" si="8"/>
        <v>-341436541.3118059</v>
      </c>
      <c r="M19" s="406">
        <f t="shared" si="8"/>
        <v>-339456509.79982716</v>
      </c>
      <c r="N19" s="406">
        <f t="shared" si="8"/>
        <v>-340924708.96433127</v>
      </c>
      <c r="O19" s="406">
        <f t="shared" si="8"/>
        <v>-343072381.44803756</v>
      </c>
      <c r="P19" s="406">
        <f t="shared" si="8"/>
        <v>-344403542.1703862</v>
      </c>
      <c r="Q19" s="406">
        <f t="shared" si="8"/>
        <v>-364727865.49039829</v>
      </c>
      <c r="R19" s="406">
        <f t="shared" si="8"/>
        <v>-402736135.65472966</v>
      </c>
      <c r="S19" s="406">
        <f t="shared" si="8"/>
        <v>-385046270.59781086</v>
      </c>
      <c r="T19" s="406">
        <f t="shared" si="8"/>
        <v>-390848092.91731054</v>
      </c>
      <c r="U19" s="406">
        <f t="shared" si="8"/>
        <v>-421632301.00046253</v>
      </c>
      <c r="V19" s="406">
        <f t="shared" si="8"/>
        <v>-441504368.28013957</v>
      </c>
    </row>
    <row r="20" spans="1:23" s="327" customFormat="1" ht="13.5" thickTop="1" x14ac:dyDescent="0.2">
      <c r="A20" s="9"/>
      <c r="B20" s="407" t="s">
        <v>183</v>
      </c>
      <c r="C20" s="441">
        <v>0</v>
      </c>
      <c r="D20" s="410">
        <f t="shared" ref="D20:V20" si="9">D17+D18+D19</f>
        <v>443389382.94816625</v>
      </c>
      <c r="E20" s="410">
        <f t="shared" si="9"/>
        <v>407149627.13916034</v>
      </c>
      <c r="F20" s="410">
        <f t="shared" si="9"/>
        <v>377912679.20690715</v>
      </c>
      <c r="G20" s="410">
        <f t="shared" si="9"/>
        <v>356087051.45078993</v>
      </c>
      <c r="H20" s="410">
        <f t="shared" si="9"/>
        <v>379417052.29063118</v>
      </c>
      <c r="I20" s="410">
        <f t="shared" si="9"/>
        <v>412307573.0269264</v>
      </c>
      <c r="J20" s="410">
        <f t="shared" si="9"/>
        <v>467070674.1711185</v>
      </c>
      <c r="K20" s="410">
        <f t="shared" si="9"/>
        <v>501864501.29632586</v>
      </c>
      <c r="L20" s="410">
        <f t="shared" si="9"/>
        <v>512154811.96770817</v>
      </c>
      <c r="M20" s="410">
        <f t="shared" si="9"/>
        <v>509184764.69974118</v>
      </c>
      <c r="N20" s="410">
        <f t="shared" si="9"/>
        <v>511387063.44649673</v>
      </c>
      <c r="O20" s="410">
        <f t="shared" si="9"/>
        <v>514608572.1720559</v>
      </c>
      <c r="P20" s="410">
        <f t="shared" si="9"/>
        <v>516605313.25558054</v>
      </c>
      <c r="Q20" s="410">
        <f t="shared" si="9"/>
        <v>547091798.23559606</v>
      </c>
      <c r="R20" s="410">
        <f t="shared" si="9"/>
        <v>604104203.48209333</v>
      </c>
      <c r="S20" s="410">
        <f t="shared" si="9"/>
        <v>577569405.89671588</v>
      </c>
      <c r="T20" s="410">
        <f t="shared" si="9"/>
        <v>586272139.37596512</v>
      </c>
      <c r="U20" s="410">
        <f t="shared" si="9"/>
        <v>632448451.50069356</v>
      </c>
      <c r="V20" s="410">
        <f t="shared" si="9"/>
        <v>662256552.42020953</v>
      </c>
    </row>
    <row r="21" spans="1:23" s="327" customFormat="1" x14ac:dyDescent="0.2">
      <c r="A21" s="9"/>
      <c r="B21" s="403" t="s">
        <v>37</v>
      </c>
      <c r="C21" s="438">
        <v>0</v>
      </c>
      <c r="D21" s="404">
        <f t="shared" ref="D21:V21" si="10">-D18</f>
        <v>124019323.54487899</v>
      </c>
      <c r="E21" s="404">
        <f t="shared" si="10"/>
        <v>136819901.36602429</v>
      </c>
      <c r="F21" s="404">
        <f t="shared" si="10"/>
        <v>142342503.45333138</v>
      </c>
      <c r="G21" s="404">
        <f t="shared" si="10"/>
        <v>141672891.25210619</v>
      </c>
      <c r="H21" s="404">
        <f t="shared" si="10"/>
        <v>96822825.121369198</v>
      </c>
      <c r="I21" s="404">
        <f t="shared" si="10"/>
        <v>88718324.208471864</v>
      </c>
      <c r="J21" s="404">
        <f t="shared" si="10"/>
        <v>73936424.798074126</v>
      </c>
      <c r="K21" s="404">
        <f t="shared" si="10"/>
        <v>62452705.896495461</v>
      </c>
      <c r="L21" s="404">
        <f t="shared" si="10"/>
        <v>60910415.507477529</v>
      </c>
      <c r="M21" s="404">
        <f t="shared" si="10"/>
        <v>61716348.082673006</v>
      </c>
      <c r="N21" s="404">
        <f t="shared" si="10"/>
        <v>62993297.942562923</v>
      </c>
      <c r="O21" s="404">
        <f t="shared" si="10"/>
        <v>64212845.735393852</v>
      </c>
      <c r="P21" s="404">
        <f t="shared" si="10"/>
        <v>65615934.808909237</v>
      </c>
      <c r="Q21" s="404">
        <f t="shared" si="10"/>
        <v>66029126.304630086</v>
      </c>
      <c r="R21" s="404">
        <f t="shared" si="10"/>
        <v>56520648.835222572</v>
      </c>
      <c r="S21" s="404">
        <f t="shared" si="10"/>
        <v>58872034.021732844</v>
      </c>
      <c r="T21" s="404">
        <f t="shared" si="10"/>
        <v>61062547.68383836</v>
      </c>
      <c r="U21" s="404">
        <f t="shared" si="10"/>
        <v>63811499.095807113</v>
      </c>
      <c r="V21" s="404">
        <f t="shared" si="10"/>
        <v>66325890.310134917</v>
      </c>
    </row>
    <row r="22" spans="1:23" s="327" customFormat="1" x14ac:dyDescent="0.2">
      <c r="A22" s="9"/>
      <c r="B22" s="403" t="s">
        <v>39</v>
      </c>
      <c r="C22" s="438">
        <v>0</v>
      </c>
      <c r="D22" s="409">
        <f t="shared" ref="D22:V23" si="11">+D82+D148+D214+D280+D346+D412+D478+D544+D610+D676+D742+D808+D874+D940+D1006+D1072+D1138+D1204+D1270+D1336+D1402+D1468+D1534+D1600+D1666+D1732+D1798+D1864+D1930+D1996+D2062+D2128+D2194</f>
        <v>-57998154.670000002</v>
      </c>
      <c r="E22" s="409">
        <f t="shared" si="11"/>
        <v>-53017298.62000002</v>
      </c>
      <c r="F22" s="409">
        <f t="shared" si="11"/>
        <v>-39685921.899999991</v>
      </c>
      <c r="G22" s="409">
        <f t="shared" si="11"/>
        <v>-29370635.689999983</v>
      </c>
      <c r="H22" s="409">
        <f t="shared" si="11"/>
        <v>-45513050.084000029</v>
      </c>
      <c r="I22" s="409">
        <f t="shared" si="11"/>
        <v>-46878441.586520009</v>
      </c>
      <c r="J22" s="409">
        <f t="shared" si="11"/>
        <v>-48284794.834115602</v>
      </c>
      <c r="K22" s="409">
        <f t="shared" si="11"/>
        <v>-49733338.679139085</v>
      </c>
      <c r="L22" s="409">
        <f t="shared" si="11"/>
        <v>-51225338.839513227</v>
      </c>
      <c r="M22" s="409">
        <f t="shared" si="11"/>
        <v>-52762099.004698649</v>
      </c>
      <c r="N22" s="409">
        <f t="shared" si="11"/>
        <v>-54344961.97483959</v>
      </c>
      <c r="O22" s="409">
        <f t="shared" si="11"/>
        <v>-55975310.834084794</v>
      </c>
      <c r="P22" s="409">
        <f t="shared" si="11"/>
        <v>-57654570.159107335</v>
      </c>
      <c r="Q22" s="409">
        <f t="shared" si="11"/>
        <v>-59384207.263880566</v>
      </c>
      <c r="R22" s="409">
        <f t="shared" si="11"/>
        <v>-61165733.481796958</v>
      </c>
      <c r="S22" s="409">
        <f t="shared" si="11"/>
        <v>-63000705.4862509</v>
      </c>
      <c r="T22" s="409">
        <f t="shared" si="11"/>
        <v>-64890726.650838412</v>
      </c>
      <c r="U22" s="409">
        <f t="shared" si="11"/>
        <v>-66837448.450363576</v>
      </c>
      <c r="V22" s="409">
        <f t="shared" si="11"/>
        <v>-68842571.903874472</v>
      </c>
    </row>
    <row r="23" spans="1:23" s="327" customFormat="1" ht="13.5" thickBot="1" x14ac:dyDescent="0.25">
      <c r="A23" s="9"/>
      <c r="B23" s="405" t="s">
        <v>40</v>
      </c>
      <c r="C23" s="439">
        <v>0</v>
      </c>
      <c r="D23" s="406">
        <f t="shared" si="11"/>
        <v>-97009902.149999991</v>
      </c>
      <c r="E23" s="406">
        <f t="shared" si="11"/>
        <v>-76633621.460000008</v>
      </c>
      <c r="F23" s="406">
        <f t="shared" si="11"/>
        <v>-18151182.469999999</v>
      </c>
      <c r="G23" s="406">
        <f t="shared" si="11"/>
        <v>0</v>
      </c>
      <c r="H23" s="406">
        <f t="shared" si="11"/>
        <v>0</v>
      </c>
      <c r="I23" s="406">
        <f t="shared" si="11"/>
        <v>0</v>
      </c>
      <c r="J23" s="406">
        <f t="shared" si="11"/>
        <v>0</v>
      </c>
      <c r="K23" s="406">
        <f t="shared" si="11"/>
        <v>0</v>
      </c>
      <c r="L23" s="406">
        <f t="shared" si="11"/>
        <v>0</v>
      </c>
      <c r="M23" s="406">
        <f t="shared" si="11"/>
        <v>0</v>
      </c>
      <c r="N23" s="406">
        <f t="shared" si="11"/>
        <v>0</v>
      </c>
      <c r="O23" s="406">
        <f t="shared" si="11"/>
        <v>0</v>
      </c>
      <c r="P23" s="406">
        <f t="shared" si="11"/>
        <v>0</v>
      </c>
      <c r="Q23" s="406">
        <f t="shared" si="11"/>
        <v>0</v>
      </c>
      <c r="R23" s="406">
        <f t="shared" si="11"/>
        <v>0</v>
      </c>
      <c r="S23" s="406">
        <f t="shared" si="11"/>
        <v>0</v>
      </c>
      <c r="T23" s="406">
        <f t="shared" si="11"/>
        <v>0</v>
      </c>
      <c r="U23" s="406">
        <f t="shared" si="11"/>
        <v>0</v>
      </c>
      <c r="V23" s="406">
        <f t="shared" si="11"/>
        <v>0</v>
      </c>
    </row>
    <row r="24" spans="1:23" s="327" customFormat="1" ht="13.5" thickTop="1" x14ac:dyDescent="0.2">
      <c r="A24" s="9"/>
      <c r="B24" s="403"/>
      <c r="C24" s="442"/>
    </row>
    <row r="25" spans="1:23" s="327" customFormat="1" x14ac:dyDescent="0.2">
      <c r="A25" s="9"/>
      <c r="B25" s="407" t="s">
        <v>233</v>
      </c>
      <c r="C25" s="441">
        <f>SUM(C20:C23)</f>
        <v>0</v>
      </c>
      <c r="D25" s="410">
        <f t="shared" ref="D25:V25" si="12">SUM(D20:D23)</f>
        <v>412400649.67304522</v>
      </c>
      <c r="E25" s="410">
        <f t="shared" si="12"/>
        <v>414318608.42518461</v>
      </c>
      <c r="F25" s="410">
        <f t="shared" si="12"/>
        <v>462418078.2902385</v>
      </c>
      <c r="G25" s="410">
        <f t="shared" si="12"/>
        <v>468389307.01289612</v>
      </c>
      <c r="H25" s="410">
        <f t="shared" si="12"/>
        <v>430726827.32800031</v>
      </c>
      <c r="I25" s="410">
        <f t="shared" si="12"/>
        <v>454147455.64887828</v>
      </c>
      <c r="J25" s="410">
        <f t="shared" si="12"/>
        <v>492722304.135077</v>
      </c>
      <c r="K25" s="410">
        <f t="shared" si="12"/>
        <v>514583868.51368219</v>
      </c>
      <c r="L25" s="410">
        <f t="shared" si="12"/>
        <v>521839888.63567251</v>
      </c>
      <c r="M25" s="410">
        <f t="shared" si="12"/>
        <v>518139013.77771556</v>
      </c>
      <c r="N25" s="410">
        <f t="shared" si="12"/>
        <v>520035399.41422009</v>
      </c>
      <c r="O25" s="410">
        <f t="shared" si="12"/>
        <v>522846107.07336491</v>
      </c>
      <c r="P25" s="410">
        <f t="shared" si="12"/>
        <v>524566677.90538251</v>
      </c>
      <c r="Q25" s="410">
        <f t="shared" si="12"/>
        <v>553736717.27634549</v>
      </c>
      <c r="R25" s="410">
        <f t="shared" si="12"/>
        <v>599459118.83551896</v>
      </c>
      <c r="S25" s="410">
        <f t="shared" si="12"/>
        <v>573440734.43219781</v>
      </c>
      <c r="T25" s="410">
        <f t="shared" si="12"/>
        <v>582443960.40896511</v>
      </c>
      <c r="U25" s="410">
        <f t="shared" si="12"/>
        <v>629422502.146137</v>
      </c>
      <c r="V25" s="410">
        <f t="shared" si="12"/>
        <v>659739870.8264699</v>
      </c>
      <c r="W25" s="411">
        <f>+W85+W151+W217+W283+W349+W415+W481+W547+W613+W679+W745+W811+W877+W943+W1009+W1075+W1141+W1207+W1273+W1339+W1405+W1471+W1537+W1603+W1669+W1735+W1801+W1867+W1933+W1999+W2065+W2131+W2197</f>
        <v>3492467547.9755149</v>
      </c>
    </row>
    <row r="26" spans="1:23" s="327" customFormat="1" x14ac:dyDescent="0.2">
      <c r="A26" s="9"/>
      <c r="B26" s="403"/>
    </row>
    <row r="27" spans="1:23" s="327" customFormat="1" x14ac:dyDescent="0.2">
      <c r="A27" s="302" t="s">
        <v>218</v>
      </c>
      <c r="B27" s="412" t="s">
        <v>170</v>
      </c>
      <c r="C27" s="433">
        <f>NPV($B$3,D25:H25)</f>
        <v>1652106971.5640388</v>
      </c>
      <c r="E27" s="413" t="s">
        <v>219</v>
      </c>
      <c r="F27" s="414" t="s">
        <v>170</v>
      </c>
      <c r="G27" s="362">
        <f>+G87+G153+G219+G285+G351+G417+G483+G549+G615+G681+G747+G813+G879+G945+G1011+G1077+G1143+G1209+G1275+G1341+G1407+G1473+G1539+G1605+G1671+G1737+G1803+G1869+G1935+G2001+G2067+G2133+G2199</f>
        <v>1652106971.5640409</v>
      </c>
    </row>
    <row r="28" spans="1:23" s="327" customFormat="1" x14ac:dyDescent="0.2">
      <c r="A28" s="9"/>
      <c r="B28" s="412" t="s">
        <v>180</v>
      </c>
      <c r="C28" s="433">
        <f>(NPV($B$3,I25:V25)/(1+$B$3)^5)</f>
        <v>2421577180.2098694</v>
      </c>
      <c r="E28" s="415"/>
      <c r="F28" s="414" t="s">
        <v>180</v>
      </c>
      <c r="G28" s="362">
        <f>+G88+G154+G220+G286+G352+G418+G484+G550+G616+G682+G748+G814+G880+G946+G1012+G1078+G1144+G1210+G1276+G1342+G1408+G1474+G1540+G1606+G1672+G1738+G1804+G1870+G1936+G2002+G2068+G2134+G2200</f>
        <v>2421577180.2098694</v>
      </c>
    </row>
    <row r="29" spans="1:23" s="327" customFormat="1" ht="13.5" thickBot="1" x14ac:dyDescent="0.25">
      <c r="A29" s="9"/>
      <c r="B29" s="416" t="s">
        <v>137</v>
      </c>
      <c r="C29" s="434">
        <f>(W25/(1+$B$3)^(20))</f>
        <v>519133047.08766496</v>
      </c>
      <c r="D29" s="417"/>
      <c r="E29" s="415"/>
      <c r="F29" s="414" t="s">
        <v>137</v>
      </c>
      <c r="G29" s="362">
        <f>+G89+G155+G221+G287+G353+G419+G485+G551+G617+G683+G749+G815+G881+G947+G1013+G1079+G1145+G1211+G1277+G1343+G1409+G1475+G1541+G1607+G1673+G1739+G1805+G1871+G1937+G2003+G2069+G2135+G2201</f>
        <v>519133047.08766496</v>
      </c>
    </row>
    <row r="30" spans="1:23" s="327" customFormat="1" ht="14.25" thickTop="1" thickBot="1" x14ac:dyDescent="0.25">
      <c r="A30" s="9"/>
      <c r="B30" s="412" t="s">
        <v>28</v>
      </c>
      <c r="C30" s="432">
        <f>NPV($B$3,D25:W25)</f>
        <v>4592817198.8615732</v>
      </c>
      <c r="E30" s="415"/>
      <c r="F30" s="418" t="s">
        <v>203</v>
      </c>
      <c r="G30" s="319">
        <f>+G90+G156+G222+G288+G354+G420+G486+G552+G618+G684+G750+G816+G882+G948+G1014+G1080+G1146+G1212+G1278+G1344+G1410+G1476+G1542+G1608+G1674+G1740+G1806+G1872+G1938+G2004+G2070+G2136+G2202</f>
        <v>0</v>
      </c>
    </row>
    <row r="31" spans="1:23" s="327" customFormat="1" ht="13.5" thickTop="1" x14ac:dyDescent="0.2">
      <c r="A31" s="9"/>
      <c r="B31" s="403"/>
      <c r="C31" s="404"/>
      <c r="E31" s="415"/>
      <c r="F31" s="414" t="s">
        <v>28</v>
      </c>
      <c r="G31" s="362">
        <f>+G91+G157+G223+G289+G355+G421+G487+G553+G619+G685+G751+G817+G883+G949+G1015+G1081+G1147+G1213+G1279+G1345+G1411+G1477+G1543+G1609+G1675+G1741+G1807+G1873+G1939+G2005+G2071+G2137+G2203</f>
        <v>4592817198.861578</v>
      </c>
    </row>
    <row r="32" spans="1:23" s="327" customFormat="1" x14ac:dyDescent="0.2">
      <c r="A32" s="9"/>
      <c r="B32" s="403"/>
      <c r="C32" s="404"/>
      <c r="E32" s="415"/>
      <c r="F32" s="414"/>
      <c r="G32" s="419"/>
    </row>
    <row r="33" spans="1:23" s="327" customFormat="1" x14ac:dyDescent="0.2">
      <c r="A33" s="9"/>
      <c r="B33" s="403"/>
      <c r="C33" s="404"/>
      <c r="E33" s="415"/>
      <c r="F33" s="414"/>
      <c r="G33" s="419"/>
    </row>
    <row r="34" spans="1:23" s="327" customFormat="1" x14ac:dyDescent="0.2">
      <c r="A34" s="9"/>
      <c r="B34" s="407" t="s">
        <v>222</v>
      </c>
      <c r="C34" s="404"/>
      <c r="E34" s="415"/>
      <c r="F34" s="414"/>
      <c r="G34" s="419"/>
    </row>
    <row r="35" spans="1:23" s="327" customFormat="1" x14ac:dyDescent="0.2">
      <c r="A35" s="324" t="s">
        <v>224</v>
      </c>
      <c r="B35" s="407" t="s">
        <v>223</v>
      </c>
      <c r="C35" s="410"/>
      <c r="D35" s="326">
        <f>D20</f>
        <v>443389382.94816625</v>
      </c>
      <c r="E35" s="326">
        <f t="shared" ref="E35:V35" si="13">E20</f>
        <v>407149627.13916034</v>
      </c>
      <c r="F35" s="326">
        <f t="shared" si="13"/>
        <v>377912679.20690715</v>
      </c>
      <c r="G35" s="326">
        <f t="shared" si="13"/>
        <v>356087051.45078993</v>
      </c>
      <c r="H35" s="326">
        <f t="shared" si="13"/>
        <v>379417052.29063118</v>
      </c>
      <c r="I35" s="326">
        <f t="shared" si="13"/>
        <v>412307573.0269264</v>
      </c>
      <c r="J35" s="326">
        <f t="shared" si="13"/>
        <v>467070674.1711185</v>
      </c>
      <c r="K35" s="326">
        <f t="shared" si="13"/>
        <v>501864501.29632586</v>
      </c>
      <c r="L35" s="326">
        <f t="shared" si="13"/>
        <v>512154811.96770817</v>
      </c>
      <c r="M35" s="326">
        <f t="shared" si="13"/>
        <v>509184764.69974118</v>
      </c>
      <c r="N35" s="326">
        <f t="shared" si="13"/>
        <v>511387063.44649673</v>
      </c>
      <c r="O35" s="326">
        <f t="shared" si="13"/>
        <v>514608572.1720559</v>
      </c>
      <c r="P35" s="326">
        <f t="shared" si="13"/>
        <v>516605313.25558054</v>
      </c>
      <c r="Q35" s="326">
        <f t="shared" si="13"/>
        <v>547091798.23559606</v>
      </c>
      <c r="R35" s="326">
        <f t="shared" si="13"/>
        <v>604104203.48209333</v>
      </c>
      <c r="S35" s="326">
        <f t="shared" si="13"/>
        <v>577569405.89671588</v>
      </c>
      <c r="T35" s="326">
        <f t="shared" si="13"/>
        <v>586272139.37596512</v>
      </c>
      <c r="U35" s="326">
        <f t="shared" si="13"/>
        <v>632448451.50069356</v>
      </c>
      <c r="V35" s="326">
        <f t="shared" si="13"/>
        <v>662256552.42020953</v>
      </c>
    </row>
    <row r="36" spans="1:23" s="327" customFormat="1" x14ac:dyDescent="0.2">
      <c r="A36" s="9"/>
      <c r="B36" s="403" t="s">
        <v>225</v>
      </c>
      <c r="C36" s="404"/>
      <c r="D36" s="327">
        <f>-D19</f>
        <v>295592921.96544397</v>
      </c>
      <c r="E36" s="327">
        <f t="shared" ref="E36:V36" si="14">-E19</f>
        <v>271433084.75944132</v>
      </c>
      <c r="F36" s="327">
        <f t="shared" si="14"/>
        <v>251941786.13793853</v>
      </c>
      <c r="G36" s="327">
        <f t="shared" si="14"/>
        <v>237391367.63386044</v>
      </c>
      <c r="H36" s="327">
        <f t="shared" si="14"/>
        <v>252944701.52708781</v>
      </c>
      <c r="I36" s="327">
        <f t="shared" si="14"/>
        <v>274871715.35128427</v>
      </c>
      <c r="J36" s="327">
        <f t="shared" si="14"/>
        <v>311380449.44741237</v>
      </c>
      <c r="K36" s="327">
        <f t="shared" si="14"/>
        <v>334576334.19755012</v>
      </c>
      <c r="L36" s="327">
        <f t="shared" si="14"/>
        <v>341436541.3118059</v>
      </c>
      <c r="M36" s="327">
        <f t="shared" si="14"/>
        <v>339456509.79982716</v>
      </c>
      <c r="N36" s="327">
        <f t="shared" si="14"/>
        <v>340924708.96433127</v>
      </c>
      <c r="O36" s="327">
        <f t="shared" si="14"/>
        <v>343072381.44803756</v>
      </c>
      <c r="P36" s="327">
        <f t="shared" si="14"/>
        <v>344403542.1703862</v>
      </c>
      <c r="Q36" s="327">
        <f t="shared" si="14"/>
        <v>364727865.49039829</v>
      </c>
      <c r="R36" s="327">
        <f t="shared" si="14"/>
        <v>402736135.65472966</v>
      </c>
      <c r="S36" s="327">
        <f t="shared" si="14"/>
        <v>385046270.59781086</v>
      </c>
      <c r="T36" s="327">
        <f t="shared" si="14"/>
        <v>390848092.91731054</v>
      </c>
      <c r="U36" s="327">
        <f t="shared" si="14"/>
        <v>421632301.00046253</v>
      </c>
      <c r="V36" s="327">
        <f t="shared" si="14"/>
        <v>441504368.28013957</v>
      </c>
    </row>
    <row r="37" spans="1:23" s="327" customFormat="1" x14ac:dyDescent="0.2">
      <c r="A37" s="9"/>
      <c r="B37" s="420" t="s">
        <v>226</v>
      </c>
      <c r="C37" s="421"/>
      <c r="D37" s="327">
        <f>D21</f>
        <v>124019323.54487899</v>
      </c>
      <c r="E37" s="327">
        <f t="shared" ref="E37:V37" si="15">E21</f>
        <v>136819901.36602429</v>
      </c>
      <c r="F37" s="327">
        <f t="shared" si="15"/>
        <v>142342503.45333138</v>
      </c>
      <c r="G37" s="327">
        <f t="shared" si="15"/>
        <v>141672891.25210619</v>
      </c>
      <c r="H37" s="327">
        <f t="shared" si="15"/>
        <v>96822825.121369198</v>
      </c>
      <c r="I37" s="327">
        <f t="shared" si="15"/>
        <v>88718324.208471864</v>
      </c>
      <c r="J37" s="327">
        <f t="shared" si="15"/>
        <v>73936424.798074126</v>
      </c>
      <c r="K37" s="327">
        <f t="shared" si="15"/>
        <v>62452705.896495461</v>
      </c>
      <c r="L37" s="327">
        <f t="shared" si="15"/>
        <v>60910415.507477529</v>
      </c>
      <c r="M37" s="327">
        <f t="shared" si="15"/>
        <v>61716348.082673006</v>
      </c>
      <c r="N37" s="327">
        <f t="shared" si="15"/>
        <v>62993297.942562923</v>
      </c>
      <c r="O37" s="327">
        <f t="shared" si="15"/>
        <v>64212845.735393852</v>
      </c>
      <c r="P37" s="327">
        <f t="shared" si="15"/>
        <v>65615934.808909237</v>
      </c>
      <c r="Q37" s="327">
        <f t="shared" si="15"/>
        <v>66029126.304630086</v>
      </c>
      <c r="R37" s="327">
        <f t="shared" si="15"/>
        <v>56520648.835222572</v>
      </c>
      <c r="S37" s="327">
        <f t="shared" si="15"/>
        <v>58872034.021732844</v>
      </c>
      <c r="T37" s="327">
        <f t="shared" si="15"/>
        <v>61062547.68383836</v>
      </c>
      <c r="U37" s="327">
        <f t="shared" si="15"/>
        <v>63811499.095807113</v>
      </c>
      <c r="V37" s="327">
        <f t="shared" si="15"/>
        <v>66325890.310134917</v>
      </c>
    </row>
    <row r="38" spans="1:23" s="327" customFormat="1" ht="13.5" thickBot="1" x14ac:dyDescent="0.25">
      <c r="A38" s="9"/>
      <c r="B38" s="422" t="s">
        <v>227</v>
      </c>
      <c r="C38" s="423"/>
      <c r="D38" s="332">
        <f>SUM(D35:D37)</f>
        <v>863001628.45848918</v>
      </c>
      <c r="E38" s="332">
        <f t="shared" ref="E38:V38" si="16">SUM(E35:E37)</f>
        <v>815402613.26462591</v>
      </c>
      <c r="F38" s="332">
        <f t="shared" si="16"/>
        <v>772196968.798177</v>
      </c>
      <c r="G38" s="332">
        <f t="shared" si="16"/>
        <v>735151310.33675659</v>
      </c>
      <c r="H38" s="332">
        <f t="shared" si="16"/>
        <v>729184578.93908823</v>
      </c>
      <c r="I38" s="332">
        <f t="shared" si="16"/>
        <v>775897612.58668256</v>
      </c>
      <c r="J38" s="332">
        <f t="shared" si="16"/>
        <v>852387548.416605</v>
      </c>
      <c r="K38" s="332">
        <f t="shared" si="16"/>
        <v>898893541.39037144</v>
      </c>
      <c r="L38" s="332">
        <f t="shared" si="16"/>
        <v>914501768.7869916</v>
      </c>
      <c r="M38" s="332">
        <f t="shared" si="16"/>
        <v>910357622.5822413</v>
      </c>
      <c r="N38" s="332">
        <f t="shared" si="16"/>
        <v>915305070.35339093</v>
      </c>
      <c r="O38" s="332">
        <f t="shared" si="16"/>
        <v>921893799.35548735</v>
      </c>
      <c r="P38" s="332">
        <f t="shared" si="16"/>
        <v>926624790.23487592</v>
      </c>
      <c r="Q38" s="332">
        <f t="shared" si="16"/>
        <v>977848790.03062439</v>
      </c>
      <c r="R38" s="332">
        <f t="shared" si="16"/>
        <v>1063360987.9720455</v>
      </c>
      <c r="S38" s="332">
        <f t="shared" si="16"/>
        <v>1021487710.5162596</v>
      </c>
      <c r="T38" s="332">
        <f t="shared" si="16"/>
        <v>1038182779.977114</v>
      </c>
      <c r="U38" s="332">
        <f t="shared" si="16"/>
        <v>1117892251.5969632</v>
      </c>
      <c r="V38" s="332">
        <f t="shared" si="16"/>
        <v>1170086811.010484</v>
      </c>
    </row>
    <row r="39" spans="1:23" s="327" customFormat="1" ht="13.5" thickTop="1" x14ac:dyDescent="0.2">
      <c r="A39" s="324" t="s">
        <v>228</v>
      </c>
      <c r="B39" s="403" t="s">
        <v>229</v>
      </c>
      <c r="C39" s="404"/>
      <c r="D39" s="409">
        <f t="shared" ref="D39:V39" si="17">+D99+D165+D231+D297+D363+D429+D495+D561+D627+D693+D759+D825+D891+D957+D1023+D1089+D1155+D1221+D1287+D1353+D1419+D1485+D1551+D1617+D1683+D1749+D1815+D1881+D1947+D2013+D2079+D2145+D2211</f>
        <v>-118773067.40899995</v>
      </c>
      <c r="E39" s="409">
        <f t="shared" si="17"/>
        <v>-125212372.57299998</v>
      </c>
      <c r="F39" s="409">
        <f t="shared" si="17"/>
        <v>-127040289.50799994</v>
      </c>
      <c r="G39" s="409">
        <f t="shared" si="17"/>
        <v>-128111148.77249998</v>
      </c>
      <c r="H39" s="409">
        <f t="shared" si="17"/>
        <v>-128547431.23669992</v>
      </c>
      <c r="I39" s="409">
        <f t="shared" si="17"/>
        <v>-130891353.31602593</v>
      </c>
      <c r="J39" s="409">
        <f t="shared" si="17"/>
        <v>-127068886.25773174</v>
      </c>
      <c r="K39" s="409">
        <f t="shared" si="17"/>
        <v>-124320150.26168868</v>
      </c>
      <c r="L39" s="409">
        <f t="shared" si="17"/>
        <v>-126299175.34366432</v>
      </c>
      <c r="M39" s="409">
        <f t="shared" si="17"/>
        <v>-128733673.57389931</v>
      </c>
      <c r="N39" s="409">
        <f t="shared" si="17"/>
        <v>-130295422.97264127</v>
      </c>
      <c r="O39" s="409">
        <f t="shared" si="17"/>
        <v>-133094188.51434547</v>
      </c>
      <c r="P39" s="409">
        <f t="shared" si="17"/>
        <v>-134589708.13230088</v>
      </c>
      <c r="Q39" s="409">
        <f t="shared" si="17"/>
        <v>-133681268.66549489</v>
      </c>
      <c r="R39" s="409">
        <f t="shared" si="17"/>
        <v>-121598581.13958479</v>
      </c>
      <c r="S39" s="409">
        <f t="shared" si="17"/>
        <v>-112273468.62389717</v>
      </c>
      <c r="T39" s="409">
        <f t="shared" si="17"/>
        <v>-109022871.32643922</v>
      </c>
      <c r="U39" s="409">
        <f t="shared" si="17"/>
        <v>-109113115.3689574</v>
      </c>
      <c r="V39" s="409">
        <f t="shared" si="17"/>
        <v>-112544681.16415112</v>
      </c>
    </row>
    <row r="40" spans="1:23" s="327" customFormat="1" x14ac:dyDescent="0.2">
      <c r="A40" s="9"/>
      <c r="B40" s="403" t="s">
        <v>230</v>
      </c>
      <c r="C40" s="404"/>
      <c r="D40" s="327">
        <f>-D53</f>
        <v>0</v>
      </c>
      <c r="E40" s="327">
        <f t="shared" ref="E40:V40" si="18">-E53</f>
        <v>0</v>
      </c>
      <c r="F40" s="327">
        <f t="shared" si="18"/>
        <v>0</v>
      </c>
      <c r="G40" s="327">
        <f t="shared" si="18"/>
        <v>0</v>
      </c>
      <c r="H40" s="327">
        <f t="shared" si="18"/>
        <v>0</v>
      </c>
      <c r="I40" s="327">
        <f t="shared" si="18"/>
        <v>0</v>
      </c>
      <c r="J40" s="327">
        <f t="shared" si="18"/>
        <v>0</v>
      </c>
      <c r="K40" s="327">
        <f t="shared" si="18"/>
        <v>0</v>
      </c>
      <c r="L40" s="327">
        <f t="shared" si="18"/>
        <v>0</v>
      </c>
      <c r="M40" s="327">
        <f t="shared" si="18"/>
        <v>0</v>
      </c>
      <c r="N40" s="327">
        <f t="shared" si="18"/>
        <v>0</v>
      </c>
      <c r="O40" s="327">
        <f t="shared" si="18"/>
        <v>0</v>
      </c>
      <c r="P40" s="327">
        <f t="shared" si="18"/>
        <v>0</v>
      </c>
      <c r="Q40" s="327">
        <f t="shared" si="18"/>
        <v>0</v>
      </c>
      <c r="R40" s="327">
        <f t="shared" si="18"/>
        <v>0</v>
      </c>
      <c r="S40" s="327">
        <f t="shared" si="18"/>
        <v>0</v>
      </c>
      <c r="T40" s="327">
        <f t="shared" si="18"/>
        <v>0</v>
      </c>
      <c r="U40" s="327">
        <f t="shared" si="18"/>
        <v>0</v>
      </c>
      <c r="V40" s="327">
        <f t="shared" si="18"/>
        <v>0</v>
      </c>
    </row>
    <row r="41" spans="1:23" s="327" customFormat="1" x14ac:dyDescent="0.2">
      <c r="A41" s="9"/>
      <c r="B41" s="407" t="s">
        <v>231</v>
      </c>
      <c r="C41" s="410"/>
      <c r="D41" s="326">
        <f>SUM(D38:D40)</f>
        <v>744228561.04948926</v>
      </c>
      <c r="E41" s="326">
        <f t="shared" ref="E41:V41" si="19">SUM(E38:E40)</f>
        <v>690190240.69162595</v>
      </c>
      <c r="F41" s="326">
        <f t="shared" si="19"/>
        <v>645156679.29017711</v>
      </c>
      <c r="G41" s="326">
        <f t="shared" si="19"/>
        <v>607040161.56425667</v>
      </c>
      <c r="H41" s="326">
        <f t="shared" si="19"/>
        <v>600637147.70238829</v>
      </c>
      <c r="I41" s="326">
        <f t="shared" si="19"/>
        <v>645006259.27065659</v>
      </c>
      <c r="J41" s="326">
        <f t="shared" si="19"/>
        <v>725318662.15887332</v>
      </c>
      <c r="K41" s="326">
        <f t="shared" si="19"/>
        <v>774573391.12868273</v>
      </c>
      <c r="L41" s="326">
        <f t="shared" si="19"/>
        <v>788202593.44332731</v>
      </c>
      <c r="M41" s="326">
        <f t="shared" si="19"/>
        <v>781623949.00834203</v>
      </c>
      <c r="N41" s="326">
        <f t="shared" si="19"/>
        <v>785009647.3807497</v>
      </c>
      <c r="O41" s="326">
        <f t="shared" si="19"/>
        <v>788799610.84114194</v>
      </c>
      <c r="P41" s="326">
        <f t="shared" si="19"/>
        <v>792035082.10257506</v>
      </c>
      <c r="Q41" s="326">
        <f t="shared" si="19"/>
        <v>844167521.36512947</v>
      </c>
      <c r="R41" s="326">
        <f t="shared" si="19"/>
        <v>941762406.83246076</v>
      </c>
      <c r="S41" s="326">
        <f t="shared" si="19"/>
        <v>909214241.89236236</v>
      </c>
      <c r="T41" s="326">
        <f t="shared" si="19"/>
        <v>929159908.6506747</v>
      </c>
      <c r="U41" s="326">
        <f t="shared" si="19"/>
        <v>1008779136.2280058</v>
      </c>
      <c r="V41" s="326">
        <f t="shared" si="19"/>
        <v>1057542129.8463329</v>
      </c>
    </row>
    <row r="42" spans="1:23" s="327" customFormat="1" ht="13.5" thickBot="1" x14ac:dyDescent="0.25">
      <c r="A42" s="9"/>
      <c r="B42" s="424" t="s">
        <v>237</v>
      </c>
      <c r="C42" s="425"/>
      <c r="D42" s="335">
        <f>-D41*Assumptions!$L$15</f>
        <v>-297691424.41979569</v>
      </c>
      <c r="E42" s="335">
        <f>-E41*Assumptions!$L$15</f>
        <v>-276076096.27665037</v>
      </c>
      <c r="F42" s="335">
        <f>-F41*Assumptions!$L$15</f>
        <v>-258062671.71607086</v>
      </c>
      <c r="G42" s="335">
        <f>-G41*Assumptions!$L$15</f>
        <v>-242816064.62570268</v>
      </c>
      <c r="H42" s="335">
        <f>-H41*Assumptions!$L$15</f>
        <v>-240254859.08095533</v>
      </c>
      <c r="I42" s="335">
        <f>-I41*Assumptions!$L$15</f>
        <v>-258002503.70826265</v>
      </c>
      <c r="J42" s="335">
        <f>-J41*Assumptions!$L$15</f>
        <v>-290127464.86354935</v>
      </c>
      <c r="K42" s="335">
        <f>-K41*Assumptions!$L$15</f>
        <v>-309829356.45147312</v>
      </c>
      <c r="L42" s="335">
        <f>-L41*Assumptions!$L$15</f>
        <v>-315281037.37733096</v>
      </c>
      <c r="M42" s="335">
        <f>-M41*Assumptions!$L$15</f>
        <v>-312649579.60333681</v>
      </c>
      <c r="N42" s="335">
        <f>-N41*Assumptions!$L$15</f>
        <v>-314003858.95229989</v>
      </c>
      <c r="O42" s="335">
        <f>-O41*Assumptions!$L$15</f>
        <v>-315519844.33645678</v>
      </c>
      <c r="P42" s="335">
        <f>-P41*Assumptions!$L$15</f>
        <v>-316814032.84103006</v>
      </c>
      <c r="Q42" s="335">
        <f>-Q41*Assumptions!$L$15</f>
        <v>-337667008.5460518</v>
      </c>
      <c r="R42" s="335">
        <f>-R41*Assumptions!$L$15</f>
        <v>-376704962.7329843</v>
      </c>
      <c r="S42" s="335">
        <f>-S41*Assumptions!$L$15</f>
        <v>-363685696.75694495</v>
      </c>
      <c r="T42" s="335">
        <f>-T41*Assumptions!$L$15</f>
        <v>-371663963.46026993</v>
      </c>
      <c r="U42" s="335">
        <f>-U41*Assumptions!$L$15</f>
        <v>-403511654.49120235</v>
      </c>
      <c r="V42" s="335">
        <f>-V41*Assumptions!$L$15</f>
        <v>-423016851.93853319</v>
      </c>
    </row>
    <row r="43" spans="1:23" s="327" customFormat="1" ht="13.5" thickTop="1" x14ac:dyDescent="0.2">
      <c r="A43" s="9"/>
      <c r="B43" s="407" t="s">
        <v>232</v>
      </c>
      <c r="C43" s="410"/>
      <c r="D43" s="326">
        <f>SUM(D41:D42)</f>
        <v>446537136.62969357</v>
      </c>
      <c r="E43" s="326">
        <f t="shared" ref="E43:V43" si="20">SUM(E41:E42)</f>
        <v>414114144.41497558</v>
      </c>
      <c r="F43" s="326">
        <f t="shared" si="20"/>
        <v>387094007.57410622</v>
      </c>
      <c r="G43" s="326">
        <f t="shared" si="20"/>
        <v>364224096.93855399</v>
      </c>
      <c r="H43" s="326">
        <f t="shared" si="20"/>
        <v>360382288.62143296</v>
      </c>
      <c r="I43" s="326">
        <f t="shared" si="20"/>
        <v>387003755.5623939</v>
      </c>
      <c r="J43" s="326">
        <f t="shared" si="20"/>
        <v>435191197.29532397</v>
      </c>
      <c r="K43" s="326">
        <f t="shared" si="20"/>
        <v>464744034.67720962</v>
      </c>
      <c r="L43" s="326">
        <f t="shared" si="20"/>
        <v>472921556.06599635</v>
      </c>
      <c r="M43" s="326">
        <f t="shared" si="20"/>
        <v>468974369.40500522</v>
      </c>
      <c r="N43" s="326">
        <f t="shared" si="20"/>
        <v>471005788.42844981</v>
      </c>
      <c r="O43" s="326">
        <f t="shared" si="20"/>
        <v>473279766.50468516</v>
      </c>
      <c r="P43" s="326">
        <f t="shared" si="20"/>
        <v>475221049.261545</v>
      </c>
      <c r="Q43" s="326">
        <f t="shared" si="20"/>
        <v>506500512.81907767</v>
      </c>
      <c r="R43" s="326">
        <f t="shared" si="20"/>
        <v>565057444.09947646</v>
      </c>
      <c r="S43" s="326">
        <f t="shared" si="20"/>
        <v>545528545.13541746</v>
      </c>
      <c r="T43" s="326">
        <f t="shared" si="20"/>
        <v>557495945.19040477</v>
      </c>
      <c r="U43" s="326">
        <f t="shared" si="20"/>
        <v>605267481.73680341</v>
      </c>
      <c r="V43" s="326">
        <f t="shared" si="20"/>
        <v>634525277.90779972</v>
      </c>
    </row>
    <row r="44" spans="1:23" s="327" customFormat="1" x14ac:dyDescent="0.2">
      <c r="A44" s="9"/>
      <c r="C44" s="404"/>
      <c r="E44" s="415"/>
      <c r="F44" s="414"/>
      <c r="G44" s="419"/>
    </row>
    <row r="45" spans="1:23" s="327" customFormat="1" ht="15.75" x14ac:dyDescent="0.25">
      <c r="A45" s="336" t="s">
        <v>205</v>
      </c>
      <c r="B45" s="426"/>
    </row>
    <row r="46" spans="1:23" s="327" customFormat="1" x14ac:dyDescent="0.2">
      <c r="A46" s="284" t="s">
        <v>190</v>
      </c>
      <c r="B46" s="427"/>
      <c r="C46" s="338">
        <f>Assumptions!$L$17</f>
        <v>0</v>
      </c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</row>
    <row r="47" spans="1:23" s="327" customFormat="1" x14ac:dyDescent="0.2">
      <c r="A47" s="284" t="s">
        <v>191</v>
      </c>
      <c r="B47" s="427"/>
      <c r="C47" s="430">
        <f>+C30*C46</f>
        <v>0</v>
      </c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</row>
    <row r="48" spans="1:23" s="327" customFormat="1" x14ac:dyDescent="0.2">
      <c r="A48" s="284" t="s">
        <v>201</v>
      </c>
      <c r="B48" s="427"/>
      <c r="C48" s="408">
        <f>Assumptions!$L$18</f>
        <v>15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</row>
    <row r="49" spans="1:23" s="327" customFormat="1" x14ac:dyDescent="0.2">
      <c r="A49" s="284" t="s">
        <v>192</v>
      </c>
      <c r="B49" s="427"/>
      <c r="C49" s="430">
        <f>C47/C48</f>
        <v>0</v>
      </c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</row>
    <row r="50" spans="1:23" s="327" customFormat="1" x14ac:dyDescent="0.2">
      <c r="A50" s="284" t="s">
        <v>193</v>
      </c>
      <c r="B50" s="427"/>
      <c r="C50" s="338">
        <f>Assumptions!L19</f>
        <v>8.7499999999999994E-2</v>
      </c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</row>
    <row r="51" spans="1:23" s="327" customFormat="1" x14ac:dyDescent="0.2">
      <c r="A51" s="284"/>
      <c r="B51" s="427"/>
      <c r="C51" s="341"/>
      <c r="D51" s="436">
        <f t="shared" ref="D51:W51" si="21">D6</f>
        <v>2001</v>
      </c>
      <c r="E51" s="436">
        <f t="shared" si="21"/>
        <v>2002</v>
      </c>
      <c r="F51" s="436">
        <f t="shared" si="21"/>
        <v>2003</v>
      </c>
      <c r="G51" s="436">
        <f t="shared" si="21"/>
        <v>2004</v>
      </c>
      <c r="H51" s="436">
        <f t="shared" si="21"/>
        <v>2005</v>
      </c>
      <c r="I51" s="436">
        <f t="shared" si="21"/>
        <v>2006</v>
      </c>
      <c r="J51" s="436">
        <f t="shared" si="21"/>
        <v>2007</v>
      </c>
      <c r="K51" s="436">
        <f t="shared" si="21"/>
        <v>2008</v>
      </c>
      <c r="L51" s="436">
        <f t="shared" si="21"/>
        <v>2009</v>
      </c>
      <c r="M51" s="436">
        <f t="shared" si="21"/>
        <v>2010</v>
      </c>
      <c r="N51" s="436">
        <f t="shared" si="21"/>
        <v>2011</v>
      </c>
      <c r="O51" s="436">
        <f t="shared" si="21"/>
        <v>2012</v>
      </c>
      <c r="P51" s="436">
        <f t="shared" si="21"/>
        <v>2013</v>
      </c>
      <c r="Q51" s="436">
        <f t="shared" si="21"/>
        <v>2014</v>
      </c>
      <c r="R51" s="436">
        <f t="shared" si="21"/>
        <v>2015</v>
      </c>
      <c r="S51" s="436">
        <f t="shared" si="21"/>
        <v>2016</v>
      </c>
      <c r="T51" s="436">
        <f t="shared" si="21"/>
        <v>2017</v>
      </c>
      <c r="U51" s="436">
        <f t="shared" si="21"/>
        <v>2018</v>
      </c>
      <c r="V51" s="436">
        <f t="shared" si="21"/>
        <v>2019</v>
      </c>
      <c r="W51" s="436" t="str">
        <f t="shared" si="21"/>
        <v>TV</v>
      </c>
    </row>
    <row r="52" spans="1:23" s="327" customFormat="1" x14ac:dyDescent="0.2">
      <c r="A52" s="284" t="s">
        <v>194</v>
      </c>
      <c r="B52" s="427"/>
      <c r="C52" s="341"/>
      <c r="D52" s="341">
        <f>+C47</f>
        <v>0</v>
      </c>
      <c r="E52" s="341">
        <f t="shared" ref="E52:R52" si="22">+D56</f>
        <v>0</v>
      </c>
      <c r="F52" s="341">
        <f t="shared" si="22"/>
        <v>0</v>
      </c>
      <c r="G52" s="341">
        <f t="shared" si="22"/>
        <v>0</v>
      </c>
      <c r="H52" s="341">
        <f t="shared" si="22"/>
        <v>0</v>
      </c>
      <c r="I52" s="341">
        <f t="shared" si="22"/>
        <v>0</v>
      </c>
      <c r="J52" s="341">
        <f t="shared" si="22"/>
        <v>0</v>
      </c>
      <c r="K52" s="341">
        <f t="shared" si="22"/>
        <v>0</v>
      </c>
      <c r="L52" s="341">
        <f t="shared" si="22"/>
        <v>0</v>
      </c>
      <c r="M52" s="341">
        <f t="shared" si="22"/>
        <v>0</v>
      </c>
      <c r="N52" s="341">
        <f t="shared" si="22"/>
        <v>0</v>
      </c>
      <c r="O52" s="341">
        <f t="shared" si="22"/>
        <v>0</v>
      </c>
      <c r="P52" s="341">
        <f t="shared" si="22"/>
        <v>0</v>
      </c>
      <c r="Q52" s="341">
        <f t="shared" si="22"/>
        <v>0</v>
      </c>
      <c r="R52" s="341">
        <f t="shared" si="22"/>
        <v>0</v>
      </c>
      <c r="S52" s="341">
        <f>+R56</f>
        <v>0</v>
      </c>
      <c r="T52" s="341">
        <f>+S56</f>
        <v>0</v>
      </c>
      <c r="U52" s="341">
        <f>+T56</f>
        <v>0</v>
      </c>
      <c r="V52" s="341">
        <f>+U56</f>
        <v>0</v>
      </c>
      <c r="W52" s="341">
        <f>+V56</f>
        <v>0</v>
      </c>
    </row>
    <row r="53" spans="1:23" s="327" customFormat="1" x14ac:dyDescent="0.2">
      <c r="A53" s="284" t="s">
        <v>195</v>
      </c>
      <c r="B53" s="427"/>
      <c r="C53" s="341"/>
      <c r="D53" s="341">
        <f t="shared" ref="D53:W53" si="23">+D52*$C$50</f>
        <v>0</v>
      </c>
      <c r="E53" s="341">
        <f t="shared" si="23"/>
        <v>0</v>
      </c>
      <c r="F53" s="341">
        <f t="shared" si="23"/>
        <v>0</v>
      </c>
      <c r="G53" s="341">
        <f t="shared" si="23"/>
        <v>0</v>
      </c>
      <c r="H53" s="341">
        <f t="shared" si="23"/>
        <v>0</v>
      </c>
      <c r="I53" s="341">
        <f t="shared" si="23"/>
        <v>0</v>
      </c>
      <c r="J53" s="341">
        <f t="shared" si="23"/>
        <v>0</v>
      </c>
      <c r="K53" s="341">
        <f t="shared" si="23"/>
        <v>0</v>
      </c>
      <c r="L53" s="341">
        <f t="shared" si="23"/>
        <v>0</v>
      </c>
      <c r="M53" s="341">
        <f t="shared" si="23"/>
        <v>0</v>
      </c>
      <c r="N53" s="341">
        <f t="shared" si="23"/>
        <v>0</v>
      </c>
      <c r="O53" s="341">
        <f t="shared" si="23"/>
        <v>0</v>
      </c>
      <c r="P53" s="341">
        <f t="shared" si="23"/>
        <v>0</v>
      </c>
      <c r="Q53" s="341">
        <f t="shared" si="23"/>
        <v>0</v>
      </c>
      <c r="R53" s="341">
        <f t="shared" si="23"/>
        <v>0</v>
      </c>
      <c r="S53" s="341">
        <f t="shared" si="23"/>
        <v>0</v>
      </c>
      <c r="T53" s="341">
        <f t="shared" si="23"/>
        <v>0</v>
      </c>
      <c r="U53" s="341">
        <f t="shared" si="23"/>
        <v>0</v>
      </c>
      <c r="V53" s="341">
        <f t="shared" si="23"/>
        <v>0</v>
      </c>
      <c r="W53" s="341">
        <f t="shared" si="23"/>
        <v>0</v>
      </c>
    </row>
    <row r="54" spans="1:23" s="327" customFormat="1" x14ac:dyDescent="0.2">
      <c r="A54" s="284" t="s">
        <v>196</v>
      </c>
      <c r="B54" s="427"/>
      <c r="C54" s="341"/>
      <c r="D54" s="341">
        <f t="shared" ref="D54:R54" si="24">IF((D51-$D$51)&gt;=$C$48,0,$C$49)</f>
        <v>0</v>
      </c>
      <c r="E54" s="341">
        <f t="shared" si="24"/>
        <v>0</v>
      </c>
      <c r="F54" s="341">
        <f t="shared" si="24"/>
        <v>0</v>
      </c>
      <c r="G54" s="341">
        <f t="shared" si="24"/>
        <v>0</v>
      </c>
      <c r="H54" s="341">
        <f t="shared" si="24"/>
        <v>0</v>
      </c>
      <c r="I54" s="341">
        <f t="shared" si="24"/>
        <v>0</v>
      </c>
      <c r="J54" s="341">
        <f t="shared" si="24"/>
        <v>0</v>
      </c>
      <c r="K54" s="341">
        <f t="shared" si="24"/>
        <v>0</v>
      </c>
      <c r="L54" s="341">
        <f t="shared" si="24"/>
        <v>0</v>
      </c>
      <c r="M54" s="341">
        <f t="shared" si="24"/>
        <v>0</v>
      </c>
      <c r="N54" s="341">
        <f t="shared" si="24"/>
        <v>0</v>
      </c>
      <c r="O54" s="341">
        <f t="shared" si="24"/>
        <v>0</v>
      </c>
      <c r="P54" s="341">
        <f t="shared" si="24"/>
        <v>0</v>
      </c>
      <c r="Q54" s="341">
        <f t="shared" si="24"/>
        <v>0</v>
      </c>
      <c r="R54" s="341">
        <f t="shared" si="24"/>
        <v>0</v>
      </c>
      <c r="S54" s="341">
        <f>IF((S51-$D$51)&gt;=$C$48,0,$C$49)</f>
        <v>0</v>
      </c>
      <c r="T54" s="341">
        <f>IF((T51-$D$51)&gt;=$C$48,0,$C$49)</f>
        <v>0</v>
      </c>
      <c r="U54" s="341">
        <f>IF((U51-$D$51)&gt;=$C$48,0,$C$49)</f>
        <v>0</v>
      </c>
      <c r="V54" s="341">
        <f>IF((V51-$D$51)&gt;=$C$48,0,$C$49)</f>
        <v>0</v>
      </c>
      <c r="W54" s="341">
        <f>V54</f>
        <v>0</v>
      </c>
    </row>
    <row r="55" spans="1:23" s="327" customFormat="1" x14ac:dyDescent="0.2">
      <c r="A55" s="284" t="s">
        <v>197</v>
      </c>
      <c r="B55" s="427"/>
      <c r="C55" s="341"/>
      <c r="D55" s="342">
        <f t="shared" ref="D55:R55" si="25">SUM(D53:D54)</f>
        <v>0</v>
      </c>
      <c r="E55" s="342">
        <f t="shared" si="25"/>
        <v>0</v>
      </c>
      <c r="F55" s="342">
        <f t="shared" si="25"/>
        <v>0</v>
      </c>
      <c r="G55" s="342">
        <f t="shared" si="25"/>
        <v>0</v>
      </c>
      <c r="H55" s="342">
        <f t="shared" si="25"/>
        <v>0</v>
      </c>
      <c r="I55" s="342">
        <f t="shared" si="25"/>
        <v>0</v>
      </c>
      <c r="J55" s="342">
        <f t="shared" si="25"/>
        <v>0</v>
      </c>
      <c r="K55" s="342">
        <f t="shared" si="25"/>
        <v>0</v>
      </c>
      <c r="L55" s="342">
        <f t="shared" si="25"/>
        <v>0</v>
      </c>
      <c r="M55" s="342">
        <f t="shared" si="25"/>
        <v>0</v>
      </c>
      <c r="N55" s="342">
        <f t="shared" si="25"/>
        <v>0</v>
      </c>
      <c r="O55" s="342">
        <f t="shared" si="25"/>
        <v>0</v>
      </c>
      <c r="P55" s="342">
        <f t="shared" si="25"/>
        <v>0</v>
      </c>
      <c r="Q55" s="342">
        <f t="shared" si="25"/>
        <v>0</v>
      </c>
      <c r="R55" s="342">
        <f t="shared" si="25"/>
        <v>0</v>
      </c>
      <c r="S55" s="342">
        <f>SUM(S53:S54)</f>
        <v>0</v>
      </c>
      <c r="T55" s="342">
        <f>SUM(T53:T54)</f>
        <v>0</v>
      </c>
      <c r="U55" s="342">
        <f>SUM(U53:U54)</f>
        <v>0</v>
      </c>
      <c r="V55" s="342">
        <f>SUM(V53:V54)</f>
        <v>0</v>
      </c>
      <c r="W55" s="342">
        <f>SUM(W53:W54)</f>
        <v>0</v>
      </c>
    </row>
    <row r="56" spans="1:23" s="327" customFormat="1" ht="13.5" thickBot="1" x14ac:dyDescent="0.25">
      <c r="A56" s="284" t="s">
        <v>198</v>
      </c>
      <c r="B56" s="427"/>
      <c r="C56" s="341"/>
      <c r="D56" s="343">
        <f t="shared" ref="D56:R56" si="26">+D52-D54</f>
        <v>0</v>
      </c>
      <c r="E56" s="343">
        <f t="shared" si="26"/>
        <v>0</v>
      </c>
      <c r="F56" s="343">
        <f t="shared" si="26"/>
        <v>0</v>
      </c>
      <c r="G56" s="343">
        <f t="shared" si="26"/>
        <v>0</v>
      </c>
      <c r="H56" s="343">
        <f t="shared" si="26"/>
        <v>0</v>
      </c>
      <c r="I56" s="343">
        <f t="shared" si="26"/>
        <v>0</v>
      </c>
      <c r="J56" s="343">
        <f t="shared" si="26"/>
        <v>0</v>
      </c>
      <c r="K56" s="343">
        <f t="shared" si="26"/>
        <v>0</v>
      </c>
      <c r="L56" s="343">
        <f t="shared" si="26"/>
        <v>0</v>
      </c>
      <c r="M56" s="343">
        <f t="shared" si="26"/>
        <v>0</v>
      </c>
      <c r="N56" s="343">
        <f t="shared" si="26"/>
        <v>0</v>
      </c>
      <c r="O56" s="343">
        <f t="shared" si="26"/>
        <v>0</v>
      </c>
      <c r="P56" s="343">
        <f t="shared" si="26"/>
        <v>0</v>
      </c>
      <c r="Q56" s="343">
        <f t="shared" si="26"/>
        <v>0</v>
      </c>
      <c r="R56" s="343">
        <f t="shared" si="26"/>
        <v>0</v>
      </c>
      <c r="S56" s="343">
        <f>+S52-S54</f>
        <v>0</v>
      </c>
      <c r="T56" s="343">
        <f>+T52-T54</f>
        <v>0</v>
      </c>
      <c r="U56" s="343">
        <f>+U52-U54</f>
        <v>0</v>
      </c>
      <c r="V56" s="343">
        <f>+V52-V54</f>
        <v>0</v>
      </c>
      <c r="W56" s="343">
        <f>+W52-W54</f>
        <v>0</v>
      </c>
    </row>
    <row r="57" spans="1:23" s="327" customFormat="1" ht="13.5" thickTop="1" x14ac:dyDescent="0.2">
      <c r="A57" s="284"/>
      <c r="B57" s="427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</row>
    <row r="58" spans="1:23" s="327" customFormat="1" x14ac:dyDescent="0.2">
      <c r="A58" s="284" t="s">
        <v>199</v>
      </c>
      <c r="B58" s="427"/>
      <c r="C58" s="341"/>
      <c r="D58" s="341">
        <f t="shared" ref="D58:R58" si="27">+D53*0.4</f>
        <v>0</v>
      </c>
      <c r="E58" s="341">
        <f t="shared" si="27"/>
        <v>0</v>
      </c>
      <c r="F58" s="341">
        <f t="shared" si="27"/>
        <v>0</v>
      </c>
      <c r="G58" s="341">
        <f t="shared" si="27"/>
        <v>0</v>
      </c>
      <c r="H58" s="341">
        <f t="shared" si="27"/>
        <v>0</v>
      </c>
      <c r="I58" s="341">
        <f t="shared" si="27"/>
        <v>0</v>
      </c>
      <c r="J58" s="341">
        <f t="shared" si="27"/>
        <v>0</v>
      </c>
      <c r="K58" s="341">
        <f t="shared" si="27"/>
        <v>0</v>
      </c>
      <c r="L58" s="341">
        <f t="shared" si="27"/>
        <v>0</v>
      </c>
      <c r="M58" s="341">
        <f t="shared" si="27"/>
        <v>0</v>
      </c>
      <c r="N58" s="341">
        <f t="shared" si="27"/>
        <v>0</v>
      </c>
      <c r="O58" s="341">
        <f t="shared" si="27"/>
        <v>0</v>
      </c>
      <c r="P58" s="341">
        <f t="shared" si="27"/>
        <v>0</v>
      </c>
      <c r="Q58" s="341">
        <f t="shared" si="27"/>
        <v>0</v>
      </c>
      <c r="R58" s="341">
        <f t="shared" si="27"/>
        <v>0</v>
      </c>
      <c r="S58" s="341">
        <f>+S53*0.4</f>
        <v>0</v>
      </c>
      <c r="T58" s="341">
        <f>+T53*0.4</f>
        <v>0</v>
      </c>
      <c r="U58" s="341">
        <f>+U53*0.4</f>
        <v>0</v>
      </c>
      <c r="V58" s="341">
        <f>+V53*0.4</f>
        <v>0</v>
      </c>
      <c r="W58" s="341">
        <f>+W53*0.4</f>
        <v>0</v>
      </c>
    </row>
    <row r="59" spans="1:23" s="327" customFormat="1" x14ac:dyDescent="0.2">
      <c r="A59" s="284"/>
      <c r="B59" s="427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1"/>
      <c r="P59" s="341"/>
      <c r="Q59" s="341"/>
      <c r="R59" s="341"/>
      <c r="S59" s="341"/>
      <c r="T59" s="341"/>
      <c r="U59" s="341"/>
      <c r="V59" s="341"/>
      <c r="W59" s="341"/>
    </row>
    <row r="60" spans="1:23" s="327" customFormat="1" x14ac:dyDescent="0.2">
      <c r="A60" s="284" t="s">
        <v>200</v>
      </c>
      <c r="B60" s="427"/>
      <c r="C60" s="341"/>
      <c r="D60" s="341">
        <f t="shared" ref="D60:R60" si="28">+D55-D58</f>
        <v>0</v>
      </c>
      <c r="E60" s="341">
        <f t="shared" si="28"/>
        <v>0</v>
      </c>
      <c r="F60" s="341">
        <f t="shared" si="28"/>
        <v>0</v>
      </c>
      <c r="G60" s="341">
        <f t="shared" si="28"/>
        <v>0</v>
      </c>
      <c r="H60" s="341">
        <f t="shared" si="28"/>
        <v>0</v>
      </c>
      <c r="I60" s="341">
        <f t="shared" si="28"/>
        <v>0</v>
      </c>
      <c r="J60" s="341">
        <f t="shared" si="28"/>
        <v>0</v>
      </c>
      <c r="K60" s="341">
        <f t="shared" si="28"/>
        <v>0</v>
      </c>
      <c r="L60" s="341">
        <f t="shared" si="28"/>
        <v>0</v>
      </c>
      <c r="M60" s="341">
        <f t="shared" si="28"/>
        <v>0</v>
      </c>
      <c r="N60" s="341">
        <f t="shared" si="28"/>
        <v>0</v>
      </c>
      <c r="O60" s="341">
        <f t="shared" si="28"/>
        <v>0</v>
      </c>
      <c r="P60" s="341">
        <f t="shared" si="28"/>
        <v>0</v>
      </c>
      <c r="Q60" s="341">
        <f t="shared" si="28"/>
        <v>0</v>
      </c>
      <c r="R60" s="341">
        <f t="shared" si="28"/>
        <v>0</v>
      </c>
      <c r="S60" s="341">
        <f>+S55-S58</f>
        <v>0</v>
      </c>
      <c r="T60" s="341">
        <f>+T55-T58</f>
        <v>0</v>
      </c>
      <c r="U60" s="341">
        <f>+U55-U58</f>
        <v>0</v>
      </c>
      <c r="V60" s="341">
        <f>+V55-V58</f>
        <v>0</v>
      </c>
      <c r="W60" s="341">
        <f>+W55-W58</f>
        <v>0</v>
      </c>
    </row>
    <row r="61" spans="1:23" s="327" customFormat="1" x14ac:dyDescent="0.2">
      <c r="A61" s="277"/>
      <c r="B61" s="427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</row>
    <row r="62" spans="1:23" s="327" customFormat="1" x14ac:dyDescent="0.2">
      <c r="A62" s="277"/>
      <c r="B62" s="427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</row>
    <row r="63" spans="1:23" s="431" customFormat="1" x14ac:dyDescent="0.2">
      <c r="A63" s="284" t="s">
        <v>202</v>
      </c>
      <c r="B63" s="428"/>
      <c r="C63" s="429"/>
      <c r="D63" s="435">
        <f t="shared" ref="D63:W63" si="29">+D25-D60</f>
        <v>412400649.67304522</v>
      </c>
      <c r="E63" s="435">
        <f t="shared" si="29"/>
        <v>414318608.42518461</v>
      </c>
      <c r="F63" s="435">
        <f t="shared" si="29"/>
        <v>462418078.2902385</v>
      </c>
      <c r="G63" s="435">
        <f t="shared" si="29"/>
        <v>468389307.01289612</v>
      </c>
      <c r="H63" s="435">
        <f t="shared" si="29"/>
        <v>430726827.32800031</v>
      </c>
      <c r="I63" s="435">
        <f t="shared" si="29"/>
        <v>454147455.64887828</v>
      </c>
      <c r="J63" s="435">
        <f t="shared" si="29"/>
        <v>492722304.135077</v>
      </c>
      <c r="K63" s="435">
        <f t="shared" si="29"/>
        <v>514583868.51368219</v>
      </c>
      <c r="L63" s="435">
        <f t="shared" si="29"/>
        <v>521839888.63567251</v>
      </c>
      <c r="M63" s="435">
        <f t="shared" si="29"/>
        <v>518139013.77771556</v>
      </c>
      <c r="N63" s="435">
        <f t="shared" si="29"/>
        <v>520035399.41422009</v>
      </c>
      <c r="O63" s="435">
        <f t="shared" si="29"/>
        <v>522846107.07336491</v>
      </c>
      <c r="P63" s="435">
        <f t="shared" si="29"/>
        <v>524566677.90538251</v>
      </c>
      <c r="Q63" s="435">
        <f t="shared" si="29"/>
        <v>553736717.27634549</v>
      </c>
      <c r="R63" s="435">
        <f t="shared" si="29"/>
        <v>599459118.83551896</v>
      </c>
      <c r="S63" s="435">
        <f t="shared" si="29"/>
        <v>573440734.43219781</v>
      </c>
      <c r="T63" s="435">
        <f t="shared" si="29"/>
        <v>582443960.40896511</v>
      </c>
      <c r="U63" s="435">
        <f t="shared" si="29"/>
        <v>629422502.146137</v>
      </c>
      <c r="V63" s="435">
        <f t="shared" si="29"/>
        <v>659739870.8264699</v>
      </c>
      <c r="W63" s="435">
        <f t="shared" si="29"/>
        <v>3492467547.9755149</v>
      </c>
    </row>
    <row r="64" spans="1:23" s="464" customFormat="1" ht="16.5" thickBot="1" x14ac:dyDescent="0.3">
      <c r="A64" s="461"/>
      <c r="B64" s="462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</row>
    <row r="65" spans="1:23" x14ac:dyDescent="0.2">
      <c r="A65" s="45"/>
      <c r="B65" s="360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</row>
    <row r="66" spans="1:23" ht="15.75" x14ac:dyDescent="0.25">
      <c r="A66" s="302" t="s">
        <v>29</v>
      </c>
      <c r="B66" s="305" t="s">
        <v>55</v>
      </c>
      <c r="C66" s="306">
        <v>2000</v>
      </c>
      <c r="D66" s="306">
        <v>2001</v>
      </c>
      <c r="E66" s="306">
        <v>2002</v>
      </c>
      <c r="F66" s="306">
        <v>2003</v>
      </c>
      <c r="G66" s="306">
        <v>2004</v>
      </c>
      <c r="H66" s="306">
        <v>2005</v>
      </c>
      <c r="I66" s="306">
        <v>2006</v>
      </c>
      <c r="J66" s="306">
        <v>2007</v>
      </c>
      <c r="K66" s="306">
        <v>2008</v>
      </c>
      <c r="L66" s="306">
        <v>2009</v>
      </c>
      <c r="M66" s="306">
        <v>2010</v>
      </c>
      <c r="N66" s="306">
        <v>2011</v>
      </c>
      <c r="O66" s="306">
        <v>2012</v>
      </c>
      <c r="P66" s="306">
        <v>2013</v>
      </c>
      <c r="Q66" s="306">
        <v>2014</v>
      </c>
      <c r="R66" s="306">
        <v>2015</v>
      </c>
      <c r="S66" s="306">
        <v>2016</v>
      </c>
      <c r="T66" s="306">
        <v>2017</v>
      </c>
      <c r="U66" s="306">
        <v>2018</v>
      </c>
      <c r="V66" s="306">
        <v>2019</v>
      </c>
      <c r="W66" s="306" t="s">
        <v>154</v>
      </c>
    </row>
    <row r="67" spans="1:23" x14ac:dyDescent="0.2">
      <c r="A67" s="302" t="s">
        <v>26</v>
      </c>
      <c r="B67" s="303">
        <v>312</v>
      </c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</row>
    <row r="68" spans="1:23" x14ac:dyDescent="0.2">
      <c r="A68" s="9"/>
      <c r="B68" s="309" t="s">
        <v>27</v>
      </c>
      <c r="C68" s="443">
        <v>0</v>
      </c>
      <c r="D68" s="404">
        <v>85927433.393919826</v>
      </c>
      <c r="E68" s="404">
        <v>84735727.059667796</v>
      </c>
      <c r="F68" s="404">
        <v>86366744.401917487</v>
      </c>
      <c r="G68" s="404">
        <v>85142598.358573094</v>
      </c>
      <c r="H68" s="404">
        <v>85783908.216711059</v>
      </c>
      <c r="I68" s="404">
        <v>91576197.079826921</v>
      </c>
      <c r="J68" s="404">
        <v>98193054.308462188</v>
      </c>
      <c r="K68" s="404">
        <v>100734070.38780233</v>
      </c>
      <c r="L68" s="404">
        <v>102842515.18384492</v>
      </c>
      <c r="M68" s="404">
        <v>103209657.28050408</v>
      </c>
      <c r="N68" s="404">
        <v>105439495.09729642</v>
      </c>
      <c r="O68" s="404">
        <v>106623558.17862625</v>
      </c>
      <c r="P68" s="404">
        <v>107878309.0354345</v>
      </c>
      <c r="Q68" s="404">
        <v>111675757.21614258</v>
      </c>
      <c r="R68" s="404">
        <v>119599040.1476637</v>
      </c>
      <c r="S68" s="404">
        <v>118910062.81952588</v>
      </c>
      <c r="T68" s="404">
        <v>120425550.06173044</v>
      </c>
      <c r="U68" s="404">
        <v>126212651.79635988</v>
      </c>
      <c r="V68" s="404">
        <v>130046181.16871367</v>
      </c>
      <c r="W68" s="327"/>
    </row>
    <row r="69" spans="1:23" x14ac:dyDescent="0.2">
      <c r="A69" s="9"/>
      <c r="B69" s="309" t="s">
        <v>20</v>
      </c>
      <c r="C69" s="443">
        <v>0</v>
      </c>
      <c r="D69" s="404">
        <v>-22632816.671983581</v>
      </c>
      <c r="E69" s="404">
        <v>-22580344.917720865</v>
      </c>
      <c r="F69" s="404">
        <v>-22361712.608292896</v>
      </c>
      <c r="G69" s="404">
        <v>-22265514.392144587</v>
      </c>
      <c r="H69" s="404">
        <v>-22116844.421733569</v>
      </c>
      <c r="I69" s="404">
        <v>-22523500.5172696</v>
      </c>
      <c r="J69" s="404">
        <v>-23225310.230533388</v>
      </c>
      <c r="K69" s="404">
        <v>-23868089.220251624</v>
      </c>
      <c r="L69" s="404">
        <v>-24596134.810646765</v>
      </c>
      <c r="M69" s="404">
        <v>-24950319.151920076</v>
      </c>
      <c r="N69" s="404">
        <v>-25370093.18602179</v>
      </c>
      <c r="O69" s="404">
        <v>-25510017.864055686</v>
      </c>
      <c r="P69" s="404">
        <v>-25503458.894772854</v>
      </c>
      <c r="Q69" s="404">
        <v>-25689296.357786626</v>
      </c>
      <c r="R69" s="404">
        <v>-25800798.835594889</v>
      </c>
      <c r="S69" s="404">
        <v>-26004126.883362904</v>
      </c>
      <c r="T69" s="404">
        <v>-26220572.869696599</v>
      </c>
      <c r="U69" s="404">
        <v>-26395478.71723897</v>
      </c>
      <c r="V69" s="404">
        <v>-26533217.072178595</v>
      </c>
      <c r="W69" s="327"/>
    </row>
    <row r="70" spans="1:23" x14ac:dyDescent="0.2">
      <c r="A70" s="9"/>
      <c r="B70" s="309" t="s">
        <v>31</v>
      </c>
      <c r="C70" s="443">
        <v>0</v>
      </c>
      <c r="D70" s="404">
        <v>-1956276.2305850447</v>
      </c>
      <c r="E70" s="404">
        <v>-1995762.4058344411</v>
      </c>
      <c r="F70" s="404">
        <v>-2036045.5840895739</v>
      </c>
      <c r="G70" s="404">
        <v>-2077141.8523425891</v>
      </c>
      <c r="H70" s="404">
        <v>-2119067.622291205</v>
      </c>
      <c r="I70" s="404">
        <v>-2161839.6368926857</v>
      </c>
      <c r="J70" s="404">
        <v>-2205474.9770500963</v>
      </c>
      <c r="K70" s="404">
        <v>-2249991.0684335274</v>
      </c>
      <c r="L70" s="404">
        <v>-2295405.6884389925</v>
      </c>
      <c r="M70" s="404">
        <v>-2341736.9732877878</v>
      </c>
      <c r="N70" s="404">
        <v>-2389003.4252691511</v>
      </c>
      <c r="O70" s="404">
        <v>-2437223.9201291106</v>
      </c>
      <c r="P70" s="404">
        <v>-2486417.7146084597</v>
      </c>
      <c r="Q70" s="404">
        <v>-2536604.4541329038</v>
      </c>
      <c r="R70" s="404">
        <v>-2587804.1806584038</v>
      </c>
      <c r="S70" s="404">
        <v>-2640037.3406748897</v>
      </c>
      <c r="T70" s="404">
        <v>-2693324.7933715181</v>
      </c>
      <c r="U70" s="404">
        <v>-2747687.8189667366</v>
      </c>
      <c r="V70" s="404">
        <v>-2803148.1272064908</v>
      </c>
      <c r="W70" s="327"/>
    </row>
    <row r="71" spans="1:23" x14ac:dyDescent="0.2">
      <c r="A71" s="9"/>
      <c r="B71" s="309" t="s">
        <v>32</v>
      </c>
      <c r="C71" s="443">
        <v>0</v>
      </c>
      <c r="D71" s="404">
        <v>0</v>
      </c>
      <c r="E71" s="404">
        <v>0</v>
      </c>
      <c r="F71" s="404">
        <v>0</v>
      </c>
      <c r="G71" s="404">
        <v>0</v>
      </c>
      <c r="H71" s="404">
        <v>0</v>
      </c>
      <c r="I71" s="404">
        <v>-5869544.5091596451</v>
      </c>
      <c r="J71" s="404">
        <v>-6505921.2059702007</v>
      </c>
      <c r="K71" s="404">
        <v>-7574145.6109293113</v>
      </c>
      <c r="L71" s="404">
        <v>-7885011.960687926</v>
      </c>
      <c r="M71" s="404">
        <v>-8769345.6247100364</v>
      </c>
      <c r="N71" s="404">
        <v>-9660097.376515314</v>
      </c>
      <c r="O71" s="404">
        <v>-10703098.274701819</v>
      </c>
      <c r="P71" s="404">
        <v>-12000988.720061421</v>
      </c>
      <c r="Q71" s="404">
        <v>-13358973.163934294</v>
      </c>
      <c r="R71" s="404">
        <v>-14797661.335406978</v>
      </c>
      <c r="S71" s="404">
        <v>-16247813.948696345</v>
      </c>
      <c r="T71" s="404">
        <v>-15962685.085480299</v>
      </c>
      <c r="U71" s="404">
        <v>-13656940.472618576</v>
      </c>
      <c r="V71" s="404">
        <v>-14159727.611878404</v>
      </c>
      <c r="W71" s="327"/>
    </row>
    <row r="72" spans="1:23" ht="13.5" thickBot="1" x14ac:dyDescent="0.25">
      <c r="A72" s="9"/>
      <c r="B72" s="310" t="s">
        <v>33</v>
      </c>
      <c r="C72" s="444">
        <v>0</v>
      </c>
      <c r="D72" s="406">
        <v>0</v>
      </c>
      <c r="E72" s="406">
        <v>0</v>
      </c>
      <c r="F72" s="406">
        <v>-1464693.3392643179</v>
      </c>
      <c r="G72" s="406">
        <v>-1248010.5366072352</v>
      </c>
      <c r="H72" s="406">
        <v>-1295605.4405754737</v>
      </c>
      <c r="I72" s="406">
        <v>-1345600.3246725115</v>
      </c>
      <c r="J72" s="406">
        <v>-1690367.893382096</v>
      </c>
      <c r="K72" s="406">
        <v>-1476517.4107331729</v>
      </c>
      <c r="L72" s="406">
        <v>-1562789.3546753416</v>
      </c>
      <c r="M72" s="406">
        <v>-1487053.924180558</v>
      </c>
      <c r="N72" s="406">
        <v>-1529644.3741662514</v>
      </c>
      <c r="O72" s="406">
        <v>-1569309.3865817469</v>
      </c>
      <c r="P72" s="406">
        <v>-1401722.5343001233</v>
      </c>
      <c r="Q72" s="406">
        <v>-1451840.6729015396</v>
      </c>
      <c r="R72" s="406">
        <v>-1481843.5138510859</v>
      </c>
      <c r="S72" s="406">
        <v>-1573613.6999804052</v>
      </c>
      <c r="T72" s="406">
        <v>-1479360.0878677766</v>
      </c>
      <c r="U72" s="406">
        <v>-1629333.2364952897</v>
      </c>
      <c r="V72" s="406">
        <v>-887091.38389172952</v>
      </c>
      <c r="W72" s="327"/>
    </row>
    <row r="73" spans="1:23" ht="13.5" thickTop="1" x14ac:dyDescent="0.2">
      <c r="A73" s="9"/>
      <c r="B73" s="311" t="s">
        <v>38</v>
      </c>
      <c r="C73" s="445">
        <v>0</v>
      </c>
      <c r="D73" s="408">
        <v>61338340.491351195</v>
      </c>
      <c r="E73" s="408">
        <v>60159619.736112483</v>
      </c>
      <c r="F73" s="408">
        <v>60504292.870270699</v>
      </c>
      <c r="G73" s="408">
        <v>59551931.577478677</v>
      </c>
      <c r="H73" s="408">
        <v>60252390.732110806</v>
      </c>
      <c r="I73" s="408">
        <v>59675712.091832481</v>
      </c>
      <c r="J73" s="408">
        <v>64565980.001526408</v>
      </c>
      <c r="K73" s="408">
        <v>65565327.077454709</v>
      </c>
      <c r="L73" s="408">
        <v>66503173.369395889</v>
      </c>
      <c r="M73" s="408">
        <v>65661201.606405608</v>
      </c>
      <c r="N73" s="408">
        <v>66490656.735323906</v>
      </c>
      <c r="O73" s="408">
        <v>66403908.733157903</v>
      </c>
      <c r="P73" s="408">
        <v>66485721.171691634</v>
      </c>
      <c r="Q73" s="408">
        <v>68639042.567387223</v>
      </c>
      <c r="R73" s="408">
        <v>74930932.28215234</v>
      </c>
      <c r="S73" s="408">
        <v>72444470.946811333</v>
      </c>
      <c r="T73" s="408">
        <v>74069607.225314245</v>
      </c>
      <c r="U73" s="408">
        <v>81783211.551040307</v>
      </c>
      <c r="V73" s="408">
        <v>85662996.973558456</v>
      </c>
      <c r="W73" s="327"/>
    </row>
    <row r="74" spans="1:23" x14ac:dyDescent="0.2">
      <c r="A74" s="9"/>
      <c r="B74" s="309" t="s">
        <v>34</v>
      </c>
      <c r="C74" s="443">
        <v>0</v>
      </c>
      <c r="D74" s="404">
        <v>-4215278.3681715792</v>
      </c>
      <c r="E74" s="404">
        <v>-4299583.9355350109</v>
      </c>
      <c r="F74" s="404">
        <v>-4428651.6142457109</v>
      </c>
      <c r="G74" s="404">
        <v>-4517440.0265306253</v>
      </c>
      <c r="H74" s="404">
        <v>-4608009.5915612374</v>
      </c>
      <c r="I74" s="404">
        <v>-4700396.0670049619</v>
      </c>
      <c r="J74" s="404">
        <v>-4794635.9290478742</v>
      </c>
      <c r="K74" s="404">
        <v>-4890766.3868492143</v>
      </c>
      <c r="L74" s="404">
        <v>-4988825.3972870912</v>
      </c>
      <c r="M74" s="404">
        <v>-5088851.6800012477</v>
      </c>
      <c r="N74" s="404">
        <v>-5190884.7327388972</v>
      </c>
      <c r="O74" s="404">
        <v>-5294964.8470097408</v>
      </c>
      <c r="P74" s="404">
        <v>-5401133.1240564026</v>
      </c>
      <c r="Q74" s="404">
        <v>-5509431.4911466595</v>
      </c>
      <c r="R74" s="404">
        <v>-5619902.7181939501</v>
      </c>
      <c r="S74" s="404">
        <v>-5732590.4347127946</v>
      </c>
      <c r="T74" s="404">
        <v>-5847539.1471158909</v>
      </c>
      <c r="U74" s="404">
        <v>-5964794.25635977</v>
      </c>
      <c r="V74" s="404">
        <v>-6084402.0759460665</v>
      </c>
      <c r="W74" s="327"/>
    </row>
    <row r="75" spans="1:23" x14ac:dyDescent="0.2">
      <c r="A75" s="9"/>
      <c r="B75" s="309" t="s">
        <v>35</v>
      </c>
      <c r="C75" s="443">
        <v>0</v>
      </c>
      <c r="D75" s="404">
        <v>-381835.51400375203</v>
      </c>
      <c r="E75" s="404">
        <v>-446848.79068212525</v>
      </c>
      <c r="F75" s="404">
        <v>-457081.35811975488</v>
      </c>
      <c r="G75" s="404">
        <v>-467545.18158147484</v>
      </c>
      <c r="H75" s="404">
        <v>-478258.04404158378</v>
      </c>
      <c r="I75" s="404">
        <v>-489735.03644411458</v>
      </c>
      <c r="J75" s="404">
        <v>-500988.73183821165</v>
      </c>
      <c r="K75" s="404">
        <v>-512527.28151932993</v>
      </c>
      <c r="L75" s="404">
        <v>-524350.83337757189</v>
      </c>
      <c r="M75" s="404">
        <v>-536475.88580819895</v>
      </c>
      <c r="N75" s="404">
        <v>-548894.36450764723</v>
      </c>
      <c r="O75" s="404">
        <v>-561625.78887032159</v>
      </c>
      <c r="P75" s="404">
        <v>-574680.59141180781</v>
      </c>
      <c r="Q75" s="404">
        <v>-588061.76401683118</v>
      </c>
      <c r="R75" s="404">
        <v>-601778.8040542407</v>
      </c>
      <c r="S75" s="404">
        <v>-615838.77009258547</v>
      </c>
      <c r="T75" s="404">
        <v>-630247.4232886812</v>
      </c>
      <c r="U75" s="404">
        <v>-645017.7336799989</v>
      </c>
      <c r="V75" s="404">
        <v>-660158.77886213863</v>
      </c>
      <c r="W75" s="327"/>
    </row>
    <row r="76" spans="1:23" ht="13.5" thickBot="1" x14ac:dyDescent="0.25">
      <c r="A76" s="9"/>
      <c r="B76" s="310" t="s">
        <v>36</v>
      </c>
      <c r="C76" s="444">
        <v>0</v>
      </c>
      <c r="D76" s="406">
        <v>-526501.97323171305</v>
      </c>
      <c r="E76" s="406">
        <v>-537611.16486690496</v>
      </c>
      <c r="F76" s="406">
        <v>-549384.84937749105</v>
      </c>
      <c r="G76" s="406">
        <v>-561800.946973418</v>
      </c>
      <c r="H76" s="406">
        <v>-575171.80951138702</v>
      </c>
      <c r="I76" s="406">
        <v>-589585.672880798</v>
      </c>
      <c r="J76" s="406">
        <v>-604209.04007825395</v>
      </c>
      <c r="K76" s="406">
        <v>-619502.81952545105</v>
      </c>
      <c r="L76" s="406">
        <v>-634804.53916773095</v>
      </c>
      <c r="M76" s="406">
        <v>-650992.054916505</v>
      </c>
      <c r="N76" s="406">
        <v>-666746.06264548795</v>
      </c>
      <c r="O76" s="406">
        <v>-683548.06342415197</v>
      </c>
      <c r="P76" s="406">
        <v>-700910.18423512403</v>
      </c>
      <c r="Q76" s="406">
        <v>-718432.93884100195</v>
      </c>
      <c r="R76" s="406">
        <v>-736465.605605911</v>
      </c>
      <c r="S76" s="406">
        <v>-754877.24574606004</v>
      </c>
      <c r="T76" s="406">
        <v>-773598.20144056203</v>
      </c>
      <c r="U76" s="406">
        <v>-793015.51629672095</v>
      </c>
      <c r="V76" s="406">
        <v>-812920.20575576904</v>
      </c>
      <c r="W76" s="327"/>
    </row>
    <row r="77" spans="1:23" ht="13.5" thickTop="1" x14ac:dyDescent="0.2">
      <c r="A77" s="9"/>
      <c r="B77" s="311" t="s">
        <v>220</v>
      </c>
      <c r="C77" s="446">
        <v>0</v>
      </c>
      <c r="D77" s="410">
        <v>56214724.63594415</v>
      </c>
      <c r="E77" s="410">
        <v>54875575.845028445</v>
      </c>
      <c r="F77" s="410">
        <v>55069175.04852774</v>
      </c>
      <c r="G77" s="410">
        <v>54005145.422393158</v>
      </c>
      <c r="H77" s="410">
        <v>54590951.286996603</v>
      </c>
      <c r="I77" s="410">
        <v>53895995.315502606</v>
      </c>
      <c r="J77" s="410">
        <v>58666146.300562069</v>
      </c>
      <c r="K77" s="410">
        <v>59542530.58956071</v>
      </c>
      <c r="L77" s="410">
        <v>60355192.599563494</v>
      </c>
      <c r="M77" s="410">
        <v>59384881.985679649</v>
      </c>
      <c r="N77" s="410">
        <v>60084131.575431876</v>
      </c>
      <c r="O77" s="410">
        <v>59863770.033853687</v>
      </c>
      <c r="P77" s="410">
        <v>59808997.271988295</v>
      </c>
      <c r="Q77" s="410">
        <v>61823116.373382732</v>
      </c>
      <c r="R77" s="410">
        <v>67972785.154298231</v>
      </c>
      <c r="S77" s="410">
        <v>65341164.49625989</v>
      </c>
      <c r="T77" s="410">
        <v>66818222.453469105</v>
      </c>
      <c r="U77" s="410">
        <v>74380384.044703826</v>
      </c>
      <c r="V77" s="410">
        <v>78105515.912994489</v>
      </c>
      <c r="W77" s="327"/>
    </row>
    <row r="78" spans="1:23" x14ac:dyDescent="0.2">
      <c r="A78" s="9"/>
      <c r="B78" s="309" t="s">
        <v>37</v>
      </c>
      <c r="C78" s="443">
        <v>0</v>
      </c>
      <c r="D78" s="404">
        <v>-1434872.2601740002</v>
      </c>
      <c r="E78" s="404">
        <v>-3155929.5261579999</v>
      </c>
      <c r="F78" s="404">
        <v>-4939391.063348501</v>
      </c>
      <c r="G78" s="404">
        <v>-5108167.5928593995</v>
      </c>
      <c r="H78" s="404">
        <v>-5062073.5215890007</v>
      </c>
      <c r="I78" s="404">
        <v>-4941076.9650851702</v>
      </c>
      <c r="J78" s="404">
        <v>-3557780.8992803944</v>
      </c>
      <c r="K78" s="404">
        <v>-1786747.972144224</v>
      </c>
      <c r="L78" s="404">
        <v>-1294028.9634054825</v>
      </c>
      <c r="M78" s="404">
        <v>-1310279.0760656982</v>
      </c>
      <c r="N78" s="404">
        <v>-1190373.2136408901</v>
      </c>
      <c r="O78" s="404">
        <v>-1071222.9967528018</v>
      </c>
      <c r="P78" s="404">
        <v>-1099507.6173198787</v>
      </c>
      <c r="Q78" s="404">
        <v>-1128510.8565039681</v>
      </c>
      <c r="R78" s="404">
        <v>-1048759.1128635802</v>
      </c>
      <c r="S78" s="404">
        <v>-969829.54691398051</v>
      </c>
      <c r="T78" s="404">
        <v>-1001607.103985893</v>
      </c>
      <c r="U78" s="404">
        <v>-1034307.5377699627</v>
      </c>
      <c r="V78" s="404">
        <v>-1034621.4345675546</v>
      </c>
      <c r="W78" s="327"/>
    </row>
    <row r="79" spans="1:23" ht="13.5" thickBot="1" x14ac:dyDescent="0.25">
      <c r="A79" s="9"/>
      <c r="B79" s="310" t="s">
        <v>221</v>
      </c>
      <c r="C79" s="444">
        <v>0</v>
      </c>
      <c r="D79" s="406">
        <v>-21911940.950308062</v>
      </c>
      <c r="E79" s="406">
        <v>-20687858.527548179</v>
      </c>
      <c r="F79" s="406">
        <v>-20051913.594071697</v>
      </c>
      <c r="G79" s="406">
        <v>-19558791.131813504</v>
      </c>
      <c r="H79" s="406">
        <v>-19811551.10616304</v>
      </c>
      <c r="I79" s="406">
        <v>-19581967.340166975</v>
      </c>
      <c r="J79" s="406">
        <v>-22043346.160512671</v>
      </c>
      <c r="K79" s="406">
        <v>-23102313.046966597</v>
      </c>
      <c r="L79" s="406">
        <v>-23624465.454463206</v>
      </c>
      <c r="M79" s="406">
        <v>-23229841.163845584</v>
      </c>
      <c r="N79" s="406">
        <v>-23557503.344716396</v>
      </c>
      <c r="O79" s="406">
        <v>-23517018.814840358</v>
      </c>
      <c r="P79" s="406">
        <v>-23483795.861867368</v>
      </c>
      <c r="Q79" s="406">
        <v>-24277842.206751507</v>
      </c>
      <c r="R79" s="406">
        <v>-26769610.416573863</v>
      </c>
      <c r="S79" s="406">
        <v>-25748533.979738366</v>
      </c>
      <c r="T79" s="406">
        <v>-26326646.139793288</v>
      </c>
      <c r="U79" s="406">
        <v>-29338430.602773547</v>
      </c>
      <c r="V79" s="406">
        <v>-30828357.791370776</v>
      </c>
      <c r="W79" s="327"/>
    </row>
    <row r="80" spans="1:23" ht="13.5" thickTop="1" x14ac:dyDescent="0.2">
      <c r="A80" s="9"/>
      <c r="B80" s="311" t="s">
        <v>183</v>
      </c>
      <c r="C80" s="446">
        <v>0</v>
      </c>
      <c r="D80" s="410">
        <v>32867911.425462089</v>
      </c>
      <c r="E80" s="410">
        <v>31031787.791322269</v>
      </c>
      <c r="F80" s="410">
        <v>30077870.391107541</v>
      </c>
      <c r="G80" s="410">
        <v>29338186.697720252</v>
      </c>
      <c r="H80" s="410">
        <v>29717326.65924456</v>
      </c>
      <c r="I80" s="410">
        <v>29372951.01025046</v>
      </c>
      <c r="J80" s="410">
        <v>33065019.240769006</v>
      </c>
      <c r="K80" s="410">
        <v>34653469.570449889</v>
      </c>
      <c r="L80" s="410">
        <v>35436698.181694806</v>
      </c>
      <c r="M80" s="410">
        <v>34844761.745768368</v>
      </c>
      <c r="N80" s="410">
        <v>35336255.017074585</v>
      </c>
      <c r="O80" s="410">
        <v>35275528.222260535</v>
      </c>
      <c r="P80" s="410">
        <v>35225693.792801045</v>
      </c>
      <c r="Q80" s="410">
        <v>36416763.310127258</v>
      </c>
      <c r="R80" s="410">
        <v>40154415.624860793</v>
      </c>
      <c r="S80" s="410">
        <v>38622800.969607547</v>
      </c>
      <c r="T80" s="410">
        <v>39489969.20968993</v>
      </c>
      <c r="U80" s="410">
        <v>44007645.904160321</v>
      </c>
      <c r="V80" s="410">
        <v>46242536.687056154</v>
      </c>
      <c r="W80" s="327"/>
    </row>
    <row r="81" spans="1:23" x14ac:dyDescent="0.2">
      <c r="A81" s="9"/>
      <c r="B81" s="309" t="s">
        <v>37</v>
      </c>
      <c r="C81" s="443">
        <v>0</v>
      </c>
      <c r="D81" s="404">
        <v>1434872.2601740002</v>
      </c>
      <c r="E81" s="404">
        <v>3155929.5261579999</v>
      </c>
      <c r="F81" s="404">
        <v>4939391.063348501</v>
      </c>
      <c r="G81" s="404">
        <v>5108167.5928593995</v>
      </c>
      <c r="H81" s="404">
        <v>5062073.5215890007</v>
      </c>
      <c r="I81" s="404">
        <v>4941076.9650851702</v>
      </c>
      <c r="J81" s="404">
        <v>3557780.8992803944</v>
      </c>
      <c r="K81" s="404">
        <v>1786747.972144224</v>
      </c>
      <c r="L81" s="404">
        <v>1294028.9634054825</v>
      </c>
      <c r="M81" s="404">
        <v>1310279.0760656982</v>
      </c>
      <c r="N81" s="404">
        <v>1190373.2136408901</v>
      </c>
      <c r="O81" s="404">
        <v>1071222.9967528018</v>
      </c>
      <c r="P81" s="404">
        <v>1099507.6173198787</v>
      </c>
      <c r="Q81" s="404">
        <v>1128510.8565039681</v>
      </c>
      <c r="R81" s="404">
        <v>1048759.1128635802</v>
      </c>
      <c r="S81" s="404">
        <v>969829.54691398051</v>
      </c>
      <c r="T81" s="404">
        <v>1001607.103985893</v>
      </c>
      <c r="U81" s="404">
        <v>1034307.5377699627</v>
      </c>
      <c r="V81" s="404">
        <v>1034621.4345675546</v>
      </c>
      <c r="W81" s="327"/>
    </row>
    <row r="82" spans="1:23" x14ac:dyDescent="0.2">
      <c r="A82" s="9"/>
      <c r="B82" s="309" t="s">
        <v>39</v>
      </c>
      <c r="C82" s="443">
        <v>0</v>
      </c>
      <c r="D82" s="404">
        <v>-1242599.8999999999</v>
      </c>
      <c r="E82" s="404">
        <v>-239999.94999999925</v>
      </c>
      <c r="F82" s="404">
        <v>-399999.96</v>
      </c>
      <c r="G82" s="404">
        <v>-239999.88</v>
      </c>
      <c r="H82" s="404">
        <v>-474999.93799999991</v>
      </c>
      <c r="I82" s="404">
        <v>-489249.93613999989</v>
      </c>
      <c r="J82" s="404">
        <v>-503927.43422419991</v>
      </c>
      <c r="K82" s="404">
        <v>-519045.25725092593</v>
      </c>
      <c r="L82" s="404">
        <v>-534616.61496845377</v>
      </c>
      <c r="M82" s="404">
        <v>-550655.11341750738</v>
      </c>
      <c r="N82" s="404">
        <v>-567174.76682003262</v>
      </c>
      <c r="O82" s="404">
        <v>-584190.0098246336</v>
      </c>
      <c r="P82" s="404">
        <v>-601715.71011937258</v>
      </c>
      <c r="Q82" s="404">
        <v>-619767.18142295373</v>
      </c>
      <c r="R82" s="404">
        <v>-638360.19686564233</v>
      </c>
      <c r="S82" s="404">
        <v>-657511.00277161156</v>
      </c>
      <c r="T82" s="404">
        <v>-677236.33285475988</v>
      </c>
      <c r="U82" s="404">
        <v>-697553.42284040269</v>
      </c>
      <c r="V82" s="404">
        <v>-718480.02552561474</v>
      </c>
      <c r="W82" s="327"/>
    </row>
    <row r="83" spans="1:23" ht="13.5" thickBot="1" x14ac:dyDescent="0.25">
      <c r="A83" s="9"/>
      <c r="B83" s="310" t="s">
        <v>40</v>
      </c>
      <c r="C83" s="444">
        <v>0</v>
      </c>
      <c r="D83" s="406">
        <v>-1471963.2</v>
      </c>
      <c r="E83" s="406">
        <v>-21211947.960000001</v>
      </c>
      <c r="F83" s="406">
        <v>-2835914.52</v>
      </c>
      <c r="G83" s="406">
        <v>0</v>
      </c>
      <c r="H83" s="406">
        <v>0</v>
      </c>
      <c r="I83" s="406">
        <v>0</v>
      </c>
      <c r="J83" s="406">
        <v>0</v>
      </c>
      <c r="K83" s="406">
        <v>0</v>
      </c>
      <c r="L83" s="406">
        <v>0</v>
      </c>
      <c r="M83" s="406">
        <v>0</v>
      </c>
      <c r="N83" s="406">
        <v>0</v>
      </c>
      <c r="O83" s="406">
        <v>0</v>
      </c>
      <c r="P83" s="406">
        <v>0</v>
      </c>
      <c r="Q83" s="406">
        <v>0</v>
      </c>
      <c r="R83" s="406">
        <v>0</v>
      </c>
      <c r="S83" s="406">
        <v>0</v>
      </c>
      <c r="T83" s="406">
        <v>0</v>
      </c>
      <c r="U83" s="406">
        <v>0</v>
      </c>
      <c r="V83" s="406">
        <v>0</v>
      </c>
      <c r="W83" s="327"/>
    </row>
    <row r="84" spans="1:23" ht="13.5" thickTop="1" x14ac:dyDescent="0.2">
      <c r="A84" s="9"/>
      <c r="B84" s="309"/>
      <c r="C84" s="44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327"/>
      <c r="S84" s="327"/>
      <c r="T84" s="327"/>
      <c r="U84" s="327"/>
      <c r="V84" s="327"/>
      <c r="W84" s="327"/>
    </row>
    <row r="85" spans="1:23" x14ac:dyDescent="0.2">
      <c r="A85" s="9"/>
      <c r="B85" s="311" t="s">
        <v>233</v>
      </c>
      <c r="C85" s="446">
        <v>0</v>
      </c>
      <c r="D85" s="410">
        <v>31588220.58563609</v>
      </c>
      <c r="E85" s="410">
        <v>12735769.407480262</v>
      </c>
      <c r="F85" s="410">
        <v>31781346.974456038</v>
      </c>
      <c r="G85" s="410">
        <v>34206354.410579652</v>
      </c>
      <c r="H85" s="410">
        <v>34304400.242833562</v>
      </c>
      <c r="I85" s="410">
        <v>33824778.039195627</v>
      </c>
      <c r="J85" s="410">
        <v>36118872.705825195</v>
      </c>
      <c r="K85" s="410">
        <v>35921172.285343185</v>
      </c>
      <c r="L85" s="410">
        <v>36196110.530131832</v>
      </c>
      <c r="M85" s="410">
        <v>35604385.708416559</v>
      </c>
      <c r="N85" s="410">
        <v>35959453.46389544</v>
      </c>
      <c r="O85" s="410">
        <v>35762561.2091887</v>
      </c>
      <c r="P85" s="410">
        <v>35723485.700001553</v>
      </c>
      <c r="Q85" s="410">
        <v>36925506.985208273</v>
      </c>
      <c r="R85" s="410">
        <v>40564814.540858731</v>
      </c>
      <c r="S85" s="410">
        <v>38935119.51374992</v>
      </c>
      <c r="T85" s="410">
        <v>39814339.980821058</v>
      </c>
      <c r="U85" s="410">
        <v>44344400.019089885</v>
      </c>
      <c r="V85" s="410">
        <v>46558678.096098095</v>
      </c>
      <c r="W85" s="408">
        <v>239756550.71470043</v>
      </c>
    </row>
    <row r="86" spans="1:23" x14ac:dyDescent="0.2">
      <c r="A86" s="9"/>
      <c r="B86" s="28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2">
      <c r="A87" s="302" t="s">
        <v>218</v>
      </c>
      <c r="B87" s="300" t="s">
        <v>170</v>
      </c>
      <c r="C87" s="433">
        <v>107783523.71258108</v>
      </c>
      <c r="D87" s="9"/>
      <c r="E87" s="137" t="s">
        <v>219</v>
      </c>
      <c r="F87" s="313" t="s">
        <v>170</v>
      </c>
      <c r="G87" s="437">
        <v>107783523.71258108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2">
      <c r="A88" s="9"/>
      <c r="B88" s="300" t="s">
        <v>180</v>
      </c>
      <c r="C88" s="433">
        <v>169183002.40701869</v>
      </c>
      <c r="D88" s="9"/>
      <c r="E88" s="315"/>
      <c r="F88" s="313" t="s">
        <v>180</v>
      </c>
      <c r="G88" s="437">
        <v>169183002.40701869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3.5" thickBot="1" x14ac:dyDescent="0.25">
      <c r="A89" s="9"/>
      <c r="B89" s="316" t="s">
        <v>137</v>
      </c>
      <c r="C89" s="434">
        <v>35638283.540787622</v>
      </c>
      <c r="D89" s="317"/>
      <c r="E89" s="315"/>
      <c r="F89" s="313" t="s">
        <v>137</v>
      </c>
      <c r="G89" s="437">
        <v>35638283.540787622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4.25" thickTop="1" thickBot="1" x14ac:dyDescent="0.25">
      <c r="A90" s="9"/>
      <c r="B90" s="300" t="s">
        <v>28</v>
      </c>
      <c r="C90" s="432">
        <v>312604809.66038746</v>
      </c>
      <c r="D90" s="299"/>
      <c r="E90" s="315"/>
      <c r="F90" s="318" t="s">
        <v>203</v>
      </c>
      <c r="G90" s="319"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3.5" thickTop="1" x14ac:dyDescent="0.2">
      <c r="A91" s="9"/>
      <c r="B91" s="286"/>
      <c r="C91" s="320"/>
      <c r="D91" s="9"/>
      <c r="E91" s="321"/>
      <c r="F91" s="313" t="s">
        <v>28</v>
      </c>
      <c r="G91" s="362">
        <v>312604809.66038746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2">
      <c r="A92" s="9"/>
      <c r="B92" s="286"/>
      <c r="C92" s="320"/>
      <c r="D92" s="9"/>
      <c r="E92" s="321"/>
      <c r="F92" s="313"/>
      <c r="G92" s="32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2">
      <c r="A93" s="9"/>
      <c r="B93" s="286"/>
      <c r="C93" s="320"/>
      <c r="D93" s="9"/>
      <c r="E93" s="321"/>
      <c r="F93" s="313"/>
      <c r="G93" s="32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">
      <c r="A94" s="9"/>
      <c r="B94" s="323" t="s">
        <v>222</v>
      </c>
      <c r="C94" s="320"/>
      <c r="D94" s="9"/>
      <c r="E94" s="321"/>
      <c r="F94" s="313"/>
      <c r="G94" s="32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2">
      <c r="A95" s="324" t="s">
        <v>224</v>
      </c>
      <c r="B95" s="323" t="s">
        <v>223</v>
      </c>
      <c r="C95" s="325"/>
      <c r="D95" s="326">
        <v>32867911.425462089</v>
      </c>
      <c r="E95" s="326">
        <v>31031787.791322269</v>
      </c>
      <c r="F95" s="326">
        <v>30077870.391107541</v>
      </c>
      <c r="G95" s="326">
        <v>29338186.697720252</v>
      </c>
      <c r="H95" s="326">
        <v>29717326.65924456</v>
      </c>
      <c r="I95" s="326">
        <v>29372951.01025046</v>
      </c>
      <c r="J95" s="326">
        <v>33065019.240769006</v>
      </c>
      <c r="K95" s="326">
        <v>34653469.570449889</v>
      </c>
      <c r="L95" s="326">
        <v>35436698.181694806</v>
      </c>
      <c r="M95" s="326">
        <v>34844761.745768368</v>
      </c>
      <c r="N95" s="326">
        <v>35336255.017074585</v>
      </c>
      <c r="O95" s="326">
        <v>35275528.222260535</v>
      </c>
      <c r="P95" s="326">
        <v>35225693.792801045</v>
      </c>
      <c r="Q95" s="326">
        <v>36416763.310127258</v>
      </c>
      <c r="R95" s="326">
        <v>40154415.624860793</v>
      </c>
      <c r="S95" s="326">
        <v>38622800.969607547</v>
      </c>
      <c r="T95" s="326">
        <v>39489969.20968993</v>
      </c>
      <c r="U95" s="326">
        <v>44007645.904160321</v>
      </c>
      <c r="V95" s="326">
        <v>46242536.687056154</v>
      </c>
      <c r="W95" s="9"/>
    </row>
    <row r="96" spans="1:23" x14ac:dyDescent="0.2">
      <c r="A96" s="9"/>
      <c r="B96" s="286" t="s">
        <v>225</v>
      </c>
      <c r="C96" s="320"/>
      <c r="D96" s="327">
        <v>21911940.950308062</v>
      </c>
      <c r="E96" s="327">
        <v>20687858.527548179</v>
      </c>
      <c r="F96" s="327">
        <v>20051913.594071697</v>
      </c>
      <c r="G96" s="327">
        <v>19558791.131813504</v>
      </c>
      <c r="H96" s="327">
        <v>19811551.10616304</v>
      </c>
      <c r="I96" s="327">
        <v>19581967.340166975</v>
      </c>
      <c r="J96" s="327">
        <v>22043346.160512671</v>
      </c>
      <c r="K96" s="327">
        <v>23102313.046966597</v>
      </c>
      <c r="L96" s="327">
        <v>23624465.454463206</v>
      </c>
      <c r="M96" s="327">
        <v>23229841.163845584</v>
      </c>
      <c r="N96" s="327">
        <v>23557503.344716396</v>
      </c>
      <c r="O96" s="327">
        <v>23517018.814840358</v>
      </c>
      <c r="P96" s="327">
        <v>23483795.861867368</v>
      </c>
      <c r="Q96" s="327">
        <v>24277842.206751507</v>
      </c>
      <c r="R96" s="327">
        <v>26769610.416573863</v>
      </c>
      <c r="S96" s="327">
        <v>25748533.979738366</v>
      </c>
      <c r="T96" s="327">
        <v>26326646.139793288</v>
      </c>
      <c r="U96" s="327">
        <v>29338430.602773547</v>
      </c>
      <c r="V96" s="327">
        <v>30828357.791370776</v>
      </c>
      <c r="W96" s="9"/>
    </row>
    <row r="97" spans="1:23" x14ac:dyDescent="0.2">
      <c r="A97" s="9"/>
      <c r="B97" s="328" t="s">
        <v>226</v>
      </c>
      <c r="C97" s="329"/>
      <c r="D97" s="327">
        <v>1434872.2601740002</v>
      </c>
      <c r="E97" s="327">
        <v>3155929.5261579999</v>
      </c>
      <c r="F97" s="327">
        <v>4939391.063348501</v>
      </c>
      <c r="G97" s="327">
        <v>5108167.5928593995</v>
      </c>
      <c r="H97" s="327">
        <v>5062073.5215890007</v>
      </c>
      <c r="I97" s="327">
        <v>4941076.9650851702</v>
      </c>
      <c r="J97" s="327">
        <v>3557780.8992803944</v>
      </c>
      <c r="K97" s="327">
        <v>1786747.972144224</v>
      </c>
      <c r="L97" s="327">
        <v>1294028.9634054825</v>
      </c>
      <c r="M97" s="327">
        <v>1310279.0760656982</v>
      </c>
      <c r="N97" s="327">
        <v>1190373.2136408901</v>
      </c>
      <c r="O97" s="327">
        <v>1071222.9967528018</v>
      </c>
      <c r="P97" s="327">
        <v>1099507.6173198787</v>
      </c>
      <c r="Q97" s="327">
        <v>1128510.8565039681</v>
      </c>
      <c r="R97" s="327">
        <v>1048759.1128635802</v>
      </c>
      <c r="S97" s="327">
        <v>969829.54691398051</v>
      </c>
      <c r="T97" s="327">
        <v>1001607.103985893</v>
      </c>
      <c r="U97" s="327">
        <v>1034307.5377699627</v>
      </c>
      <c r="V97" s="327">
        <v>1034621.4345675546</v>
      </c>
      <c r="W97" s="9"/>
    </row>
    <row r="98" spans="1:23" ht="13.5" thickBot="1" x14ac:dyDescent="0.25">
      <c r="A98" s="9"/>
      <c r="B98" s="330" t="s">
        <v>227</v>
      </c>
      <c r="C98" s="331"/>
      <c r="D98" s="332">
        <v>56214724.63594415</v>
      </c>
      <c r="E98" s="332">
        <v>54875575.845028445</v>
      </c>
      <c r="F98" s="332">
        <v>55069175.04852774</v>
      </c>
      <c r="G98" s="332">
        <v>54005145.422393158</v>
      </c>
      <c r="H98" s="332">
        <v>54590951.286996603</v>
      </c>
      <c r="I98" s="332">
        <v>53895995.315502606</v>
      </c>
      <c r="J98" s="332">
        <v>58666146.300562069</v>
      </c>
      <c r="K98" s="332">
        <v>59542530.58956071</v>
      </c>
      <c r="L98" s="332">
        <v>60355192.599563494</v>
      </c>
      <c r="M98" s="332">
        <v>59384881.985679649</v>
      </c>
      <c r="N98" s="332">
        <v>60084131.575431876</v>
      </c>
      <c r="O98" s="332">
        <v>59863770.033853695</v>
      </c>
      <c r="P98" s="332">
        <v>59808997.271988295</v>
      </c>
      <c r="Q98" s="332">
        <v>61823116.37338274</v>
      </c>
      <c r="R98" s="332">
        <v>67972785.154298246</v>
      </c>
      <c r="S98" s="332">
        <v>65341164.496259898</v>
      </c>
      <c r="T98" s="332">
        <v>66818222.453469113</v>
      </c>
      <c r="U98" s="332">
        <v>74380384.044703826</v>
      </c>
      <c r="V98" s="332">
        <v>78105515.912994489</v>
      </c>
      <c r="W98" s="9"/>
    </row>
    <row r="99" spans="1:23" ht="13.5" thickTop="1" x14ac:dyDescent="0.2">
      <c r="A99" s="324" t="s">
        <v>228</v>
      </c>
      <c r="B99" s="286" t="s">
        <v>229</v>
      </c>
      <c r="C99" s="320"/>
      <c r="D99" s="327">
        <v>-2592003.1630730298</v>
      </c>
      <c r="E99" s="327">
        <v>-3664600.5585730299</v>
      </c>
      <c r="F99" s="327">
        <v>-3684600.5565730296</v>
      </c>
      <c r="G99" s="327">
        <v>-3696600.5505730296</v>
      </c>
      <c r="H99" s="327">
        <v>-3720350.5474730302</v>
      </c>
      <c r="I99" s="327">
        <v>-3744813.0442800298</v>
      </c>
      <c r="J99" s="327">
        <v>-3770009.4159912402</v>
      </c>
      <c r="K99" s="327">
        <v>-3795961.6788537866</v>
      </c>
      <c r="L99" s="327">
        <v>-3822692.5096022086</v>
      </c>
      <c r="M99" s="327">
        <v>-3850225.2652730839</v>
      </c>
      <c r="N99" s="327">
        <v>-3878584.0036140857</v>
      </c>
      <c r="O99" s="327">
        <v>-3907793.5041053174</v>
      </c>
      <c r="P99" s="327">
        <v>-3935067.559611286</v>
      </c>
      <c r="Q99" s="327">
        <v>-1979920.4086824309</v>
      </c>
      <c r="R99" s="327">
        <v>-1644004.4585257159</v>
      </c>
      <c r="S99" s="327">
        <v>-1676880.0086642965</v>
      </c>
      <c r="T99" s="327">
        <v>-1710741.8253070344</v>
      </c>
      <c r="U99" s="327">
        <v>-1745619.4964490547</v>
      </c>
      <c r="V99" s="327">
        <v>-1781543.4977253354</v>
      </c>
      <c r="W99" s="9"/>
    </row>
    <row r="100" spans="1:23" x14ac:dyDescent="0.2">
      <c r="A100" s="9"/>
      <c r="B100" s="286" t="s">
        <v>230</v>
      </c>
      <c r="C100" s="320"/>
      <c r="D100" s="327">
        <v>0</v>
      </c>
      <c r="E100" s="327">
        <v>0</v>
      </c>
      <c r="F100" s="327">
        <v>0</v>
      </c>
      <c r="G100" s="327">
        <v>0</v>
      </c>
      <c r="H100" s="327">
        <v>0</v>
      </c>
      <c r="I100" s="327">
        <v>0</v>
      </c>
      <c r="J100" s="327">
        <v>0</v>
      </c>
      <c r="K100" s="327">
        <v>0</v>
      </c>
      <c r="L100" s="327">
        <v>0</v>
      </c>
      <c r="M100" s="327">
        <v>0</v>
      </c>
      <c r="N100" s="327">
        <v>0</v>
      </c>
      <c r="O100" s="327">
        <v>0</v>
      </c>
      <c r="P100" s="327">
        <v>0</v>
      </c>
      <c r="Q100" s="327">
        <v>0</v>
      </c>
      <c r="R100" s="327">
        <v>0</v>
      </c>
      <c r="S100" s="327">
        <v>0</v>
      </c>
      <c r="T100" s="327">
        <v>0</v>
      </c>
      <c r="U100" s="327">
        <v>0</v>
      </c>
      <c r="V100" s="327">
        <v>0</v>
      </c>
      <c r="W100" s="9"/>
    </row>
    <row r="101" spans="1:23" x14ac:dyDescent="0.2">
      <c r="A101" s="9"/>
      <c r="B101" s="323" t="s">
        <v>231</v>
      </c>
      <c r="C101" s="325"/>
      <c r="D101" s="326">
        <v>53622721.472871117</v>
      </c>
      <c r="E101" s="326">
        <v>51210975.286455415</v>
      </c>
      <c r="F101" s="326">
        <v>51384574.491954714</v>
      </c>
      <c r="G101" s="326">
        <v>50308544.871820129</v>
      </c>
      <c r="H101" s="326">
        <v>50870600.739523575</v>
      </c>
      <c r="I101" s="326">
        <v>50151182.271222576</v>
      </c>
      <c r="J101" s="326">
        <v>54896136.88457083</v>
      </c>
      <c r="K101" s="326">
        <v>55746568.910706922</v>
      </c>
      <c r="L101" s="326">
        <v>56532500.089961283</v>
      </c>
      <c r="M101" s="326">
        <v>55534656.720406562</v>
      </c>
      <c r="N101" s="326">
        <v>56205547.571817793</v>
      </c>
      <c r="O101" s="326">
        <v>55955976.52974838</v>
      </c>
      <c r="P101" s="326">
        <v>55873929.712377012</v>
      </c>
      <c r="Q101" s="326">
        <v>59843195.964700311</v>
      </c>
      <c r="R101" s="326">
        <v>66328780.695772529</v>
      </c>
      <c r="S101" s="326">
        <v>63664284.487595603</v>
      </c>
      <c r="T101" s="326">
        <v>65107480.628162079</v>
      </c>
      <c r="U101" s="326">
        <v>72634764.548254773</v>
      </c>
      <c r="V101" s="326">
        <v>76323972.415269151</v>
      </c>
      <c r="W101" s="9"/>
    </row>
    <row r="102" spans="1:23" ht="13.5" thickBot="1" x14ac:dyDescent="0.25">
      <c r="A102" s="9"/>
      <c r="B102" s="333" t="s">
        <v>237</v>
      </c>
      <c r="C102" s="334"/>
      <c r="D102" s="335">
        <v>-21449088.589148447</v>
      </c>
      <c r="E102" s="335">
        <v>-20484390.114582166</v>
      </c>
      <c r="F102" s="335">
        <v>-20553829.796781886</v>
      </c>
      <c r="G102" s="335">
        <v>-20123417.948728055</v>
      </c>
      <c r="H102" s="335">
        <v>-20348240.295809433</v>
      </c>
      <c r="I102" s="335">
        <v>-20060472.90848903</v>
      </c>
      <c r="J102" s="335">
        <v>-21958454.753828332</v>
      </c>
      <c r="K102" s="335">
        <v>-22298627.564282771</v>
      </c>
      <c r="L102" s="335">
        <v>-22613000.035984516</v>
      </c>
      <c r="M102" s="335">
        <v>-22213862.688162625</v>
      </c>
      <c r="N102" s="335">
        <v>-22482219.028727118</v>
      </c>
      <c r="O102" s="335">
        <v>-22382390.611899354</v>
      </c>
      <c r="P102" s="335">
        <v>-22349571.884950805</v>
      </c>
      <c r="Q102" s="335">
        <v>-23937278.385880128</v>
      </c>
      <c r="R102" s="335">
        <v>-26531512.278309014</v>
      </c>
      <c r="S102" s="335">
        <v>-25465713.795038242</v>
      </c>
      <c r="T102" s="335">
        <v>-26042992.251264833</v>
      </c>
      <c r="U102" s="335">
        <v>-29053905.819301911</v>
      </c>
      <c r="V102" s="335">
        <v>-30529588.966107663</v>
      </c>
      <c r="W102" s="9"/>
    </row>
    <row r="103" spans="1:23" ht="13.5" thickTop="1" x14ac:dyDescent="0.2">
      <c r="A103" s="9"/>
      <c r="B103" s="323" t="s">
        <v>232</v>
      </c>
      <c r="C103" s="325"/>
      <c r="D103" s="326">
        <v>32173632.88372267</v>
      </c>
      <c r="E103" s="326">
        <v>30726585.171873249</v>
      </c>
      <c r="F103" s="326">
        <v>30830744.695172828</v>
      </c>
      <c r="G103" s="326">
        <v>30185126.923092075</v>
      </c>
      <c r="H103" s="326">
        <v>30522360.443714142</v>
      </c>
      <c r="I103" s="326">
        <v>30090709.362733547</v>
      </c>
      <c r="J103" s="326">
        <v>32937682.130742498</v>
      </c>
      <c r="K103" s="326">
        <v>33447941.346424151</v>
      </c>
      <c r="L103" s="326">
        <v>33919500.053976767</v>
      </c>
      <c r="M103" s="326">
        <v>33320794.032243937</v>
      </c>
      <c r="N103" s="326">
        <v>33723328.543090671</v>
      </c>
      <c r="O103" s="326">
        <v>33573585.917849027</v>
      </c>
      <c r="P103" s="326">
        <v>33524357.827426206</v>
      </c>
      <c r="Q103" s="326">
        <v>35905917.578820184</v>
      </c>
      <c r="R103" s="326">
        <v>39797268.417463511</v>
      </c>
      <c r="S103" s="326">
        <v>38198570.692557365</v>
      </c>
      <c r="T103" s="326">
        <v>39064488.376897246</v>
      </c>
      <c r="U103" s="326">
        <v>43580858.728952862</v>
      </c>
      <c r="V103" s="326">
        <v>45794383.449161485</v>
      </c>
      <c r="W103" s="9"/>
    </row>
    <row r="104" spans="1:23" x14ac:dyDescent="0.2">
      <c r="A104" s="9"/>
      <c r="B104" s="9"/>
      <c r="C104" s="320"/>
      <c r="D104" s="9"/>
      <c r="E104" s="321"/>
      <c r="F104" s="313"/>
      <c r="G104" s="32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5.75" x14ac:dyDescent="0.25">
      <c r="A105" s="336" t="s">
        <v>205</v>
      </c>
      <c r="B105" s="33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2">
      <c r="A106" s="284" t="s">
        <v>190</v>
      </c>
      <c r="B106" s="303"/>
      <c r="C106" s="338">
        <v>0</v>
      </c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</row>
    <row r="107" spans="1:23" x14ac:dyDescent="0.2">
      <c r="A107" s="284" t="s">
        <v>191</v>
      </c>
      <c r="B107" s="303"/>
      <c r="C107" s="339">
        <v>0</v>
      </c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</row>
    <row r="108" spans="1:23" x14ac:dyDescent="0.2">
      <c r="A108" s="284" t="s">
        <v>201</v>
      </c>
      <c r="B108" s="303"/>
      <c r="C108" s="284">
        <v>15</v>
      </c>
      <c r="D108" s="277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</row>
    <row r="109" spans="1:23" x14ac:dyDescent="0.2">
      <c r="A109" s="284" t="s">
        <v>192</v>
      </c>
      <c r="B109" s="303"/>
      <c r="C109" s="339">
        <v>0</v>
      </c>
      <c r="D109" s="277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</row>
    <row r="110" spans="1:23" x14ac:dyDescent="0.2">
      <c r="A110" s="284" t="s">
        <v>193</v>
      </c>
      <c r="B110" s="303"/>
      <c r="C110" s="340">
        <v>8.7499999999999994E-2</v>
      </c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</row>
    <row r="111" spans="1:23" x14ac:dyDescent="0.2">
      <c r="A111" s="284"/>
      <c r="B111" s="303"/>
      <c r="C111" s="277"/>
      <c r="D111" s="306">
        <v>2001</v>
      </c>
      <c r="E111" s="306">
        <v>2002</v>
      </c>
      <c r="F111" s="306">
        <v>2003</v>
      </c>
      <c r="G111" s="306">
        <v>2004</v>
      </c>
      <c r="H111" s="306">
        <v>2005</v>
      </c>
      <c r="I111" s="306">
        <v>2006</v>
      </c>
      <c r="J111" s="306">
        <v>2007</v>
      </c>
      <c r="K111" s="306">
        <v>2008</v>
      </c>
      <c r="L111" s="306">
        <v>2009</v>
      </c>
      <c r="M111" s="306">
        <v>2010</v>
      </c>
      <c r="N111" s="306">
        <v>2011</v>
      </c>
      <c r="O111" s="306">
        <v>2012</v>
      </c>
      <c r="P111" s="306">
        <v>2013</v>
      </c>
      <c r="Q111" s="306">
        <v>2014</v>
      </c>
      <c r="R111" s="306">
        <v>2015</v>
      </c>
      <c r="S111" s="306">
        <v>2016</v>
      </c>
      <c r="T111" s="306">
        <v>2017</v>
      </c>
      <c r="U111" s="306">
        <v>2018</v>
      </c>
      <c r="V111" s="306">
        <v>2019</v>
      </c>
      <c r="W111" s="306" t="s">
        <v>154</v>
      </c>
    </row>
    <row r="112" spans="1:23" x14ac:dyDescent="0.2">
      <c r="A112" s="284" t="s">
        <v>194</v>
      </c>
      <c r="B112" s="303"/>
      <c r="C112" s="277"/>
      <c r="D112" s="341">
        <v>0</v>
      </c>
      <c r="E112" s="341">
        <v>0</v>
      </c>
      <c r="F112" s="341">
        <v>0</v>
      </c>
      <c r="G112" s="341">
        <v>0</v>
      </c>
      <c r="H112" s="341">
        <v>0</v>
      </c>
      <c r="I112" s="341">
        <v>0</v>
      </c>
      <c r="J112" s="341">
        <v>0</v>
      </c>
      <c r="K112" s="341">
        <v>0</v>
      </c>
      <c r="L112" s="341">
        <v>0</v>
      </c>
      <c r="M112" s="341">
        <v>0</v>
      </c>
      <c r="N112" s="341">
        <v>0</v>
      </c>
      <c r="O112" s="341">
        <v>0</v>
      </c>
      <c r="P112" s="341">
        <v>0</v>
      </c>
      <c r="Q112" s="341">
        <v>0</v>
      </c>
      <c r="R112" s="341">
        <v>0</v>
      </c>
      <c r="S112" s="341">
        <v>0</v>
      </c>
      <c r="T112" s="341">
        <v>0</v>
      </c>
      <c r="U112" s="341">
        <v>0</v>
      </c>
      <c r="V112" s="341">
        <v>0</v>
      </c>
      <c r="W112" s="341">
        <v>0</v>
      </c>
    </row>
    <row r="113" spans="1:23" x14ac:dyDescent="0.2">
      <c r="A113" s="284" t="s">
        <v>195</v>
      </c>
      <c r="B113" s="303"/>
      <c r="C113" s="277"/>
      <c r="D113" s="341">
        <v>0</v>
      </c>
      <c r="E113" s="341">
        <v>0</v>
      </c>
      <c r="F113" s="341">
        <v>0</v>
      </c>
      <c r="G113" s="341">
        <v>0</v>
      </c>
      <c r="H113" s="341">
        <v>0</v>
      </c>
      <c r="I113" s="341">
        <v>0</v>
      </c>
      <c r="J113" s="341">
        <v>0</v>
      </c>
      <c r="K113" s="341">
        <v>0</v>
      </c>
      <c r="L113" s="341">
        <v>0</v>
      </c>
      <c r="M113" s="341">
        <v>0</v>
      </c>
      <c r="N113" s="341">
        <v>0</v>
      </c>
      <c r="O113" s="341">
        <v>0</v>
      </c>
      <c r="P113" s="341">
        <v>0</v>
      </c>
      <c r="Q113" s="341">
        <v>0</v>
      </c>
      <c r="R113" s="341">
        <v>0</v>
      </c>
      <c r="S113" s="341">
        <v>0</v>
      </c>
      <c r="T113" s="341">
        <v>0</v>
      </c>
      <c r="U113" s="341">
        <v>0</v>
      </c>
      <c r="V113" s="341">
        <v>0</v>
      </c>
      <c r="W113" s="341">
        <v>0</v>
      </c>
    </row>
    <row r="114" spans="1:23" x14ac:dyDescent="0.2">
      <c r="A114" s="284" t="s">
        <v>196</v>
      </c>
      <c r="B114" s="303"/>
      <c r="C114" s="277"/>
      <c r="D114" s="341">
        <v>0</v>
      </c>
      <c r="E114" s="341">
        <v>0</v>
      </c>
      <c r="F114" s="341">
        <v>0</v>
      </c>
      <c r="G114" s="341">
        <v>0</v>
      </c>
      <c r="H114" s="341">
        <v>0</v>
      </c>
      <c r="I114" s="341">
        <v>0</v>
      </c>
      <c r="J114" s="341">
        <v>0</v>
      </c>
      <c r="K114" s="341">
        <v>0</v>
      </c>
      <c r="L114" s="341">
        <v>0</v>
      </c>
      <c r="M114" s="341">
        <v>0</v>
      </c>
      <c r="N114" s="341">
        <v>0</v>
      </c>
      <c r="O114" s="341">
        <v>0</v>
      </c>
      <c r="P114" s="341">
        <v>0</v>
      </c>
      <c r="Q114" s="341">
        <v>0</v>
      </c>
      <c r="R114" s="341">
        <v>0</v>
      </c>
      <c r="S114" s="341">
        <v>0</v>
      </c>
      <c r="T114" s="341">
        <v>0</v>
      </c>
      <c r="U114" s="341">
        <v>0</v>
      </c>
      <c r="V114" s="341">
        <v>0</v>
      </c>
      <c r="W114" s="341">
        <v>0</v>
      </c>
    </row>
    <row r="115" spans="1:23" x14ac:dyDescent="0.2">
      <c r="A115" s="284" t="s">
        <v>197</v>
      </c>
      <c r="B115" s="303"/>
      <c r="C115" s="277"/>
      <c r="D115" s="342">
        <v>0</v>
      </c>
      <c r="E115" s="342">
        <v>0</v>
      </c>
      <c r="F115" s="342">
        <v>0</v>
      </c>
      <c r="G115" s="342">
        <v>0</v>
      </c>
      <c r="H115" s="342">
        <v>0</v>
      </c>
      <c r="I115" s="342">
        <v>0</v>
      </c>
      <c r="J115" s="342">
        <v>0</v>
      </c>
      <c r="K115" s="342">
        <v>0</v>
      </c>
      <c r="L115" s="342">
        <v>0</v>
      </c>
      <c r="M115" s="342">
        <v>0</v>
      </c>
      <c r="N115" s="342">
        <v>0</v>
      </c>
      <c r="O115" s="342">
        <v>0</v>
      </c>
      <c r="P115" s="342">
        <v>0</v>
      </c>
      <c r="Q115" s="342">
        <v>0</v>
      </c>
      <c r="R115" s="342">
        <v>0</v>
      </c>
      <c r="S115" s="342">
        <v>0</v>
      </c>
      <c r="T115" s="342">
        <v>0</v>
      </c>
      <c r="U115" s="342">
        <v>0</v>
      </c>
      <c r="V115" s="342">
        <v>0</v>
      </c>
      <c r="W115" s="342">
        <v>0</v>
      </c>
    </row>
    <row r="116" spans="1:23" ht="13.5" thickBot="1" x14ac:dyDescent="0.25">
      <c r="A116" s="284" t="s">
        <v>198</v>
      </c>
      <c r="B116" s="303"/>
      <c r="C116" s="277"/>
      <c r="D116" s="343">
        <v>0</v>
      </c>
      <c r="E116" s="343">
        <v>0</v>
      </c>
      <c r="F116" s="343">
        <v>0</v>
      </c>
      <c r="G116" s="343">
        <v>0</v>
      </c>
      <c r="H116" s="343">
        <v>0</v>
      </c>
      <c r="I116" s="343">
        <v>0</v>
      </c>
      <c r="J116" s="343">
        <v>0</v>
      </c>
      <c r="K116" s="343">
        <v>0</v>
      </c>
      <c r="L116" s="343">
        <v>0</v>
      </c>
      <c r="M116" s="343">
        <v>0</v>
      </c>
      <c r="N116" s="343">
        <v>0</v>
      </c>
      <c r="O116" s="343">
        <v>0</v>
      </c>
      <c r="P116" s="343">
        <v>0</v>
      </c>
      <c r="Q116" s="343">
        <v>0</v>
      </c>
      <c r="R116" s="343">
        <v>0</v>
      </c>
      <c r="S116" s="343">
        <v>0</v>
      </c>
      <c r="T116" s="343">
        <v>0</v>
      </c>
      <c r="U116" s="343">
        <v>0</v>
      </c>
      <c r="V116" s="343">
        <v>0</v>
      </c>
      <c r="W116" s="343">
        <v>0</v>
      </c>
    </row>
    <row r="117" spans="1:23" ht="13.5" thickTop="1" x14ac:dyDescent="0.2">
      <c r="A117" s="284"/>
      <c r="B117" s="303"/>
      <c r="C117" s="277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</row>
    <row r="118" spans="1:23" x14ac:dyDescent="0.2">
      <c r="A118" s="284" t="s">
        <v>199</v>
      </c>
      <c r="B118" s="303"/>
      <c r="C118" s="277"/>
      <c r="D118" s="341">
        <v>0</v>
      </c>
      <c r="E118" s="341">
        <v>0</v>
      </c>
      <c r="F118" s="341">
        <v>0</v>
      </c>
      <c r="G118" s="341">
        <v>0</v>
      </c>
      <c r="H118" s="341">
        <v>0</v>
      </c>
      <c r="I118" s="341">
        <v>0</v>
      </c>
      <c r="J118" s="341">
        <v>0</v>
      </c>
      <c r="K118" s="341">
        <v>0</v>
      </c>
      <c r="L118" s="341">
        <v>0</v>
      </c>
      <c r="M118" s="341">
        <v>0</v>
      </c>
      <c r="N118" s="341">
        <v>0</v>
      </c>
      <c r="O118" s="341">
        <v>0</v>
      </c>
      <c r="P118" s="341">
        <v>0</v>
      </c>
      <c r="Q118" s="341">
        <v>0</v>
      </c>
      <c r="R118" s="341">
        <v>0</v>
      </c>
      <c r="S118" s="341">
        <v>0</v>
      </c>
      <c r="T118" s="341">
        <v>0</v>
      </c>
      <c r="U118" s="341">
        <v>0</v>
      </c>
      <c r="V118" s="341">
        <v>0</v>
      </c>
      <c r="W118" s="341">
        <v>0</v>
      </c>
    </row>
    <row r="119" spans="1:23" x14ac:dyDescent="0.2">
      <c r="A119" s="284"/>
      <c r="B119" s="303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  <c r="W119" s="277"/>
    </row>
    <row r="120" spans="1:23" x14ac:dyDescent="0.2">
      <c r="A120" s="284" t="s">
        <v>200</v>
      </c>
      <c r="B120" s="303"/>
      <c r="C120" s="277"/>
      <c r="D120" s="341">
        <v>0</v>
      </c>
      <c r="E120" s="341">
        <v>0</v>
      </c>
      <c r="F120" s="341">
        <v>0</v>
      </c>
      <c r="G120" s="341">
        <v>0</v>
      </c>
      <c r="H120" s="341">
        <v>0</v>
      </c>
      <c r="I120" s="341">
        <v>0</v>
      </c>
      <c r="J120" s="341">
        <v>0</v>
      </c>
      <c r="K120" s="341">
        <v>0</v>
      </c>
      <c r="L120" s="341">
        <v>0</v>
      </c>
      <c r="M120" s="341">
        <v>0</v>
      </c>
      <c r="N120" s="341">
        <v>0</v>
      </c>
      <c r="O120" s="341">
        <v>0</v>
      </c>
      <c r="P120" s="341">
        <v>0</v>
      </c>
      <c r="Q120" s="341">
        <v>0</v>
      </c>
      <c r="R120" s="341">
        <v>0</v>
      </c>
      <c r="S120" s="341">
        <v>0</v>
      </c>
      <c r="T120" s="341">
        <v>0</v>
      </c>
      <c r="U120" s="341">
        <v>0</v>
      </c>
      <c r="V120" s="341">
        <v>0</v>
      </c>
      <c r="W120" s="341">
        <v>0</v>
      </c>
    </row>
    <row r="121" spans="1:23" x14ac:dyDescent="0.2">
      <c r="A121" s="277"/>
      <c r="B121" s="303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</row>
    <row r="122" spans="1:23" x14ac:dyDescent="0.2">
      <c r="A122" s="277"/>
      <c r="B122" s="303"/>
      <c r="C122" s="277"/>
      <c r="D122" s="277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  <c r="W122" s="277"/>
    </row>
    <row r="123" spans="1:23" x14ac:dyDescent="0.2">
      <c r="A123" s="284" t="s">
        <v>202</v>
      </c>
      <c r="B123" s="279"/>
      <c r="C123" s="278"/>
      <c r="D123" s="435">
        <v>31588220.58563609</v>
      </c>
      <c r="E123" s="435">
        <v>12735769.407480262</v>
      </c>
      <c r="F123" s="435">
        <v>31781346.974456038</v>
      </c>
      <c r="G123" s="435">
        <v>34206354.410579652</v>
      </c>
      <c r="H123" s="435">
        <v>34304400.242833562</v>
      </c>
      <c r="I123" s="435">
        <v>33824778.039195627</v>
      </c>
      <c r="J123" s="435">
        <v>36118872.705825195</v>
      </c>
      <c r="K123" s="435">
        <v>35921172.285343185</v>
      </c>
      <c r="L123" s="435">
        <v>36196110.530131832</v>
      </c>
      <c r="M123" s="435">
        <v>35604385.708416559</v>
      </c>
      <c r="N123" s="435">
        <v>35959453.46389544</v>
      </c>
      <c r="O123" s="435">
        <v>35762561.2091887</v>
      </c>
      <c r="P123" s="435">
        <v>35723485.700001553</v>
      </c>
      <c r="Q123" s="435">
        <v>36925506.985208273</v>
      </c>
      <c r="R123" s="435">
        <v>40564814.540858731</v>
      </c>
      <c r="S123" s="435">
        <v>38935119.51374992</v>
      </c>
      <c r="T123" s="435">
        <v>39814339.980821058</v>
      </c>
      <c r="U123" s="435">
        <v>44344400.019089885</v>
      </c>
      <c r="V123" s="435">
        <v>46558678.096098095</v>
      </c>
      <c r="W123" s="435">
        <v>239756550.71470043</v>
      </c>
    </row>
    <row r="124" spans="1:23" x14ac:dyDescent="0.2">
      <c r="A124" s="9"/>
      <c r="B124" s="6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x14ac:dyDescent="0.2">
      <c r="A125" s="45"/>
      <c r="B125" s="360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</row>
    <row r="126" spans="1:23" x14ac:dyDescent="0.2">
      <c r="B126" s="348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294"/>
    </row>
    <row r="127" spans="1:23" x14ac:dyDescent="0.2">
      <c r="B127" s="348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294"/>
    </row>
    <row r="128" spans="1:23" ht="15.75" x14ac:dyDescent="0.25">
      <c r="A128" s="45"/>
      <c r="B128" s="346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</row>
    <row r="129" spans="1:23" x14ac:dyDescent="0.2">
      <c r="A129" s="45"/>
      <c r="B129" s="360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</row>
    <row r="130" spans="1:23" x14ac:dyDescent="0.2">
      <c r="B130" s="348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294"/>
    </row>
    <row r="131" spans="1:23" x14ac:dyDescent="0.2">
      <c r="B131" s="348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49"/>
      <c r="P131" s="349"/>
      <c r="Q131" s="349"/>
      <c r="R131" s="349"/>
      <c r="S131" s="349"/>
      <c r="T131" s="349"/>
      <c r="U131" s="349"/>
      <c r="V131" s="349"/>
      <c r="W131" s="294"/>
    </row>
    <row r="132" spans="1:23" ht="15.75" x14ac:dyDescent="0.25">
      <c r="A132" s="302" t="s">
        <v>29</v>
      </c>
      <c r="B132" s="305" t="s">
        <v>56</v>
      </c>
      <c r="C132" s="306">
        <v>2000</v>
      </c>
      <c r="D132" s="306">
        <v>2001</v>
      </c>
      <c r="E132" s="306">
        <v>2002</v>
      </c>
      <c r="F132" s="306">
        <v>2003</v>
      </c>
      <c r="G132" s="306">
        <v>2004</v>
      </c>
      <c r="H132" s="306">
        <v>2005</v>
      </c>
      <c r="I132" s="306">
        <v>2006</v>
      </c>
      <c r="J132" s="306">
        <v>2007</v>
      </c>
      <c r="K132" s="306">
        <v>2008</v>
      </c>
      <c r="L132" s="306">
        <v>2009</v>
      </c>
      <c r="M132" s="306">
        <v>2010</v>
      </c>
      <c r="N132" s="306">
        <v>2011</v>
      </c>
      <c r="O132" s="306">
        <v>2012</v>
      </c>
      <c r="P132" s="306">
        <v>2013</v>
      </c>
      <c r="Q132" s="306">
        <v>2014</v>
      </c>
      <c r="R132" s="306">
        <v>2015</v>
      </c>
      <c r="S132" s="306">
        <v>2016</v>
      </c>
      <c r="T132" s="306">
        <v>2017</v>
      </c>
      <c r="U132" s="306">
        <v>2018</v>
      </c>
      <c r="V132" s="306">
        <v>2019</v>
      </c>
      <c r="W132" s="306" t="s">
        <v>154</v>
      </c>
    </row>
    <row r="133" spans="1:23" x14ac:dyDescent="0.2">
      <c r="A133" s="302" t="s">
        <v>26</v>
      </c>
      <c r="B133" s="303">
        <v>414</v>
      </c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</row>
    <row r="134" spans="1:23" x14ac:dyDescent="0.2">
      <c r="A134" s="9"/>
      <c r="B134" s="309" t="s">
        <v>27</v>
      </c>
      <c r="C134" s="443">
        <v>0</v>
      </c>
      <c r="D134" s="404">
        <v>122148115.21949878</v>
      </c>
      <c r="E134" s="404">
        <v>120454073.20201287</v>
      </c>
      <c r="F134" s="404">
        <v>122772607.41602574</v>
      </c>
      <c r="G134" s="404">
        <v>121032451.49559411</v>
      </c>
      <c r="H134" s="404">
        <v>121944090.39075491</v>
      </c>
      <c r="I134" s="404">
        <v>130177981.93727654</v>
      </c>
      <c r="J134" s="404">
        <v>139584019.18557978</v>
      </c>
      <c r="K134" s="404">
        <v>143196140.63008946</v>
      </c>
      <c r="L134" s="404">
        <v>146193350.57467493</v>
      </c>
      <c r="M134" s="404">
        <v>146715252.75833565</v>
      </c>
      <c r="N134" s="404">
        <v>149885026.08692694</v>
      </c>
      <c r="O134" s="404">
        <v>151568203.01858735</v>
      </c>
      <c r="P134" s="404">
        <v>153351864.48938385</v>
      </c>
      <c r="Q134" s="404">
        <v>158750037.33821961</v>
      </c>
      <c r="R134" s="404">
        <v>170013193.21533456</v>
      </c>
      <c r="S134" s="404">
        <v>169033793.75305575</v>
      </c>
      <c r="T134" s="404">
        <v>171188098.87963691</v>
      </c>
      <c r="U134" s="404">
        <v>179414616.78606504</v>
      </c>
      <c r="V134" s="404">
        <v>184864080.0014382</v>
      </c>
      <c r="W134" s="327"/>
    </row>
    <row r="135" spans="1:23" x14ac:dyDescent="0.2">
      <c r="A135" s="9"/>
      <c r="B135" s="309" t="s">
        <v>20</v>
      </c>
      <c r="C135" s="443">
        <v>0</v>
      </c>
      <c r="D135" s="404">
        <v>-29354569.507510226</v>
      </c>
      <c r="E135" s="404">
        <v>-29249629.545019954</v>
      </c>
      <c r="F135" s="404">
        <v>-29313229.52228678</v>
      </c>
      <c r="G135" s="404">
        <v>-29669389.394981079</v>
      </c>
      <c r="H135" s="404">
        <v>-30225889.196065951</v>
      </c>
      <c r="I135" s="404">
        <v>-31259388.826652106</v>
      </c>
      <c r="J135" s="404">
        <v>-32505948.38108217</v>
      </c>
      <c r="K135" s="404">
        <v>-33514008.020761602</v>
      </c>
      <c r="L135" s="404">
        <v>-34528427.658167712</v>
      </c>
      <c r="M135" s="404">
        <v>-35740007.225101016</v>
      </c>
      <c r="N135" s="404">
        <v>-36922966.802264251</v>
      </c>
      <c r="O135" s="404">
        <v>-37673446.534012973</v>
      </c>
      <c r="P135" s="404">
        <v>-38188606.349874377</v>
      </c>
      <c r="Q135" s="404">
        <v>-38945446.079349779</v>
      </c>
      <c r="R135" s="404">
        <v>-39699105.809961833</v>
      </c>
      <c r="S135" s="404">
        <v>-40478205.531480625</v>
      </c>
      <c r="T135" s="404">
        <v>-41266845.249589458</v>
      </c>
      <c r="U135" s="404">
        <v>-42074564.960878313</v>
      </c>
      <c r="V135" s="404">
        <v>-42891824.66875723</v>
      </c>
      <c r="W135" s="327"/>
    </row>
    <row r="136" spans="1:23" x14ac:dyDescent="0.2">
      <c r="A136" s="9"/>
      <c r="B136" s="309" t="s">
        <v>31</v>
      </c>
      <c r="C136" s="443">
        <v>0</v>
      </c>
      <c r="D136" s="404">
        <v>-6565213.5389158614</v>
      </c>
      <c r="E136" s="404">
        <v>-6697728.1441103537</v>
      </c>
      <c r="F136" s="404">
        <v>-8452152.2266267035</v>
      </c>
      <c r="G136" s="404">
        <v>-8630551.1320932806</v>
      </c>
      <c r="H136" s="404">
        <v>-8812745.8459872343</v>
      </c>
      <c r="I136" s="404">
        <v>-8998817.8577926252</v>
      </c>
      <c r="J136" s="404">
        <v>-9188850.4236446545</v>
      </c>
      <c r="K136" s="404">
        <v>-9382928.6050343364</v>
      </c>
      <c r="L136" s="404">
        <v>-9581139.3083705772</v>
      </c>
      <c r="M136" s="404">
        <v>-9783571.3254187908</v>
      </c>
      <c r="N136" s="404">
        <v>-9990315.3746357784</v>
      </c>
      <c r="O136" s="404">
        <v>-10201464.143420933</v>
      </c>
      <c r="P136" s="404">
        <v>-10417112.331304286</v>
      </c>
      <c r="Q136" s="404">
        <v>-10637356.694092458</v>
      </c>
      <c r="R136" s="404">
        <v>-10862296.088993968</v>
      </c>
      <c r="S136" s="404">
        <v>-11092031.520745877</v>
      </c>
      <c r="T136" s="404">
        <v>-11326666.188764254</v>
      </c>
      <c r="U136" s="404">
        <v>-11566305.535341458</v>
      </c>
      <c r="V136" s="404">
        <v>-11811057.294913696</v>
      </c>
      <c r="W136" s="327"/>
    </row>
    <row r="137" spans="1:23" x14ac:dyDescent="0.2">
      <c r="A137" s="9"/>
      <c r="B137" s="309" t="s">
        <v>32</v>
      </c>
      <c r="C137" s="443">
        <v>0</v>
      </c>
      <c r="D137" s="404">
        <v>0</v>
      </c>
      <c r="E137" s="404">
        <v>0</v>
      </c>
      <c r="F137" s="404">
        <v>0</v>
      </c>
      <c r="G137" s="404">
        <v>0</v>
      </c>
      <c r="H137" s="404">
        <v>0</v>
      </c>
      <c r="I137" s="404">
        <v>2563557.466426271</v>
      </c>
      <c r="J137" s="404">
        <v>2841498.6644225651</v>
      </c>
      <c r="K137" s="404">
        <v>3064812.33466997</v>
      </c>
      <c r="L137" s="404">
        <v>3443824.5170707498</v>
      </c>
      <c r="M137" s="404">
        <v>3830062.3526776163</v>
      </c>
      <c r="N137" s="404">
        <v>4219103.3251941726</v>
      </c>
      <c r="O137" s="404">
        <v>4674639.9917724356</v>
      </c>
      <c r="P137" s="404">
        <v>5241501.1403015377</v>
      </c>
      <c r="Q137" s="404">
        <v>5834608.6897797612</v>
      </c>
      <c r="R137" s="404">
        <v>6462964.0584259052</v>
      </c>
      <c r="S137" s="404">
        <v>7096326.5882532457</v>
      </c>
      <c r="T137" s="404">
        <v>6971794.910360612</v>
      </c>
      <c r="U137" s="404">
        <v>5964747.6328845453</v>
      </c>
      <c r="V137" s="404">
        <v>6184342.8200172456</v>
      </c>
      <c r="W137" s="327"/>
    </row>
    <row r="138" spans="1:23" ht="13.5" thickBot="1" x14ac:dyDescent="0.25">
      <c r="A138" s="9"/>
      <c r="B138" s="310" t="s">
        <v>33</v>
      </c>
      <c r="C138" s="444">
        <v>0</v>
      </c>
      <c r="D138" s="406">
        <v>0</v>
      </c>
      <c r="E138" s="406">
        <v>0</v>
      </c>
      <c r="F138" s="406">
        <v>-1597793.2880294365</v>
      </c>
      <c r="G138" s="406">
        <v>-1361420.0360756938</v>
      </c>
      <c r="H138" s="406">
        <v>-1413339.9950638693</v>
      </c>
      <c r="I138" s="406">
        <v>-1467878.0257250718</v>
      </c>
      <c r="J138" s="406">
        <v>-1843975.3919431018</v>
      </c>
      <c r="K138" s="406">
        <v>-1610691.8392303353</v>
      </c>
      <c r="L138" s="406">
        <v>-1704803.5070319287</v>
      </c>
      <c r="M138" s="406">
        <v>-1622185.8291421896</v>
      </c>
      <c r="N138" s="406">
        <v>-1668646.5682587295</v>
      </c>
      <c r="O138" s="406">
        <v>-1711916.0287718202</v>
      </c>
      <c r="P138" s="406">
        <v>-1529100.1856465598</v>
      </c>
      <c r="Q138" s="406">
        <v>-1583772.6712237075</v>
      </c>
      <c r="R138" s="406">
        <v>-1616501.9372112746</v>
      </c>
      <c r="S138" s="406">
        <v>-1716611.4847239894</v>
      </c>
      <c r="T138" s="406">
        <v>-1613792.8367729243</v>
      </c>
      <c r="U138" s="406">
        <v>-1777394.3797293771</v>
      </c>
      <c r="V138" s="406">
        <v>-967703.35540876549</v>
      </c>
      <c r="W138" s="327"/>
    </row>
    <row r="139" spans="1:23" ht="13.5" thickTop="1" x14ac:dyDescent="0.2">
      <c r="A139" s="9"/>
      <c r="B139" s="311" t="s">
        <v>38</v>
      </c>
      <c r="C139" s="445">
        <v>0</v>
      </c>
      <c r="D139" s="408">
        <v>86228332.173072696</v>
      </c>
      <c r="E139" s="408">
        <v>84506715.51288256</v>
      </c>
      <c r="F139" s="408">
        <v>83409432.379082814</v>
      </c>
      <c r="G139" s="408">
        <v>81371090.932444051</v>
      </c>
      <c r="H139" s="408">
        <v>81492115.353637859</v>
      </c>
      <c r="I139" s="408">
        <v>91015454.693533003</v>
      </c>
      <c r="J139" s="408">
        <v>98886743.653332412</v>
      </c>
      <c r="K139" s="408">
        <v>101753324.49973315</v>
      </c>
      <c r="L139" s="408">
        <v>103822804.61817546</v>
      </c>
      <c r="M139" s="408">
        <v>103399550.73135127</v>
      </c>
      <c r="N139" s="408">
        <v>105522200.66696236</v>
      </c>
      <c r="O139" s="408">
        <v>106656016.30415407</v>
      </c>
      <c r="P139" s="408">
        <v>108458546.76286016</v>
      </c>
      <c r="Q139" s="408">
        <v>113418070.58333343</v>
      </c>
      <c r="R139" s="408">
        <v>124298253.4375934</v>
      </c>
      <c r="S139" s="408">
        <v>122843271.80435851</v>
      </c>
      <c r="T139" s="408">
        <v>123952589.51487088</v>
      </c>
      <c r="U139" s="408">
        <v>129961099.54300044</v>
      </c>
      <c r="V139" s="408">
        <v>135377837.50237575</v>
      </c>
      <c r="W139" s="327"/>
    </row>
    <row r="140" spans="1:23" x14ac:dyDescent="0.2">
      <c r="A140" s="9"/>
      <c r="B140" s="309" t="s">
        <v>34</v>
      </c>
      <c r="C140" s="443">
        <v>0</v>
      </c>
      <c r="D140" s="404">
        <v>-2407054.286188236</v>
      </c>
      <c r="E140" s="404">
        <v>-2455195.3719120007</v>
      </c>
      <c r="F140" s="404">
        <v>-2578604.2793502407</v>
      </c>
      <c r="G140" s="404">
        <v>-2630547.8899372458</v>
      </c>
      <c r="H140" s="404">
        <v>-2683539.6608609906</v>
      </c>
      <c r="I140" s="404">
        <v>-2737600.7875313358</v>
      </c>
      <c r="J140" s="404">
        <v>-2792752.8950714157</v>
      </c>
      <c r="K140" s="404">
        <v>-2849018.0470570335</v>
      </c>
      <c r="L140" s="404">
        <v>-2906418.7544344682</v>
      </c>
      <c r="M140" s="404">
        <v>-2964977.9846203593</v>
      </c>
      <c r="N140" s="404">
        <v>-3024719.1707873982</v>
      </c>
      <c r="O140" s="404">
        <v>-3085666.2213396439</v>
      </c>
      <c r="P140" s="404">
        <v>-3147843.5295813465</v>
      </c>
      <c r="Q140" s="404">
        <v>-3211275.9835832561</v>
      </c>
      <c r="R140" s="404">
        <v>-3275988.9762504613</v>
      </c>
      <c r="S140" s="404">
        <v>-3342008.4155958984</v>
      </c>
      <c r="T140" s="404">
        <v>-3409360.7352237557</v>
      </c>
      <c r="U140" s="404">
        <v>-3478072.9050270678</v>
      </c>
      <c r="V140" s="404">
        <v>-3548172.4421039172</v>
      </c>
      <c r="W140" s="327"/>
    </row>
    <row r="141" spans="1:23" x14ac:dyDescent="0.2">
      <c r="A141" s="9"/>
      <c r="B141" s="309" t="s">
        <v>35</v>
      </c>
      <c r="C141" s="443">
        <v>0</v>
      </c>
      <c r="D141" s="404">
        <v>-597318.54938779096</v>
      </c>
      <c r="E141" s="404">
        <v>-613373.92846706556</v>
      </c>
      <c r="F141" s="404">
        <v>-629780.92034817627</v>
      </c>
      <c r="G141" s="404">
        <v>-646558.71024579997</v>
      </c>
      <c r="H141" s="404">
        <v>-663735.81154298712</v>
      </c>
      <c r="I141" s="404">
        <v>-681343.37272552669</v>
      </c>
      <c r="J141" s="404">
        <v>-699387.65047779877</v>
      </c>
      <c r="K141" s="404">
        <v>-717888.66618981981</v>
      </c>
      <c r="L141" s="404">
        <v>-736846.65698992775</v>
      </c>
      <c r="M141" s="404">
        <v>-756288.07655543846</v>
      </c>
      <c r="N141" s="404">
        <v>-776199.97847443458</v>
      </c>
      <c r="O141" s="404">
        <v>-796613.66032178933</v>
      </c>
      <c r="P141" s="404">
        <v>-817545.84968806687</v>
      </c>
      <c r="Q141" s="404">
        <v>-839001.34378850134</v>
      </c>
      <c r="R141" s="404">
        <v>-860995.37079085666</v>
      </c>
      <c r="S141" s="404">
        <v>-883539.24846827099</v>
      </c>
      <c r="T141" s="404">
        <v>-906642.21431208507</v>
      </c>
      <c r="U141" s="404">
        <v>-930325.06459857896</v>
      </c>
      <c r="V141" s="404">
        <v>-954602.35442726384</v>
      </c>
      <c r="W141" s="327"/>
    </row>
    <row r="142" spans="1:23" ht="13.5" thickBot="1" x14ac:dyDescent="0.25">
      <c r="A142" s="9"/>
      <c r="B142" s="310" t="s">
        <v>36</v>
      </c>
      <c r="C142" s="444">
        <v>0</v>
      </c>
      <c r="D142" s="406">
        <v>-972786.00031529705</v>
      </c>
      <c r="E142" s="406">
        <v>-993311.78492195602</v>
      </c>
      <c r="F142" s="406">
        <v>-1015065.31301175</v>
      </c>
      <c r="G142" s="406">
        <v>-1038005.78908581</v>
      </c>
      <c r="H142" s="406">
        <v>-1062710.32686605</v>
      </c>
      <c r="I142" s="406">
        <v>-1089341.95449349</v>
      </c>
      <c r="J142" s="406">
        <v>-1116360.6697318</v>
      </c>
      <c r="K142" s="406">
        <v>-1144618.0653248799</v>
      </c>
      <c r="L142" s="406">
        <v>-1172890.1315384</v>
      </c>
      <c r="M142" s="406">
        <v>-1202798.82989263</v>
      </c>
      <c r="N142" s="406">
        <v>-1231906.56157603</v>
      </c>
      <c r="O142" s="406">
        <v>-1262950.6069277499</v>
      </c>
      <c r="P142" s="406">
        <v>-1295029.5523437101</v>
      </c>
      <c r="Q142" s="406">
        <v>-1327405.2911523001</v>
      </c>
      <c r="R142" s="406">
        <v>-1360723.1639602201</v>
      </c>
      <c r="S142" s="406">
        <v>-1394741.24305923</v>
      </c>
      <c r="T142" s="406">
        <v>-1429330.8258871001</v>
      </c>
      <c r="U142" s="406">
        <v>-1465207.02961687</v>
      </c>
      <c r="V142" s="406">
        <v>-1501983.7260602501</v>
      </c>
      <c r="W142" s="327"/>
    </row>
    <row r="143" spans="1:23" ht="13.5" thickTop="1" x14ac:dyDescent="0.2">
      <c r="A143" s="9"/>
      <c r="B143" s="311" t="s">
        <v>220</v>
      </c>
      <c r="C143" s="446">
        <v>0</v>
      </c>
      <c r="D143" s="410">
        <v>82251173.337181374</v>
      </c>
      <c r="E143" s="410">
        <v>80444834.427581534</v>
      </c>
      <c r="F143" s="410">
        <v>79185981.866372645</v>
      </c>
      <c r="G143" s="410">
        <v>77055978.543175191</v>
      </c>
      <c r="H143" s="410">
        <v>77082129.55436784</v>
      </c>
      <c r="I143" s="410">
        <v>86507168.578782648</v>
      </c>
      <c r="J143" s="410">
        <v>94278242.438051403</v>
      </c>
      <c r="K143" s="410">
        <v>97041799.721161425</v>
      </c>
      <c r="L143" s="410">
        <v>99006649.075212657</v>
      </c>
      <c r="M143" s="410">
        <v>98475485.840282828</v>
      </c>
      <c r="N143" s="410">
        <v>100489374.9561245</v>
      </c>
      <c r="O143" s="410">
        <v>101510785.81556489</v>
      </c>
      <c r="P143" s="410">
        <v>103198127.83124703</v>
      </c>
      <c r="Q143" s="410">
        <v>108040387.96480937</v>
      </c>
      <c r="R143" s="410">
        <v>118800545.92659187</v>
      </c>
      <c r="S143" s="410">
        <v>117222982.89723511</v>
      </c>
      <c r="T143" s="410">
        <v>118207255.73944794</v>
      </c>
      <c r="U143" s="410">
        <v>124087494.54375795</v>
      </c>
      <c r="V143" s="410">
        <v>129373078.97978431</v>
      </c>
      <c r="W143" s="327"/>
    </row>
    <row r="144" spans="1:23" x14ac:dyDescent="0.2">
      <c r="A144" s="9"/>
      <c r="B144" s="309" t="s">
        <v>37</v>
      </c>
      <c r="C144" s="443">
        <v>0</v>
      </c>
      <c r="D144" s="404">
        <v>-4174403.4215759998</v>
      </c>
      <c r="E144" s="404">
        <v>-5849582.9851517994</v>
      </c>
      <c r="F144" s="404">
        <v>-6167306.2830158994</v>
      </c>
      <c r="G144" s="404">
        <v>-6508233.2379046995</v>
      </c>
      <c r="H144" s="404">
        <v>-6249775.3503995994</v>
      </c>
      <c r="I144" s="404">
        <v>-4937861.47714864</v>
      </c>
      <c r="J144" s="404">
        <v>-4072087.3069966584</v>
      </c>
      <c r="K144" s="404">
        <v>-4336067.0614501163</v>
      </c>
      <c r="L144" s="404">
        <v>-4634929.1990443524</v>
      </c>
      <c r="M144" s="404">
        <v>-4946409.9988576751</v>
      </c>
      <c r="N144" s="404">
        <v>-5011399.3327241922</v>
      </c>
      <c r="O144" s="404">
        <v>-5083722.1119775157</v>
      </c>
      <c r="P144" s="404">
        <v>-5431112.3449527193</v>
      </c>
      <c r="Q144" s="404">
        <v>-5606434.4549171804</v>
      </c>
      <c r="R144" s="404">
        <v>-5792288.2181805735</v>
      </c>
      <c r="S144" s="404">
        <v>-6172099.7943418678</v>
      </c>
      <c r="T144" s="404">
        <v>-6563190.0077880016</v>
      </c>
      <c r="U144" s="404">
        <v>-6827935.6376375202</v>
      </c>
      <c r="V144" s="404">
        <v>-7094544.7163825231</v>
      </c>
      <c r="W144" s="327"/>
    </row>
    <row r="145" spans="1:23" ht="13.5" thickBot="1" x14ac:dyDescent="0.25">
      <c r="A145" s="9"/>
      <c r="B145" s="310" t="s">
        <v>221</v>
      </c>
      <c r="C145" s="444">
        <v>0</v>
      </c>
      <c r="D145" s="406">
        <v>-31230707.966242153</v>
      </c>
      <c r="E145" s="406">
        <v>-29838100.576971896</v>
      </c>
      <c r="F145" s="406">
        <v>-29207470.233342696</v>
      </c>
      <c r="G145" s="406">
        <v>-28219098.122108199</v>
      </c>
      <c r="H145" s="406">
        <v>-28332941.681587297</v>
      </c>
      <c r="I145" s="406">
        <v>-32627722.840653606</v>
      </c>
      <c r="J145" s="406">
        <v>-36082462.052421898</v>
      </c>
      <c r="K145" s="406">
        <v>-37082293.063884519</v>
      </c>
      <c r="L145" s="406">
        <v>-37748687.950467326</v>
      </c>
      <c r="M145" s="406">
        <v>-37411630.336570062</v>
      </c>
      <c r="N145" s="406">
        <v>-38191190.249360122</v>
      </c>
      <c r="O145" s="406">
        <v>-38570825.481434949</v>
      </c>
      <c r="P145" s="406">
        <v>-39106806.194517724</v>
      </c>
      <c r="Q145" s="406">
        <v>-40973581.403956883</v>
      </c>
      <c r="R145" s="406">
        <v>-45203303.083364524</v>
      </c>
      <c r="S145" s="406">
        <v>-44420353.241157301</v>
      </c>
      <c r="T145" s="406">
        <v>-44657626.292663977</v>
      </c>
      <c r="U145" s="406">
        <v>-46903823.562448174</v>
      </c>
      <c r="V145" s="406">
        <v>-48911413.705360718</v>
      </c>
      <c r="W145" s="327"/>
    </row>
    <row r="146" spans="1:23" ht="13.5" thickTop="1" x14ac:dyDescent="0.2">
      <c r="A146" s="9"/>
      <c r="B146" s="311" t="s">
        <v>183</v>
      </c>
      <c r="C146" s="446">
        <v>0</v>
      </c>
      <c r="D146" s="410">
        <v>46846061.949363232</v>
      </c>
      <c r="E146" s="410">
        <v>44757150.86545784</v>
      </c>
      <c r="F146" s="410">
        <v>43811205.350014046</v>
      </c>
      <c r="G146" s="410">
        <v>42328647.183162294</v>
      </c>
      <c r="H146" s="410">
        <v>42499412.522380948</v>
      </c>
      <c r="I146" s="410">
        <v>48941584.260980405</v>
      </c>
      <c r="J146" s="410">
        <v>54123693.078632846</v>
      </c>
      <c r="K146" s="410">
        <v>55623439.595826782</v>
      </c>
      <c r="L146" s="410">
        <v>56623031.925700985</v>
      </c>
      <c r="M146" s="410">
        <v>56117445.504855089</v>
      </c>
      <c r="N146" s="410">
        <v>57286785.374040179</v>
      </c>
      <c r="O146" s="410">
        <v>57856238.222152419</v>
      </c>
      <c r="P146" s="410">
        <v>58660209.29177659</v>
      </c>
      <c r="Q146" s="410">
        <v>61460372.105935313</v>
      </c>
      <c r="R146" s="410">
        <v>67804954.62504679</v>
      </c>
      <c r="S146" s="410">
        <v>66630529.861735947</v>
      </c>
      <c r="T146" s="410">
        <v>66986439.438995957</v>
      </c>
      <c r="U146" s="410">
        <v>70355735.343672246</v>
      </c>
      <c r="V146" s="410">
        <v>73367120.558041066</v>
      </c>
      <c r="W146" s="327"/>
    </row>
    <row r="147" spans="1:23" x14ac:dyDescent="0.2">
      <c r="A147" s="9"/>
      <c r="B147" s="309" t="s">
        <v>37</v>
      </c>
      <c r="C147" s="443">
        <v>0</v>
      </c>
      <c r="D147" s="404">
        <v>4174403.4215759998</v>
      </c>
      <c r="E147" s="404">
        <v>5849582.9851517994</v>
      </c>
      <c r="F147" s="404">
        <v>6167306.2830158994</v>
      </c>
      <c r="G147" s="404">
        <v>6508233.2379046995</v>
      </c>
      <c r="H147" s="404">
        <v>6249775.3503995994</v>
      </c>
      <c r="I147" s="404">
        <v>4937861.47714864</v>
      </c>
      <c r="J147" s="404">
        <v>4072087.3069966584</v>
      </c>
      <c r="K147" s="404">
        <v>4336067.0614501163</v>
      </c>
      <c r="L147" s="404">
        <v>4634929.1990443524</v>
      </c>
      <c r="M147" s="404">
        <v>4946409.9988576751</v>
      </c>
      <c r="N147" s="404">
        <v>5011399.3327241922</v>
      </c>
      <c r="O147" s="404">
        <v>5083722.1119775157</v>
      </c>
      <c r="P147" s="404">
        <v>5431112.3449527193</v>
      </c>
      <c r="Q147" s="404">
        <v>5606434.4549171804</v>
      </c>
      <c r="R147" s="404">
        <v>5792288.2181805735</v>
      </c>
      <c r="S147" s="404">
        <v>6172099.7943418678</v>
      </c>
      <c r="T147" s="404">
        <v>6563190.0077880016</v>
      </c>
      <c r="U147" s="404">
        <v>6827935.6376375202</v>
      </c>
      <c r="V147" s="404">
        <v>7094544.7163825231</v>
      </c>
      <c r="W147" s="327"/>
    </row>
    <row r="148" spans="1:23" x14ac:dyDescent="0.2">
      <c r="A148" s="9"/>
      <c r="B148" s="309" t="s">
        <v>39</v>
      </c>
      <c r="C148" s="443">
        <v>0</v>
      </c>
      <c r="D148" s="404">
        <v>-6476152.9199999981</v>
      </c>
      <c r="E148" s="404">
        <v>-4148462.07</v>
      </c>
      <c r="F148" s="404">
        <v>-9273526.5500000007</v>
      </c>
      <c r="G148" s="404">
        <v>-4044029</v>
      </c>
      <c r="H148" s="404">
        <v>-5849494.4759999998</v>
      </c>
      <c r="I148" s="404">
        <v>-6024979.3102799999</v>
      </c>
      <c r="J148" s="404">
        <v>-6205728.6895883996</v>
      </c>
      <c r="K148" s="404">
        <v>-6391900.5502760522</v>
      </c>
      <c r="L148" s="404">
        <v>-6583657.5667843344</v>
      </c>
      <c r="M148" s="404">
        <v>-6781167.293787865</v>
      </c>
      <c r="N148" s="404">
        <v>-6984602.3126015011</v>
      </c>
      <c r="O148" s="404">
        <v>-7194140.3819795465</v>
      </c>
      <c r="P148" s="404">
        <v>-7409964.5934389327</v>
      </c>
      <c r="Q148" s="404">
        <v>-7632263.5312421005</v>
      </c>
      <c r="R148" s="404">
        <v>-7861231.4371793633</v>
      </c>
      <c r="S148" s="404">
        <v>-8097068.3802947449</v>
      </c>
      <c r="T148" s="404">
        <v>-8339980.4317035871</v>
      </c>
      <c r="U148" s="404">
        <v>-8590179.8446546942</v>
      </c>
      <c r="V148" s="404">
        <v>-8847885.2399943359</v>
      </c>
      <c r="W148" s="327"/>
    </row>
    <row r="149" spans="1:23" ht="13.5" thickBot="1" x14ac:dyDescent="0.25">
      <c r="A149" s="9"/>
      <c r="B149" s="310" t="s">
        <v>40</v>
      </c>
      <c r="C149" s="444">
        <v>0</v>
      </c>
      <c r="D149" s="406">
        <v>-18826276.359999999</v>
      </c>
      <c r="E149" s="406">
        <v>0</v>
      </c>
      <c r="F149" s="406">
        <v>0</v>
      </c>
      <c r="G149" s="406">
        <v>0</v>
      </c>
      <c r="H149" s="406">
        <v>0</v>
      </c>
      <c r="I149" s="406">
        <v>0</v>
      </c>
      <c r="J149" s="406">
        <v>0</v>
      </c>
      <c r="K149" s="406">
        <v>0</v>
      </c>
      <c r="L149" s="406">
        <v>0</v>
      </c>
      <c r="M149" s="406">
        <v>0</v>
      </c>
      <c r="N149" s="406">
        <v>0</v>
      </c>
      <c r="O149" s="406">
        <v>0</v>
      </c>
      <c r="P149" s="406">
        <v>0</v>
      </c>
      <c r="Q149" s="406">
        <v>0</v>
      </c>
      <c r="R149" s="406">
        <v>0</v>
      </c>
      <c r="S149" s="406">
        <v>0</v>
      </c>
      <c r="T149" s="406">
        <v>0</v>
      </c>
      <c r="U149" s="406">
        <v>0</v>
      </c>
      <c r="V149" s="406">
        <v>0</v>
      </c>
      <c r="W149" s="327"/>
    </row>
    <row r="150" spans="1:23" ht="13.5" thickTop="1" x14ac:dyDescent="0.2">
      <c r="A150" s="9"/>
      <c r="B150" s="309"/>
      <c r="C150" s="44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</row>
    <row r="151" spans="1:23" x14ac:dyDescent="0.2">
      <c r="A151" s="9"/>
      <c r="B151" s="311" t="s">
        <v>233</v>
      </c>
      <c r="C151" s="446">
        <v>0</v>
      </c>
      <c r="D151" s="410">
        <v>25718036.090939239</v>
      </c>
      <c r="E151" s="410">
        <v>46458271.780609637</v>
      </c>
      <c r="F151" s="410">
        <v>40704985.083029941</v>
      </c>
      <c r="G151" s="410">
        <v>44792851.421066992</v>
      </c>
      <c r="H151" s="410">
        <v>42899693.39678055</v>
      </c>
      <c r="I151" s="410">
        <v>47854466.427849039</v>
      </c>
      <c r="J151" s="410">
        <v>51990051.696041107</v>
      </c>
      <c r="K151" s="410">
        <v>53567606.107000843</v>
      </c>
      <c r="L151" s="410">
        <v>54674303.557961002</v>
      </c>
      <c r="M151" s="410">
        <v>54282688.209924899</v>
      </c>
      <c r="N151" s="410">
        <v>55313582.394162871</v>
      </c>
      <c r="O151" s="410">
        <v>55745819.95215039</v>
      </c>
      <c r="P151" s="410">
        <v>56681357.043290377</v>
      </c>
      <c r="Q151" s="410">
        <v>59434543.029610388</v>
      </c>
      <c r="R151" s="410">
        <v>65736011.406047992</v>
      </c>
      <c r="S151" s="410">
        <v>64705561.275783069</v>
      </c>
      <c r="T151" s="410">
        <v>65209649.01508037</v>
      </c>
      <c r="U151" s="410">
        <v>68593491.136655077</v>
      </c>
      <c r="V151" s="410">
        <v>71613780.034429252</v>
      </c>
      <c r="W151" s="408">
        <v>379314255.83057827</v>
      </c>
    </row>
    <row r="152" spans="1:23" x14ac:dyDescent="0.2">
      <c r="A152" s="9"/>
      <c r="B152" s="286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">
      <c r="A153" s="302" t="s">
        <v>218</v>
      </c>
      <c r="B153" s="300" t="s">
        <v>170</v>
      </c>
      <c r="C153" s="433">
        <v>149589011.11520946</v>
      </c>
      <c r="D153" s="9"/>
      <c r="E153" s="137" t="s">
        <v>219</v>
      </c>
      <c r="F153" s="313" t="s">
        <v>170</v>
      </c>
      <c r="G153" s="437">
        <v>149589011.11520946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">
      <c r="A154" s="9"/>
      <c r="B154" s="300" t="s">
        <v>180</v>
      </c>
      <c r="C154" s="433">
        <v>258782362.68251947</v>
      </c>
      <c r="D154" s="9"/>
      <c r="E154" s="315"/>
      <c r="F154" s="313" t="s">
        <v>180</v>
      </c>
      <c r="G154" s="437">
        <v>258782362.68251947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3.5" thickBot="1" x14ac:dyDescent="0.25">
      <c r="A155" s="9"/>
      <c r="B155" s="316" t="s">
        <v>137</v>
      </c>
      <c r="C155" s="434">
        <v>56382647.147935279</v>
      </c>
      <c r="D155" s="317"/>
      <c r="E155" s="315"/>
      <c r="F155" s="313" t="s">
        <v>137</v>
      </c>
      <c r="G155" s="437">
        <v>56382647.147935279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4.25" thickTop="1" thickBot="1" x14ac:dyDescent="0.25">
      <c r="A156" s="9"/>
      <c r="B156" s="300" t="s">
        <v>28</v>
      </c>
      <c r="C156" s="432">
        <v>464754020.94566411</v>
      </c>
      <c r="D156" s="299"/>
      <c r="E156" s="315"/>
      <c r="F156" s="318" t="s">
        <v>203</v>
      </c>
      <c r="G156" s="319"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3.5" thickTop="1" x14ac:dyDescent="0.2">
      <c r="A157" s="9"/>
      <c r="B157" s="286"/>
      <c r="C157" s="320"/>
      <c r="D157" s="9"/>
      <c r="E157" s="321"/>
      <c r="F157" s="313" t="s">
        <v>28</v>
      </c>
      <c r="G157" s="362">
        <v>464754020.94566411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">
      <c r="A158" s="9"/>
      <c r="B158" s="286"/>
      <c r="C158" s="320"/>
      <c r="D158" s="9"/>
      <c r="E158" s="321"/>
      <c r="F158" s="313"/>
      <c r="G158" s="322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">
      <c r="A159" s="9"/>
      <c r="B159" s="286"/>
      <c r="C159" s="320"/>
      <c r="D159" s="9"/>
      <c r="E159" s="321"/>
      <c r="F159" s="313"/>
      <c r="G159" s="322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">
      <c r="A160" s="9"/>
      <c r="B160" s="323" t="s">
        <v>222</v>
      </c>
      <c r="C160" s="320"/>
      <c r="D160" s="9"/>
      <c r="E160" s="321"/>
      <c r="F160" s="313"/>
      <c r="G160" s="322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">
      <c r="A161" s="324" t="s">
        <v>224</v>
      </c>
      <c r="B161" s="323" t="s">
        <v>223</v>
      </c>
      <c r="C161" s="325"/>
      <c r="D161" s="326">
        <v>46846061.949363232</v>
      </c>
      <c r="E161" s="326">
        <v>44757150.86545784</v>
      </c>
      <c r="F161" s="326">
        <v>43811205.350014046</v>
      </c>
      <c r="G161" s="326">
        <v>42328647.183162294</v>
      </c>
      <c r="H161" s="326">
        <v>42499412.522380948</v>
      </c>
      <c r="I161" s="326">
        <v>48941584.260980405</v>
      </c>
      <c r="J161" s="326">
        <v>54123693.078632846</v>
      </c>
      <c r="K161" s="326">
        <v>55623439.595826782</v>
      </c>
      <c r="L161" s="326">
        <v>56623031.925700985</v>
      </c>
      <c r="M161" s="326">
        <v>56117445.504855089</v>
      </c>
      <c r="N161" s="326">
        <v>57286785.374040179</v>
      </c>
      <c r="O161" s="326">
        <v>57856238.222152419</v>
      </c>
      <c r="P161" s="326">
        <v>58660209.29177659</v>
      </c>
      <c r="Q161" s="326">
        <v>61460372.105935313</v>
      </c>
      <c r="R161" s="326">
        <v>67804954.62504679</v>
      </c>
      <c r="S161" s="326">
        <v>66630529.861735947</v>
      </c>
      <c r="T161" s="326">
        <v>66986439.438995957</v>
      </c>
      <c r="U161" s="326">
        <v>70355735.343672246</v>
      </c>
      <c r="V161" s="326">
        <v>73367120.558041066</v>
      </c>
      <c r="W161" s="9"/>
    </row>
    <row r="162" spans="1:23" x14ac:dyDescent="0.2">
      <c r="A162" s="9"/>
      <c r="B162" s="286" t="s">
        <v>225</v>
      </c>
      <c r="C162" s="320"/>
      <c r="D162" s="327">
        <v>31230707.966242153</v>
      </c>
      <c r="E162" s="327">
        <v>29838100.576971896</v>
      </c>
      <c r="F162" s="327">
        <v>29207470.233342696</v>
      </c>
      <c r="G162" s="327">
        <v>28219098.122108199</v>
      </c>
      <c r="H162" s="327">
        <v>28332941.681587297</v>
      </c>
      <c r="I162" s="327">
        <v>32627722.840653606</v>
      </c>
      <c r="J162" s="327">
        <v>36082462.052421898</v>
      </c>
      <c r="K162" s="327">
        <v>37082293.063884519</v>
      </c>
      <c r="L162" s="327">
        <v>37748687.950467326</v>
      </c>
      <c r="M162" s="327">
        <v>37411630.336570062</v>
      </c>
      <c r="N162" s="327">
        <v>38191190.249360122</v>
      </c>
      <c r="O162" s="327">
        <v>38570825.481434949</v>
      </c>
      <c r="P162" s="327">
        <v>39106806.194517724</v>
      </c>
      <c r="Q162" s="327">
        <v>40973581.403956883</v>
      </c>
      <c r="R162" s="327">
        <v>45203303.083364524</v>
      </c>
      <c r="S162" s="327">
        <v>44420353.241157301</v>
      </c>
      <c r="T162" s="327">
        <v>44657626.292663977</v>
      </c>
      <c r="U162" s="327">
        <v>46903823.562448174</v>
      </c>
      <c r="V162" s="327">
        <v>48911413.705360718</v>
      </c>
      <c r="W162" s="9"/>
    </row>
    <row r="163" spans="1:23" x14ac:dyDescent="0.2">
      <c r="A163" s="9"/>
      <c r="B163" s="328" t="s">
        <v>226</v>
      </c>
      <c r="C163" s="329"/>
      <c r="D163" s="327">
        <v>4174403.4215759998</v>
      </c>
      <c r="E163" s="327">
        <v>5849582.9851517994</v>
      </c>
      <c r="F163" s="327">
        <v>6167306.2830158994</v>
      </c>
      <c r="G163" s="327">
        <v>6508233.2379046995</v>
      </c>
      <c r="H163" s="327">
        <v>6249775.3503995994</v>
      </c>
      <c r="I163" s="327">
        <v>4937861.47714864</v>
      </c>
      <c r="J163" s="327">
        <v>4072087.3069966584</v>
      </c>
      <c r="K163" s="327">
        <v>4336067.0614501163</v>
      </c>
      <c r="L163" s="327">
        <v>4634929.1990443524</v>
      </c>
      <c r="M163" s="327">
        <v>4946409.9988576751</v>
      </c>
      <c r="N163" s="327">
        <v>5011399.3327241922</v>
      </c>
      <c r="O163" s="327">
        <v>5083722.1119775157</v>
      </c>
      <c r="P163" s="327">
        <v>5431112.3449527193</v>
      </c>
      <c r="Q163" s="327">
        <v>5606434.4549171804</v>
      </c>
      <c r="R163" s="327">
        <v>5792288.2181805735</v>
      </c>
      <c r="S163" s="327">
        <v>6172099.7943418678</v>
      </c>
      <c r="T163" s="327">
        <v>6563190.0077880016</v>
      </c>
      <c r="U163" s="327">
        <v>6827935.6376375202</v>
      </c>
      <c r="V163" s="327">
        <v>7094544.7163825231</v>
      </c>
      <c r="W163" s="9"/>
    </row>
    <row r="164" spans="1:23" ht="13.5" thickBot="1" x14ac:dyDescent="0.25">
      <c r="A164" s="9"/>
      <c r="B164" s="330" t="s">
        <v>227</v>
      </c>
      <c r="C164" s="331"/>
      <c r="D164" s="332">
        <v>82251173.337181374</v>
      </c>
      <c r="E164" s="332">
        <v>80444834.427581534</v>
      </c>
      <c r="F164" s="332">
        <v>79185981.866372645</v>
      </c>
      <c r="G164" s="332">
        <v>77055978.543175191</v>
      </c>
      <c r="H164" s="332">
        <v>77082129.55436784</v>
      </c>
      <c r="I164" s="332">
        <v>86507168.578782648</v>
      </c>
      <c r="J164" s="332">
        <v>94278242.438051403</v>
      </c>
      <c r="K164" s="332">
        <v>97041799.721161425</v>
      </c>
      <c r="L164" s="332">
        <v>99006649.075212657</v>
      </c>
      <c r="M164" s="332">
        <v>98475485.840282828</v>
      </c>
      <c r="N164" s="332">
        <v>100489374.9561245</v>
      </c>
      <c r="O164" s="332">
        <v>101510785.81556489</v>
      </c>
      <c r="P164" s="332">
        <v>103198127.83124703</v>
      </c>
      <c r="Q164" s="332">
        <v>108040387.96480937</v>
      </c>
      <c r="R164" s="332">
        <v>118800545.92659187</v>
      </c>
      <c r="S164" s="332">
        <v>117222982.89723511</v>
      </c>
      <c r="T164" s="332">
        <v>118207255.73944794</v>
      </c>
      <c r="U164" s="332">
        <v>124087494.54375795</v>
      </c>
      <c r="V164" s="332">
        <v>129373078.97978429</v>
      </c>
      <c r="W164" s="9"/>
    </row>
    <row r="165" spans="1:23" ht="13.5" thickTop="1" x14ac:dyDescent="0.2">
      <c r="A165" s="324" t="s">
        <v>228</v>
      </c>
      <c r="B165" s="286" t="s">
        <v>229</v>
      </c>
      <c r="C165" s="320"/>
      <c r="D165" s="327">
        <v>-11246222.150725979</v>
      </c>
      <c r="E165" s="327">
        <v>-11453645.25422598</v>
      </c>
      <c r="F165" s="327">
        <v>-11917321.581725979</v>
      </c>
      <c r="G165" s="327">
        <v>-12119523.03172598</v>
      </c>
      <c r="H165" s="327">
        <v>-12411997.75552598</v>
      </c>
      <c r="I165" s="327">
        <v>-12713246.721039981</v>
      </c>
      <c r="J165" s="327">
        <v>-13023533.1555194</v>
      </c>
      <c r="K165" s="327">
        <v>-13343128.183033202</v>
      </c>
      <c r="L165" s="327">
        <v>-13672311.061372418</v>
      </c>
      <c r="M165" s="327">
        <v>-14011369.426061813</v>
      </c>
      <c r="N165" s="327">
        <v>-14360599.541691888</v>
      </c>
      <c r="O165" s="327">
        <v>-14720306.560790865</v>
      </c>
      <c r="P165" s="327">
        <v>-15090804.790462811</v>
      </c>
      <c r="Q165" s="327">
        <v>-15472417.967024917</v>
      </c>
      <c r="R165" s="327">
        <v>-15865479.538883885</v>
      </c>
      <c r="S165" s="327">
        <v>-11638557.347898467</v>
      </c>
      <c r="T165" s="327">
        <v>-7487617.019483801</v>
      </c>
      <c r="U165" s="327">
        <v>-7917126.0117165353</v>
      </c>
      <c r="V165" s="327">
        <v>-8359520.2737162523</v>
      </c>
      <c r="W165" s="9"/>
    </row>
    <row r="166" spans="1:23" x14ac:dyDescent="0.2">
      <c r="A166" s="9"/>
      <c r="B166" s="286" t="s">
        <v>230</v>
      </c>
      <c r="C166" s="320"/>
      <c r="D166" s="327">
        <v>0</v>
      </c>
      <c r="E166" s="327">
        <v>0</v>
      </c>
      <c r="F166" s="327">
        <v>0</v>
      </c>
      <c r="G166" s="327">
        <v>0</v>
      </c>
      <c r="H166" s="327">
        <v>0</v>
      </c>
      <c r="I166" s="327">
        <v>0</v>
      </c>
      <c r="J166" s="327">
        <v>0</v>
      </c>
      <c r="K166" s="327">
        <v>0</v>
      </c>
      <c r="L166" s="327">
        <v>0</v>
      </c>
      <c r="M166" s="327">
        <v>0</v>
      </c>
      <c r="N166" s="327">
        <v>0</v>
      </c>
      <c r="O166" s="327">
        <v>0</v>
      </c>
      <c r="P166" s="327">
        <v>0</v>
      </c>
      <c r="Q166" s="327">
        <v>0</v>
      </c>
      <c r="R166" s="327">
        <v>0</v>
      </c>
      <c r="S166" s="327">
        <v>0</v>
      </c>
      <c r="T166" s="327">
        <v>0</v>
      </c>
      <c r="U166" s="327">
        <v>0</v>
      </c>
      <c r="V166" s="327">
        <v>0</v>
      </c>
      <c r="W166" s="9"/>
    </row>
    <row r="167" spans="1:23" x14ac:dyDescent="0.2">
      <c r="A167" s="9"/>
      <c r="B167" s="323" t="s">
        <v>231</v>
      </c>
      <c r="C167" s="325"/>
      <c r="D167" s="326">
        <v>71004951.186455399</v>
      </c>
      <c r="E167" s="326">
        <v>68991189.17335555</v>
      </c>
      <c r="F167" s="326">
        <v>67268660.28464666</v>
      </c>
      <c r="G167" s="326">
        <v>64936455.51144921</v>
      </c>
      <c r="H167" s="326">
        <v>64670131.798841864</v>
      </c>
      <c r="I167" s="326">
        <v>73793921.857742667</v>
      </c>
      <c r="J167" s="326">
        <v>81254709.282532007</v>
      </c>
      <c r="K167" s="326">
        <v>83698671.538128227</v>
      </c>
      <c r="L167" s="326">
        <v>85334338.013840243</v>
      </c>
      <c r="M167" s="326">
        <v>84464116.414221019</v>
      </c>
      <c r="N167" s="326">
        <v>86128775.414432615</v>
      </c>
      <c r="O167" s="326">
        <v>86790479.254774019</v>
      </c>
      <c r="P167" s="326">
        <v>88107323.040784225</v>
      </c>
      <c r="Q167" s="326">
        <v>92567969.997784451</v>
      </c>
      <c r="R167" s="326">
        <v>102935066.38770799</v>
      </c>
      <c r="S167" s="326">
        <v>105584425.54933664</v>
      </c>
      <c r="T167" s="326">
        <v>110719638.71996413</v>
      </c>
      <c r="U167" s="326">
        <v>116170368.53204142</v>
      </c>
      <c r="V167" s="326">
        <v>121013558.70606804</v>
      </c>
      <c r="W167" s="9"/>
    </row>
    <row r="168" spans="1:23" ht="13.5" thickBot="1" x14ac:dyDescent="0.25">
      <c r="A168" s="9"/>
      <c r="B168" s="333" t="s">
        <v>237</v>
      </c>
      <c r="C168" s="334"/>
      <c r="D168" s="335">
        <v>-28401980.474582162</v>
      </c>
      <c r="E168" s="335">
        <v>-27596475.66934222</v>
      </c>
      <c r="F168" s="335">
        <v>-26907464.113858666</v>
      </c>
      <c r="G168" s="335">
        <v>-25974582.204579685</v>
      </c>
      <c r="H168" s="335">
        <v>-25868052.719536748</v>
      </c>
      <c r="I168" s="335">
        <v>-29517568.743097067</v>
      </c>
      <c r="J168" s="335">
        <v>-32501883.713012803</v>
      </c>
      <c r="K168" s="335">
        <v>-33479468.615251292</v>
      </c>
      <c r="L168" s="335">
        <v>-34133735.205536097</v>
      </c>
      <c r="M168" s="335">
        <v>-33785646.565688409</v>
      </c>
      <c r="N168" s="335">
        <v>-34451510.165773049</v>
      </c>
      <c r="O168" s="335">
        <v>-34716191.701909609</v>
      </c>
      <c r="P168" s="335">
        <v>-35242929.21631369</v>
      </c>
      <c r="Q168" s="335">
        <v>-37027187.999113783</v>
      </c>
      <c r="R168" s="335">
        <v>-41174026.5550832</v>
      </c>
      <c r="S168" s="335">
        <v>-42233770.219734661</v>
      </c>
      <c r="T168" s="335">
        <v>-44287855.487985656</v>
      </c>
      <c r="U168" s="335">
        <v>-46468147.412816569</v>
      </c>
      <c r="V168" s="335">
        <v>-48405423.482427217</v>
      </c>
      <c r="W168" s="9"/>
    </row>
    <row r="169" spans="1:23" ht="13.5" thickTop="1" x14ac:dyDescent="0.2">
      <c r="A169" s="9"/>
      <c r="B169" s="323" t="s">
        <v>232</v>
      </c>
      <c r="C169" s="325"/>
      <c r="D169" s="326">
        <v>42602970.711873233</v>
      </c>
      <c r="E169" s="326">
        <v>41394713.50401333</v>
      </c>
      <c r="F169" s="326">
        <v>40361196.17078799</v>
      </c>
      <c r="G169" s="326">
        <v>38961873.306869522</v>
      </c>
      <c r="H169" s="326">
        <v>38802079.079305112</v>
      </c>
      <c r="I169" s="326">
        <v>44276353.1146456</v>
      </c>
      <c r="J169" s="326">
        <v>48752825.569519207</v>
      </c>
      <c r="K169" s="326">
        <v>50219202.922876939</v>
      </c>
      <c r="L169" s="326">
        <v>51200602.808304146</v>
      </c>
      <c r="M169" s="326">
        <v>50678469.84853261</v>
      </c>
      <c r="N169" s="326">
        <v>51677265.248659566</v>
      </c>
      <c r="O169" s="326">
        <v>52074287.55286441</v>
      </c>
      <c r="P169" s="326">
        <v>52864393.824470535</v>
      </c>
      <c r="Q169" s="326">
        <v>55540781.998670667</v>
      </c>
      <c r="R169" s="326">
        <v>61761039.832624793</v>
      </c>
      <c r="S169" s="326">
        <v>63350655.329601981</v>
      </c>
      <c r="T169" s="326">
        <v>66431783.231978476</v>
      </c>
      <c r="U169" s="326">
        <v>69702221.119224846</v>
      </c>
      <c r="V169" s="326">
        <v>72608135.223640829</v>
      </c>
      <c r="W169" s="9"/>
    </row>
    <row r="170" spans="1:23" x14ac:dyDescent="0.2">
      <c r="A170" s="9"/>
      <c r="B170" s="9"/>
      <c r="C170" s="320"/>
      <c r="D170" s="9"/>
      <c r="E170" s="321"/>
      <c r="F170" s="313"/>
      <c r="G170" s="322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5.75" x14ac:dyDescent="0.25">
      <c r="A171" s="336" t="s">
        <v>205</v>
      </c>
      <c r="B171" s="33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">
      <c r="A172" s="284" t="s">
        <v>190</v>
      </c>
      <c r="B172" s="303"/>
      <c r="C172" s="338">
        <v>0</v>
      </c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</row>
    <row r="173" spans="1:23" x14ac:dyDescent="0.2">
      <c r="A173" s="284" t="s">
        <v>191</v>
      </c>
      <c r="B173" s="303"/>
      <c r="C173" s="339">
        <v>0</v>
      </c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</row>
    <row r="174" spans="1:23" x14ac:dyDescent="0.2">
      <c r="A174" s="284" t="s">
        <v>201</v>
      </c>
      <c r="B174" s="303"/>
      <c r="C174" s="284">
        <v>15</v>
      </c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</row>
    <row r="175" spans="1:23" x14ac:dyDescent="0.2">
      <c r="A175" s="284" t="s">
        <v>192</v>
      </c>
      <c r="B175" s="303"/>
      <c r="C175" s="339">
        <v>0</v>
      </c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  <c r="W175" s="277"/>
    </row>
    <row r="176" spans="1:23" x14ac:dyDescent="0.2">
      <c r="A176" s="284" t="s">
        <v>193</v>
      </c>
      <c r="B176" s="303"/>
      <c r="C176" s="340">
        <v>8.7499999999999994E-2</v>
      </c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  <c r="W176" s="277"/>
    </row>
    <row r="177" spans="1:23" x14ac:dyDescent="0.2">
      <c r="A177" s="284"/>
      <c r="B177" s="303"/>
      <c r="C177" s="277"/>
      <c r="D177" s="306">
        <v>2001</v>
      </c>
      <c r="E177" s="306">
        <v>2002</v>
      </c>
      <c r="F177" s="306">
        <v>2003</v>
      </c>
      <c r="G177" s="306">
        <v>2004</v>
      </c>
      <c r="H177" s="306">
        <v>2005</v>
      </c>
      <c r="I177" s="306">
        <v>2006</v>
      </c>
      <c r="J177" s="306">
        <v>2007</v>
      </c>
      <c r="K177" s="306">
        <v>2008</v>
      </c>
      <c r="L177" s="306">
        <v>2009</v>
      </c>
      <c r="M177" s="306">
        <v>2010</v>
      </c>
      <c r="N177" s="306">
        <v>2011</v>
      </c>
      <c r="O177" s="306">
        <v>2012</v>
      </c>
      <c r="P177" s="306">
        <v>2013</v>
      </c>
      <c r="Q177" s="306">
        <v>2014</v>
      </c>
      <c r="R177" s="306">
        <v>2015</v>
      </c>
      <c r="S177" s="306">
        <v>2016</v>
      </c>
      <c r="T177" s="306">
        <v>2017</v>
      </c>
      <c r="U177" s="306">
        <v>2018</v>
      </c>
      <c r="V177" s="306">
        <v>2019</v>
      </c>
      <c r="W177" s="306" t="s">
        <v>154</v>
      </c>
    </row>
    <row r="178" spans="1:23" x14ac:dyDescent="0.2">
      <c r="A178" s="284" t="s">
        <v>194</v>
      </c>
      <c r="B178" s="303"/>
      <c r="C178" s="277"/>
      <c r="D178" s="341">
        <v>0</v>
      </c>
      <c r="E178" s="341">
        <v>0</v>
      </c>
      <c r="F178" s="341">
        <v>0</v>
      </c>
      <c r="G178" s="341">
        <v>0</v>
      </c>
      <c r="H178" s="341">
        <v>0</v>
      </c>
      <c r="I178" s="341">
        <v>0</v>
      </c>
      <c r="J178" s="341">
        <v>0</v>
      </c>
      <c r="K178" s="341">
        <v>0</v>
      </c>
      <c r="L178" s="341">
        <v>0</v>
      </c>
      <c r="M178" s="341">
        <v>0</v>
      </c>
      <c r="N178" s="341">
        <v>0</v>
      </c>
      <c r="O178" s="341">
        <v>0</v>
      </c>
      <c r="P178" s="341">
        <v>0</v>
      </c>
      <c r="Q178" s="341">
        <v>0</v>
      </c>
      <c r="R178" s="341">
        <v>0</v>
      </c>
      <c r="S178" s="341">
        <v>0</v>
      </c>
      <c r="T178" s="341">
        <v>0</v>
      </c>
      <c r="U178" s="341">
        <v>0</v>
      </c>
      <c r="V178" s="341">
        <v>0</v>
      </c>
      <c r="W178" s="341">
        <v>0</v>
      </c>
    </row>
    <row r="179" spans="1:23" x14ac:dyDescent="0.2">
      <c r="A179" s="284" t="s">
        <v>195</v>
      </c>
      <c r="B179" s="303"/>
      <c r="C179" s="277"/>
      <c r="D179" s="341">
        <v>0</v>
      </c>
      <c r="E179" s="341">
        <v>0</v>
      </c>
      <c r="F179" s="341">
        <v>0</v>
      </c>
      <c r="G179" s="341">
        <v>0</v>
      </c>
      <c r="H179" s="341">
        <v>0</v>
      </c>
      <c r="I179" s="341">
        <v>0</v>
      </c>
      <c r="J179" s="341">
        <v>0</v>
      </c>
      <c r="K179" s="341">
        <v>0</v>
      </c>
      <c r="L179" s="341">
        <v>0</v>
      </c>
      <c r="M179" s="341">
        <v>0</v>
      </c>
      <c r="N179" s="341">
        <v>0</v>
      </c>
      <c r="O179" s="341">
        <v>0</v>
      </c>
      <c r="P179" s="341">
        <v>0</v>
      </c>
      <c r="Q179" s="341">
        <v>0</v>
      </c>
      <c r="R179" s="341">
        <v>0</v>
      </c>
      <c r="S179" s="341">
        <v>0</v>
      </c>
      <c r="T179" s="341">
        <v>0</v>
      </c>
      <c r="U179" s="341">
        <v>0</v>
      </c>
      <c r="V179" s="341">
        <v>0</v>
      </c>
      <c r="W179" s="341">
        <v>0</v>
      </c>
    </row>
    <row r="180" spans="1:23" x14ac:dyDescent="0.2">
      <c r="A180" s="284" t="s">
        <v>196</v>
      </c>
      <c r="B180" s="303"/>
      <c r="C180" s="277"/>
      <c r="D180" s="341">
        <v>0</v>
      </c>
      <c r="E180" s="341">
        <v>0</v>
      </c>
      <c r="F180" s="341">
        <v>0</v>
      </c>
      <c r="G180" s="341">
        <v>0</v>
      </c>
      <c r="H180" s="341">
        <v>0</v>
      </c>
      <c r="I180" s="341">
        <v>0</v>
      </c>
      <c r="J180" s="341">
        <v>0</v>
      </c>
      <c r="K180" s="341">
        <v>0</v>
      </c>
      <c r="L180" s="341">
        <v>0</v>
      </c>
      <c r="M180" s="341">
        <v>0</v>
      </c>
      <c r="N180" s="341">
        <v>0</v>
      </c>
      <c r="O180" s="341">
        <v>0</v>
      </c>
      <c r="P180" s="341">
        <v>0</v>
      </c>
      <c r="Q180" s="341">
        <v>0</v>
      </c>
      <c r="R180" s="341">
        <v>0</v>
      </c>
      <c r="S180" s="341">
        <v>0</v>
      </c>
      <c r="T180" s="341">
        <v>0</v>
      </c>
      <c r="U180" s="341">
        <v>0</v>
      </c>
      <c r="V180" s="341">
        <v>0</v>
      </c>
      <c r="W180" s="341">
        <v>0</v>
      </c>
    </row>
    <row r="181" spans="1:23" x14ac:dyDescent="0.2">
      <c r="A181" s="284" t="s">
        <v>197</v>
      </c>
      <c r="B181" s="303"/>
      <c r="C181" s="277"/>
      <c r="D181" s="342">
        <v>0</v>
      </c>
      <c r="E181" s="342">
        <v>0</v>
      </c>
      <c r="F181" s="342">
        <v>0</v>
      </c>
      <c r="G181" s="342">
        <v>0</v>
      </c>
      <c r="H181" s="342">
        <v>0</v>
      </c>
      <c r="I181" s="342">
        <v>0</v>
      </c>
      <c r="J181" s="342">
        <v>0</v>
      </c>
      <c r="K181" s="342">
        <v>0</v>
      </c>
      <c r="L181" s="342">
        <v>0</v>
      </c>
      <c r="M181" s="342">
        <v>0</v>
      </c>
      <c r="N181" s="342">
        <v>0</v>
      </c>
      <c r="O181" s="342">
        <v>0</v>
      </c>
      <c r="P181" s="342">
        <v>0</v>
      </c>
      <c r="Q181" s="342">
        <v>0</v>
      </c>
      <c r="R181" s="342">
        <v>0</v>
      </c>
      <c r="S181" s="342">
        <v>0</v>
      </c>
      <c r="T181" s="342">
        <v>0</v>
      </c>
      <c r="U181" s="342">
        <v>0</v>
      </c>
      <c r="V181" s="342">
        <v>0</v>
      </c>
      <c r="W181" s="342">
        <v>0</v>
      </c>
    </row>
    <row r="182" spans="1:23" ht="13.5" thickBot="1" x14ac:dyDescent="0.25">
      <c r="A182" s="284" t="s">
        <v>198</v>
      </c>
      <c r="B182" s="303"/>
      <c r="C182" s="277"/>
      <c r="D182" s="343">
        <v>0</v>
      </c>
      <c r="E182" s="343">
        <v>0</v>
      </c>
      <c r="F182" s="343">
        <v>0</v>
      </c>
      <c r="G182" s="343">
        <v>0</v>
      </c>
      <c r="H182" s="343">
        <v>0</v>
      </c>
      <c r="I182" s="343">
        <v>0</v>
      </c>
      <c r="J182" s="343">
        <v>0</v>
      </c>
      <c r="K182" s="343">
        <v>0</v>
      </c>
      <c r="L182" s="343">
        <v>0</v>
      </c>
      <c r="M182" s="343">
        <v>0</v>
      </c>
      <c r="N182" s="343">
        <v>0</v>
      </c>
      <c r="O182" s="343">
        <v>0</v>
      </c>
      <c r="P182" s="343">
        <v>0</v>
      </c>
      <c r="Q182" s="343">
        <v>0</v>
      </c>
      <c r="R182" s="343">
        <v>0</v>
      </c>
      <c r="S182" s="343">
        <v>0</v>
      </c>
      <c r="T182" s="343">
        <v>0</v>
      </c>
      <c r="U182" s="343">
        <v>0</v>
      </c>
      <c r="V182" s="343">
        <v>0</v>
      </c>
      <c r="W182" s="343">
        <v>0</v>
      </c>
    </row>
    <row r="183" spans="1:23" ht="13.5" thickTop="1" x14ac:dyDescent="0.2">
      <c r="A183" s="284"/>
      <c r="B183" s="303"/>
      <c r="C183" s="277"/>
      <c r="D183" s="341"/>
      <c r="E183" s="341"/>
      <c r="F183" s="341"/>
      <c r="G183" s="341"/>
      <c r="H183" s="341"/>
      <c r="I183" s="341"/>
      <c r="J183" s="341"/>
      <c r="K183" s="341"/>
      <c r="L183" s="341"/>
      <c r="M183" s="341"/>
      <c r="N183" s="341"/>
      <c r="O183" s="341"/>
      <c r="P183" s="341"/>
      <c r="Q183" s="341"/>
      <c r="R183" s="341"/>
      <c r="S183" s="341"/>
      <c r="T183" s="341"/>
      <c r="U183" s="341"/>
      <c r="V183" s="341"/>
      <c r="W183" s="341"/>
    </row>
    <row r="184" spans="1:23" x14ac:dyDescent="0.2">
      <c r="A184" s="284" t="s">
        <v>199</v>
      </c>
      <c r="B184" s="303"/>
      <c r="C184" s="277"/>
      <c r="D184" s="341">
        <v>0</v>
      </c>
      <c r="E184" s="341">
        <v>0</v>
      </c>
      <c r="F184" s="341">
        <v>0</v>
      </c>
      <c r="G184" s="341">
        <v>0</v>
      </c>
      <c r="H184" s="341">
        <v>0</v>
      </c>
      <c r="I184" s="341">
        <v>0</v>
      </c>
      <c r="J184" s="341">
        <v>0</v>
      </c>
      <c r="K184" s="341">
        <v>0</v>
      </c>
      <c r="L184" s="341">
        <v>0</v>
      </c>
      <c r="M184" s="341">
        <v>0</v>
      </c>
      <c r="N184" s="341">
        <v>0</v>
      </c>
      <c r="O184" s="341">
        <v>0</v>
      </c>
      <c r="P184" s="341">
        <v>0</v>
      </c>
      <c r="Q184" s="341">
        <v>0</v>
      </c>
      <c r="R184" s="341">
        <v>0</v>
      </c>
      <c r="S184" s="341">
        <v>0</v>
      </c>
      <c r="T184" s="341">
        <v>0</v>
      </c>
      <c r="U184" s="341">
        <v>0</v>
      </c>
      <c r="V184" s="341">
        <v>0</v>
      </c>
      <c r="W184" s="341">
        <v>0</v>
      </c>
    </row>
    <row r="185" spans="1:23" x14ac:dyDescent="0.2">
      <c r="A185" s="284"/>
      <c r="B185" s="303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  <c r="W185" s="277"/>
    </row>
    <row r="186" spans="1:23" x14ac:dyDescent="0.2">
      <c r="A186" s="284" t="s">
        <v>200</v>
      </c>
      <c r="B186" s="303"/>
      <c r="C186" s="277"/>
      <c r="D186" s="341">
        <v>0</v>
      </c>
      <c r="E186" s="341">
        <v>0</v>
      </c>
      <c r="F186" s="341">
        <v>0</v>
      </c>
      <c r="G186" s="341">
        <v>0</v>
      </c>
      <c r="H186" s="341">
        <v>0</v>
      </c>
      <c r="I186" s="341">
        <v>0</v>
      </c>
      <c r="J186" s="341">
        <v>0</v>
      </c>
      <c r="K186" s="341">
        <v>0</v>
      </c>
      <c r="L186" s="341">
        <v>0</v>
      </c>
      <c r="M186" s="341">
        <v>0</v>
      </c>
      <c r="N186" s="341">
        <v>0</v>
      </c>
      <c r="O186" s="341">
        <v>0</v>
      </c>
      <c r="P186" s="341">
        <v>0</v>
      </c>
      <c r="Q186" s="341">
        <v>0</v>
      </c>
      <c r="R186" s="341">
        <v>0</v>
      </c>
      <c r="S186" s="341">
        <v>0</v>
      </c>
      <c r="T186" s="341">
        <v>0</v>
      </c>
      <c r="U186" s="341">
        <v>0</v>
      </c>
      <c r="V186" s="341">
        <v>0</v>
      </c>
      <c r="W186" s="341">
        <v>0</v>
      </c>
    </row>
    <row r="187" spans="1:23" x14ac:dyDescent="0.2">
      <c r="A187" s="277"/>
      <c r="B187" s="303"/>
      <c r="C187" s="277"/>
      <c r="D187" s="277"/>
      <c r="E187" s="277"/>
      <c r="F187" s="277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</row>
    <row r="188" spans="1:23" x14ac:dyDescent="0.2">
      <c r="A188" s="277"/>
      <c r="B188" s="303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</row>
    <row r="189" spans="1:23" x14ac:dyDescent="0.2">
      <c r="A189" s="284" t="s">
        <v>202</v>
      </c>
      <c r="B189" s="279"/>
      <c r="C189" s="278"/>
      <c r="D189" s="435">
        <v>25718036.090939239</v>
      </c>
      <c r="E189" s="435">
        <v>46458271.780609637</v>
      </c>
      <c r="F189" s="435">
        <v>40704985.083029941</v>
      </c>
      <c r="G189" s="435">
        <v>44792851.421066992</v>
      </c>
      <c r="H189" s="435">
        <v>42899693.39678055</v>
      </c>
      <c r="I189" s="435">
        <v>47854466.427849039</v>
      </c>
      <c r="J189" s="435">
        <v>51990051.696041107</v>
      </c>
      <c r="K189" s="435">
        <v>53567606.107000843</v>
      </c>
      <c r="L189" s="435">
        <v>54674303.557961002</v>
      </c>
      <c r="M189" s="435">
        <v>54282688.209924899</v>
      </c>
      <c r="N189" s="435">
        <v>55313582.394162871</v>
      </c>
      <c r="O189" s="435">
        <v>55745819.95215039</v>
      </c>
      <c r="P189" s="435">
        <v>56681357.043290377</v>
      </c>
      <c r="Q189" s="435">
        <v>59434543.029610388</v>
      </c>
      <c r="R189" s="435">
        <v>65736011.406047992</v>
      </c>
      <c r="S189" s="435">
        <v>64705561.275783069</v>
      </c>
      <c r="T189" s="435">
        <v>65209649.01508037</v>
      </c>
      <c r="U189" s="435">
        <v>68593491.136655077</v>
      </c>
      <c r="V189" s="435">
        <v>71613780.034429252</v>
      </c>
      <c r="W189" s="435">
        <v>379314255.83057827</v>
      </c>
    </row>
    <row r="190" spans="1:23" x14ac:dyDescent="0.2">
      <c r="A190" s="9"/>
      <c r="B190" s="6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">
      <c r="B191" s="348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294"/>
    </row>
    <row r="192" spans="1:23" ht="15.75" x14ac:dyDescent="0.25">
      <c r="A192" s="45"/>
      <c r="B192" s="346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</row>
    <row r="193" spans="1:23" x14ac:dyDescent="0.2">
      <c r="A193" s="45"/>
      <c r="B193" s="360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</row>
    <row r="194" spans="1:23" x14ac:dyDescent="0.2">
      <c r="B194" s="348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294"/>
    </row>
    <row r="195" spans="1:23" x14ac:dyDescent="0.2">
      <c r="B195" s="348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49"/>
      <c r="P195" s="349"/>
      <c r="Q195" s="349"/>
      <c r="R195" s="349"/>
      <c r="S195" s="349"/>
      <c r="T195" s="349"/>
      <c r="U195" s="349"/>
      <c r="V195" s="349"/>
      <c r="W195" s="294"/>
    </row>
    <row r="196" spans="1:23" x14ac:dyDescent="0.2">
      <c r="B196" s="348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49"/>
      <c r="P196" s="349"/>
      <c r="Q196" s="349"/>
      <c r="R196" s="349"/>
      <c r="S196" s="349"/>
      <c r="T196" s="349"/>
      <c r="U196" s="349"/>
      <c r="V196" s="349"/>
      <c r="W196" s="294"/>
    </row>
    <row r="197" spans="1:23" x14ac:dyDescent="0.2">
      <c r="B197" s="348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294"/>
    </row>
    <row r="198" spans="1:23" ht="15.75" x14ac:dyDescent="0.25">
      <c r="A198" s="302" t="s">
        <v>29</v>
      </c>
      <c r="B198" s="305" t="s">
        <v>57</v>
      </c>
      <c r="C198" s="306">
        <v>2000</v>
      </c>
      <c r="D198" s="306">
        <v>2001</v>
      </c>
      <c r="E198" s="306">
        <v>2002</v>
      </c>
      <c r="F198" s="306">
        <v>2003</v>
      </c>
      <c r="G198" s="306">
        <v>2004</v>
      </c>
      <c r="H198" s="306">
        <v>2005</v>
      </c>
      <c r="I198" s="306">
        <v>2006</v>
      </c>
      <c r="J198" s="306">
        <v>2007</v>
      </c>
      <c r="K198" s="306">
        <v>2008</v>
      </c>
      <c r="L198" s="306">
        <v>2009</v>
      </c>
      <c r="M198" s="306">
        <v>2010</v>
      </c>
      <c r="N198" s="306">
        <v>2011</v>
      </c>
      <c r="O198" s="306">
        <v>2012</v>
      </c>
      <c r="P198" s="306">
        <v>2013</v>
      </c>
      <c r="Q198" s="306">
        <v>2014</v>
      </c>
      <c r="R198" s="306">
        <v>2015</v>
      </c>
      <c r="S198" s="306">
        <v>2016</v>
      </c>
      <c r="T198" s="306">
        <v>2017</v>
      </c>
      <c r="U198" s="306">
        <v>2018</v>
      </c>
      <c r="V198" s="306">
        <v>2019</v>
      </c>
      <c r="W198" s="306" t="s">
        <v>154</v>
      </c>
    </row>
    <row r="199" spans="1:23" x14ac:dyDescent="0.2">
      <c r="A199" s="302" t="s">
        <v>26</v>
      </c>
      <c r="B199" s="303">
        <v>228.15</v>
      </c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</row>
    <row r="200" spans="1:23" x14ac:dyDescent="0.2">
      <c r="A200" s="9"/>
      <c r="B200" s="309" t="s">
        <v>27</v>
      </c>
      <c r="C200" s="443">
        <v>0</v>
      </c>
      <c r="D200" s="404">
        <v>64146320.490170985</v>
      </c>
      <c r="E200" s="404">
        <v>63256691.026939452</v>
      </c>
      <c r="F200" s="404">
        <v>64474273.782860309</v>
      </c>
      <c r="G200" s="404">
        <v>63560427.513728052</v>
      </c>
      <c r="H200" s="404">
        <v>64039176.454186156</v>
      </c>
      <c r="I200" s="404">
        <v>68363220.628550768</v>
      </c>
      <c r="J200" s="404">
        <v>73302819.399992391</v>
      </c>
      <c r="K200" s="404">
        <v>75199732.00820218</v>
      </c>
      <c r="L200" s="404">
        <v>76773722.645194173</v>
      </c>
      <c r="M200" s="404">
        <v>77047800.592917413</v>
      </c>
      <c r="N200" s="404">
        <v>78712413.226944789</v>
      </c>
      <c r="O200" s="404">
        <v>79596336.869204268</v>
      </c>
      <c r="P200" s="404">
        <v>80533030.162801802</v>
      </c>
      <c r="Q200" s="404">
        <v>83367891.14285472</v>
      </c>
      <c r="R200" s="404">
        <v>89282759.377422854</v>
      </c>
      <c r="S200" s="404">
        <v>88768425.843234852</v>
      </c>
      <c r="T200" s="404">
        <v>89899763.374190256</v>
      </c>
      <c r="U200" s="404">
        <v>94219935.267105713</v>
      </c>
      <c r="V200" s="404">
        <v>97081731.482991368</v>
      </c>
      <c r="W200" s="327"/>
    </row>
    <row r="201" spans="1:23" x14ac:dyDescent="0.2">
      <c r="A201" s="9"/>
      <c r="B201" s="309" t="s">
        <v>20</v>
      </c>
      <c r="C201" s="443">
        <v>0</v>
      </c>
      <c r="D201" s="404">
        <v>-19021493.931701947</v>
      </c>
      <c r="E201" s="404">
        <v>-19294003.60515378</v>
      </c>
      <c r="F201" s="404">
        <v>-19628664.607638478</v>
      </c>
      <c r="G201" s="404">
        <v>-20192807.440398399</v>
      </c>
      <c r="H201" s="404">
        <v>-20898782.793258991</v>
      </c>
      <c r="I201" s="404">
        <v>-21706750.070686352</v>
      </c>
      <c r="J201" s="404">
        <v>-22207147.950592045</v>
      </c>
      <c r="K201" s="404">
        <v>-22685235.09699877</v>
      </c>
      <c r="L201" s="404">
        <v>-23054955.823553294</v>
      </c>
      <c r="M201" s="404">
        <v>-23233441.691545136</v>
      </c>
      <c r="N201" s="404">
        <v>-23545791.960530858</v>
      </c>
      <c r="O201" s="404">
        <v>-24055751.583364688</v>
      </c>
      <c r="P201" s="404">
        <v>-24602364.554089699</v>
      </c>
      <c r="Q201" s="404">
        <v>-25123479.543673027</v>
      </c>
      <c r="R201" s="404">
        <v>-25475670.408192642</v>
      </c>
      <c r="S201" s="404">
        <v>-25996785.39777597</v>
      </c>
      <c r="T201" s="404">
        <v>-26589613.459320292</v>
      </c>
      <c r="U201" s="404">
        <v>-27242999.22607613</v>
      </c>
      <c r="V201" s="404">
        <v>-27915508.478688262</v>
      </c>
      <c r="W201" s="327"/>
    </row>
    <row r="202" spans="1:23" x14ac:dyDescent="0.2">
      <c r="A202" s="9"/>
      <c r="B202" s="309" t="s">
        <v>31</v>
      </c>
      <c r="C202" s="443">
        <v>0</v>
      </c>
      <c r="D202" s="404">
        <v>-1430282.9418262935</v>
      </c>
      <c r="E202" s="404">
        <v>-1459152.2814493</v>
      </c>
      <c r="F202" s="404">
        <v>-2421156.1431797184</v>
      </c>
      <c r="G202" s="404">
        <v>-2474516.4577745143</v>
      </c>
      <c r="H202" s="404">
        <v>-2529066.0868843775</v>
      </c>
      <c r="I202" s="404">
        <v>-2584831.8428301499</v>
      </c>
      <c r="J202" s="404">
        <v>-2641841.1492914306</v>
      </c>
      <c r="K202" s="404">
        <v>-2700122.0554006994</v>
      </c>
      <c r="L202" s="404">
        <v>-2759703.250165767</v>
      </c>
      <c r="M202" s="404">
        <v>-2820614.0772282863</v>
      </c>
      <c r="N202" s="404">
        <v>-2882884.5499662347</v>
      </c>
      <c r="O202" s="404">
        <v>-2946545.3669484528</v>
      </c>
      <c r="P202" s="404">
        <v>-3011627.9277495407</v>
      </c>
      <c r="Q202" s="404">
        <v>-3078164.3491335744</v>
      </c>
      <c r="R202" s="404">
        <v>-3146187.4816153459</v>
      </c>
      <c r="S202" s="404">
        <v>-3215730.9264080185</v>
      </c>
      <c r="T202" s="404">
        <v>-3286829.0527662802</v>
      </c>
      <c r="U202" s="404">
        <v>-3359517.0157343368</v>
      </c>
      <c r="V202" s="404">
        <v>-3433830.7743082726</v>
      </c>
      <c r="W202" s="327"/>
    </row>
    <row r="203" spans="1:23" x14ac:dyDescent="0.2">
      <c r="A203" s="9"/>
      <c r="B203" s="309" t="s">
        <v>32</v>
      </c>
      <c r="C203" s="443">
        <v>0</v>
      </c>
      <c r="D203" s="404">
        <v>0</v>
      </c>
      <c r="E203" s="404">
        <v>0</v>
      </c>
      <c r="F203" s="404">
        <v>0</v>
      </c>
      <c r="G203" s="404">
        <v>0</v>
      </c>
      <c r="H203" s="404">
        <v>0</v>
      </c>
      <c r="I203" s="404">
        <v>-483450.73516603187</v>
      </c>
      <c r="J203" s="404">
        <v>-535866.5199744585</v>
      </c>
      <c r="K203" s="404">
        <v>-729020.62464698264</v>
      </c>
      <c r="L203" s="404">
        <v>-649456.66963402973</v>
      </c>
      <c r="M203" s="404">
        <v>-722295.6709119631</v>
      </c>
      <c r="N203" s="404">
        <v>-795663.30422467832</v>
      </c>
      <c r="O203" s="404">
        <v>-881571.08637373988</v>
      </c>
      <c r="P203" s="404">
        <v>-988473.09367513657</v>
      </c>
      <c r="Q203" s="404">
        <v>-1100324.8015393252</v>
      </c>
      <c r="R203" s="404">
        <v>-1218823.7503227834</v>
      </c>
      <c r="S203" s="404">
        <v>-1338266.9789930219</v>
      </c>
      <c r="T203" s="404">
        <v>-1314782.0632003667</v>
      </c>
      <c r="U203" s="404">
        <v>-1124867.1683642212</v>
      </c>
      <c r="V203" s="404">
        <v>-1166279.7194962343</v>
      </c>
      <c r="W203" s="327"/>
    </row>
    <row r="204" spans="1:23" ht="13.5" thickBot="1" x14ac:dyDescent="0.25">
      <c r="A204" s="9"/>
      <c r="B204" s="310" t="s">
        <v>33</v>
      </c>
      <c r="C204" s="444">
        <v>0</v>
      </c>
      <c r="D204" s="406">
        <v>0</v>
      </c>
      <c r="E204" s="406">
        <v>0</v>
      </c>
      <c r="F204" s="406">
        <v>-1512466.8079776091</v>
      </c>
      <c r="G204" s="406">
        <v>-1288716.5265412172</v>
      </c>
      <c r="H204" s="406">
        <v>-1337863.8193916096</v>
      </c>
      <c r="I204" s="406">
        <v>-1389489.3718116384</v>
      </c>
      <c r="J204" s="406">
        <v>-1745502.1221681722</v>
      </c>
      <c r="K204" s="406">
        <v>-1524676.541682536</v>
      </c>
      <c r="L204" s="406">
        <v>-1613762.3920611383</v>
      </c>
      <c r="M204" s="406">
        <v>-1535556.7214674621</v>
      </c>
      <c r="N204" s="406">
        <v>-1579536.3315423918</v>
      </c>
      <c r="O204" s="406">
        <v>-1620495.0859165939</v>
      </c>
      <c r="P204" s="406">
        <v>-1447442.102923776</v>
      </c>
      <c r="Q204" s="406">
        <v>-1499194.930003837</v>
      </c>
      <c r="R204" s="406">
        <v>-1530176.3647279232</v>
      </c>
      <c r="S204" s="406">
        <v>-1624939.7918301707</v>
      </c>
      <c r="T204" s="406">
        <v>-1527611.9375750616</v>
      </c>
      <c r="U204" s="406">
        <v>-1682476.7159599599</v>
      </c>
      <c r="V204" s="406">
        <v>-916025.38074834656</v>
      </c>
      <c r="W204" s="327"/>
    </row>
    <row r="205" spans="1:23" ht="13.5" thickTop="1" x14ac:dyDescent="0.2">
      <c r="A205" s="9"/>
      <c r="B205" s="311" t="s">
        <v>38</v>
      </c>
      <c r="C205" s="445">
        <v>0</v>
      </c>
      <c r="D205" s="408">
        <v>43694543.616642751</v>
      </c>
      <c r="E205" s="408">
        <v>42503535.140336365</v>
      </c>
      <c r="F205" s="408">
        <v>40911986.224064507</v>
      </c>
      <c r="G205" s="408">
        <v>39604387.089013927</v>
      </c>
      <c r="H205" s="408">
        <v>39273463.754651174</v>
      </c>
      <c r="I205" s="408">
        <v>42198698.608056597</v>
      </c>
      <c r="J205" s="408">
        <v>46172461.657966286</v>
      </c>
      <c r="K205" s="408">
        <v>47560677.689473197</v>
      </c>
      <c r="L205" s="408">
        <v>48695844.509779945</v>
      </c>
      <c r="M205" s="408">
        <v>48735892.431764565</v>
      </c>
      <c r="N205" s="408">
        <v>49908537.080680624</v>
      </c>
      <c r="O205" s="408">
        <v>50091973.746600792</v>
      </c>
      <c r="P205" s="408">
        <v>50483122.484363653</v>
      </c>
      <c r="Q205" s="408">
        <v>52566727.518504962</v>
      </c>
      <c r="R205" s="408">
        <v>57911901.372564167</v>
      </c>
      <c r="S205" s="408">
        <v>56592702.748227678</v>
      </c>
      <c r="T205" s="408">
        <v>57180926.861328252</v>
      </c>
      <c r="U205" s="408">
        <v>60810075.140971072</v>
      </c>
      <c r="V205" s="408">
        <v>63650087.129750244</v>
      </c>
      <c r="W205" s="327"/>
    </row>
    <row r="206" spans="1:23" x14ac:dyDescent="0.2">
      <c r="A206" s="9"/>
      <c r="B206" s="309" t="s">
        <v>34</v>
      </c>
      <c r="C206" s="443">
        <v>0</v>
      </c>
      <c r="D206" s="404">
        <v>-2764657.7517132028</v>
      </c>
      <c r="E206" s="404">
        <v>-2819950.9067474669</v>
      </c>
      <c r="F206" s="404">
        <v>-2918348.9248824161</v>
      </c>
      <c r="G206" s="404">
        <v>-2976925.8983800644</v>
      </c>
      <c r="H206" s="404">
        <v>-3036679.6612226656</v>
      </c>
      <c r="I206" s="404">
        <v>-3097633.880443994</v>
      </c>
      <c r="J206" s="404">
        <v>-3159812.699699671</v>
      </c>
      <c r="K206" s="404">
        <v>-3223240.7488816311</v>
      </c>
      <c r="L206" s="404">
        <v>-3287943.1539269299</v>
      </c>
      <c r="M206" s="404">
        <v>-3353945.5468248259</v>
      </c>
      <c r="N206" s="404">
        <v>-3421274.0758261639</v>
      </c>
      <c r="O206" s="404">
        <v>-3489955.4158591498</v>
      </c>
      <c r="P206" s="404">
        <v>-3560016.779155707</v>
      </c>
      <c r="Q206" s="404">
        <v>-3631485.9260926801</v>
      </c>
      <c r="R206" s="404">
        <v>-3704391.1762522385</v>
      </c>
      <c r="S206" s="404">
        <v>-3778761.4197059306</v>
      </c>
      <c r="T206" s="404">
        <v>-3854626.1285269135</v>
      </c>
      <c r="U206" s="404">
        <v>-3932015.3685349869</v>
      </c>
      <c r="V206" s="404">
        <v>-4010959.8112791609</v>
      </c>
      <c r="W206" s="327"/>
    </row>
    <row r="207" spans="1:23" x14ac:dyDescent="0.2">
      <c r="A207" s="9"/>
      <c r="B207" s="309" t="s">
        <v>35</v>
      </c>
      <c r="C207" s="443">
        <v>0</v>
      </c>
      <c r="D207" s="404">
        <v>-388299.7921559058</v>
      </c>
      <c r="E207" s="404">
        <v>-397276.51828614395</v>
      </c>
      <c r="F207" s="404">
        <v>-406449.83471863432</v>
      </c>
      <c r="G207" s="404">
        <v>-415830.46810249891</v>
      </c>
      <c r="H207" s="404">
        <v>-425434.36056089948</v>
      </c>
      <c r="I207" s="404">
        <v>-435680.84021321853</v>
      </c>
      <c r="J207" s="404">
        <v>-445769.5798686521</v>
      </c>
      <c r="K207" s="404">
        <v>-456535.8470507703</v>
      </c>
      <c r="L207" s="404">
        <v>-467135.4529866915</v>
      </c>
      <c r="M207" s="404">
        <v>-478005.34887397866</v>
      </c>
      <c r="N207" s="404">
        <v>-489138.29624173819</v>
      </c>
      <c r="O207" s="404">
        <v>-500551.79388316523</v>
      </c>
      <c r="P207" s="404">
        <v>-512255.19436468452</v>
      </c>
      <c r="Q207" s="404">
        <v>-524251.17985824175</v>
      </c>
      <c r="R207" s="404">
        <v>-536548.26458768733</v>
      </c>
      <c r="S207" s="404">
        <v>-549152.77643536904</v>
      </c>
      <c r="T207" s="404">
        <v>-562069.88017687318</v>
      </c>
      <c r="U207" s="404">
        <v>-575311.2032222891</v>
      </c>
      <c r="V207" s="404">
        <v>-588884.88347614498</v>
      </c>
      <c r="W207" s="327"/>
    </row>
    <row r="208" spans="1:23" ht="13.5" thickBot="1" x14ac:dyDescent="0.25">
      <c r="A208" s="9"/>
      <c r="B208" s="310" t="s">
        <v>36</v>
      </c>
      <c r="C208" s="444">
        <v>0</v>
      </c>
      <c r="D208" s="406">
        <v>-535405.353751207</v>
      </c>
      <c r="E208" s="406">
        <v>-546702.40671536105</v>
      </c>
      <c r="F208" s="406">
        <v>-558675.18942242803</v>
      </c>
      <c r="G208" s="406">
        <v>-571301.24870336999</v>
      </c>
      <c r="H208" s="406">
        <v>-584898.21842251206</v>
      </c>
      <c r="I208" s="406">
        <v>-599555.82657704898</v>
      </c>
      <c r="J208" s="406">
        <v>-614426.48136174004</v>
      </c>
      <c r="K208" s="406">
        <v>-629978.88536292303</v>
      </c>
      <c r="L208" s="406">
        <v>-645539.36383138795</v>
      </c>
      <c r="M208" s="406">
        <v>-662000.61760908598</v>
      </c>
      <c r="N208" s="406">
        <v>-678021.03255522903</v>
      </c>
      <c r="O208" s="406">
        <v>-695107.16257561895</v>
      </c>
      <c r="P208" s="406">
        <v>-712762.88450503803</v>
      </c>
      <c r="Q208" s="406">
        <v>-730581.95661766396</v>
      </c>
      <c r="R208" s="406">
        <v>-748919.56372876698</v>
      </c>
      <c r="S208" s="406">
        <v>-767642.55282198801</v>
      </c>
      <c r="T208" s="406">
        <v>-786680.08813197201</v>
      </c>
      <c r="U208" s="406">
        <v>-806425.758344086</v>
      </c>
      <c r="V208" s="406">
        <v>-826667.04487852298</v>
      </c>
      <c r="W208" s="327"/>
    </row>
    <row r="209" spans="1:23" ht="13.5" thickTop="1" x14ac:dyDescent="0.2">
      <c r="A209" s="9"/>
      <c r="B209" s="311" t="s">
        <v>220</v>
      </c>
      <c r="C209" s="446">
        <v>0</v>
      </c>
      <c r="D209" s="410">
        <v>40006180.719022438</v>
      </c>
      <c r="E209" s="410">
        <v>38739605.308587387</v>
      </c>
      <c r="F209" s="410">
        <v>37028512.275041021</v>
      </c>
      <c r="G209" s="410">
        <v>35640329.473827995</v>
      </c>
      <c r="H209" s="410">
        <v>35226451.514445096</v>
      </c>
      <c r="I209" s="410">
        <v>38065828.06082233</v>
      </c>
      <c r="J209" s="410">
        <v>41952452.897036225</v>
      </c>
      <c r="K209" s="410">
        <v>43250922.208177872</v>
      </c>
      <c r="L209" s="410">
        <v>44295226.539034933</v>
      </c>
      <c r="M209" s="410">
        <v>44241940.918456674</v>
      </c>
      <c r="N209" s="410">
        <v>45320103.676057495</v>
      </c>
      <c r="O209" s="410">
        <v>45406359.374282859</v>
      </c>
      <c r="P209" s="410">
        <v>45698087.626338221</v>
      </c>
      <c r="Q209" s="410">
        <v>47680408.45593638</v>
      </c>
      <c r="R209" s="410">
        <v>52922042.367995478</v>
      </c>
      <c r="S209" s="410">
        <v>51497145.999264397</v>
      </c>
      <c r="T209" s="410">
        <v>51977550.764492497</v>
      </c>
      <c r="U209" s="410">
        <v>55496322.810869709</v>
      </c>
      <c r="V209" s="410">
        <v>58223575.390116416</v>
      </c>
      <c r="W209" s="327"/>
    </row>
    <row r="210" spans="1:23" x14ac:dyDescent="0.2">
      <c r="A210" s="9"/>
      <c r="B210" s="309" t="s">
        <v>37</v>
      </c>
      <c r="C210" s="443">
        <v>0</v>
      </c>
      <c r="D210" s="404">
        <v>-2062980.3674999999</v>
      </c>
      <c r="E210" s="404">
        <v>-2822411.9035799997</v>
      </c>
      <c r="F210" s="404">
        <v>-3154240.7992297998</v>
      </c>
      <c r="G210" s="404">
        <v>-3254999.0104907001</v>
      </c>
      <c r="H210" s="404">
        <v>-3219881.2151525002</v>
      </c>
      <c r="I210" s="404">
        <v>-2867391.13094432</v>
      </c>
      <c r="J210" s="404">
        <v>-2289319.4916417915</v>
      </c>
      <c r="K210" s="404">
        <v>-1952719.0274509522</v>
      </c>
      <c r="L210" s="404">
        <v>-1735110.7564936141</v>
      </c>
      <c r="M210" s="404">
        <v>-1655481.6627015104</v>
      </c>
      <c r="N210" s="404">
        <v>-1740136.2645852189</v>
      </c>
      <c r="O210" s="404">
        <v>-1708880.6718354053</v>
      </c>
      <c r="P210" s="404">
        <v>-1679547.7604339353</v>
      </c>
      <c r="Q210" s="404">
        <v>-1701928.7566904216</v>
      </c>
      <c r="R210" s="404">
        <v>-1726919.7803346021</v>
      </c>
      <c r="S210" s="404">
        <v>-1704232.582188108</v>
      </c>
      <c r="T210" s="404">
        <v>-1684408.3655972192</v>
      </c>
      <c r="U210" s="404">
        <v>-1786630.6100086044</v>
      </c>
      <c r="V210" s="404">
        <v>-1864013.89675233</v>
      </c>
      <c r="W210" s="327"/>
    </row>
    <row r="211" spans="1:23" ht="13.5" thickBot="1" x14ac:dyDescent="0.25">
      <c r="A211" s="9"/>
      <c r="B211" s="310" t="s">
        <v>221</v>
      </c>
      <c r="C211" s="444">
        <v>0</v>
      </c>
      <c r="D211" s="406">
        <v>-15177280.140608976</v>
      </c>
      <c r="E211" s="406">
        <v>-14366877.362002954</v>
      </c>
      <c r="F211" s="406">
        <v>-13549708.590324489</v>
      </c>
      <c r="G211" s="406">
        <v>-12954132.185334919</v>
      </c>
      <c r="H211" s="406">
        <v>-12802628.119717039</v>
      </c>
      <c r="I211" s="406">
        <v>-14079374.771951206</v>
      </c>
      <c r="J211" s="406">
        <v>-15865253.362157775</v>
      </c>
      <c r="K211" s="406">
        <v>-16519281.27229077</v>
      </c>
      <c r="L211" s="406">
        <v>-17024046.31301653</v>
      </c>
      <c r="M211" s="406">
        <v>-17034583.702302065</v>
      </c>
      <c r="N211" s="406">
        <v>-17431986.96458891</v>
      </c>
      <c r="O211" s="406">
        <v>-17478991.480978981</v>
      </c>
      <c r="P211" s="406">
        <v>-17607415.946361717</v>
      </c>
      <c r="Q211" s="406">
        <v>-18391391.879698385</v>
      </c>
      <c r="R211" s="406">
        <v>-20478049.035064355</v>
      </c>
      <c r="S211" s="406">
        <v>-19917165.366830517</v>
      </c>
      <c r="T211" s="406">
        <v>-20117256.959558114</v>
      </c>
      <c r="U211" s="406">
        <v>-21483876.880344443</v>
      </c>
      <c r="V211" s="406">
        <v>-22543824.597345635</v>
      </c>
      <c r="W211" s="327"/>
    </row>
    <row r="212" spans="1:23" ht="13.5" thickTop="1" x14ac:dyDescent="0.2">
      <c r="A212" s="9"/>
      <c r="B212" s="311" t="s">
        <v>183</v>
      </c>
      <c r="C212" s="446">
        <v>0</v>
      </c>
      <c r="D212" s="410">
        <v>22765920.210913464</v>
      </c>
      <c r="E212" s="410">
        <v>21550316.043004431</v>
      </c>
      <c r="F212" s="410">
        <v>20324562.885486729</v>
      </c>
      <c r="G212" s="410">
        <v>19431198.278002374</v>
      </c>
      <c r="H212" s="410">
        <v>19203942.179575555</v>
      </c>
      <c r="I212" s="410">
        <v>21119062.157926805</v>
      </c>
      <c r="J212" s="410">
        <v>23797880.043236658</v>
      </c>
      <c r="K212" s="410">
        <v>24778921.908436153</v>
      </c>
      <c r="L212" s="410">
        <v>25536069.46952479</v>
      </c>
      <c r="M212" s="410">
        <v>25551875.553453099</v>
      </c>
      <c r="N212" s="410">
        <v>26147980.446883366</v>
      </c>
      <c r="O212" s="410">
        <v>26218487.221468471</v>
      </c>
      <c r="P212" s="410">
        <v>26411123.91954257</v>
      </c>
      <c r="Q212" s="410">
        <v>27587087.819547575</v>
      </c>
      <c r="R212" s="410">
        <v>30717073.552596524</v>
      </c>
      <c r="S212" s="410">
        <v>29875748.050245773</v>
      </c>
      <c r="T212" s="410">
        <v>30175885.439337164</v>
      </c>
      <c r="U212" s="410">
        <v>32225815.320516661</v>
      </c>
      <c r="V212" s="410">
        <v>33815736.896018453</v>
      </c>
      <c r="W212" s="327"/>
    </row>
    <row r="213" spans="1:23" x14ac:dyDescent="0.2">
      <c r="A213" s="9"/>
      <c r="B213" s="309" t="s">
        <v>37</v>
      </c>
      <c r="C213" s="443">
        <v>0</v>
      </c>
      <c r="D213" s="404">
        <v>2062980.3674999999</v>
      </c>
      <c r="E213" s="404">
        <v>2822411.9035799997</v>
      </c>
      <c r="F213" s="404">
        <v>3154240.7992297998</v>
      </c>
      <c r="G213" s="404">
        <v>3254999.0104907001</v>
      </c>
      <c r="H213" s="404">
        <v>3219881.2151525002</v>
      </c>
      <c r="I213" s="404">
        <v>2867391.13094432</v>
      </c>
      <c r="J213" s="404">
        <v>2289319.4916417915</v>
      </c>
      <c r="K213" s="404">
        <v>1952719.0274509522</v>
      </c>
      <c r="L213" s="404">
        <v>1735110.7564936141</v>
      </c>
      <c r="M213" s="404">
        <v>1655481.6627015104</v>
      </c>
      <c r="N213" s="404">
        <v>1740136.2645852189</v>
      </c>
      <c r="O213" s="404">
        <v>1708880.6718354053</v>
      </c>
      <c r="P213" s="404">
        <v>1679547.7604339353</v>
      </c>
      <c r="Q213" s="404">
        <v>1701928.7566904216</v>
      </c>
      <c r="R213" s="404">
        <v>1726919.7803346021</v>
      </c>
      <c r="S213" s="404">
        <v>1704232.582188108</v>
      </c>
      <c r="T213" s="404">
        <v>1684408.3655972192</v>
      </c>
      <c r="U213" s="404">
        <v>1786630.6100086044</v>
      </c>
      <c r="V213" s="404">
        <v>1864013.89675233</v>
      </c>
      <c r="W213" s="327"/>
    </row>
    <row r="214" spans="1:23" x14ac:dyDescent="0.2">
      <c r="A214" s="9"/>
      <c r="B214" s="309" t="s">
        <v>39</v>
      </c>
      <c r="C214" s="443">
        <v>0</v>
      </c>
      <c r="D214" s="404">
        <v>-1392192</v>
      </c>
      <c r="E214" s="404">
        <v>-288695.92</v>
      </c>
      <c r="F214" s="404">
        <v>-1959781.09</v>
      </c>
      <c r="G214" s="404">
        <v>-716258.43</v>
      </c>
      <c r="H214" s="404">
        <v>-1484360.4879999999</v>
      </c>
      <c r="I214" s="404">
        <v>-1528891.3026399999</v>
      </c>
      <c r="J214" s="404">
        <v>-1574758.0417191999</v>
      </c>
      <c r="K214" s="404">
        <v>-1622000.7829707759</v>
      </c>
      <c r="L214" s="404">
        <v>-1670660.8064598991</v>
      </c>
      <c r="M214" s="404">
        <v>-1720780.6306536961</v>
      </c>
      <c r="N214" s="404">
        <v>-1772404.0495733072</v>
      </c>
      <c r="O214" s="404">
        <v>-1825576.1710605065</v>
      </c>
      <c r="P214" s="404">
        <v>-1880343.4561923218</v>
      </c>
      <c r="Q214" s="404">
        <v>-1936753.7598780915</v>
      </c>
      <c r="R214" s="404">
        <v>-1994856.3726744342</v>
      </c>
      <c r="S214" s="404">
        <v>-2054702.0638546674</v>
      </c>
      <c r="T214" s="404">
        <v>-2116343.1257703076</v>
      </c>
      <c r="U214" s="404">
        <v>-2179833.4195434167</v>
      </c>
      <c r="V214" s="404">
        <v>-2245228.4221297191</v>
      </c>
      <c r="W214" s="327"/>
    </row>
    <row r="215" spans="1:23" ht="13.5" thickBot="1" x14ac:dyDescent="0.25">
      <c r="A215" s="9"/>
      <c r="B215" s="310" t="s">
        <v>40</v>
      </c>
      <c r="C215" s="444">
        <v>0</v>
      </c>
      <c r="D215" s="406">
        <v>-6225024</v>
      </c>
      <c r="E215" s="406">
        <v>-4058147.2</v>
      </c>
      <c r="F215" s="406">
        <v>-2200091.69</v>
      </c>
      <c r="G215" s="406">
        <v>0</v>
      </c>
      <c r="H215" s="406">
        <v>0</v>
      </c>
      <c r="I215" s="406">
        <v>0</v>
      </c>
      <c r="J215" s="406">
        <v>0</v>
      </c>
      <c r="K215" s="406">
        <v>0</v>
      </c>
      <c r="L215" s="406">
        <v>0</v>
      </c>
      <c r="M215" s="406">
        <v>0</v>
      </c>
      <c r="N215" s="406">
        <v>0</v>
      </c>
      <c r="O215" s="406">
        <v>0</v>
      </c>
      <c r="P215" s="406">
        <v>0</v>
      </c>
      <c r="Q215" s="406">
        <v>0</v>
      </c>
      <c r="R215" s="406">
        <v>0</v>
      </c>
      <c r="S215" s="406">
        <v>0</v>
      </c>
      <c r="T215" s="406">
        <v>0</v>
      </c>
      <c r="U215" s="406">
        <v>0</v>
      </c>
      <c r="V215" s="406">
        <v>0</v>
      </c>
      <c r="W215" s="327"/>
    </row>
    <row r="216" spans="1:23" ht="13.5" thickTop="1" x14ac:dyDescent="0.2">
      <c r="A216" s="9"/>
      <c r="B216" s="309"/>
      <c r="C216" s="44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</row>
    <row r="217" spans="1:23" x14ac:dyDescent="0.2">
      <c r="A217" s="9"/>
      <c r="B217" s="311" t="s">
        <v>233</v>
      </c>
      <c r="C217" s="446">
        <v>0</v>
      </c>
      <c r="D217" s="410">
        <v>17211684.578413464</v>
      </c>
      <c r="E217" s="410">
        <v>20025884.826584429</v>
      </c>
      <c r="F217" s="410">
        <v>19318930.904716529</v>
      </c>
      <c r="G217" s="410">
        <v>21969938.858493075</v>
      </c>
      <c r="H217" s="410">
        <v>20939462.906728059</v>
      </c>
      <c r="I217" s="410">
        <v>22457561.986231126</v>
      </c>
      <c r="J217" s="410">
        <v>24512441.493159249</v>
      </c>
      <c r="K217" s="410">
        <v>25109640.152916331</v>
      </c>
      <c r="L217" s="410">
        <v>25600519.419558503</v>
      </c>
      <c r="M217" s="410">
        <v>25486576.585500911</v>
      </c>
      <c r="N217" s="410">
        <v>26115712.661895279</v>
      </c>
      <c r="O217" s="410">
        <v>26101791.722243369</v>
      </c>
      <c r="P217" s="410">
        <v>26210328.223784182</v>
      </c>
      <c r="Q217" s="410">
        <v>27352262.816359904</v>
      </c>
      <c r="R217" s="410">
        <v>30449136.960256692</v>
      </c>
      <c r="S217" s="410">
        <v>29525278.568579212</v>
      </c>
      <c r="T217" s="410">
        <v>29743950.679164074</v>
      </c>
      <c r="U217" s="410">
        <v>31832612.51098185</v>
      </c>
      <c r="V217" s="410">
        <v>33434522.37064106</v>
      </c>
      <c r="W217" s="408">
        <v>175889568.6763097</v>
      </c>
    </row>
    <row r="218" spans="1:23" x14ac:dyDescent="0.2">
      <c r="A218" s="9"/>
      <c r="B218" s="286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">
      <c r="A219" s="302" t="s">
        <v>218</v>
      </c>
      <c r="B219" s="300" t="s">
        <v>170</v>
      </c>
      <c r="C219" s="433">
        <v>74719425.611276194</v>
      </c>
      <c r="D219" s="9"/>
      <c r="E219" s="137" t="s">
        <v>219</v>
      </c>
      <c r="F219" s="313" t="s">
        <v>170</v>
      </c>
      <c r="G219" s="437">
        <v>74719425.611276194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">
      <c r="A220" s="9"/>
      <c r="B220" s="300" t="s">
        <v>180</v>
      </c>
      <c r="C220" s="433">
        <v>120709445.28348713</v>
      </c>
      <c r="D220" s="9"/>
      <c r="E220" s="315"/>
      <c r="F220" s="313" t="s">
        <v>180</v>
      </c>
      <c r="G220" s="437">
        <v>120709445.28348713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3.5" thickBot="1" x14ac:dyDescent="0.25">
      <c r="A221" s="9"/>
      <c r="B221" s="316" t="s">
        <v>137</v>
      </c>
      <c r="C221" s="434">
        <v>26144863.619648419</v>
      </c>
      <c r="D221" s="317"/>
      <c r="E221" s="315"/>
      <c r="F221" s="313" t="s">
        <v>137</v>
      </c>
      <c r="G221" s="437">
        <v>26144863.619648419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4.25" thickTop="1" thickBot="1" x14ac:dyDescent="0.25">
      <c r="A222" s="9"/>
      <c r="B222" s="300" t="s">
        <v>28</v>
      </c>
      <c r="C222" s="432">
        <v>221573734.51441172</v>
      </c>
      <c r="D222" s="299"/>
      <c r="E222" s="315"/>
      <c r="F222" s="318" t="s">
        <v>203</v>
      </c>
      <c r="G222" s="319"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3.5" thickTop="1" x14ac:dyDescent="0.2">
      <c r="A223" s="9"/>
      <c r="B223" s="286"/>
      <c r="C223" s="320"/>
      <c r="D223" s="9"/>
      <c r="E223" s="321"/>
      <c r="F223" s="313" t="s">
        <v>28</v>
      </c>
      <c r="G223" s="362">
        <v>221573734.51441172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">
      <c r="A224" s="9"/>
      <c r="B224" s="286"/>
      <c r="C224" s="320"/>
      <c r="D224" s="9"/>
      <c r="E224" s="321"/>
      <c r="F224" s="313"/>
      <c r="G224" s="322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">
      <c r="A225" s="9"/>
      <c r="B225" s="286"/>
      <c r="C225" s="320"/>
      <c r="D225" s="9"/>
      <c r="E225" s="321"/>
      <c r="F225" s="313"/>
      <c r="G225" s="322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">
      <c r="A226" s="9"/>
      <c r="B226" s="323" t="s">
        <v>222</v>
      </c>
      <c r="C226" s="320"/>
      <c r="D226" s="9"/>
      <c r="E226" s="321"/>
      <c r="F226" s="313"/>
      <c r="G226" s="322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">
      <c r="A227" s="324" t="s">
        <v>224</v>
      </c>
      <c r="B227" s="323" t="s">
        <v>223</v>
      </c>
      <c r="C227" s="325"/>
      <c r="D227" s="326">
        <v>22765920.210913464</v>
      </c>
      <c r="E227" s="326">
        <v>21550316.043004431</v>
      </c>
      <c r="F227" s="326">
        <v>20324562.885486729</v>
      </c>
      <c r="G227" s="326">
        <v>19431198.278002374</v>
      </c>
      <c r="H227" s="326">
        <v>19203942.179575555</v>
      </c>
      <c r="I227" s="326">
        <v>21119062.157926805</v>
      </c>
      <c r="J227" s="326">
        <v>23797880.043236658</v>
      </c>
      <c r="K227" s="326">
        <v>24778921.908436153</v>
      </c>
      <c r="L227" s="326">
        <v>25536069.46952479</v>
      </c>
      <c r="M227" s="326">
        <v>25551875.553453099</v>
      </c>
      <c r="N227" s="326">
        <v>26147980.446883366</v>
      </c>
      <c r="O227" s="326">
        <v>26218487.221468471</v>
      </c>
      <c r="P227" s="326">
        <v>26411123.91954257</v>
      </c>
      <c r="Q227" s="326">
        <v>27587087.819547575</v>
      </c>
      <c r="R227" s="326">
        <v>30717073.552596524</v>
      </c>
      <c r="S227" s="326">
        <v>29875748.050245773</v>
      </c>
      <c r="T227" s="326">
        <v>30175885.439337164</v>
      </c>
      <c r="U227" s="326">
        <v>32225815.320516661</v>
      </c>
      <c r="V227" s="326">
        <v>33815736.896018453</v>
      </c>
      <c r="W227" s="9"/>
    </row>
    <row r="228" spans="1:23" x14ac:dyDescent="0.2">
      <c r="A228" s="9"/>
      <c r="B228" s="286" t="s">
        <v>225</v>
      </c>
      <c r="C228" s="320"/>
      <c r="D228" s="327">
        <v>15177280.140608976</v>
      </c>
      <c r="E228" s="327">
        <v>14366877.362002954</v>
      </c>
      <c r="F228" s="327">
        <v>13549708.590324489</v>
      </c>
      <c r="G228" s="327">
        <v>12954132.185334919</v>
      </c>
      <c r="H228" s="327">
        <v>12802628.119717039</v>
      </c>
      <c r="I228" s="327">
        <v>14079374.771951206</v>
      </c>
      <c r="J228" s="327">
        <v>15865253.362157775</v>
      </c>
      <c r="K228" s="327">
        <v>16519281.27229077</v>
      </c>
      <c r="L228" s="327">
        <v>17024046.31301653</v>
      </c>
      <c r="M228" s="327">
        <v>17034583.702302065</v>
      </c>
      <c r="N228" s="327">
        <v>17431986.96458891</v>
      </c>
      <c r="O228" s="327">
        <v>17478991.480978981</v>
      </c>
      <c r="P228" s="327">
        <v>17607415.946361717</v>
      </c>
      <c r="Q228" s="327">
        <v>18391391.879698385</v>
      </c>
      <c r="R228" s="327">
        <v>20478049.035064355</v>
      </c>
      <c r="S228" s="327">
        <v>19917165.366830517</v>
      </c>
      <c r="T228" s="327">
        <v>20117256.959558114</v>
      </c>
      <c r="U228" s="327">
        <v>21483876.880344443</v>
      </c>
      <c r="V228" s="327">
        <v>22543824.597345635</v>
      </c>
      <c r="W228" s="9"/>
    </row>
    <row r="229" spans="1:23" x14ac:dyDescent="0.2">
      <c r="A229" s="9"/>
      <c r="B229" s="328" t="s">
        <v>226</v>
      </c>
      <c r="C229" s="329"/>
      <c r="D229" s="327">
        <v>2062980.3674999999</v>
      </c>
      <c r="E229" s="327">
        <v>2822411.9035799997</v>
      </c>
      <c r="F229" s="327">
        <v>3154240.7992297998</v>
      </c>
      <c r="G229" s="327">
        <v>3254999.0104907001</v>
      </c>
      <c r="H229" s="327">
        <v>3219881.2151525002</v>
      </c>
      <c r="I229" s="327">
        <v>2867391.13094432</v>
      </c>
      <c r="J229" s="327">
        <v>2289319.4916417915</v>
      </c>
      <c r="K229" s="327">
        <v>1952719.0274509522</v>
      </c>
      <c r="L229" s="327">
        <v>1735110.7564936141</v>
      </c>
      <c r="M229" s="327">
        <v>1655481.6627015104</v>
      </c>
      <c r="N229" s="327">
        <v>1740136.2645852189</v>
      </c>
      <c r="O229" s="327">
        <v>1708880.6718354053</v>
      </c>
      <c r="P229" s="327">
        <v>1679547.7604339353</v>
      </c>
      <c r="Q229" s="327">
        <v>1701928.7566904216</v>
      </c>
      <c r="R229" s="327">
        <v>1726919.7803346021</v>
      </c>
      <c r="S229" s="327">
        <v>1704232.582188108</v>
      </c>
      <c r="T229" s="327">
        <v>1684408.3655972192</v>
      </c>
      <c r="U229" s="327">
        <v>1786630.6100086044</v>
      </c>
      <c r="V229" s="327">
        <v>1864013.89675233</v>
      </c>
      <c r="W229" s="9"/>
    </row>
    <row r="230" spans="1:23" ht="13.5" thickBot="1" x14ac:dyDescent="0.25">
      <c r="A230" s="9"/>
      <c r="B230" s="330" t="s">
        <v>227</v>
      </c>
      <c r="C230" s="331"/>
      <c r="D230" s="332">
        <v>40006180.719022438</v>
      </c>
      <c r="E230" s="332">
        <v>38739605.308587387</v>
      </c>
      <c r="F230" s="332">
        <v>37028512.275041021</v>
      </c>
      <c r="G230" s="332">
        <v>35640329.473827995</v>
      </c>
      <c r="H230" s="332">
        <v>35226451.514445096</v>
      </c>
      <c r="I230" s="332">
        <v>38065828.06082233</v>
      </c>
      <c r="J230" s="332">
        <v>41952452.897036225</v>
      </c>
      <c r="K230" s="332">
        <v>43250922.208177872</v>
      </c>
      <c r="L230" s="332">
        <v>44295226.539034933</v>
      </c>
      <c r="M230" s="332">
        <v>44241940.918456674</v>
      </c>
      <c r="N230" s="332">
        <v>45320103.676057495</v>
      </c>
      <c r="O230" s="332">
        <v>45406359.374282859</v>
      </c>
      <c r="P230" s="332">
        <v>45698087.626338221</v>
      </c>
      <c r="Q230" s="332">
        <v>47680408.45593638</v>
      </c>
      <c r="R230" s="332">
        <v>52922042.367995478</v>
      </c>
      <c r="S230" s="332">
        <v>51497145.999264397</v>
      </c>
      <c r="T230" s="332">
        <v>51977550.764492497</v>
      </c>
      <c r="U230" s="332">
        <v>55496322.810869709</v>
      </c>
      <c r="V230" s="332">
        <v>58223575.390116416</v>
      </c>
      <c r="W230" s="9"/>
    </row>
    <row r="231" spans="1:23" ht="13.5" thickTop="1" x14ac:dyDescent="0.2">
      <c r="A231" s="324" t="s">
        <v>228</v>
      </c>
      <c r="B231" s="286" t="s">
        <v>229</v>
      </c>
      <c r="C231" s="320"/>
      <c r="D231" s="327">
        <v>-2761556.1055343803</v>
      </c>
      <c r="E231" s="327">
        <v>-2978898.2615343803</v>
      </c>
      <c r="F231" s="327">
        <v>-3076887.3160343799</v>
      </c>
      <c r="G231" s="327">
        <v>-3112700.2375343801</v>
      </c>
      <c r="H231" s="327">
        <v>-3186918.26193438</v>
      </c>
      <c r="I231" s="327">
        <v>-3263362.8270663801</v>
      </c>
      <c r="J231" s="327">
        <v>-3342100.72915234</v>
      </c>
      <c r="K231" s="327">
        <v>-3423200.7683008788</v>
      </c>
      <c r="L231" s="327">
        <v>-3506733.8086238741</v>
      </c>
      <c r="M231" s="327">
        <v>-3592772.8401565584</v>
      </c>
      <c r="N231" s="327">
        <v>-3681393.0426352243</v>
      </c>
      <c r="O231" s="327">
        <v>-3772671.8511882494</v>
      </c>
      <c r="P231" s="327">
        <v>-3866689.0239978656</v>
      </c>
      <c r="Q231" s="327">
        <v>-3963526.7119917702</v>
      </c>
      <c r="R231" s="327">
        <v>-3133862.6931255106</v>
      </c>
      <c r="S231" s="327">
        <v>-1905925.4713182251</v>
      </c>
      <c r="T231" s="327">
        <v>-2010538.3551067405</v>
      </c>
      <c r="U231" s="327">
        <v>-2119530.0260839113</v>
      </c>
      <c r="V231" s="327">
        <v>-2231791.4471903974</v>
      </c>
      <c r="W231" s="9"/>
    </row>
    <row r="232" spans="1:23" x14ac:dyDescent="0.2">
      <c r="A232" s="9"/>
      <c r="B232" s="286" t="s">
        <v>230</v>
      </c>
      <c r="C232" s="320"/>
      <c r="D232" s="327">
        <v>0</v>
      </c>
      <c r="E232" s="327">
        <v>0</v>
      </c>
      <c r="F232" s="327">
        <v>0</v>
      </c>
      <c r="G232" s="327">
        <v>0</v>
      </c>
      <c r="H232" s="327">
        <v>0</v>
      </c>
      <c r="I232" s="327">
        <v>0</v>
      </c>
      <c r="J232" s="327">
        <v>0</v>
      </c>
      <c r="K232" s="327">
        <v>0</v>
      </c>
      <c r="L232" s="327">
        <v>0</v>
      </c>
      <c r="M232" s="327">
        <v>0</v>
      </c>
      <c r="N232" s="327">
        <v>0</v>
      </c>
      <c r="O232" s="327">
        <v>0</v>
      </c>
      <c r="P232" s="327">
        <v>0</v>
      </c>
      <c r="Q232" s="327">
        <v>0</v>
      </c>
      <c r="R232" s="327">
        <v>0</v>
      </c>
      <c r="S232" s="327">
        <v>0</v>
      </c>
      <c r="T232" s="327">
        <v>0</v>
      </c>
      <c r="U232" s="327">
        <v>0</v>
      </c>
      <c r="V232" s="327">
        <v>0</v>
      </c>
      <c r="W232" s="9"/>
    </row>
    <row r="233" spans="1:23" x14ac:dyDescent="0.2">
      <c r="A233" s="9"/>
      <c r="B233" s="323" t="s">
        <v>231</v>
      </c>
      <c r="C233" s="325"/>
      <c r="D233" s="326">
        <v>37244624.613488056</v>
      </c>
      <c r="E233" s="326">
        <v>35760707.047053009</v>
      </c>
      <c r="F233" s="326">
        <v>33951624.959006645</v>
      </c>
      <c r="G233" s="326">
        <v>32527629.236293614</v>
      </c>
      <c r="H233" s="326">
        <v>32039533.252510715</v>
      </c>
      <c r="I233" s="326">
        <v>34802465.233755954</v>
      </c>
      <c r="J233" s="326">
        <v>38610352.167883888</v>
      </c>
      <c r="K233" s="326">
        <v>39827721.439876996</v>
      </c>
      <c r="L233" s="326">
        <v>40788492.73041106</v>
      </c>
      <c r="M233" s="326">
        <v>40649168.078300118</v>
      </c>
      <c r="N233" s="326">
        <v>41638710.63342227</v>
      </c>
      <c r="O233" s="326">
        <v>41633687.523094609</v>
      </c>
      <c r="P233" s="326">
        <v>41831398.602340356</v>
      </c>
      <c r="Q233" s="326">
        <v>43716881.743944608</v>
      </c>
      <c r="R233" s="326">
        <v>49788179.674869969</v>
      </c>
      <c r="S233" s="326">
        <v>49591220.527946174</v>
      </c>
      <c r="T233" s="326">
        <v>49967012.409385756</v>
      </c>
      <c r="U233" s="326">
        <v>53376792.7847858</v>
      </c>
      <c r="V233" s="326">
        <v>55991783.942926019</v>
      </c>
      <c r="W233" s="9"/>
    </row>
    <row r="234" spans="1:23" ht="13.5" thickBot="1" x14ac:dyDescent="0.25">
      <c r="A234" s="9"/>
      <c r="B234" s="333" t="s">
        <v>237</v>
      </c>
      <c r="C234" s="334"/>
      <c r="D234" s="335">
        <v>-14897849.845395222</v>
      </c>
      <c r="E234" s="335">
        <v>-14304282.818821205</v>
      </c>
      <c r="F234" s="335">
        <v>-13580649.983602658</v>
      </c>
      <c r="G234" s="335">
        <v>-13011051.694517447</v>
      </c>
      <c r="H234" s="335">
        <v>-12815813.301004287</v>
      </c>
      <c r="I234" s="335">
        <v>-13920986.093502382</v>
      </c>
      <c r="J234" s="335">
        <v>-15444140.867153555</v>
      </c>
      <c r="K234" s="335">
        <v>-15931088.5759508</v>
      </c>
      <c r="L234" s="335">
        <v>-16315397.092164425</v>
      </c>
      <c r="M234" s="335">
        <v>-16259667.231320048</v>
      </c>
      <c r="N234" s="335">
        <v>-16655484.253368909</v>
      </c>
      <c r="O234" s="335">
        <v>-16653475.009237844</v>
      </c>
      <c r="P234" s="335">
        <v>-16732559.440936143</v>
      </c>
      <c r="Q234" s="335">
        <v>-17486752.697577845</v>
      </c>
      <c r="R234" s="335">
        <v>-19915271.869947989</v>
      </c>
      <c r="S234" s="335">
        <v>-19836488.21117847</v>
      </c>
      <c r="T234" s="335">
        <v>-19986804.963754304</v>
      </c>
      <c r="U234" s="335">
        <v>-21350717.113914322</v>
      </c>
      <c r="V234" s="335">
        <v>-22396713.577170409</v>
      </c>
      <c r="W234" s="9"/>
    </row>
    <row r="235" spans="1:23" ht="13.5" thickTop="1" x14ac:dyDescent="0.2">
      <c r="A235" s="9"/>
      <c r="B235" s="323" t="s">
        <v>232</v>
      </c>
      <c r="C235" s="325"/>
      <c r="D235" s="326">
        <v>22346774.768092833</v>
      </c>
      <c r="E235" s="326">
        <v>21456424.228231803</v>
      </c>
      <c r="F235" s="326">
        <v>20370974.975403987</v>
      </c>
      <c r="G235" s="326">
        <v>19516577.541776165</v>
      </c>
      <c r="H235" s="326">
        <v>19223719.951506428</v>
      </c>
      <c r="I235" s="326">
        <v>20881479.140253574</v>
      </c>
      <c r="J235" s="326">
        <v>23166211.300730333</v>
      </c>
      <c r="K235" s="326">
        <v>23896632.863926195</v>
      </c>
      <c r="L235" s="326">
        <v>24473095.638246633</v>
      </c>
      <c r="M235" s="326">
        <v>24389500.846980073</v>
      </c>
      <c r="N235" s="326">
        <v>24983226.380053364</v>
      </c>
      <c r="O235" s="326">
        <v>24980212.513856765</v>
      </c>
      <c r="P235" s="326">
        <v>25098839.161404215</v>
      </c>
      <c r="Q235" s="326">
        <v>26230129.046366762</v>
      </c>
      <c r="R235" s="326">
        <v>29872907.804921981</v>
      </c>
      <c r="S235" s="326">
        <v>29754732.316767704</v>
      </c>
      <c r="T235" s="326">
        <v>29980207.445631452</v>
      </c>
      <c r="U235" s="326">
        <v>32026075.670871478</v>
      </c>
      <c r="V235" s="326">
        <v>33595070.36575561</v>
      </c>
      <c r="W235" s="9"/>
    </row>
    <row r="236" spans="1:23" x14ac:dyDescent="0.2">
      <c r="A236" s="9"/>
      <c r="B236" s="9"/>
      <c r="C236" s="320"/>
      <c r="D236" s="9"/>
      <c r="E236" s="321"/>
      <c r="F236" s="313"/>
      <c r="G236" s="322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5.75" x14ac:dyDescent="0.25">
      <c r="A237" s="336" t="s">
        <v>205</v>
      </c>
      <c r="B237" s="33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">
      <c r="A238" s="284" t="s">
        <v>190</v>
      </c>
      <c r="B238" s="303"/>
      <c r="C238" s="338">
        <v>0</v>
      </c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77"/>
      <c r="P238" s="277"/>
      <c r="Q238" s="277"/>
      <c r="R238" s="277"/>
      <c r="S238" s="277"/>
      <c r="T238" s="277"/>
      <c r="U238" s="277"/>
      <c r="V238" s="277"/>
      <c r="W238" s="277"/>
    </row>
    <row r="239" spans="1:23" x14ac:dyDescent="0.2">
      <c r="A239" s="284" t="s">
        <v>191</v>
      </c>
      <c r="B239" s="303"/>
      <c r="C239" s="339">
        <v>0</v>
      </c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</row>
    <row r="240" spans="1:23" x14ac:dyDescent="0.2">
      <c r="A240" s="284" t="s">
        <v>201</v>
      </c>
      <c r="B240" s="303"/>
      <c r="C240" s="284">
        <v>15</v>
      </c>
      <c r="D240" s="277"/>
      <c r="E240" s="277"/>
      <c r="F240" s="277"/>
      <c r="G240" s="277"/>
      <c r="H240" s="277"/>
      <c r="I240" s="277"/>
      <c r="J240" s="277"/>
      <c r="K240" s="277"/>
      <c r="L240" s="277"/>
      <c r="M240" s="277"/>
      <c r="N240" s="277"/>
      <c r="O240" s="277"/>
      <c r="P240" s="277"/>
      <c r="Q240" s="277"/>
      <c r="R240" s="277"/>
      <c r="S240" s="277"/>
      <c r="T240" s="277"/>
      <c r="U240" s="277"/>
      <c r="V240" s="277"/>
      <c r="W240" s="277"/>
    </row>
    <row r="241" spans="1:23" x14ac:dyDescent="0.2">
      <c r="A241" s="284" t="s">
        <v>192</v>
      </c>
      <c r="B241" s="303"/>
      <c r="C241" s="339">
        <v>0</v>
      </c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77"/>
      <c r="P241" s="277"/>
      <c r="Q241" s="277"/>
      <c r="R241" s="277"/>
      <c r="S241" s="277"/>
      <c r="T241" s="277"/>
      <c r="U241" s="277"/>
      <c r="V241" s="277"/>
      <c r="W241" s="277"/>
    </row>
    <row r="242" spans="1:23" x14ac:dyDescent="0.2">
      <c r="A242" s="284" t="s">
        <v>193</v>
      </c>
      <c r="B242" s="303"/>
      <c r="C242" s="340">
        <v>8.7499999999999994E-2</v>
      </c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</row>
    <row r="243" spans="1:23" x14ac:dyDescent="0.2">
      <c r="A243" s="284"/>
      <c r="B243" s="303"/>
      <c r="C243" s="277"/>
      <c r="D243" s="306">
        <v>2001</v>
      </c>
      <c r="E243" s="306">
        <v>2002</v>
      </c>
      <c r="F243" s="306">
        <v>2003</v>
      </c>
      <c r="G243" s="306">
        <v>2004</v>
      </c>
      <c r="H243" s="306">
        <v>2005</v>
      </c>
      <c r="I243" s="306">
        <v>2006</v>
      </c>
      <c r="J243" s="306">
        <v>2007</v>
      </c>
      <c r="K243" s="306">
        <v>2008</v>
      </c>
      <c r="L243" s="306">
        <v>2009</v>
      </c>
      <c r="M243" s="306">
        <v>2010</v>
      </c>
      <c r="N243" s="306">
        <v>2011</v>
      </c>
      <c r="O243" s="306">
        <v>2012</v>
      </c>
      <c r="P243" s="306">
        <v>2013</v>
      </c>
      <c r="Q243" s="306">
        <v>2014</v>
      </c>
      <c r="R243" s="306">
        <v>2015</v>
      </c>
      <c r="S243" s="306">
        <v>2016</v>
      </c>
      <c r="T243" s="306">
        <v>2017</v>
      </c>
      <c r="U243" s="306">
        <v>2018</v>
      </c>
      <c r="V243" s="306">
        <v>2019</v>
      </c>
      <c r="W243" s="306" t="s">
        <v>154</v>
      </c>
    </row>
    <row r="244" spans="1:23" x14ac:dyDescent="0.2">
      <c r="A244" s="284" t="s">
        <v>194</v>
      </c>
      <c r="B244" s="303"/>
      <c r="C244" s="277"/>
      <c r="D244" s="341">
        <v>0</v>
      </c>
      <c r="E244" s="341">
        <v>0</v>
      </c>
      <c r="F244" s="341">
        <v>0</v>
      </c>
      <c r="G244" s="341">
        <v>0</v>
      </c>
      <c r="H244" s="341">
        <v>0</v>
      </c>
      <c r="I244" s="341">
        <v>0</v>
      </c>
      <c r="J244" s="341">
        <v>0</v>
      </c>
      <c r="K244" s="341">
        <v>0</v>
      </c>
      <c r="L244" s="341">
        <v>0</v>
      </c>
      <c r="M244" s="341">
        <v>0</v>
      </c>
      <c r="N244" s="341">
        <v>0</v>
      </c>
      <c r="O244" s="341">
        <v>0</v>
      </c>
      <c r="P244" s="341">
        <v>0</v>
      </c>
      <c r="Q244" s="341">
        <v>0</v>
      </c>
      <c r="R244" s="341">
        <v>0</v>
      </c>
      <c r="S244" s="341">
        <v>0</v>
      </c>
      <c r="T244" s="341">
        <v>0</v>
      </c>
      <c r="U244" s="341">
        <v>0</v>
      </c>
      <c r="V244" s="341">
        <v>0</v>
      </c>
      <c r="W244" s="341">
        <v>0</v>
      </c>
    </row>
    <row r="245" spans="1:23" x14ac:dyDescent="0.2">
      <c r="A245" s="284" t="s">
        <v>195</v>
      </c>
      <c r="B245" s="303"/>
      <c r="C245" s="277"/>
      <c r="D245" s="341">
        <v>0</v>
      </c>
      <c r="E245" s="341">
        <v>0</v>
      </c>
      <c r="F245" s="341">
        <v>0</v>
      </c>
      <c r="G245" s="341">
        <v>0</v>
      </c>
      <c r="H245" s="341">
        <v>0</v>
      </c>
      <c r="I245" s="341">
        <v>0</v>
      </c>
      <c r="J245" s="341">
        <v>0</v>
      </c>
      <c r="K245" s="341">
        <v>0</v>
      </c>
      <c r="L245" s="341">
        <v>0</v>
      </c>
      <c r="M245" s="341">
        <v>0</v>
      </c>
      <c r="N245" s="341">
        <v>0</v>
      </c>
      <c r="O245" s="341">
        <v>0</v>
      </c>
      <c r="P245" s="341">
        <v>0</v>
      </c>
      <c r="Q245" s="341">
        <v>0</v>
      </c>
      <c r="R245" s="341">
        <v>0</v>
      </c>
      <c r="S245" s="341">
        <v>0</v>
      </c>
      <c r="T245" s="341">
        <v>0</v>
      </c>
      <c r="U245" s="341">
        <v>0</v>
      </c>
      <c r="V245" s="341">
        <v>0</v>
      </c>
      <c r="W245" s="341">
        <v>0</v>
      </c>
    </row>
    <row r="246" spans="1:23" x14ac:dyDescent="0.2">
      <c r="A246" s="284" t="s">
        <v>196</v>
      </c>
      <c r="B246" s="303"/>
      <c r="C246" s="277"/>
      <c r="D246" s="341">
        <v>0</v>
      </c>
      <c r="E246" s="341">
        <v>0</v>
      </c>
      <c r="F246" s="341">
        <v>0</v>
      </c>
      <c r="G246" s="341">
        <v>0</v>
      </c>
      <c r="H246" s="341">
        <v>0</v>
      </c>
      <c r="I246" s="341">
        <v>0</v>
      </c>
      <c r="J246" s="341">
        <v>0</v>
      </c>
      <c r="K246" s="341">
        <v>0</v>
      </c>
      <c r="L246" s="341">
        <v>0</v>
      </c>
      <c r="M246" s="341">
        <v>0</v>
      </c>
      <c r="N246" s="341">
        <v>0</v>
      </c>
      <c r="O246" s="341">
        <v>0</v>
      </c>
      <c r="P246" s="341">
        <v>0</v>
      </c>
      <c r="Q246" s="341">
        <v>0</v>
      </c>
      <c r="R246" s="341">
        <v>0</v>
      </c>
      <c r="S246" s="341">
        <v>0</v>
      </c>
      <c r="T246" s="341">
        <v>0</v>
      </c>
      <c r="U246" s="341">
        <v>0</v>
      </c>
      <c r="V246" s="341">
        <v>0</v>
      </c>
      <c r="W246" s="341">
        <v>0</v>
      </c>
    </row>
    <row r="247" spans="1:23" x14ac:dyDescent="0.2">
      <c r="A247" s="284" t="s">
        <v>197</v>
      </c>
      <c r="B247" s="303"/>
      <c r="C247" s="277"/>
      <c r="D247" s="342">
        <v>0</v>
      </c>
      <c r="E247" s="342">
        <v>0</v>
      </c>
      <c r="F247" s="342">
        <v>0</v>
      </c>
      <c r="G247" s="342">
        <v>0</v>
      </c>
      <c r="H247" s="342">
        <v>0</v>
      </c>
      <c r="I247" s="342">
        <v>0</v>
      </c>
      <c r="J247" s="342">
        <v>0</v>
      </c>
      <c r="K247" s="342">
        <v>0</v>
      </c>
      <c r="L247" s="342">
        <v>0</v>
      </c>
      <c r="M247" s="342">
        <v>0</v>
      </c>
      <c r="N247" s="342">
        <v>0</v>
      </c>
      <c r="O247" s="342">
        <v>0</v>
      </c>
      <c r="P247" s="342">
        <v>0</v>
      </c>
      <c r="Q247" s="342">
        <v>0</v>
      </c>
      <c r="R247" s="342">
        <v>0</v>
      </c>
      <c r="S247" s="342">
        <v>0</v>
      </c>
      <c r="T247" s="342">
        <v>0</v>
      </c>
      <c r="U247" s="342">
        <v>0</v>
      </c>
      <c r="V247" s="342">
        <v>0</v>
      </c>
      <c r="W247" s="342">
        <v>0</v>
      </c>
    </row>
    <row r="248" spans="1:23" ht="13.5" thickBot="1" x14ac:dyDescent="0.25">
      <c r="A248" s="284" t="s">
        <v>198</v>
      </c>
      <c r="B248" s="303"/>
      <c r="C248" s="277"/>
      <c r="D248" s="343">
        <v>0</v>
      </c>
      <c r="E248" s="343">
        <v>0</v>
      </c>
      <c r="F248" s="343">
        <v>0</v>
      </c>
      <c r="G248" s="343">
        <v>0</v>
      </c>
      <c r="H248" s="343">
        <v>0</v>
      </c>
      <c r="I248" s="343">
        <v>0</v>
      </c>
      <c r="J248" s="343">
        <v>0</v>
      </c>
      <c r="K248" s="343">
        <v>0</v>
      </c>
      <c r="L248" s="343">
        <v>0</v>
      </c>
      <c r="M248" s="343">
        <v>0</v>
      </c>
      <c r="N248" s="343">
        <v>0</v>
      </c>
      <c r="O248" s="343">
        <v>0</v>
      </c>
      <c r="P248" s="343">
        <v>0</v>
      </c>
      <c r="Q248" s="343">
        <v>0</v>
      </c>
      <c r="R248" s="343">
        <v>0</v>
      </c>
      <c r="S248" s="343">
        <v>0</v>
      </c>
      <c r="T248" s="343">
        <v>0</v>
      </c>
      <c r="U248" s="343">
        <v>0</v>
      </c>
      <c r="V248" s="343">
        <v>0</v>
      </c>
      <c r="W248" s="343">
        <v>0</v>
      </c>
    </row>
    <row r="249" spans="1:23" ht="13.5" thickTop="1" x14ac:dyDescent="0.2">
      <c r="A249" s="284"/>
      <c r="B249" s="303"/>
      <c r="C249" s="277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</row>
    <row r="250" spans="1:23" x14ac:dyDescent="0.2">
      <c r="A250" s="284" t="s">
        <v>199</v>
      </c>
      <c r="B250" s="303"/>
      <c r="C250" s="277"/>
      <c r="D250" s="341">
        <v>0</v>
      </c>
      <c r="E250" s="341">
        <v>0</v>
      </c>
      <c r="F250" s="341">
        <v>0</v>
      </c>
      <c r="G250" s="341">
        <v>0</v>
      </c>
      <c r="H250" s="341">
        <v>0</v>
      </c>
      <c r="I250" s="341">
        <v>0</v>
      </c>
      <c r="J250" s="341">
        <v>0</v>
      </c>
      <c r="K250" s="341">
        <v>0</v>
      </c>
      <c r="L250" s="341">
        <v>0</v>
      </c>
      <c r="M250" s="341">
        <v>0</v>
      </c>
      <c r="N250" s="341">
        <v>0</v>
      </c>
      <c r="O250" s="341">
        <v>0</v>
      </c>
      <c r="P250" s="341">
        <v>0</v>
      </c>
      <c r="Q250" s="341">
        <v>0</v>
      </c>
      <c r="R250" s="341">
        <v>0</v>
      </c>
      <c r="S250" s="341">
        <v>0</v>
      </c>
      <c r="T250" s="341">
        <v>0</v>
      </c>
      <c r="U250" s="341">
        <v>0</v>
      </c>
      <c r="V250" s="341">
        <v>0</v>
      </c>
      <c r="W250" s="341">
        <v>0</v>
      </c>
    </row>
    <row r="251" spans="1:23" x14ac:dyDescent="0.2">
      <c r="A251" s="284"/>
      <c r="B251" s="303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</row>
    <row r="252" spans="1:23" x14ac:dyDescent="0.2">
      <c r="A252" s="284" t="s">
        <v>200</v>
      </c>
      <c r="B252" s="303"/>
      <c r="C252" s="277"/>
      <c r="D252" s="341">
        <v>0</v>
      </c>
      <c r="E252" s="341">
        <v>0</v>
      </c>
      <c r="F252" s="341">
        <v>0</v>
      </c>
      <c r="G252" s="341">
        <v>0</v>
      </c>
      <c r="H252" s="341">
        <v>0</v>
      </c>
      <c r="I252" s="341">
        <v>0</v>
      </c>
      <c r="J252" s="341">
        <v>0</v>
      </c>
      <c r="K252" s="341">
        <v>0</v>
      </c>
      <c r="L252" s="341">
        <v>0</v>
      </c>
      <c r="M252" s="341">
        <v>0</v>
      </c>
      <c r="N252" s="341">
        <v>0</v>
      </c>
      <c r="O252" s="341">
        <v>0</v>
      </c>
      <c r="P252" s="341">
        <v>0</v>
      </c>
      <c r="Q252" s="341">
        <v>0</v>
      </c>
      <c r="R252" s="341">
        <v>0</v>
      </c>
      <c r="S252" s="341">
        <v>0</v>
      </c>
      <c r="T252" s="341">
        <v>0</v>
      </c>
      <c r="U252" s="341">
        <v>0</v>
      </c>
      <c r="V252" s="341">
        <v>0</v>
      </c>
      <c r="W252" s="341">
        <v>0</v>
      </c>
    </row>
    <row r="253" spans="1:23" x14ac:dyDescent="0.2">
      <c r="A253" s="277"/>
      <c r="B253" s="303"/>
      <c r="C253" s="277"/>
      <c r="D253" s="277"/>
      <c r="E253" s="277"/>
      <c r="F253" s="277"/>
      <c r="G253" s="277"/>
      <c r="H253" s="277"/>
      <c r="I253" s="277"/>
      <c r="J253" s="277"/>
      <c r="K253" s="277"/>
      <c r="L253" s="277"/>
      <c r="M253" s="277"/>
      <c r="N253" s="277"/>
      <c r="O253" s="277"/>
      <c r="P253" s="277"/>
      <c r="Q253" s="277"/>
      <c r="R253" s="277"/>
      <c r="S253" s="277"/>
      <c r="T253" s="277"/>
      <c r="U253" s="277"/>
      <c r="V253" s="277"/>
      <c r="W253" s="277"/>
    </row>
    <row r="254" spans="1:23" x14ac:dyDescent="0.2">
      <c r="A254" s="277"/>
      <c r="B254" s="303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77"/>
      <c r="P254" s="277"/>
      <c r="Q254" s="277"/>
      <c r="R254" s="277"/>
      <c r="S254" s="277"/>
      <c r="T254" s="277"/>
      <c r="U254" s="277"/>
      <c r="V254" s="277"/>
      <c r="W254" s="277"/>
    </row>
    <row r="255" spans="1:23" x14ac:dyDescent="0.2">
      <c r="A255" s="284" t="s">
        <v>202</v>
      </c>
      <c r="B255" s="279"/>
      <c r="C255" s="278"/>
      <c r="D255" s="435">
        <v>17211684.578413464</v>
      </c>
      <c r="E255" s="435">
        <v>20025884.826584429</v>
      </c>
      <c r="F255" s="435">
        <v>19318930.904716529</v>
      </c>
      <c r="G255" s="435">
        <v>21969938.858493075</v>
      </c>
      <c r="H255" s="435">
        <v>20939462.906728059</v>
      </c>
      <c r="I255" s="435">
        <v>22457561.986231126</v>
      </c>
      <c r="J255" s="435">
        <v>24512441.493159249</v>
      </c>
      <c r="K255" s="435">
        <v>25109640.152916331</v>
      </c>
      <c r="L255" s="435">
        <v>25600519.419558503</v>
      </c>
      <c r="M255" s="435">
        <v>25486576.585500911</v>
      </c>
      <c r="N255" s="435">
        <v>26115712.661895279</v>
      </c>
      <c r="O255" s="435">
        <v>26101791.722243369</v>
      </c>
      <c r="P255" s="435">
        <v>26210328.223784182</v>
      </c>
      <c r="Q255" s="435">
        <v>27352262.816359904</v>
      </c>
      <c r="R255" s="435">
        <v>30449136.960256692</v>
      </c>
      <c r="S255" s="435">
        <v>29525278.568579212</v>
      </c>
      <c r="T255" s="435">
        <v>29743950.679164074</v>
      </c>
      <c r="U255" s="435">
        <v>31832612.51098185</v>
      </c>
      <c r="V255" s="435">
        <v>33434522.37064106</v>
      </c>
      <c r="W255" s="435">
        <v>175889568.6763097</v>
      </c>
    </row>
    <row r="256" spans="1:23" x14ac:dyDescent="0.2">
      <c r="A256" s="9"/>
      <c r="B256" s="6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">
      <c r="A257" s="45"/>
      <c r="B257" s="360"/>
      <c r="C257" s="294"/>
      <c r="D257" s="294"/>
      <c r="E257" s="294"/>
      <c r="F257" s="294"/>
      <c r="G257" s="294"/>
      <c r="H257" s="294"/>
      <c r="I257" s="294"/>
      <c r="J257" s="294"/>
      <c r="K257" s="294"/>
      <c r="L257" s="294"/>
      <c r="M257" s="294"/>
      <c r="N257" s="294"/>
      <c r="O257" s="294"/>
      <c r="P257" s="294"/>
      <c r="Q257" s="294"/>
      <c r="R257" s="294"/>
      <c r="S257" s="294"/>
      <c r="T257" s="294"/>
      <c r="U257" s="294"/>
      <c r="V257" s="294"/>
      <c r="W257" s="294"/>
    </row>
    <row r="258" spans="1:23" x14ac:dyDescent="0.2">
      <c r="B258" s="348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294"/>
    </row>
    <row r="259" spans="1:23" x14ac:dyDescent="0.2">
      <c r="B259" s="348"/>
      <c r="C259" s="349"/>
      <c r="D259" s="349"/>
      <c r="E259" s="349"/>
      <c r="F259" s="349"/>
      <c r="G259" s="349"/>
      <c r="H259" s="349"/>
      <c r="I259" s="349"/>
      <c r="J259" s="349"/>
      <c r="K259" s="349"/>
      <c r="L259" s="349"/>
      <c r="M259" s="349"/>
      <c r="N259" s="349"/>
      <c r="O259" s="349"/>
      <c r="P259" s="349"/>
      <c r="Q259" s="349"/>
      <c r="R259" s="349"/>
      <c r="S259" s="349"/>
      <c r="T259" s="349"/>
      <c r="U259" s="349"/>
      <c r="V259" s="349"/>
      <c r="W259" s="294"/>
    </row>
    <row r="260" spans="1:23" x14ac:dyDescent="0.2">
      <c r="B260" s="348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294"/>
    </row>
    <row r="261" spans="1:23" x14ac:dyDescent="0.2">
      <c r="B261" s="348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294"/>
    </row>
    <row r="262" spans="1:23" x14ac:dyDescent="0.2">
      <c r="B262" s="348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294"/>
    </row>
    <row r="263" spans="1:23" x14ac:dyDescent="0.2">
      <c r="B263" s="350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294"/>
    </row>
    <row r="264" spans="1:23" ht="15.75" x14ac:dyDescent="0.25">
      <c r="A264" s="302" t="s">
        <v>29</v>
      </c>
      <c r="B264" s="305" t="s">
        <v>58</v>
      </c>
      <c r="C264" s="306">
        <v>2000</v>
      </c>
      <c r="D264" s="306">
        <v>2001</v>
      </c>
      <c r="E264" s="306">
        <v>2002</v>
      </c>
      <c r="F264" s="306">
        <v>2003</v>
      </c>
      <c r="G264" s="306">
        <v>2004</v>
      </c>
      <c r="H264" s="306">
        <v>2005</v>
      </c>
      <c r="I264" s="306">
        <v>2006</v>
      </c>
      <c r="J264" s="306">
        <v>2007</v>
      </c>
      <c r="K264" s="306">
        <v>2008</v>
      </c>
      <c r="L264" s="306">
        <v>2009</v>
      </c>
      <c r="M264" s="306">
        <v>2010</v>
      </c>
      <c r="N264" s="306">
        <v>2011</v>
      </c>
      <c r="O264" s="306">
        <v>2012</v>
      </c>
      <c r="P264" s="306">
        <v>2013</v>
      </c>
      <c r="Q264" s="306">
        <v>2014</v>
      </c>
      <c r="R264" s="306">
        <v>2015</v>
      </c>
      <c r="S264" s="306">
        <v>2016</v>
      </c>
      <c r="T264" s="306">
        <v>2017</v>
      </c>
      <c r="U264" s="306">
        <v>2018</v>
      </c>
      <c r="V264" s="306">
        <v>2019</v>
      </c>
      <c r="W264" s="306" t="s">
        <v>154</v>
      </c>
    </row>
    <row r="265" spans="1:23" x14ac:dyDescent="0.2">
      <c r="A265" s="302" t="s">
        <v>26</v>
      </c>
      <c r="B265" s="303">
        <v>228.15</v>
      </c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</row>
    <row r="266" spans="1:23" x14ac:dyDescent="0.2">
      <c r="A266" s="9"/>
      <c r="B266" s="309" t="s">
        <v>27</v>
      </c>
      <c r="C266" s="443">
        <v>0</v>
      </c>
      <c r="D266" s="404">
        <v>64146320.490170985</v>
      </c>
      <c r="E266" s="404">
        <v>63256691.026939452</v>
      </c>
      <c r="F266" s="404">
        <v>64474273.782860309</v>
      </c>
      <c r="G266" s="404">
        <v>63560427.513728052</v>
      </c>
      <c r="H266" s="404">
        <v>64039176.454186156</v>
      </c>
      <c r="I266" s="404">
        <v>68363220.628550768</v>
      </c>
      <c r="J266" s="404">
        <v>73302819.399992391</v>
      </c>
      <c r="K266" s="404">
        <v>75199732.00820218</v>
      </c>
      <c r="L266" s="404">
        <v>76773722.645194173</v>
      </c>
      <c r="M266" s="404">
        <v>77047800.592917413</v>
      </c>
      <c r="N266" s="404">
        <v>78712413.226944789</v>
      </c>
      <c r="O266" s="404">
        <v>79596336.869204268</v>
      </c>
      <c r="P266" s="404">
        <v>80533030.162801802</v>
      </c>
      <c r="Q266" s="404">
        <v>83367891.14285472</v>
      </c>
      <c r="R266" s="404">
        <v>89282759.377422854</v>
      </c>
      <c r="S266" s="404">
        <v>88768425.843234852</v>
      </c>
      <c r="T266" s="404">
        <v>89899763.374190256</v>
      </c>
      <c r="U266" s="404">
        <v>94219935.267105713</v>
      </c>
      <c r="V266" s="404">
        <v>97081731.482991368</v>
      </c>
      <c r="W266" s="327"/>
    </row>
    <row r="267" spans="1:23" x14ac:dyDescent="0.2">
      <c r="A267" s="9"/>
      <c r="B267" s="309" t="s">
        <v>20</v>
      </c>
      <c r="C267" s="443">
        <v>0</v>
      </c>
      <c r="D267" s="404">
        <v>-18705406.306983076</v>
      </c>
      <c r="E267" s="404">
        <v>-18973387.580315355</v>
      </c>
      <c r="F267" s="404">
        <v>-19302487.389670786</v>
      </c>
      <c r="G267" s="404">
        <v>-19857255.639727086</v>
      </c>
      <c r="H267" s="404">
        <v>-20551499.523272119</v>
      </c>
      <c r="I267" s="404">
        <v>-21346040.491573099</v>
      </c>
      <c r="J267" s="404">
        <v>-21838123.063656934</v>
      </c>
      <c r="K267" s="404">
        <v>-22308265.648450412</v>
      </c>
      <c r="L267" s="404">
        <v>-22671842.580690704</v>
      </c>
      <c r="M267" s="404">
        <v>-22847362.479013592</v>
      </c>
      <c r="N267" s="404">
        <v>-23154522.301078662</v>
      </c>
      <c r="O267" s="404">
        <v>-23656007.72485837</v>
      </c>
      <c r="P267" s="404">
        <v>-24193537.41347225</v>
      </c>
      <c r="Q267" s="404">
        <v>-24705992.830897134</v>
      </c>
      <c r="R267" s="404">
        <v>-25052331.201694995</v>
      </c>
      <c r="S267" s="404">
        <v>-25564786.619119883</v>
      </c>
      <c r="T267" s="404">
        <v>-26147763.42426379</v>
      </c>
      <c r="U267" s="404">
        <v>-26790291.623481553</v>
      </c>
      <c r="V267" s="404">
        <v>-27451625.526091024</v>
      </c>
      <c r="W267" s="327"/>
    </row>
    <row r="268" spans="1:23" x14ac:dyDescent="0.2">
      <c r="A268" s="9"/>
      <c r="B268" s="309" t="s">
        <v>31</v>
      </c>
      <c r="C268" s="443">
        <v>0</v>
      </c>
      <c r="D268" s="404">
        <v>-1385116.1120844106</v>
      </c>
      <c r="E268" s="404">
        <v>-1413073.7883509011</v>
      </c>
      <c r="F268" s="404">
        <v>-2374147.5853873533</v>
      </c>
      <c r="G268" s="404">
        <v>-2426559.0625315937</v>
      </c>
      <c r="H268" s="404">
        <v>-2480140.702518316</v>
      </c>
      <c r="I268" s="404">
        <v>-2534918.9311041897</v>
      </c>
      <c r="J268" s="404">
        <v>-2590920.7776020942</v>
      </c>
      <c r="K268" s="404">
        <v>-2648173.8888177518</v>
      </c>
      <c r="L268" s="404">
        <v>-2706706.5433115074</v>
      </c>
      <c r="M268" s="404">
        <v>-2766547.6659929319</v>
      </c>
      <c r="N268" s="404">
        <v>-2827726.8430560837</v>
      </c>
      <c r="O268" s="404">
        <v>-2890274.3372634528</v>
      </c>
      <c r="P268" s="404">
        <v>-2954221.1035868144</v>
      </c>
      <c r="Q268" s="404">
        <v>-3019598.8052134011</v>
      </c>
      <c r="R268" s="404">
        <v>-3086439.8299260079</v>
      </c>
      <c r="S268" s="404">
        <v>-3154777.3068658491</v>
      </c>
      <c r="T268" s="404">
        <v>-3224645.123687197</v>
      </c>
      <c r="U268" s="404">
        <v>-3296077.9441130469</v>
      </c>
      <c r="V268" s="404">
        <v>-3369111.2259012735</v>
      </c>
      <c r="W268" s="327"/>
    </row>
    <row r="269" spans="1:23" x14ac:dyDescent="0.2">
      <c r="A269" s="9"/>
      <c r="B269" s="309" t="s">
        <v>32</v>
      </c>
      <c r="C269" s="443">
        <v>0</v>
      </c>
      <c r="D269" s="404">
        <v>0</v>
      </c>
      <c r="E269" s="404">
        <v>0</v>
      </c>
      <c r="F269" s="404">
        <v>0</v>
      </c>
      <c r="G269" s="404">
        <v>0</v>
      </c>
      <c r="H269" s="404">
        <v>0</v>
      </c>
      <c r="I269" s="404">
        <v>-562319.35342372255</v>
      </c>
      <c r="J269" s="404">
        <v>-623286.08297590632</v>
      </c>
      <c r="K269" s="404">
        <v>-823196.02902602125</v>
      </c>
      <c r="L269" s="404">
        <v>-755406.9690677193</v>
      </c>
      <c r="M269" s="404">
        <v>-840128.69379230868</v>
      </c>
      <c r="N269" s="404">
        <v>-925465.28990373248</v>
      </c>
      <c r="O269" s="404">
        <v>-1025387.7949249223</v>
      </c>
      <c r="P269" s="404">
        <v>-1149729.4563452471</v>
      </c>
      <c r="Q269" s="404">
        <v>-1279828.2967657261</v>
      </c>
      <c r="R269" s="404">
        <v>-1417658.7878878908</v>
      </c>
      <c r="S269" s="404">
        <v>-1556587.605720018</v>
      </c>
      <c r="T269" s="404">
        <v>-1529271.4353160141</v>
      </c>
      <c r="U269" s="404">
        <v>-1308374.4274065737</v>
      </c>
      <c r="V269" s="404">
        <v>-1356542.8906692946</v>
      </c>
      <c r="W269" s="327"/>
    </row>
    <row r="270" spans="1:23" ht="13.5" thickBot="1" x14ac:dyDescent="0.25">
      <c r="A270" s="9"/>
      <c r="B270" s="310" t="s">
        <v>33</v>
      </c>
      <c r="C270" s="444">
        <v>0</v>
      </c>
      <c r="D270" s="406">
        <v>0</v>
      </c>
      <c r="E270" s="406">
        <v>0</v>
      </c>
      <c r="F270" s="406">
        <v>-1487333.5538538094</v>
      </c>
      <c r="G270" s="406">
        <v>-1267301.4185968577</v>
      </c>
      <c r="H270" s="406">
        <v>-1315632.0116068372</v>
      </c>
      <c r="I270" s="406">
        <v>-1366399.6819752331</v>
      </c>
      <c r="J270" s="406">
        <v>-1716496.4288341508</v>
      </c>
      <c r="K270" s="406">
        <v>-1499340.3936252159</v>
      </c>
      <c r="L270" s="406">
        <v>-1586945.8694894216</v>
      </c>
      <c r="M270" s="406">
        <v>-1510039.7731955491</v>
      </c>
      <c r="N270" s="406">
        <v>-1553288.5568414631</v>
      </c>
      <c r="O270" s="406">
        <v>-1593566.683530581</v>
      </c>
      <c r="P270" s="406">
        <v>-1423389.3898259497</v>
      </c>
      <c r="Q270" s="406">
        <v>-1474282.2198814363</v>
      </c>
      <c r="R270" s="406">
        <v>-1504748.823954077</v>
      </c>
      <c r="S270" s="406">
        <v>-1597937.5300228181</v>
      </c>
      <c r="T270" s="406">
        <v>-1502227.0108929595</v>
      </c>
      <c r="U270" s="406">
        <v>-1654518.3405188881</v>
      </c>
      <c r="V270" s="406">
        <v>-900803.42773968284</v>
      </c>
      <c r="W270" s="327"/>
    </row>
    <row r="271" spans="1:23" ht="13.5" thickTop="1" x14ac:dyDescent="0.2">
      <c r="A271" s="9"/>
      <c r="B271" s="311" t="s">
        <v>38</v>
      </c>
      <c r="C271" s="445">
        <v>0</v>
      </c>
      <c r="D271" s="408">
        <v>44055798.071103498</v>
      </c>
      <c r="E271" s="408">
        <v>42870229.658273198</v>
      </c>
      <c r="F271" s="408">
        <v>41310305.253948353</v>
      </c>
      <c r="G271" s="408">
        <v>40009311.39287252</v>
      </c>
      <c r="H271" s="408">
        <v>39691904.216788888</v>
      </c>
      <c r="I271" s="408">
        <v>42553542.170474529</v>
      </c>
      <c r="J271" s="408">
        <v>46533993.04692331</v>
      </c>
      <c r="K271" s="408">
        <v>47920756.04828278</v>
      </c>
      <c r="L271" s="408">
        <v>49052820.682634816</v>
      </c>
      <c r="M271" s="408">
        <v>49083721.980923034</v>
      </c>
      <c r="N271" s="408">
        <v>50251410.236064851</v>
      </c>
      <c r="O271" s="408">
        <v>50431100.328626938</v>
      </c>
      <c r="P271" s="408">
        <v>50812152.799571544</v>
      </c>
      <c r="Q271" s="408">
        <v>52888188.990097024</v>
      </c>
      <c r="R271" s="408">
        <v>58221580.733959883</v>
      </c>
      <c r="S271" s="408">
        <v>56894336.781506285</v>
      </c>
      <c r="T271" s="408">
        <v>57495856.380030297</v>
      </c>
      <c r="U271" s="408">
        <v>61170672.931585655</v>
      </c>
      <c r="V271" s="408">
        <v>64003648.412590094</v>
      </c>
      <c r="W271" s="327"/>
    </row>
    <row r="272" spans="1:23" x14ac:dyDescent="0.2">
      <c r="A272" s="9"/>
      <c r="B272" s="309" t="s">
        <v>34</v>
      </c>
      <c r="C272" s="443">
        <v>0</v>
      </c>
      <c r="D272" s="404">
        <v>-2809776.2400405132</v>
      </c>
      <c r="E272" s="404">
        <v>-2865971.7648413237</v>
      </c>
      <c r="F272" s="404">
        <v>-2965290.2001381502</v>
      </c>
      <c r="G272" s="404">
        <v>-3024805.9991409136</v>
      </c>
      <c r="H272" s="404">
        <v>-3085517.3639987316</v>
      </c>
      <c r="I272" s="404">
        <v>-3147448.3372755814</v>
      </c>
      <c r="J272" s="404">
        <v>-3210623.4456678899</v>
      </c>
      <c r="K272" s="404">
        <v>-3275067.7097692145</v>
      </c>
      <c r="L272" s="404">
        <v>-3340806.6540322653</v>
      </c>
      <c r="M272" s="404">
        <v>-3407866.316932268</v>
      </c>
      <c r="N272" s="404">
        <v>-3476273.2613357548</v>
      </c>
      <c r="O272" s="404">
        <v>-3546054.5850789328</v>
      </c>
      <c r="P272" s="404">
        <v>-3617237.9317598855</v>
      </c>
      <c r="Q272" s="404">
        <v>-3689851.5017489418</v>
      </c>
      <c r="R272" s="404">
        <v>-3763924.0634216256</v>
      </c>
      <c r="S272" s="404">
        <v>-3839484.9646187057</v>
      </c>
      <c r="T272" s="404">
        <v>-3916564.1443379442</v>
      </c>
      <c r="U272" s="404">
        <v>-3995192.1446622382</v>
      </c>
      <c r="V272" s="404">
        <v>-4075400.1229289565</v>
      </c>
      <c r="W272" s="327"/>
    </row>
    <row r="273" spans="1:23" x14ac:dyDescent="0.2">
      <c r="A273" s="9"/>
      <c r="B273" s="309" t="s">
        <v>35</v>
      </c>
      <c r="C273" s="443">
        <v>0</v>
      </c>
      <c r="D273" s="404">
        <v>-388299.7921559058</v>
      </c>
      <c r="E273" s="404">
        <v>-397276.51828614395</v>
      </c>
      <c r="F273" s="404">
        <v>-406449.83471863432</v>
      </c>
      <c r="G273" s="404">
        <v>-415830.46810249891</v>
      </c>
      <c r="H273" s="404">
        <v>-425434.36056089948</v>
      </c>
      <c r="I273" s="404">
        <v>-435680.84021321853</v>
      </c>
      <c r="J273" s="404">
        <v>-445769.5798686521</v>
      </c>
      <c r="K273" s="404">
        <v>-456535.8470507703</v>
      </c>
      <c r="L273" s="404">
        <v>-467135.4529866915</v>
      </c>
      <c r="M273" s="404">
        <v>-478005.34887397866</v>
      </c>
      <c r="N273" s="404">
        <v>-489138.29624173819</v>
      </c>
      <c r="O273" s="404">
        <v>-500551.79388316523</v>
      </c>
      <c r="P273" s="404">
        <v>-512255.19436468452</v>
      </c>
      <c r="Q273" s="404">
        <v>-524251.17985824175</v>
      </c>
      <c r="R273" s="404">
        <v>-536548.26458768733</v>
      </c>
      <c r="S273" s="404">
        <v>-549152.77643536904</v>
      </c>
      <c r="T273" s="404">
        <v>-562069.88017687318</v>
      </c>
      <c r="U273" s="404">
        <v>-575311.2032222891</v>
      </c>
      <c r="V273" s="404">
        <v>-588884.88347614498</v>
      </c>
      <c r="W273" s="327"/>
    </row>
    <row r="274" spans="1:23" ht="13.5" thickBot="1" x14ac:dyDescent="0.25">
      <c r="A274" s="9"/>
      <c r="B274" s="310" t="s">
        <v>36</v>
      </c>
      <c r="C274" s="444">
        <v>0</v>
      </c>
      <c r="D274" s="406">
        <v>-535405.353751207</v>
      </c>
      <c r="E274" s="406">
        <v>-546702.40671536105</v>
      </c>
      <c r="F274" s="406">
        <v>-558675.18942242803</v>
      </c>
      <c r="G274" s="406">
        <v>-571301.24870336999</v>
      </c>
      <c r="H274" s="406">
        <v>-584898.21842251206</v>
      </c>
      <c r="I274" s="406">
        <v>-599555.82657704898</v>
      </c>
      <c r="J274" s="406">
        <v>-614426.48136174004</v>
      </c>
      <c r="K274" s="406">
        <v>-629978.88536292303</v>
      </c>
      <c r="L274" s="406">
        <v>-645539.36383138795</v>
      </c>
      <c r="M274" s="406">
        <v>-662000.61760908598</v>
      </c>
      <c r="N274" s="406">
        <v>-678021.03255522903</v>
      </c>
      <c r="O274" s="406">
        <v>-695107.16257561895</v>
      </c>
      <c r="P274" s="406">
        <v>-712762.88450503803</v>
      </c>
      <c r="Q274" s="406">
        <v>-730581.95661766396</v>
      </c>
      <c r="R274" s="406">
        <v>-748919.56372876698</v>
      </c>
      <c r="S274" s="406">
        <v>-767642.55282198801</v>
      </c>
      <c r="T274" s="406">
        <v>-786680.08813197201</v>
      </c>
      <c r="U274" s="406">
        <v>-806425.758344086</v>
      </c>
      <c r="V274" s="406">
        <v>-826667.04487852298</v>
      </c>
      <c r="W274" s="327"/>
    </row>
    <row r="275" spans="1:23" ht="13.5" thickTop="1" x14ac:dyDescent="0.2">
      <c r="A275" s="9"/>
      <c r="B275" s="311" t="s">
        <v>220</v>
      </c>
      <c r="C275" s="446">
        <v>0</v>
      </c>
      <c r="D275" s="410">
        <v>40322316.685155876</v>
      </c>
      <c r="E275" s="410">
        <v>39060278.968430363</v>
      </c>
      <c r="F275" s="410">
        <v>37379890.029669136</v>
      </c>
      <c r="G275" s="410">
        <v>35997373.676925741</v>
      </c>
      <c r="H275" s="410">
        <v>35596054.273806743</v>
      </c>
      <c r="I275" s="410">
        <v>38370857.16640868</v>
      </c>
      <c r="J275" s="410">
        <v>42263173.540025026</v>
      </c>
      <c r="K275" s="410">
        <v>43559173.606099874</v>
      </c>
      <c r="L275" s="410">
        <v>44599339.211784467</v>
      </c>
      <c r="M275" s="410">
        <v>44535849.697507702</v>
      </c>
      <c r="N275" s="410">
        <v>45607977.645932131</v>
      </c>
      <c r="O275" s="410">
        <v>45689386.787089221</v>
      </c>
      <c r="P275" s="410">
        <v>45969896.788941935</v>
      </c>
      <c r="Q275" s="410">
        <v>47943504.351872176</v>
      </c>
      <c r="R275" s="410">
        <v>53172188.842221811</v>
      </c>
      <c r="S275" s="410">
        <v>51738056.487630226</v>
      </c>
      <c r="T275" s="410">
        <v>52230542.267383508</v>
      </c>
      <c r="U275" s="410">
        <v>55793743.825357042</v>
      </c>
      <c r="V275" s="410">
        <v>58512696.361306474</v>
      </c>
      <c r="W275" s="327"/>
    </row>
    <row r="276" spans="1:23" x14ac:dyDescent="0.2">
      <c r="A276" s="9"/>
      <c r="B276" s="309" t="s">
        <v>37</v>
      </c>
      <c r="C276" s="443">
        <v>0</v>
      </c>
      <c r="D276" s="404">
        <v>-2201842.8675000002</v>
      </c>
      <c r="E276" s="404">
        <v>-3099968.97358</v>
      </c>
      <c r="F276" s="404">
        <v>-3423680.0092297997</v>
      </c>
      <c r="G276" s="404">
        <v>-3487841.8284907001</v>
      </c>
      <c r="H276" s="404">
        <v>-3442944.6221525003</v>
      </c>
      <c r="I276" s="404">
        <v>-3127579.6092443196</v>
      </c>
      <c r="J276" s="404">
        <v>-2585493.8548507914</v>
      </c>
      <c r="K276" s="404">
        <v>-2283829.3758962224</v>
      </c>
      <c r="L276" s="404">
        <v>-2110531.3144822419</v>
      </c>
      <c r="M276" s="404">
        <v>-2076529.3716097972</v>
      </c>
      <c r="N276" s="404">
        <v>-2205552.4727807543</v>
      </c>
      <c r="O276" s="404">
        <v>-2215851.2593068066</v>
      </c>
      <c r="P276" s="404">
        <v>-2228559.3544994793</v>
      </c>
      <c r="Q276" s="404">
        <v>-2294242.5875479314</v>
      </c>
      <c r="R276" s="404">
        <v>-2363834.9150878373</v>
      </c>
      <c r="S276" s="404">
        <v>-2387087.0599539406</v>
      </c>
      <c r="T276" s="404">
        <v>-2414580.3666660269</v>
      </c>
      <c r="U276" s="404">
        <v>-2565539.6600794755</v>
      </c>
      <c r="V276" s="404">
        <v>-2693122.1072953278</v>
      </c>
      <c r="W276" s="327"/>
    </row>
    <row r="277" spans="1:23" ht="13.5" thickBot="1" x14ac:dyDescent="0.25">
      <c r="A277" s="9"/>
      <c r="B277" s="310" t="s">
        <v>221</v>
      </c>
      <c r="C277" s="444">
        <v>0</v>
      </c>
      <c r="D277" s="406">
        <v>-15248189.527062351</v>
      </c>
      <c r="E277" s="406">
        <v>-14384123.997940145</v>
      </c>
      <c r="F277" s="406">
        <v>-13582484.008175734</v>
      </c>
      <c r="G277" s="406">
        <v>-13003812.739374017</v>
      </c>
      <c r="H277" s="406">
        <v>-12861243.860661699</v>
      </c>
      <c r="I277" s="406">
        <v>-14097311.022865746</v>
      </c>
      <c r="J277" s="406">
        <v>-15871071.874069694</v>
      </c>
      <c r="K277" s="406">
        <v>-16510137.692081461</v>
      </c>
      <c r="L277" s="406">
        <v>-16995523.158920892</v>
      </c>
      <c r="M277" s="406">
        <v>-16983728.130359162</v>
      </c>
      <c r="N277" s="406">
        <v>-17360970.069260549</v>
      </c>
      <c r="O277" s="406">
        <v>-17389414.211112969</v>
      </c>
      <c r="P277" s="406">
        <v>-17496534.973776981</v>
      </c>
      <c r="Q277" s="406">
        <v>-18259704.705729701</v>
      </c>
      <c r="R277" s="406">
        <v>-20323341.570853591</v>
      </c>
      <c r="S277" s="406">
        <v>-19740387.771070514</v>
      </c>
      <c r="T277" s="406">
        <v>-19926384.760286994</v>
      </c>
      <c r="U277" s="406">
        <v>-21291281.66611103</v>
      </c>
      <c r="V277" s="406">
        <v>-22327829.701604459</v>
      </c>
      <c r="W277" s="327"/>
    </row>
    <row r="278" spans="1:23" ht="13.5" thickTop="1" x14ac:dyDescent="0.2">
      <c r="A278" s="9"/>
      <c r="B278" s="311" t="s">
        <v>183</v>
      </c>
      <c r="C278" s="446">
        <v>0</v>
      </c>
      <c r="D278" s="410">
        <v>22872284.290593527</v>
      </c>
      <c r="E278" s="410">
        <v>21576185.996910214</v>
      </c>
      <c r="F278" s="410">
        <v>20373726.0122636</v>
      </c>
      <c r="G278" s="410">
        <v>19505719.109061025</v>
      </c>
      <c r="H278" s="410">
        <v>19291865.790992543</v>
      </c>
      <c r="I278" s="410">
        <v>21145966.534298617</v>
      </c>
      <c r="J278" s="410">
        <v>23806607.81110454</v>
      </c>
      <c r="K278" s="410">
        <v>24765206.538122192</v>
      </c>
      <c r="L278" s="410">
        <v>25493284.738381334</v>
      </c>
      <c r="M278" s="410">
        <v>25475592.195538741</v>
      </c>
      <c r="N278" s="410">
        <v>26041455.103890825</v>
      </c>
      <c r="O278" s="410">
        <v>26084121.316669449</v>
      </c>
      <c r="P278" s="410">
        <v>26244802.460665472</v>
      </c>
      <c r="Q278" s="410">
        <v>27389557.058594547</v>
      </c>
      <c r="R278" s="410">
        <v>30485012.356280386</v>
      </c>
      <c r="S278" s="410">
        <v>29610581.656605769</v>
      </c>
      <c r="T278" s="410">
        <v>29889577.140430488</v>
      </c>
      <c r="U278" s="410">
        <v>31936922.499166541</v>
      </c>
      <c r="V278" s="410">
        <v>33491744.552406687</v>
      </c>
      <c r="W278" s="327"/>
    </row>
    <row r="279" spans="1:23" x14ac:dyDescent="0.2">
      <c r="A279" s="9"/>
      <c r="B279" s="309" t="s">
        <v>37</v>
      </c>
      <c r="C279" s="443">
        <v>0</v>
      </c>
      <c r="D279" s="404">
        <v>2201842.8675000002</v>
      </c>
      <c r="E279" s="404">
        <v>3099968.97358</v>
      </c>
      <c r="F279" s="404">
        <v>3423680.0092297997</v>
      </c>
      <c r="G279" s="404">
        <v>3487841.8284907001</v>
      </c>
      <c r="H279" s="404">
        <v>3442944.6221525003</v>
      </c>
      <c r="I279" s="404">
        <v>3127579.6092443196</v>
      </c>
      <c r="J279" s="404">
        <v>2585493.8548507914</v>
      </c>
      <c r="K279" s="404">
        <v>2283829.3758962224</v>
      </c>
      <c r="L279" s="404">
        <v>2110531.3144822419</v>
      </c>
      <c r="M279" s="404">
        <v>2076529.3716097972</v>
      </c>
      <c r="N279" s="404">
        <v>2205552.4727807543</v>
      </c>
      <c r="O279" s="404">
        <v>2215851.2593068066</v>
      </c>
      <c r="P279" s="404">
        <v>2228559.3544994793</v>
      </c>
      <c r="Q279" s="404">
        <v>2294242.5875479314</v>
      </c>
      <c r="R279" s="404">
        <v>2363834.9150878373</v>
      </c>
      <c r="S279" s="404">
        <v>2387087.0599539406</v>
      </c>
      <c r="T279" s="404">
        <v>2414580.3666660269</v>
      </c>
      <c r="U279" s="404">
        <v>2565539.6600794755</v>
      </c>
      <c r="V279" s="404">
        <v>2693122.1072953278</v>
      </c>
      <c r="W279" s="327"/>
    </row>
    <row r="280" spans="1:23" x14ac:dyDescent="0.2">
      <c r="A280" s="9"/>
      <c r="B280" s="309" t="s">
        <v>39</v>
      </c>
      <c r="C280" s="443">
        <v>0</v>
      </c>
      <c r="D280" s="404">
        <v>-5095192</v>
      </c>
      <c r="E280" s="404">
        <v>-561695.92000000004</v>
      </c>
      <c r="F280" s="404">
        <v>-2024981.09</v>
      </c>
      <c r="G280" s="404">
        <v>-213158.43</v>
      </c>
      <c r="H280" s="404">
        <v>-2191980.4879999999</v>
      </c>
      <c r="I280" s="404">
        <v>-2257739.90264</v>
      </c>
      <c r="J280" s="404">
        <v>-2325472.0997191998</v>
      </c>
      <c r="K280" s="404">
        <v>-2395236.2627107757</v>
      </c>
      <c r="L280" s="404">
        <v>-2467093.3505920991</v>
      </c>
      <c r="M280" s="404">
        <v>-2541106.1511098621</v>
      </c>
      <c r="N280" s="404">
        <v>-2617339.3356431583</v>
      </c>
      <c r="O280" s="404">
        <v>-2695859.5157124531</v>
      </c>
      <c r="P280" s="404">
        <v>-2776735.3011838268</v>
      </c>
      <c r="Q280" s="404">
        <v>-2860037.3602193417</v>
      </c>
      <c r="R280" s="404">
        <v>-2945838.4810259221</v>
      </c>
      <c r="S280" s="404">
        <v>-3034213.6354566999</v>
      </c>
      <c r="T280" s="404">
        <v>-3125240.0445204009</v>
      </c>
      <c r="U280" s="404">
        <v>-3218997.2458560131</v>
      </c>
      <c r="V280" s="404">
        <v>-3315567.1632316937</v>
      </c>
      <c r="W280" s="327"/>
    </row>
    <row r="281" spans="1:23" ht="13.5" thickBot="1" x14ac:dyDescent="0.25">
      <c r="A281" s="9"/>
      <c r="B281" s="310" t="s">
        <v>40</v>
      </c>
      <c r="C281" s="444">
        <v>0</v>
      </c>
      <c r="D281" s="406">
        <v>-6225024</v>
      </c>
      <c r="E281" s="406">
        <v>-4058147.2</v>
      </c>
      <c r="F281" s="406">
        <v>-2200091.69</v>
      </c>
      <c r="G281" s="406">
        <v>0</v>
      </c>
      <c r="H281" s="406">
        <v>0</v>
      </c>
      <c r="I281" s="406">
        <v>0</v>
      </c>
      <c r="J281" s="406">
        <v>0</v>
      </c>
      <c r="K281" s="406">
        <v>0</v>
      </c>
      <c r="L281" s="406">
        <v>0</v>
      </c>
      <c r="M281" s="406">
        <v>0</v>
      </c>
      <c r="N281" s="406">
        <v>0</v>
      </c>
      <c r="O281" s="406">
        <v>0</v>
      </c>
      <c r="P281" s="406">
        <v>0</v>
      </c>
      <c r="Q281" s="406">
        <v>0</v>
      </c>
      <c r="R281" s="406">
        <v>0</v>
      </c>
      <c r="S281" s="406">
        <v>0</v>
      </c>
      <c r="T281" s="406">
        <v>0</v>
      </c>
      <c r="U281" s="406">
        <v>0</v>
      </c>
      <c r="V281" s="406">
        <v>0</v>
      </c>
      <c r="W281" s="327"/>
    </row>
    <row r="282" spans="1:23" ht="13.5" thickTop="1" x14ac:dyDescent="0.2">
      <c r="A282" s="9"/>
      <c r="B282" s="309"/>
      <c r="C282" s="44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</row>
    <row r="283" spans="1:23" x14ac:dyDescent="0.2">
      <c r="A283" s="9"/>
      <c r="B283" s="311" t="s">
        <v>233</v>
      </c>
      <c r="C283" s="446">
        <v>0</v>
      </c>
      <c r="D283" s="410">
        <v>13753911.158093527</v>
      </c>
      <c r="E283" s="410">
        <v>20056311.850490212</v>
      </c>
      <c r="F283" s="410">
        <v>19572333.241493396</v>
      </c>
      <c r="G283" s="410">
        <v>22780402.507551726</v>
      </c>
      <c r="H283" s="410">
        <v>20542829.925145045</v>
      </c>
      <c r="I283" s="410">
        <v>22015806.240902938</v>
      </c>
      <c r="J283" s="410">
        <v>24066629.566236131</v>
      </c>
      <c r="K283" s="410">
        <v>24653799.651307639</v>
      </c>
      <c r="L283" s="410">
        <v>25136722.702271476</v>
      </c>
      <c r="M283" s="410">
        <v>25011015.416038673</v>
      </c>
      <c r="N283" s="410">
        <v>25629668.241028421</v>
      </c>
      <c r="O283" s="410">
        <v>25604113.060263805</v>
      </c>
      <c r="P283" s="410">
        <v>25696626.513981123</v>
      </c>
      <c r="Q283" s="410">
        <v>26823762.285923138</v>
      </c>
      <c r="R283" s="410">
        <v>29903008.790342301</v>
      </c>
      <c r="S283" s="410">
        <v>28963455.081103008</v>
      </c>
      <c r="T283" s="410">
        <v>29178917.462576114</v>
      </c>
      <c r="U283" s="410">
        <v>31283464.913389999</v>
      </c>
      <c r="V283" s="410">
        <v>32869299.496470325</v>
      </c>
      <c r="W283" s="408">
        <v>172639804.3176268</v>
      </c>
    </row>
    <row r="284" spans="1:23" x14ac:dyDescent="0.2">
      <c r="A284" s="9"/>
      <c r="B284" s="286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">
      <c r="A285" s="302" t="s">
        <v>218</v>
      </c>
      <c r="B285" s="300" t="s">
        <v>170</v>
      </c>
      <c r="C285" s="433">
        <v>72098806.15781717</v>
      </c>
      <c r="D285" s="9"/>
      <c r="E285" s="137" t="s">
        <v>219</v>
      </c>
      <c r="F285" s="313" t="s">
        <v>170</v>
      </c>
      <c r="G285" s="437">
        <v>72098806.15781717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">
      <c r="A286" s="9"/>
      <c r="B286" s="300" t="s">
        <v>180</v>
      </c>
      <c r="C286" s="433">
        <v>118465728.86472617</v>
      </c>
      <c r="D286" s="9"/>
      <c r="E286" s="315"/>
      <c r="F286" s="313" t="s">
        <v>180</v>
      </c>
      <c r="G286" s="437">
        <v>118465728.86472617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3.5" thickBot="1" x14ac:dyDescent="0.25">
      <c r="A287" s="9"/>
      <c r="B287" s="316" t="s">
        <v>137</v>
      </c>
      <c r="C287" s="434">
        <v>25661806.855150238</v>
      </c>
      <c r="D287" s="317"/>
      <c r="E287" s="315"/>
      <c r="F287" s="313" t="s">
        <v>137</v>
      </c>
      <c r="G287" s="437">
        <v>25661806.855150238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4.25" thickTop="1" thickBot="1" x14ac:dyDescent="0.25">
      <c r="A288" s="9"/>
      <c r="B288" s="300" t="s">
        <v>28</v>
      </c>
      <c r="C288" s="432">
        <v>216226341.87769356</v>
      </c>
      <c r="D288" s="299"/>
      <c r="E288" s="315"/>
      <c r="F288" s="318" t="s">
        <v>203</v>
      </c>
      <c r="G288" s="319"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3.5" thickTop="1" x14ac:dyDescent="0.2">
      <c r="A289" s="9"/>
      <c r="B289" s="286"/>
      <c r="C289" s="320"/>
      <c r="D289" s="9"/>
      <c r="E289" s="321"/>
      <c r="F289" s="313" t="s">
        <v>28</v>
      </c>
      <c r="G289" s="362">
        <v>216226341.87769356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">
      <c r="A290" s="9"/>
      <c r="B290" s="286"/>
      <c r="C290" s="320"/>
      <c r="D290" s="9"/>
      <c r="E290" s="321"/>
      <c r="F290" s="313"/>
      <c r="G290" s="322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">
      <c r="A291" s="9"/>
      <c r="B291" s="286"/>
      <c r="C291" s="320"/>
      <c r="D291" s="9"/>
      <c r="E291" s="321"/>
      <c r="F291" s="313"/>
      <c r="G291" s="322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">
      <c r="A292" s="9"/>
      <c r="B292" s="323" t="s">
        <v>222</v>
      </c>
      <c r="C292" s="320"/>
      <c r="D292" s="9"/>
      <c r="E292" s="321"/>
      <c r="F292" s="313"/>
      <c r="G292" s="322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">
      <c r="A293" s="324" t="s">
        <v>224</v>
      </c>
      <c r="B293" s="323" t="s">
        <v>223</v>
      </c>
      <c r="C293" s="325"/>
      <c r="D293" s="326">
        <v>22872284.290593527</v>
      </c>
      <c r="E293" s="326">
        <v>21576185.996910214</v>
      </c>
      <c r="F293" s="326">
        <v>20373726.0122636</v>
      </c>
      <c r="G293" s="326">
        <v>19505719.109061025</v>
      </c>
      <c r="H293" s="326">
        <v>19291865.790992543</v>
      </c>
      <c r="I293" s="326">
        <v>21145966.534298617</v>
      </c>
      <c r="J293" s="326">
        <v>23806607.81110454</v>
      </c>
      <c r="K293" s="326">
        <v>24765206.538122192</v>
      </c>
      <c r="L293" s="326">
        <v>25493284.738381334</v>
      </c>
      <c r="M293" s="326">
        <v>25475592.195538741</v>
      </c>
      <c r="N293" s="326">
        <v>26041455.103890825</v>
      </c>
      <c r="O293" s="326">
        <v>26084121.316669449</v>
      </c>
      <c r="P293" s="326">
        <v>26244802.460665472</v>
      </c>
      <c r="Q293" s="326">
        <v>27389557.058594547</v>
      </c>
      <c r="R293" s="326">
        <v>30485012.356280386</v>
      </c>
      <c r="S293" s="326">
        <v>29610581.656605769</v>
      </c>
      <c r="T293" s="326">
        <v>29889577.140430488</v>
      </c>
      <c r="U293" s="326">
        <v>31936922.499166541</v>
      </c>
      <c r="V293" s="326">
        <v>33491744.552406687</v>
      </c>
      <c r="W293" s="9"/>
    </row>
    <row r="294" spans="1:23" x14ac:dyDescent="0.2">
      <c r="A294" s="9"/>
      <c r="B294" s="286" t="s">
        <v>225</v>
      </c>
      <c r="C294" s="320"/>
      <c r="D294" s="327">
        <v>15248189.527062351</v>
      </c>
      <c r="E294" s="327">
        <v>14384123.997940145</v>
      </c>
      <c r="F294" s="327">
        <v>13582484.008175734</v>
      </c>
      <c r="G294" s="327">
        <v>13003812.739374017</v>
      </c>
      <c r="H294" s="327">
        <v>12861243.860661699</v>
      </c>
      <c r="I294" s="327">
        <v>14097311.022865746</v>
      </c>
      <c r="J294" s="327">
        <v>15871071.874069694</v>
      </c>
      <c r="K294" s="327">
        <v>16510137.692081461</v>
      </c>
      <c r="L294" s="327">
        <v>16995523.158920892</v>
      </c>
      <c r="M294" s="327">
        <v>16983728.130359162</v>
      </c>
      <c r="N294" s="327">
        <v>17360970.069260549</v>
      </c>
      <c r="O294" s="327">
        <v>17389414.211112969</v>
      </c>
      <c r="P294" s="327">
        <v>17496534.973776981</v>
      </c>
      <c r="Q294" s="327">
        <v>18259704.705729701</v>
      </c>
      <c r="R294" s="327">
        <v>20323341.570853591</v>
      </c>
      <c r="S294" s="327">
        <v>19740387.771070514</v>
      </c>
      <c r="T294" s="327">
        <v>19926384.760286994</v>
      </c>
      <c r="U294" s="327">
        <v>21291281.66611103</v>
      </c>
      <c r="V294" s="327">
        <v>22327829.701604459</v>
      </c>
      <c r="W294" s="9"/>
    </row>
    <row r="295" spans="1:23" x14ac:dyDescent="0.2">
      <c r="A295" s="9"/>
      <c r="B295" s="328" t="s">
        <v>226</v>
      </c>
      <c r="C295" s="329"/>
      <c r="D295" s="327">
        <v>2201842.8675000002</v>
      </c>
      <c r="E295" s="327">
        <v>3099968.97358</v>
      </c>
      <c r="F295" s="327">
        <v>3423680.0092297997</v>
      </c>
      <c r="G295" s="327">
        <v>3487841.8284907001</v>
      </c>
      <c r="H295" s="327">
        <v>3442944.6221525003</v>
      </c>
      <c r="I295" s="327">
        <v>3127579.6092443196</v>
      </c>
      <c r="J295" s="327">
        <v>2585493.8548507914</v>
      </c>
      <c r="K295" s="327">
        <v>2283829.3758962224</v>
      </c>
      <c r="L295" s="327">
        <v>2110531.3144822419</v>
      </c>
      <c r="M295" s="327">
        <v>2076529.3716097972</v>
      </c>
      <c r="N295" s="327">
        <v>2205552.4727807543</v>
      </c>
      <c r="O295" s="327">
        <v>2215851.2593068066</v>
      </c>
      <c r="P295" s="327">
        <v>2228559.3544994793</v>
      </c>
      <c r="Q295" s="327">
        <v>2294242.5875479314</v>
      </c>
      <c r="R295" s="327">
        <v>2363834.9150878373</v>
      </c>
      <c r="S295" s="327">
        <v>2387087.0599539406</v>
      </c>
      <c r="T295" s="327">
        <v>2414580.3666660269</v>
      </c>
      <c r="U295" s="327">
        <v>2565539.6600794755</v>
      </c>
      <c r="V295" s="327">
        <v>2693122.1072953278</v>
      </c>
      <c r="W295" s="9"/>
    </row>
    <row r="296" spans="1:23" ht="13.5" thickBot="1" x14ac:dyDescent="0.25">
      <c r="A296" s="9"/>
      <c r="B296" s="330" t="s">
        <v>227</v>
      </c>
      <c r="C296" s="331"/>
      <c r="D296" s="332">
        <v>40322316.685155876</v>
      </c>
      <c r="E296" s="332">
        <v>39060278.968430363</v>
      </c>
      <c r="F296" s="332">
        <v>37379890.029669136</v>
      </c>
      <c r="G296" s="332">
        <v>35997373.676925741</v>
      </c>
      <c r="H296" s="332">
        <v>35596054.273806743</v>
      </c>
      <c r="I296" s="332">
        <v>38370857.16640868</v>
      </c>
      <c r="J296" s="332">
        <v>42263173.540025026</v>
      </c>
      <c r="K296" s="332">
        <v>43559173.606099874</v>
      </c>
      <c r="L296" s="332">
        <v>44599339.211784467</v>
      </c>
      <c r="M296" s="332">
        <v>44535849.697507702</v>
      </c>
      <c r="N296" s="332">
        <v>45607977.645932131</v>
      </c>
      <c r="O296" s="332">
        <v>45689386.787089221</v>
      </c>
      <c r="P296" s="332">
        <v>45969896.788941935</v>
      </c>
      <c r="Q296" s="332">
        <v>47943504.351872176</v>
      </c>
      <c r="R296" s="332">
        <v>53172188.842221811</v>
      </c>
      <c r="S296" s="332">
        <v>51738056.487630226</v>
      </c>
      <c r="T296" s="332">
        <v>52230542.267383508</v>
      </c>
      <c r="U296" s="332">
        <v>55793743.82535705</v>
      </c>
      <c r="V296" s="332">
        <v>58512696.361306474</v>
      </c>
      <c r="W296" s="9"/>
    </row>
    <row r="297" spans="1:23" ht="13.5" thickTop="1" x14ac:dyDescent="0.2">
      <c r="A297" s="324" t="s">
        <v>228</v>
      </c>
      <c r="B297" s="286" t="s">
        <v>229</v>
      </c>
      <c r="C297" s="320"/>
      <c r="D297" s="327">
        <v>-2946706.1055343803</v>
      </c>
      <c r="E297" s="327">
        <v>-3177698.2615343803</v>
      </c>
      <c r="F297" s="327">
        <v>-3278947.3160343799</v>
      </c>
      <c r="G297" s="327">
        <v>-3289605.2375343801</v>
      </c>
      <c r="H297" s="327">
        <v>-3399204.26193438</v>
      </c>
      <c r="I297" s="327">
        <v>-3512091.2570663802</v>
      </c>
      <c r="J297" s="327">
        <v>-3628364.8620523401</v>
      </c>
      <c r="K297" s="327">
        <v>-3748126.6751878788</v>
      </c>
      <c r="L297" s="327">
        <v>-3871481.3427174841</v>
      </c>
      <c r="M297" s="327">
        <v>-3998536.6502729771</v>
      </c>
      <c r="N297" s="327">
        <v>-4129403.6170551353</v>
      </c>
      <c r="O297" s="327">
        <v>-4264196.5928407572</v>
      </c>
      <c r="P297" s="327">
        <v>-4403033.357899949</v>
      </c>
      <c r="Q297" s="327">
        <v>-4546035.225910916</v>
      </c>
      <c r="R297" s="327">
        <v>-3763920.3124622307</v>
      </c>
      <c r="S297" s="327">
        <v>-2584958.669235047</v>
      </c>
      <c r="T297" s="327">
        <v>-2740016.3989610672</v>
      </c>
      <c r="U297" s="327">
        <v>-2900966.2612538678</v>
      </c>
      <c r="V297" s="327">
        <v>-3066744.6194154522</v>
      </c>
      <c r="W297" s="9"/>
    </row>
    <row r="298" spans="1:23" x14ac:dyDescent="0.2">
      <c r="A298" s="9"/>
      <c r="B298" s="286" t="s">
        <v>230</v>
      </c>
      <c r="C298" s="320"/>
      <c r="D298" s="327">
        <v>0</v>
      </c>
      <c r="E298" s="327">
        <v>0</v>
      </c>
      <c r="F298" s="327">
        <v>0</v>
      </c>
      <c r="G298" s="327">
        <v>0</v>
      </c>
      <c r="H298" s="327">
        <v>0</v>
      </c>
      <c r="I298" s="327">
        <v>0</v>
      </c>
      <c r="J298" s="327">
        <v>0</v>
      </c>
      <c r="K298" s="327">
        <v>0</v>
      </c>
      <c r="L298" s="327">
        <v>0</v>
      </c>
      <c r="M298" s="327">
        <v>0</v>
      </c>
      <c r="N298" s="327">
        <v>0</v>
      </c>
      <c r="O298" s="327">
        <v>0</v>
      </c>
      <c r="P298" s="327">
        <v>0</v>
      </c>
      <c r="Q298" s="327">
        <v>0</v>
      </c>
      <c r="R298" s="327">
        <v>0</v>
      </c>
      <c r="S298" s="327">
        <v>0</v>
      </c>
      <c r="T298" s="327">
        <v>0</v>
      </c>
      <c r="U298" s="327">
        <v>0</v>
      </c>
      <c r="V298" s="327">
        <v>0</v>
      </c>
      <c r="W298" s="9"/>
    </row>
    <row r="299" spans="1:23" x14ac:dyDescent="0.2">
      <c r="A299" s="9"/>
      <c r="B299" s="323" t="s">
        <v>231</v>
      </c>
      <c r="C299" s="325"/>
      <c r="D299" s="326">
        <v>37375610.579621494</v>
      </c>
      <c r="E299" s="326">
        <v>35882580.706895985</v>
      </c>
      <c r="F299" s="326">
        <v>34100942.713634759</v>
      </c>
      <c r="G299" s="326">
        <v>32707768.43939136</v>
      </c>
      <c r="H299" s="326">
        <v>32196850.011872362</v>
      </c>
      <c r="I299" s="326">
        <v>34858765.909342304</v>
      </c>
      <c r="J299" s="326">
        <v>38634808.677972689</v>
      </c>
      <c r="K299" s="326">
        <v>39811046.930911995</v>
      </c>
      <c r="L299" s="326">
        <v>40727857.869066983</v>
      </c>
      <c r="M299" s="326">
        <v>40537313.047234721</v>
      </c>
      <c r="N299" s="326">
        <v>41478574.028876998</v>
      </c>
      <c r="O299" s="326">
        <v>41425190.194248468</v>
      </c>
      <c r="P299" s="326">
        <v>41566863.431041986</v>
      </c>
      <c r="Q299" s="326">
        <v>43397469.125961259</v>
      </c>
      <c r="R299" s="326">
        <v>49408268.529759578</v>
      </c>
      <c r="S299" s="326">
        <v>49153097.818395182</v>
      </c>
      <c r="T299" s="326">
        <v>49490525.868422441</v>
      </c>
      <c r="U299" s="326">
        <v>52892777.564103179</v>
      </c>
      <c r="V299" s="326">
        <v>55445951.741891019</v>
      </c>
      <c r="W299" s="9"/>
    </row>
    <row r="300" spans="1:23" ht="13.5" thickBot="1" x14ac:dyDescent="0.25">
      <c r="A300" s="9"/>
      <c r="B300" s="333" t="s">
        <v>237</v>
      </c>
      <c r="C300" s="334"/>
      <c r="D300" s="335">
        <v>-14950244.231848598</v>
      </c>
      <c r="E300" s="335">
        <v>-14353032.282758394</v>
      </c>
      <c r="F300" s="335">
        <v>-13640377.085453905</v>
      </c>
      <c r="G300" s="335">
        <v>-13083107.375756545</v>
      </c>
      <c r="H300" s="335">
        <v>-12878740.004748946</v>
      </c>
      <c r="I300" s="335">
        <v>-13943506.363736922</v>
      </c>
      <c r="J300" s="335">
        <v>-15453923.471189076</v>
      </c>
      <c r="K300" s="335">
        <v>-15924418.772364799</v>
      </c>
      <c r="L300" s="335">
        <v>-16291143.147626795</v>
      </c>
      <c r="M300" s="335">
        <v>-16214925.218893889</v>
      </c>
      <c r="N300" s="335">
        <v>-16591429.611550801</v>
      </c>
      <c r="O300" s="335">
        <v>-16570076.077699387</v>
      </c>
      <c r="P300" s="335">
        <v>-16626745.372416794</v>
      </c>
      <c r="Q300" s="335">
        <v>-17358987.650384504</v>
      </c>
      <c r="R300" s="335">
        <v>-19763307.411903832</v>
      </c>
      <c r="S300" s="335">
        <v>-19661239.127358075</v>
      </c>
      <c r="T300" s="335">
        <v>-19796210.347368978</v>
      </c>
      <c r="U300" s="335">
        <v>-21157111.025641274</v>
      </c>
      <c r="V300" s="335">
        <v>-22178380.696756408</v>
      </c>
      <c r="W300" s="9"/>
    </row>
    <row r="301" spans="1:23" ht="13.5" thickTop="1" x14ac:dyDescent="0.2">
      <c r="A301" s="9"/>
      <c r="B301" s="323" t="s">
        <v>232</v>
      </c>
      <c r="C301" s="325"/>
      <c r="D301" s="326">
        <v>22425366.347772896</v>
      </c>
      <c r="E301" s="326">
        <v>21529548.424137592</v>
      </c>
      <c r="F301" s="326">
        <v>20460565.628180854</v>
      </c>
      <c r="G301" s="326">
        <v>19624661.063634813</v>
      </c>
      <c r="H301" s="326">
        <v>19318110.007123418</v>
      </c>
      <c r="I301" s="326">
        <v>20915259.545605384</v>
      </c>
      <c r="J301" s="326">
        <v>23180885.206783615</v>
      </c>
      <c r="K301" s="326">
        <v>23886628.158547197</v>
      </c>
      <c r="L301" s="326">
        <v>24436714.721440189</v>
      </c>
      <c r="M301" s="326">
        <v>24322387.828340832</v>
      </c>
      <c r="N301" s="326">
        <v>24887144.417326197</v>
      </c>
      <c r="O301" s="326">
        <v>24855114.116549082</v>
      </c>
      <c r="P301" s="326">
        <v>24940118.058625191</v>
      </c>
      <c r="Q301" s="326">
        <v>26038481.475576755</v>
      </c>
      <c r="R301" s="326">
        <v>29644961.117855746</v>
      </c>
      <c r="S301" s="326">
        <v>29491858.691037107</v>
      </c>
      <c r="T301" s="326">
        <v>29694315.521053463</v>
      </c>
      <c r="U301" s="326">
        <v>31735666.538461905</v>
      </c>
      <c r="V301" s="326">
        <v>33267571.045134611</v>
      </c>
      <c r="W301" s="9"/>
    </row>
    <row r="302" spans="1:23" x14ac:dyDescent="0.2">
      <c r="A302" s="9"/>
      <c r="B302" s="9"/>
      <c r="C302" s="320"/>
      <c r="D302" s="9"/>
      <c r="E302" s="321"/>
      <c r="F302" s="313"/>
      <c r="G302" s="322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5.75" x14ac:dyDescent="0.25">
      <c r="A303" s="336" t="s">
        <v>205</v>
      </c>
      <c r="B303" s="33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">
      <c r="A304" s="284" t="s">
        <v>190</v>
      </c>
      <c r="B304" s="303"/>
      <c r="C304" s="338">
        <v>0</v>
      </c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277"/>
      <c r="V304" s="277"/>
      <c r="W304" s="277"/>
    </row>
    <row r="305" spans="1:23" x14ac:dyDescent="0.2">
      <c r="A305" s="284" t="s">
        <v>191</v>
      </c>
      <c r="B305" s="303"/>
      <c r="C305" s="339">
        <v>0</v>
      </c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277"/>
      <c r="V305" s="277"/>
      <c r="W305" s="277"/>
    </row>
    <row r="306" spans="1:23" x14ac:dyDescent="0.2">
      <c r="A306" s="284" t="s">
        <v>201</v>
      </c>
      <c r="B306" s="303"/>
      <c r="C306" s="284">
        <v>15</v>
      </c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277"/>
      <c r="V306" s="277"/>
      <c r="W306" s="277"/>
    </row>
    <row r="307" spans="1:23" x14ac:dyDescent="0.2">
      <c r="A307" s="284" t="s">
        <v>192</v>
      </c>
      <c r="B307" s="303"/>
      <c r="C307" s="339">
        <v>0</v>
      </c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277"/>
      <c r="V307" s="277"/>
      <c r="W307" s="277"/>
    </row>
    <row r="308" spans="1:23" x14ac:dyDescent="0.2">
      <c r="A308" s="284" t="s">
        <v>193</v>
      </c>
      <c r="B308" s="303"/>
      <c r="C308" s="340">
        <v>8.7499999999999994E-2</v>
      </c>
      <c r="D308" s="277"/>
      <c r="E308" s="277"/>
      <c r="F308" s="277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277"/>
      <c r="V308" s="277"/>
      <c r="W308" s="277"/>
    </row>
    <row r="309" spans="1:23" x14ac:dyDescent="0.2">
      <c r="A309" s="284"/>
      <c r="B309" s="303"/>
      <c r="C309" s="277"/>
      <c r="D309" s="306">
        <v>2001</v>
      </c>
      <c r="E309" s="306">
        <v>2002</v>
      </c>
      <c r="F309" s="306">
        <v>2003</v>
      </c>
      <c r="G309" s="306">
        <v>2004</v>
      </c>
      <c r="H309" s="306">
        <v>2005</v>
      </c>
      <c r="I309" s="306">
        <v>2006</v>
      </c>
      <c r="J309" s="306">
        <v>2007</v>
      </c>
      <c r="K309" s="306">
        <v>2008</v>
      </c>
      <c r="L309" s="306">
        <v>2009</v>
      </c>
      <c r="M309" s="306">
        <v>2010</v>
      </c>
      <c r="N309" s="306">
        <v>2011</v>
      </c>
      <c r="O309" s="306">
        <v>2012</v>
      </c>
      <c r="P309" s="306">
        <v>2013</v>
      </c>
      <c r="Q309" s="306">
        <v>2014</v>
      </c>
      <c r="R309" s="306">
        <v>2015</v>
      </c>
      <c r="S309" s="306">
        <v>2016</v>
      </c>
      <c r="T309" s="306">
        <v>2017</v>
      </c>
      <c r="U309" s="306">
        <v>2018</v>
      </c>
      <c r="V309" s="306">
        <v>2019</v>
      </c>
      <c r="W309" s="306" t="s">
        <v>154</v>
      </c>
    </row>
    <row r="310" spans="1:23" x14ac:dyDescent="0.2">
      <c r="A310" s="284" t="s">
        <v>194</v>
      </c>
      <c r="B310" s="303"/>
      <c r="C310" s="277"/>
      <c r="D310" s="341">
        <v>0</v>
      </c>
      <c r="E310" s="341">
        <v>0</v>
      </c>
      <c r="F310" s="341">
        <v>0</v>
      </c>
      <c r="G310" s="341">
        <v>0</v>
      </c>
      <c r="H310" s="341">
        <v>0</v>
      </c>
      <c r="I310" s="341">
        <v>0</v>
      </c>
      <c r="J310" s="341">
        <v>0</v>
      </c>
      <c r="K310" s="341">
        <v>0</v>
      </c>
      <c r="L310" s="341">
        <v>0</v>
      </c>
      <c r="M310" s="341">
        <v>0</v>
      </c>
      <c r="N310" s="341">
        <v>0</v>
      </c>
      <c r="O310" s="341">
        <v>0</v>
      </c>
      <c r="P310" s="341">
        <v>0</v>
      </c>
      <c r="Q310" s="341">
        <v>0</v>
      </c>
      <c r="R310" s="341">
        <v>0</v>
      </c>
      <c r="S310" s="341">
        <v>0</v>
      </c>
      <c r="T310" s="341">
        <v>0</v>
      </c>
      <c r="U310" s="341">
        <v>0</v>
      </c>
      <c r="V310" s="341">
        <v>0</v>
      </c>
      <c r="W310" s="341">
        <v>0</v>
      </c>
    </row>
    <row r="311" spans="1:23" x14ac:dyDescent="0.2">
      <c r="A311" s="284" t="s">
        <v>195</v>
      </c>
      <c r="B311" s="303"/>
      <c r="C311" s="277"/>
      <c r="D311" s="341">
        <v>0</v>
      </c>
      <c r="E311" s="341">
        <v>0</v>
      </c>
      <c r="F311" s="341">
        <v>0</v>
      </c>
      <c r="G311" s="341">
        <v>0</v>
      </c>
      <c r="H311" s="341">
        <v>0</v>
      </c>
      <c r="I311" s="341">
        <v>0</v>
      </c>
      <c r="J311" s="341">
        <v>0</v>
      </c>
      <c r="K311" s="341">
        <v>0</v>
      </c>
      <c r="L311" s="341">
        <v>0</v>
      </c>
      <c r="M311" s="341">
        <v>0</v>
      </c>
      <c r="N311" s="341">
        <v>0</v>
      </c>
      <c r="O311" s="341">
        <v>0</v>
      </c>
      <c r="P311" s="341">
        <v>0</v>
      </c>
      <c r="Q311" s="341">
        <v>0</v>
      </c>
      <c r="R311" s="341">
        <v>0</v>
      </c>
      <c r="S311" s="341">
        <v>0</v>
      </c>
      <c r="T311" s="341">
        <v>0</v>
      </c>
      <c r="U311" s="341">
        <v>0</v>
      </c>
      <c r="V311" s="341">
        <v>0</v>
      </c>
      <c r="W311" s="341">
        <v>0</v>
      </c>
    </row>
    <row r="312" spans="1:23" x14ac:dyDescent="0.2">
      <c r="A312" s="284" t="s">
        <v>196</v>
      </c>
      <c r="B312" s="303"/>
      <c r="C312" s="277"/>
      <c r="D312" s="341">
        <v>0</v>
      </c>
      <c r="E312" s="341">
        <v>0</v>
      </c>
      <c r="F312" s="341">
        <v>0</v>
      </c>
      <c r="G312" s="341">
        <v>0</v>
      </c>
      <c r="H312" s="341">
        <v>0</v>
      </c>
      <c r="I312" s="341">
        <v>0</v>
      </c>
      <c r="J312" s="341">
        <v>0</v>
      </c>
      <c r="K312" s="341">
        <v>0</v>
      </c>
      <c r="L312" s="341">
        <v>0</v>
      </c>
      <c r="M312" s="341">
        <v>0</v>
      </c>
      <c r="N312" s="341">
        <v>0</v>
      </c>
      <c r="O312" s="341">
        <v>0</v>
      </c>
      <c r="P312" s="341">
        <v>0</v>
      </c>
      <c r="Q312" s="341">
        <v>0</v>
      </c>
      <c r="R312" s="341">
        <v>0</v>
      </c>
      <c r="S312" s="341">
        <v>0</v>
      </c>
      <c r="T312" s="341">
        <v>0</v>
      </c>
      <c r="U312" s="341">
        <v>0</v>
      </c>
      <c r="V312" s="341">
        <v>0</v>
      </c>
      <c r="W312" s="341">
        <v>0</v>
      </c>
    </row>
    <row r="313" spans="1:23" x14ac:dyDescent="0.2">
      <c r="A313" s="284" t="s">
        <v>197</v>
      </c>
      <c r="B313" s="303"/>
      <c r="C313" s="277"/>
      <c r="D313" s="342">
        <v>0</v>
      </c>
      <c r="E313" s="342">
        <v>0</v>
      </c>
      <c r="F313" s="342">
        <v>0</v>
      </c>
      <c r="G313" s="342">
        <v>0</v>
      </c>
      <c r="H313" s="342">
        <v>0</v>
      </c>
      <c r="I313" s="342">
        <v>0</v>
      </c>
      <c r="J313" s="342">
        <v>0</v>
      </c>
      <c r="K313" s="342">
        <v>0</v>
      </c>
      <c r="L313" s="342">
        <v>0</v>
      </c>
      <c r="M313" s="342">
        <v>0</v>
      </c>
      <c r="N313" s="342">
        <v>0</v>
      </c>
      <c r="O313" s="342">
        <v>0</v>
      </c>
      <c r="P313" s="342">
        <v>0</v>
      </c>
      <c r="Q313" s="342">
        <v>0</v>
      </c>
      <c r="R313" s="342">
        <v>0</v>
      </c>
      <c r="S313" s="342">
        <v>0</v>
      </c>
      <c r="T313" s="342">
        <v>0</v>
      </c>
      <c r="U313" s="342">
        <v>0</v>
      </c>
      <c r="V313" s="342">
        <v>0</v>
      </c>
      <c r="W313" s="342">
        <v>0</v>
      </c>
    </row>
    <row r="314" spans="1:23" ht="13.5" thickBot="1" x14ac:dyDescent="0.25">
      <c r="A314" s="284" t="s">
        <v>198</v>
      </c>
      <c r="B314" s="303"/>
      <c r="C314" s="277"/>
      <c r="D314" s="343">
        <v>0</v>
      </c>
      <c r="E314" s="343">
        <v>0</v>
      </c>
      <c r="F314" s="343">
        <v>0</v>
      </c>
      <c r="G314" s="343">
        <v>0</v>
      </c>
      <c r="H314" s="343">
        <v>0</v>
      </c>
      <c r="I314" s="343">
        <v>0</v>
      </c>
      <c r="J314" s="343">
        <v>0</v>
      </c>
      <c r="K314" s="343">
        <v>0</v>
      </c>
      <c r="L314" s="343">
        <v>0</v>
      </c>
      <c r="M314" s="343">
        <v>0</v>
      </c>
      <c r="N314" s="343">
        <v>0</v>
      </c>
      <c r="O314" s="343">
        <v>0</v>
      </c>
      <c r="P314" s="343">
        <v>0</v>
      </c>
      <c r="Q314" s="343">
        <v>0</v>
      </c>
      <c r="R314" s="343">
        <v>0</v>
      </c>
      <c r="S314" s="343">
        <v>0</v>
      </c>
      <c r="T314" s="343">
        <v>0</v>
      </c>
      <c r="U314" s="343">
        <v>0</v>
      </c>
      <c r="V314" s="343">
        <v>0</v>
      </c>
      <c r="W314" s="343">
        <v>0</v>
      </c>
    </row>
    <row r="315" spans="1:23" ht="13.5" thickTop="1" x14ac:dyDescent="0.2">
      <c r="A315" s="284"/>
      <c r="B315" s="303"/>
      <c r="C315" s="277"/>
      <c r="D315" s="341"/>
      <c r="E315" s="341"/>
      <c r="F315" s="341"/>
      <c r="G315" s="341"/>
      <c r="H315" s="341"/>
      <c r="I315" s="341"/>
      <c r="J315" s="341"/>
      <c r="K315" s="341"/>
      <c r="L315" s="341"/>
      <c r="M315" s="341"/>
      <c r="N315" s="341"/>
      <c r="O315" s="341"/>
      <c r="P315" s="341"/>
      <c r="Q315" s="341"/>
      <c r="R315" s="341"/>
      <c r="S315" s="341"/>
      <c r="T315" s="341"/>
      <c r="U315" s="341"/>
      <c r="V315" s="341"/>
      <c r="W315" s="341"/>
    </row>
    <row r="316" spans="1:23" x14ac:dyDescent="0.2">
      <c r="A316" s="284" t="s">
        <v>199</v>
      </c>
      <c r="B316" s="303"/>
      <c r="C316" s="277"/>
      <c r="D316" s="341">
        <v>0</v>
      </c>
      <c r="E316" s="341">
        <v>0</v>
      </c>
      <c r="F316" s="341">
        <v>0</v>
      </c>
      <c r="G316" s="341">
        <v>0</v>
      </c>
      <c r="H316" s="341">
        <v>0</v>
      </c>
      <c r="I316" s="341">
        <v>0</v>
      </c>
      <c r="J316" s="341">
        <v>0</v>
      </c>
      <c r="K316" s="341">
        <v>0</v>
      </c>
      <c r="L316" s="341">
        <v>0</v>
      </c>
      <c r="M316" s="341">
        <v>0</v>
      </c>
      <c r="N316" s="341">
        <v>0</v>
      </c>
      <c r="O316" s="341">
        <v>0</v>
      </c>
      <c r="P316" s="341">
        <v>0</v>
      </c>
      <c r="Q316" s="341">
        <v>0</v>
      </c>
      <c r="R316" s="341">
        <v>0</v>
      </c>
      <c r="S316" s="341">
        <v>0</v>
      </c>
      <c r="T316" s="341">
        <v>0</v>
      </c>
      <c r="U316" s="341">
        <v>0</v>
      </c>
      <c r="V316" s="341">
        <v>0</v>
      </c>
      <c r="W316" s="341">
        <v>0</v>
      </c>
    </row>
    <row r="317" spans="1:23" x14ac:dyDescent="0.2">
      <c r="A317" s="284"/>
      <c r="B317" s="303"/>
      <c r="C317" s="277"/>
      <c r="D317" s="277"/>
      <c r="E317" s="277"/>
      <c r="F317" s="277"/>
      <c r="G317" s="277"/>
      <c r="H317" s="277"/>
      <c r="I317" s="277"/>
      <c r="J317" s="277"/>
      <c r="K317" s="277"/>
      <c r="L317" s="277"/>
      <c r="M317" s="277"/>
      <c r="N317" s="277"/>
      <c r="O317" s="277"/>
      <c r="P317" s="277"/>
      <c r="Q317" s="277"/>
      <c r="R317" s="277"/>
      <c r="S317" s="277"/>
      <c r="T317" s="277"/>
      <c r="U317" s="277"/>
      <c r="V317" s="277"/>
      <c r="W317" s="277"/>
    </row>
    <row r="318" spans="1:23" x14ac:dyDescent="0.2">
      <c r="A318" s="284" t="s">
        <v>200</v>
      </c>
      <c r="B318" s="303"/>
      <c r="C318" s="277"/>
      <c r="D318" s="341">
        <v>0</v>
      </c>
      <c r="E318" s="341">
        <v>0</v>
      </c>
      <c r="F318" s="341">
        <v>0</v>
      </c>
      <c r="G318" s="341">
        <v>0</v>
      </c>
      <c r="H318" s="341">
        <v>0</v>
      </c>
      <c r="I318" s="341">
        <v>0</v>
      </c>
      <c r="J318" s="341">
        <v>0</v>
      </c>
      <c r="K318" s="341">
        <v>0</v>
      </c>
      <c r="L318" s="341">
        <v>0</v>
      </c>
      <c r="M318" s="341">
        <v>0</v>
      </c>
      <c r="N318" s="341">
        <v>0</v>
      </c>
      <c r="O318" s="341">
        <v>0</v>
      </c>
      <c r="P318" s="341">
        <v>0</v>
      </c>
      <c r="Q318" s="341">
        <v>0</v>
      </c>
      <c r="R318" s="341">
        <v>0</v>
      </c>
      <c r="S318" s="341">
        <v>0</v>
      </c>
      <c r="T318" s="341">
        <v>0</v>
      </c>
      <c r="U318" s="341">
        <v>0</v>
      </c>
      <c r="V318" s="341">
        <v>0</v>
      </c>
      <c r="W318" s="341">
        <v>0</v>
      </c>
    </row>
    <row r="319" spans="1:23" x14ac:dyDescent="0.2">
      <c r="A319" s="277"/>
      <c r="B319" s="303"/>
      <c r="C319" s="277"/>
      <c r="D319" s="277"/>
      <c r="E319" s="277"/>
      <c r="F319" s="277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277"/>
      <c r="V319" s="277"/>
      <c r="W319" s="277"/>
    </row>
    <row r="320" spans="1:23" x14ac:dyDescent="0.2">
      <c r="A320" s="277"/>
      <c r="B320" s="303"/>
      <c r="C320" s="277"/>
      <c r="D320" s="277"/>
      <c r="E320" s="277"/>
      <c r="F320" s="277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277"/>
      <c r="V320" s="277"/>
      <c r="W320" s="277"/>
    </row>
    <row r="321" spans="1:23" x14ac:dyDescent="0.2">
      <c r="A321" s="284" t="s">
        <v>202</v>
      </c>
      <c r="B321" s="279"/>
      <c r="C321" s="278"/>
      <c r="D321" s="435">
        <v>13753911.158093527</v>
      </c>
      <c r="E321" s="435">
        <v>20056311.850490212</v>
      </c>
      <c r="F321" s="435">
        <v>19572333.241493396</v>
      </c>
      <c r="G321" s="435">
        <v>22780402.507551726</v>
      </c>
      <c r="H321" s="435">
        <v>20542829.925145045</v>
      </c>
      <c r="I321" s="435">
        <v>22015806.240902938</v>
      </c>
      <c r="J321" s="435">
        <v>24066629.566236131</v>
      </c>
      <c r="K321" s="435">
        <v>24653799.651307639</v>
      </c>
      <c r="L321" s="435">
        <v>25136722.702271476</v>
      </c>
      <c r="M321" s="435">
        <v>25011015.416038673</v>
      </c>
      <c r="N321" s="435">
        <v>25629668.241028421</v>
      </c>
      <c r="O321" s="435">
        <v>25604113.060263805</v>
      </c>
      <c r="P321" s="435">
        <v>25696626.513981123</v>
      </c>
      <c r="Q321" s="435">
        <v>26823762.285923138</v>
      </c>
      <c r="R321" s="435">
        <v>29903008.790342301</v>
      </c>
      <c r="S321" s="435">
        <v>28963455.081103008</v>
      </c>
      <c r="T321" s="435">
        <v>29178917.462576114</v>
      </c>
      <c r="U321" s="435">
        <v>31283464.913389999</v>
      </c>
      <c r="V321" s="435">
        <v>32869299.496470325</v>
      </c>
      <c r="W321" s="435">
        <v>172639804.3176268</v>
      </c>
    </row>
    <row r="322" spans="1:23" x14ac:dyDescent="0.2">
      <c r="A322" s="9"/>
      <c r="B322" s="6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">
      <c r="B323" s="348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294"/>
    </row>
    <row r="324" spans="1:23" x14ac:dyDescent="0.2">
      <c r="B324" s="348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294"/>
    </row>
    <row r="325" spans="1:23" x14ac:dyDescent="0.2">
      <c r="B325" s="348"/>
      <c r="C325" s="349"/>
      <c r="D325" s="349"/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49"/>
      <c r="P325" s="349"/>
      <c r="Q325" s="349"/>
      <c r="R325" s="349"/>
      <c r="S325" s="349"/>
      <c r="T325" s="349"/>
      <c r="U325" s="349"/>
      <c r="V325" s="349"/>
      <c r="W325" s="294"/>
    </row>
    <row r="326" spans="1:23" x14ac:dyDescent="0.2">
      <c r="B326" s="348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49"/>
      <c r="P326" s="349"/>
      <c r="Q326" s="349"/>
      <c r="R326" s="349"/>
      <c r="S326" s="349"/>
      <c r="T326" s="349"/>
      <c r="U326" s="349"/>
      <c r="V326" s="349"/>
      <c r="W326" s="294"/>
    </row>
    <row r="327" spans="1:23" x14ac:dyDescent="0.2">
      <c r="B327" s="350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352"/>
      <c r="T327" s="352"/>
      <c r="U327" s="352"/>
      <c r="V327" s="352"/>
      <c r="W327" s="294"/>
    </row>
    <row r="328" spans="1:23" x14ac:dyDescent="0.2">
      <c r="B328" s="348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49"/>
      <c r="P328" s="349"/>
      <c r="Q328" s="349"/>
      <c r="R328" s="349"/>
      <c r="S328" s="349"/>
      <c r="T328" s="349"/>
      <c r="U328" s="349"/>
      <c r="V328" s="349"/>
      <c r="W328" s="294"/>
    </row>
    <row r="329" spans="1:23" x14ac:dyDescent="0.2">
      <c r="B329" s="348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294"/>
    </row>
    <row r="330" spans="1:23" ht="15.75" x14ac:dyDescent="0.25">
      <c r="A330" s="302" t="s">
        <v>29</v>
      </c>
      <c r="B330" s="305" t="s">
        <v>59</v>
      </c>
      <c r="C330" s="306">
        <v>2000</v>
      </c>
      <c r="D330" s="306">
        <v>2001</v>
      </c>
      <c r="E330" s="306">
        <v>2002</v>
      </c>
      <c r="F330" s="306">
        <v>2003</v>
      </c>
      <c r="G330" s="306">
        <v>2004</v>
      </c>
      <c r="H330" s="306">
        <v>2005</v>
      </c>
      <c r="I330" s="306">
        <v>2006</v>
      </c>
      <c r="J330" s="306">
        <v>2007</v>
      </c>
      <c r="K330" s="306">
        <v>2008</v>
      </c>
      <c r="L330" s="306">
        <v>2009</v>
      </c>
      <c r="M330" s="306">
        <v>2010</v>
      </c>
      <c r="N330" s="306">
        <v>2011</v>
      </c>
      <c r="O330" s="306">
        <v>2012</v>
      </c>
      <c r="P330" s="306">
        <v>2013</v>
      </c>
      <c r="Q330" s="306">
        <v>2014</v>
      </c>
      <c r="R330" s="306">
        <v>2015</v>
      </c>
      <c r="S330" s="306">
        <v>2016</v>
      </c>
      <c r="T330" s="306">
        <v>2017</v>
      </c>
      <c r="U330" s="306">
        <v>2018</v>
      </c>
      <c r="V330" s="306">
        <v>2019</v>
      </c>
      <c r="W330" s="306" t="s">
        <v>154</v>
      </c>
    </row>
    <row r="331" spans="1:23" x14ac:dyDescent="0.2">
      <c r="A331" s="302" t="s">
        <v>26</v>
      </c>
      <c r="B331" s="303">
        <v>228.15</v>
      </c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  <c r="R331" s="308"/>
      <c r="S331" s="308"/>
      <c r="T331" s="308"/>
      <c r="U331" s="308"/>
      <c r="V331" s="308"/>
      <c r="W331" s="308"/>
    </row>
    <row r="332" spans="1:23" x14ac:dyDescent="0.2">
      <c r="A332" s="9"/>
      <c r="B332" s="309" t="s">
        <v>27</v>
      </c>
      <c r="C332" s="443">
        <v>0</v>
      </c>
      <c r="D332" s="404">
        <v>64146320.490170985</v>
      </c>
      <c r="E332" s="404">
        <v>63256691.026939452</v>
      </c>
      <c r="F332" s="404">
        <v>64474273.782860309</v>
      </c>
      <c r="G332" s="404">
        <v>63560427.513728052</v>
      </c>
      <c r="H332" s="404">
        <v>64039176.454186156</v>
      </c>
      <c r="I332" s="404">
        <v>68363220.628550768</v>
      </c>
      <c r="J332" s="404">
        <v>73302819.399992391</v>
      </c>
      <c r="K332" s="404">
        <v>75199732.00820218</v>
      </c>
      <c r="L332" s="404">
        <v>76773722.645194173</v>
      </c>
      <c r="M332" s="404">
        <v>77047800.592917413</v>
      </c>
      <c r="N332" s="404">
        <v>78712413.226944789</v>
      </c>
      <c r="O332" s="404">
        <v>79596336.869204268</v>
      </c>
      <c r="P332" s="404">
        <v>80533030.162801802</v>
      </c>
      <c r="Q332" s="404">
        <v>83367891.14285472</v>
      </c>
      <c r="R332" s="404">
        <v>89282759.377422854</v>
      </c>
      <c r="S332" s="404">
        <v>88768425.843234852</v>
      </c>
      <c r="T332" s="404">
        <v>89899763.374190256</v>
      </c>
      <c r="U332" s="404">
        <v>94219935.267105713</v>
      </c>
      <c r="V332" s="404">
        <v>97081731.482991368</v>
      </c>
      <c r="W332" s="327"/>
    </row>
    <row r="333" spans="1:23" x14ac:dyDescent="0.2">
      <c r="A333" s="9"/>
      <c r="B333" s="309" t="s">
        <v>20</v>
      </c>
      <c r="C333" s="443">
        <v>0</v>
      </c>
      <c r="D333" s="404">
        <v>-19007919.616529971</v>
      </c>
      <c r="E333" s="404">
        <v>-19280234.818811025</v>
      </c>
      <c r="F333" s="404">
        <v>-19614656.997050911</v>
      </c>
      <c r="G333" s="404">
        <v>-20178397.24036957</v>
      </c>
      <c r="H333" s="404">
        <v>-20883868.787799433</v>
      </c>
      <c r="I333" s="404">
        <v>-21691259.475264311</v>
      </c>
      <c r="J333" s="404">
        <v>-22191300.256061092</v>
      </c>
      <c r="K333" s="404">
        <v>-22669046.224975206</v>
      </c>
      <c r="L333" s="404">
        <v>-23038503.107602134</v>
      </c>
      <c r="M333" s="404">
        <v>-23216861.602663409</v>
      </c>
      <c r="N333" s="404">
        <v>-23528988.969020639</v>
      </c>
      <c r="O333" s="404">
        <v>-24038584.6691957</v>
      </c>
      <c r="P333" s="404">
        <v>-24584807.56032085</v>
      </c>
      <c r="Q333" s="404">
        <v>-25105550.66643725</v>
      </c>
      <c r="R333" s="404">
        <v>-25457490.196870659</v>
      </c>
      <c r="S333" s="404">
        <v>-25978233.302987054</v>
      </c>
      <c r="T333" s="404">
        <v>-26570638.304440565</v>
      </c>
      <c r="U333" s="404">
        <v>-27223557.795289874</v>
      </c>
      <c r="V333" s="404">
        <v>-27895587.124895748</v>
      </c>
      <c r="W333" s="327"/>
    </row>
    <row r="334" spans="1:23" x14ac:dyDescent="0.2">
      <c r="A334" s="9"/>
      <c r="B334" s="309" t="s">
        <v>31</v>
      </c>
      <c r="C334" s="443">
        <v>0</v>
      </c>
      <c r="D334" s="404">
        <v>-1400171.7219983716</v>
      </c>
      <c r="E334" s="404">
        <v>-1428433.2860503672</v>
      </c>
      <c r="F334" s="404">
        <v>-2389817.1046514744</v>
      </c>
      <c r="G334" s="404">
        <v>-2442544.860945899</v>
      </c>
      <c r="H334" s="404">
        <v>-2496449.1639736686</v>
      </c>
      <c r="I334" s="404">
        <v>-2551556.5683461754</v>
      </c>
      <c r="J334" s="404">
        <v>-2607894.2348318719</v>
      </c>
      <c r="K334" s="404">
        <v>-2665489.9443453993</v>
      </c>
      <c r="L334" s="404">
        <v>-2724372.1122629256</v>
      </c>
      <c r="M334" s="404">
        <v>-2784569.8030713815</v>
      </c>
      <c r="N334" s="404">
        <v>-2846112.7453594659</v>
      </c>
      <c r="O334" s="404">
        <v>-2909031.3471584511</v>
      </c>
      <c r="P334" s="404">
        <v>-2973356.7116410551</v>
      </c>
      <c r="Q334" s="404">
        <v>-3039120.6531867902</v>
      </c>
      <c r="R334" s="404">
        <v>-3106355.7138224524</v>
      </c>
      <c r="S334" s="404">
        <v>-3175095.1800465705</v>
      </c>
      <c r="T334" s="404">
        <v>-3245373.1000468903</v>
      </c>
      <c r="U334" s="404">
        <v>-3317224.301320143</v>
      </c>
      <c r="V334" s="404">
        <v>-3390684.408703607</v>
      </c>
      <c r="W334" s="327"/>
    </row>
    <row r="335" spans="1:23" x14ac:dyDescent="0.2">
      <c r="A335" s="9"/>
      <c r="B335" s="309" t="s">
        <v>32</v>
      </c>
      <c r="C335" s="443">
        <v>0</v>
      </c>
      <c r="D335" s="404">
        <v>0</v>
      </c>
      <c r="E335" s="404">
        <v>0</v>
      </c>
      <c r="F335" s="404">
        <v>0</v>
      </c>
      <c r="G335" s="404">
        <v>0</v>
      </c>
      <c r="H335" s="404">
        <v>0</v>
      </c>
      <c r="I335" s="404">
        <v>-670403.87209787453</v>
      </c>
      <c r="J335" s="404">
        <v>-743089.13770730654</v>
      </c>
      <c r="K335" s="404">
        <v>-957583.89514724584</v>
      </c>
      <c r="L335" s="404">
        <v>-900605.2414687397</v>
      </c>
      <c r="M335" s="404">
        <v>-1001611.4970072643</v>
      </c>
      <c r="N335" s="404">
        <v>-1103350.8095819182</v>
      </c>
      <c r="O335" s="404">
        <v>-1222479.6175592002</v>
      </c>
      <c r="P335" s="404">
        <v>-1370721.2364395186</v>
      </c>
      <c r="Q335" s="404">
        <v>-1525826.6331189945</v>
      </c>
      <c r="R335" s="404">
        <v>-1690149.7964226492</v>
      </c>
      <c r="S335" s="404">
        <v>-1855782.3979924824</v>
      </c>
      <c r="T335" s="404">
        <v>-1823215.7322744504</v>
      </c>
      <c r="U335" s="404">
        <v>-1559859.6721714791</v>
      </c>
      <c r="V335" s="404">
        <v>-1617286.6913336627</v>
      </c>
      <c r="W335" s="327"/>
    </row>
    <row r="336" spans="1:23" ht="13.5" thickBot="1" x14ac:dyDescent="0.25">
      <c r="A336" s="9"/>
      <c r="B336" s="310" t="s">
        <v>33</v>
      </c>
      <c r="C336" s="444">
        <v>0</v>
      </c>
      <c r="D336" s="406">
        <v>0</v>
      </c>
      <c r="E336" s="406">
        <v>0</v>
      </c>
      <c r="F336" s="406">
        <v>-1511387.4657759736</v>
      </c>
      <c r="G336" s="406">
        <v>-1287796.8593288825</v>
      </c>
      <c r="H336" s="406">
        <v>-1336909.0791799938</v>
      </c>
      <c r="I336" s="406">
        <v>-1388497.7900395226</v>
      </c>
      <c r="J336" s="406">
        <v>-1744256.4788961587</v>
      </c>
      <c r="K336" s="406">
        <v>-1523588.4862444918</v>
      </c>
      <c r="L336" s="406">
        <v>-1612610.7622574442</v>
      </c>
      <c r="M336" s="406">
        <v>-1534460.9016030245</v>
      </c>
      <c r="N336" s="406">
        <v>-1578409.1264938852</v>
      </c>
      <c r="O336" s="406">
        <v>-1619338.651458299</v>
      </c>
      <c r="P336" s="406">
        <v>-1446409.1643244824</v>
      </c>
      <c r="Q336" s="406">
        <v>-1498125.0590169856</v>
      </c>
      <c r="R336" s="406">
        <v>-1529084.3844492913</v>
      </c>
      <c r="S336" s="406">
        <v>-1623780.1854948853</v>
      </c>
      <c r="T336" s="406">
        <v>-1526521.7873494495</v>
      </c>
      <c r="U336" s="406">
        <v>-1681276.049529975</v>
      </c>
      <c r="V336" s="406">
        <v>-915371.6772449069</v>
      </c>
      <c r="W336" s="327"/>
    </row>
    <row r="337" spans="1:23" ht="13.5" thickTop="1" x14ac:dyDescent="0.2">
      <c r="A337" s="9"/>
      <c r="B337" s="311" t="s">
        <v>38</v>
      </c>
      <c r="C337" s="445">
        <v>0</v>
      </c>
      <c r="D337" s="408">
        <v>43738229.151642643</v>
      </c>
      <c r="E337" s="408">
        <v>42548022.922078058</v>
      </c>
      <c r="F337" s="408">
        <v>40958412.21538195</v>
      </c>
      <c r="G337" s="408">
        <v>39651688.553083703</v>
      </c>
      <c r="H337" s="408">
        <v>39321949.423233062</v>
      </c>
      <c r="I337" s="408">
        <v>42061502.922802888</v>
      </c>
      <c r="J337" s="408">
        <v>46016279.292495966</v>
      </c>
      <c r="K337" s="408">
        <v>47384023.457489833</v>
      </c>
      <c r="L337" s="408">
        <v>48497631.421602927</v>
      </c>
      <c r="M337" s="408">
        <v>48510296.788572326</v>
      </c>
      <c r="N337" s="408">
        <v>49655551.576488882</v>
      </c>
      <c r="O337" s="408">
        <v>49806902.583832614</v>
      </c>
      <c r="P337" s="408">
        <v>50157735.490075886</v>
      </c>
      <c r="Q337" s="408">
        <v>52199268.131094694</v>
      </c>
      <c r="R337" s="408">
        <v>57499679.285857812</v>
      </c>
      <c r="S337" s="408">
        <v>56135534.776713856</v>
      </c>
      <c r="T337" s="408">
        <v>56734014.450078905</v>
      </c>
      <c r="U337" s="408">
        <v>60438017.448794238</v>
      </c>
      <c r="V337" s="408">
        <v>63262801.58081343</v>
      </c>
      <c r="W337" s="327"/>
    </row>
    <row r="338" spans="1:23" x14ac:dyDescent="0.2">
      <c r="A338" s="9"/>
      <c r="B338" s="309" t="s">
        <v>34</v>
      </c>
      <c r="C338" s="443">
        <v>0</v>
      </c>
      <c r="D338" s="404">
        <v>-2794736.7439314071</v>
      </c>
      <c r="E338" s="404">
        <v>-2850631.4788100352</v>
      </c>
      <c r="F338" s="404">
        <v>-2949643.1083862358</v>
      </c>
      <c r="G338" s="404">
        <v>-3008845.9655539608</v>
      </c>
      <c r="H338" s="404">
        <v>-3069238.1297400398</v>
      </c>
      <c r="I338" s="404">
        <v>-3130843.5183317158</v>
      </c>
      <c r="J338" s="404">
        <v>-3193686.5303451475</v>
      </c>
      <c r="K338" s="404">
        <v>-3257792.0561400168</v>
      </c>
      <c r="L338" s="404">
        <v>-3323185.4873304833</v>
      </c>
      <c r="M338" s="404">
        <v>-3389892.7268964504</v>
      </c>
      <c r="N338" s="404">
        <v>-3457940.1994992211</v>
      </c>
      <c r="O338" s="404">
        <v>-3527354.8620056682</v>
      </c>
      <c r="P338" s="404">
        <v>-3598164.2142251558</v>
      </c>
      <c r="Q338" s="404">
        <v>-3670396.3098635175</v>
      </c>
      <c r="R338" s="404">
        <v>-3744079.7676984929</v>
      </c>
      <c r="S338" s="404">
        <v>-3819243.7829811103</v>
      </c>
      <c r="T338" s="404">
        <v>-3895918.1390675968</v>
      </c>
      <c r="U338" s="404">
        <v>-3974133.2192864837</v>
      </c>
      <c r="V338" s="404">
        <v>-4053920.0190456873</v>
      </c>
      <c r="W338" s="327"/>
    </row>
    <row r="339" spans="1:23" x14ac:dyDescent="0.2">
      <c r="A339" s="9"/>
      <c r="B339" s="309" t="s">
        <v>35</v>
      </c>
      <c r="C339" s="443">
        <v>0</v>
      </c>
      <c r="D339" s="404">
        <v>-388299.7921559058</v>
      </c>
      <c r="E339" s="404">
        <v>-397276.51828614395</v>
      </c>
      <c r="F339" s="404">
        <v>-406449.83471863432</v>
      </c>
      <c r="G339" s="404">
        <v>-415830.46810249891</v>
      </c>
      <c r="H339" s="404">
        <v>-425434.36056089948</v>
      </c>
      <c r="I339" s="404">
        <v>-435680.84021321853</v>
      </c>
      <c r="J339" s="404">
        <v>-445769.5798686521</v>
      </c>
      <c r="K339" s="404">
        <v>-456535.8470507703</v>
      </c>
      <c r="L339" s="404">
        <v>-467135.4529866915</v>
      </c>
      <c r="M339" s="404">
        <v>-478005.34887397866</v>
      </c>
      <c r="N339" s="404">
        <v>-489138.29624173819</v>
      </c>
      <c r="O339" s="404">
        <v>-500551.79388316523</v>
      </c>
      <c r="P339" s="404">
        <v>-512255.19436468452</v>
      </c>
      <c r="Q339" s="404">
        <v>-524251.17985824175</v>
      </c>
      <c r="R339" s="404">
        <v>-536548.26458768733</v>
      </c>
      <c r="S339" s="404">
        <v>-549152.77643536904</v>
      </c>
      <c r="T339" s="404">
        <v>-562069.88017687318</v>
      </c>
      <c r="U339" s="404">
        <v>-575311.2032222891</v>
      </c>
      <c r="V339" s="404">
        <v>-588884.88347614498</v>
      </c>
      <c r="W339" s="327"/>
    </row>
    <row r="340" spans="1:23" ht="13.5" thickBot="1" x14ac:dyDescent="0.25">
      <c r="A340" s="9"/>
      <c r="B340" s="310" t="s">
        <v>36</v>
      </c>
      <c r="C340" s="444">
        <v>0</v>
      </c>
      <c r="D340" s="406">
        <v>-535405.353751207</v>
      </c>
      <c r="E340" s="406">
        <v>-546702.40671536105</v>
      </c>
      <c r="F340" s="406">
        <v>-558675.18942242803</v>
      </c>
      <c r="G340" s="406">
        <v>-571301.24870336999</v>
      </c>
      <c r="H340" s="406">
        <v>-584898.21842251206</v>
      </c>
      <c r="I340" s="406">
        <v>-599555.82657704898</v>
      </c>
      <c r="J340" s="406">
        <v>-614426.48136174004</v>
      </c>
      <c r="K340" s="406">
        <v>-629978.88536292303</v>
      </c>
      <c r="L340" s="406">
        <v>-645539.36383138795</v>
      </c>
      <c r="M340" s="406">
        <v>-662000.61760908598</v>
      </c>
      <c r="N340" s="406">
        <v>-678021.03255522903</v>
      </c>
      <c r="O340" s="406">
        <v>-695107.16257561895</v>
      </c>
      <c r="P340" s="406">
        <v>-712762.88450503803</v>
      </c>
      <c r="Q340" s="406">
        <v>-730581.95661766396</v>
      </c>
      <c r="R340" s="406">
        <v>-748919.56372876698</v>
      </c>
      <c r="S340" s="406">
        <v>-767642.55282198801</v>
      </c>
      <c r="T340" s="406">
        <v>-786680.08813197201</v>
      </c>
      <c r="U340" s="406">
        <v>-806425.758344086</v>
      </c>
      <c r="V340" s="406">
        <v>-826667.04487852298</v>
      </c>
      <c r="W340" s="327"/>
    </row>
    <row r="341" spans="1:23" ht="13.5" thickTop="1" x14ac:dyDescent="0.2">
      <c r="A341" s="9"/>
      <c r="B341" s="311" t="s">
        <v>220</v>
      </c>
      <c r="C341" s="446">
        <v>0</v>
      </c>
      <c r="D341" s="410">
        <v>40019787.261804126</v>
      </c>
      <c r="E341" s="410">
        <v>38753412.518266514</v>
      </c>
      <c r="F341" s="410">
        <v>37043644.082854651</v>
      </c>
      <c r="G341" s="410">
        <v>35655710.870723873</v>
      </c>
      <c r="H341" s="410">
        <v>35242378.714509614</v>
      </c>
      <c r="I341" s="410">
        <v>37895422.737680905</v>
      </c>
      <c r="J341" s="410">
        <v>41762396.700920425</v>
      </c>
      <c r="K341" s="410">
        <v>43039716.668936118</v>
      </c>
      <c r="L341" s="410">
        <v>44061771.117454365</v>
      </c>
      <c r="M341" s="410">
        <v>43980398.095192812</v>
      </c>
      <c r="N341" s="410">
        <v>45030452.048192695</v>
      </c>
      <c r="O341" s="410">
        <v>45083888.765368164</v>
      </c>
      <c r="P341" s="410">
        <v>45334553.196981005</v>
      </c>
      <c r="Q341" s="410">
        <v>47274038.684755273</v>
      </c>
      <c r="R341" s="410">
        <v>52470131.689842865</v>
      </c>
      <c r="S341" s="410">
        <v>50999495.664475389</v>
      </c>
      <c r="T341" s="410">
        <v>51489346.342702463</v>
      </c>
      <c r="U341" s="410">
        <v>55082147.267941378</v>
      </c>
      <c r="V341" s="410">
        <v>57793329.633413076</v>
      </c>
      <c r="W341" s="327"/>
    </row>
    <row r="342" spans="1:23" x14ac:dyDescent="0.2">
      <c r="A342" s="9"/>
      <c r="B342" s="309" t="s">
        <v>37</v>
      </c>
      <c r="C342" s="443">
        <v>0</v>
      </c>
      <c r="D342" s="404">
        <v>-2037590.7675000001</v>
      </c>
      <c r="E342" s="404">
        <v>-2817695.2309399997</v>
      </c>
      <c r="F342" s="404">
        <v>-3132301.6935497997</v>
      </c>
      <c r="G342" s="404">
        <v>-3251586.7218106999</v>
      </c>
      <c r="H342" s="404">
        <v>-3320893.3127525002</v>
      </c>
      <c r="I342" s="404">
        <v>-3012676.9638563199</v>
      </c>
      <c r="J342" s="404">
        <v>-2477119.8849499514</v>
      </c>
      <c r="K342" s="404">
        <v>-2181469.2775243572</v>
      </c>
      <c r="L342" s="404">
        <v>-2001476.752635621</v>
      </c>
      <c r="M342" s="404">
        <v>-1961247.7609205777</v>
      </c>
      <c r="N342" s="404">
        <v>-2080194.0683056582</v>
      </c>
      <c r="O342" s="404">
        <v>-2087333.5482062576</v>
      </c>
      <c r="P342" s="404">
        <v>-2098464.1877387138</v>
      </c>
      <c r="Q342" s="404">
        <v>-2162522.6414571432</v>
      </c>
      <c r="R342" s="404">
        <v>-2230441.4462871253</v>
      </c>
      <c r="S342" s="404">
        <v>-2251969.8627620074</v>
      </c>
      <c r="T342" s="404">
        <v>-2277687.7292311355</v>
      </c>
      <c r="U342" s="404">
        <v>-2426818.3191943369</v>
      </c>
      <c r="V342" s="404">
        <v>-2552517.2018564353</v>
      </c>
      <c r="W342" s="327"/>
    </row>
    <row r="343" spans="1:23" ht="13.5" thickBot="1" x14ac:dyDescent="0.25">
      <c r="A343" s="9"/>
      <c r="B343" s="310" t="s">
        <v>221</v>
      </c>
      <c r="C343" s="444">
        <v>0</v>
      </c>
      <c r="D343" s="406">
        <v>-15192878.597721651</v>
      </c>
      <c r="E343" s="406">
        <v>-14374286.914930606</v>
      </c>
      <c r="F343" s="406">
        <v>-13564536.955721943</v>
      </c>
      <c r="G343" s="406">
        <v>-12961649.65956527</v>
      </c>
      <c r="H343" s="406">
        <v>-12768594.160702847</v>
      </c>
      <c r="I343" s="406">
        <v>-13953098.309529835</v>
      </c>
      <c r="J343" s="406">
        <v>-15714110.72638819</v>
      </c>
      <c r="K343" s="406">
        <v>-16343298.956564704</v>
      </c>
      <c r="L343" s="406">
        <v>-16824117.745927498</v>
      </c>
      <c r="M343" s="406">
        <v>-16807660.133708894</v>
      </c>
      <c r="N343" s="406">
        <v>-17180103.191954818</v>
      </c>
      <c r="O343" s="406">
        <v>-17198622.086864766</v>
      </c>
      <c r="P343" s="406">
        <v>-17294435.603696916</v>
      </c>
      <c r="Q343" s="406">
        <v>-18044606.417319253</v>
      </c>
      <c r="R343" s="406">
        <v>-20095876.097422298</v>
      </c>
      <c r="S343" s="406">
        <v>-19499010.320685353</v>
      </c>
      <c r="T343" s="406">
        <v>-19684663.445388533</v>
      </c>
      <c r="U343" s="406">
        <v>-21062131.579498816</v>
      </c>
      <c r="V343" s="406">
        <v>-22096324.972622659</v>
      </c>
      <c r="W343" s="327"/>
    </row>
    <row r="344" spans="1:23" ht="13.5" thickTop="1" x14ac:dyDescent="0.2">
      <c r="A344" s="9"/>
      <c r="B344" s="311" t="s">
        <v>183</v>
      </c>
      <c r="C344" s="446">
        <v>0</v>
      </c>
      <c r="D344" s="410">
        <v>22789317.896582477</v>
      </c>
      <c r="E344" s="410">
        <v>21561430.37239591</v>
      </c>
      <c r="F344" s="410">
        <v>20346805.433582909</v>
      </c>
      <c r="G344" s="410">
        <v>19442474.489347905</v>
      </c>
      <c r="H344" s="410">
        <v>19152891.241054267</v>
      </c>
      <c r="I344" s="410">
        <v>20929647.464294754</v>
      </c>
      <c r="J344" s="410">
        <v>23571166.089582283</v>
      </c>
      <c r="K344" s="410">
        <v>24514948.434847057</v>
      </c>
      <c r="L344" s="410">
        <v>25236176.618891247</v>
      </c>
      <c r="M344" s="410">
        <v>25211490.200563341</v>
      </c>
      <c r="N344" s="410">
        <v>25770154.787932221</v>
      </c>
      <c r="O344" s="410">
        <v>25797933.130297143</v>
      </c>
      <c r="P344" s="410">
        <v>25941653.405545373</v>
      </c>
      <c r="Q344" s="410">
        <v>27066909.62597888</v>
      </c>
      <c r="R344" s="410">
        <v>30143814.146133441</v>
      </c>
      <c r="S344" s="410">
        <v>29248515.481028032</v>
      </c>
      <c r="T344" s="410">
        <v>29526995.168082796</v>
      </c>
      <c r="U344" s="410">
        <v>31593197.369248223</v>
      </c>
      <c r="V344" s="410">
        <v>33144487.458933983</v>
      </c>
      <c r="W344" s="327"/>
    </row>
    <row r="345" spans="1:23" x14ac:dyDescent="0.2">
      <c r="A345" s="9"/>
      <c r="B345" s="309" t="s">
        <v>37</v>
      </c>
      <c r="C345" s="443">
        <v>0</v>
      </c>
      <c r="D345" s="404">
        <v>2037590.7675000001</v>
      </c>
      <c r="E345" s="404">
        <v>2817695.2309399997</v>
      </c>
      <c r="F345" s="404">
        <v>3132301.6935497997</v>
      </c>
      <c r="G345" s="404">
        <v>3251586.7218106999</v>
      </c>
      <c r="H345" s="404">
        <v>3320893.3127525002</v>
      </c>
      <c r="I345" s="404">
        <v>3012676.9638563199</v>
      </c>
      <c r="J345" s="404">
        <v>2477119.8849499514</v>
      </c>
      <c r="K345" s="404">
        <v>2181469.2775243572</v>
      </c>
      <c r="L345" s="404">
        <v>2001476.752635621</v>
      </c>
      <c r="M345" s="404">
        <v>1961247.7609205777</v>
      </c>
      <c r="N345" s="404">
        <v>2080194.0683056582</v>
      </c>
      <c r="O345" s="404">
        <v>2087333.5482062576</v>
      </c>
      <c r="P345" s="404">
        <v>2098464.1877387138</v>
      </c>
      <c r="Q345" s="404">
        <v>2162522.6414571432</v>
      </c>
      <c r="R345" s="404">
        <v>2230441.4462871253</v>
      </c>
      <c r="S345" s="404">
        <v>2251969.8627620074</v>
      </c>
      <c r="T345" s="404">
        <v>2277687.7292311355</v>
      </c>
      <c r="U345" s="404">
        <v>2426818.3191943369</v>
      </c>
      <c r="V345" s="404">
        <v>2552517.2018564353</v>
      </c>
      <c r="W345" s="327"/>
    </row>
    <row r="346" spans="1:23" x14ac:dyDescent="0.2">
      <c r="A346" s="9"/>
      <c r="B346" s="309" t="s">
        <v>39</v>
      </c>
      <c r="C346" s="443">
        <v>0</v>
      </c>
      <c r="D346" s="404">
        <v>-715136</v>
      </c>
      <c r="E346" s="404">
        <v>-1466295.92</v>
      </c>
      <c r="F346" s="404">
        <v>-313481.09000000003</v>
      </c>
      <c r="G346" s="404">
        <v>-2812858.43</v>
      </c>
      <c r="H346" s="404">
        <v>-2165429.2879999997</v>
      </c>
      <c r="I346" s="404">
        <v>-2230392.16664</v>
      </c>
      <c r="J346" s="404">
        <v>-2297303.9316392001</v>
      </c>
      <c r="K346" s="404">
        <v>-2366223.0495883762</v>
      </c>
      <c r="L346" s="404">
        <v>-2437209.7410760275</v>
      </c>
      <c r="M346" s="404">
        <v>-2510326.0333083086</v>
      </c>
      <c r="N346" s="404">
        <v>-2585635.8143075579</v>
      </c>
      <c r="O346" s="404">
        <v>-2663204.8887367845</v>
      </c>
      <c r="P346" s="404">
        <v>-2743101.0353988879</v>
      </c>
      <c r="Q346" s="404">
        <v>-2825394.0664608548</v>
      </c>
      <c r="R346" s="404">
        <v>-2910155.8884546803</v>
      </c>
      <c r="S346" s="404">
        <v>-2997460.5651083207</v>
      </c>
      <c r="T346" s="404">
        <v>-3087384.3820615704</v>
      </c>
      <c r="U346" s="404">
        <v>-3180005.9135234174</v>
      </c>
      <c r="V346" s="404">
        <v>-3275406.0909291198</v>
      </c>
      <c r="W346" s="327"/>
    </row>
    <row r="347" spans="1:23" ht="13.5" thickBot="1" x14ac:dyDescent="0.25">
      <c r="A347" s="9"/>
      <c r="B347" s="310" t="s">
        <v>40</v>
      </c>
      <c r="C347" s="444">
        <v>0</v>
      </c>
      <c r="D347" s="406">
        <v>-6225024</v>
      </c>
      <c r="E347" s="406">
        <v>-4058147.2</v>
      </c>
      <c r="F347" s="406">
        <v>-2200091.69</v>
      </c>
      <c r="G347" s="406">
        <v>0</v>
      </c>
      <c r="H347" s="406">
        <v>0</v>
      </c>
      <c r="I347" s="406">
        <v>0</v>
      </c>
      <c r="J347" s="406">
        <v>0</v>
      </c>
      <c r="K347" s="406">
        <v>0</v>
      </c>
      <c r="L347" s="406">
        <v>0</v>
      </c>
      <c r="M347" s="406">
        <v>0</v>
      </c>
      <c r="N347" s="406">
        <v>0</v>
      </c>
      <c r="O347" s="406">
        <v>0</v>
      </c>
      <c r="P347" s="406">
        <v>0</v>
      </c>
      <c r="Q347" s="406">
        <v>0</v>
      </c>
      <c r="R347" s="406">
        <v>0</v>
      </c>
      <c r="S347" s="406">
        <v>0</v>
      </c>
      <c r="T347" s="406">
        <v>0</v>
      </c>
      <c r="U347" s="406">
        <v>0</v>
      </c>
      <c r="V347" s="406">
        <v>0</v>
      </c>
      <c r="W347" s="327"/>
    </row>
    <row r="348" spans="1:23" ht="13.5" thickTop="1" x14ac:dyDescent="0.2">
      <c r="A348" s="9"/>
      <c r="B348" s="309"/>
      <c r="C348" s="44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7"/>
      <c r="N348" s="327"/>
      <c r="O348" s="327"/>
      <c r="P348" s="327"/>
      <c r="Q348" s="327"/>
      <c r="R348" s="327"/>
      <c r="S348" s="327"/>
      <c r="T348" s="327"/>
      <c r="U348" s="327"/>
      <c r="V348" s="327"/>
      <c r="W348" s="327"/>
    </row>
    <row r="349" spans="1:23" x14ac:dyDescent="0.2">
      <c r="A349" s="9"/>
      <c r="B349" s="311" t="s">
        <v>233</v>
      </c>
      <c r="C349" s="446">
        <v>0</v>
      </c>
      <c r="D349" s="410">
        <v>17886748.664082475</v>
      </c>
      <c r="E349" s="410">
        <v>18854682.483335909</v>
      </c>
      <c r="F349" s="410">
        <v>20965534.347132709</v>
      </c>
      <c r="G349" s="410">
        <v>19881202.781158604</v>
      </c>
      <c r="H349" s="410">
        <v>20308355.265806768</v>
      </c>
      <c r="I349" s="410">
        <v>21711932.261511076</v>
      </c>
      <c r="J349" s="410">
        <v>23750982.042893037</v>
      </c>
      <c r="K349" s="410">
        <v>24330194.662783038</v>
      </c>
      <c r="L349" s="410">
        <v>24800443.630450841</v>
      </c>
      <c r="M349" s="410">
        <v>24662411.92817561</v>
      </c>
      <c r="N349" s="410">
        <v>25264713.041930322</v>
      </c>
      <c r="O349" s="410">
        <v>25222061.789766617</v>
      </c>
      <c r="P349" s="410">
        <v>25297016.557885196</v>
      </c>
      <c r="Q349" s="410">
        <v>26404038.200975168</v>
      </c>
      <c r="R349" s="410">
        <v>29464099.703965887</v>
      </c>
      <c r="S349" s="410">
        <v>28503024.778681718</v>
      </c>
      <c r="T349" s="410">
        <v>28717298.515252359</v>
      </c>
      <c r="U349" s="410">
        <v>30840009.774919141</v>
      </c>
      <c r="V349" s="410">
        <v>32421598.5698613</v>
      </c>
      <c r="W349" s="408">
        <v>170079327.3205899</v>
      </c>
    </row>
    <row r="350" spans="1:23" x14ac:dyDescent="0.2">
      <c r="A350" s="9"/>
      <c r="B350" s="286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">
      <c r="A351" s="302" t="s">
        <v>218</v>
      </c>
      <c r="B351" s="300" t="s">
        <v>170</v>
      </c>
      <c r="C351" s="433">
        <v>73783798.914328396</v>
      </c>
      <c r="D351" s="9"/>
      <c r="E351" s="137" t="s">
        <v>219</v>
      </c>
      <c r="F351" s="313" t="s">
        <v>170</v>
      </c>
      <c r="G351" s="437">
        <v>73783798.914328396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">
      <c r="A352" s="9"/>
      <c r="B352" s="300" t="s">
        <v>180</v>
      </c>
      <c r="C352" s="433">
        <v>116778749.48665716</v>
      </c>
      <c r="D352" s="9"/>
      <c r="E352" s="315"/>
      <c r="F352" s="313" t="s">
        <v>180</v>
      </c>
      <c r="G352" s="437">
        <v>116778749.48665716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3.5" thickBot="1" x14ac:dyDescent="0.25">
      <c r="A353" s="9"/>
      <c r="B353" s="316" t="s">
        <v>137</v>
      </c>
      <c r="C353" s="434">
        <v>25281208.264838308</v>
      </c>
      <c r="D353" s="317"/>
      <c r="E353" s="315"/>
      <c r="F353" s="313" t="s">
        <v>137</v>
      </c>
      <c r="G353" s="437">
        <v>25281208.264838308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4.25" thickTop="1" thickBot="1" x14ac:dyDescent="0.25">
      <c r="A354" s="9"/>
      <c r="B354" s="300" t="s">
        <v>28</v>
      </c>
      <c r="C354" s="432">
        <v>215843756.66582382</v>
      </c>
      <c r="D354" s="299"/>
      <c r="E354" s="315"/>
      <c r="F354" s="318" t="s">
        <v>203</v>
      </c>
      <c r="G354" s="319"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3.5" thickTop="1" x14ac:dyDescent="0.2">
      <c r="A355" s="9"/>
      <c r="B355" s="286"/>
      <c r="C355" s="320"/>
      <c r="D355" s="9"/>
      <c r="E355" s="321"/>
      <c r="F355" s="313" t="s">
        <v>28</v>
      </c>
      <c r="G355" s="362">
        <v>215843756.66582382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">
      <c r="A356" s="9"/>
      <c r="B356" s="286"/>
      <c r="C356" s="320"/>
      <c r="D356" s="9"/>
      <c r="E356" s="321"/>
      <c r="F356" s="313"/>
      <c r="G356" s="322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">
      <c r="A357" s="9"/>
      <c r="B357" s="286"/>
      <c r="C357" s="320"/>
      <c r="D357" s="9"/>
      <c r="E357" s="321"/>
      <c r="F357" s="313"/>
      <c r="G357" s="322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">
      <c r="A358" s="9"/>
      <c r="B358" s="323" t="s">
        <v>222</v>
      </c>
      <c r="C358" s="320"/>
      <c r="D358" s="9"/>
      <c r="E358" s="321"/>
      <c r="F358" s="313"/>
      <c r="G358" s="322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">
      <c r="A359" s="324" t="s">
        <v>224</v>
      </c>
      <c r="B359" s="323" t="s">
        <v>223</v>
      </c>
      <c r="C359" s="325"/>
      <c r="D359" s="326">
        <v>22789317.896582477</v>
      </c>
      <c r="E359" s="326">
        <v>21561430.37239591</v>
      </c>
      <c r="F359" s="326">
        <v>20346805.433582909</v>
      </c>
      <c r="G359" s="326">
        <v>19442474.489347905</v>
      </c>
      <c r="H359" s="326">
        <v>19152891.241054267</v>
      </c>
      <c r="I359" s="326">
        <v>20929647.464294754</v>
      </c>
      <c r="J359" s="326">
        <v>23571166.089582283</v>
      </c>
      <c r="K359" s="326">
        <v>24514948.434847057</v>
      </c>
      <c r="L359" s="326">
        <v>25236176.618891247</v>
      </c>
      <c r="M359" s="326">
        <v>25211490.200563341</v>
      </c>
      <c r="N359" s="326">
        <v>25770154.787932221</v>
      </c>
      <c r="O359" s="326">
        <v>25797933.130297143</v>
      </c>
      <c r="P359" s="326">
        <v>25941653.405545373</v>
      </c>
      <c r="Q359" s="326">
        <v>27066909.62597888</v>
      </c>
      <c r="R359" s="326">
        <v>30143814.146133441</v>
      </c>
      <c r="S359" s="326">
        <v>29248515.481028032</v>
      </c>
      <c r="T359" s="326">
        <v>29526995.168082796</v>
      </c>
      <c r="U359" s="326">
        <v>31593197.369248223</v>
      </c>
      <c r="V359" s="326">
        <v>33144487.458933983</v>
      </c>
      <c r="W359" s="9"/>
    </row>
    <row r="360" spans="1:23" x14ac:dyDescent="0.2">
      <c r="A360" s="9"/>
      <c r="B360" s="286" t="s">
        <v>225</v>
      </c>
      <c r="C360" s="320"/>
      <c r="D360" s="327">
        <v>15192878.597721651</v>
      </c>
      <c r="E360" s="327">
        <v>14374286.914930606</v>
      </c>
      <c r="F360" s="327">
        <v>13564536.955721943</v>
      </c>
      <c r="G360" s="327">
        <v>12961649.65956527</v>
      </c>
      <c r="H360" s="327">
        <v>12768594.160702847</v>
      </c>
      <c r="I360" s="327">
        <v>13953098.309529835</v>
      </c>
      <c r="J360" s="327">
        <v>15714110.72638819</v>
      </c>
      <c r="K360" s="327">
        <v>16343298.956564704</v>
      </c>
      <c r="L360" s="327">
        <v>16824117.745927498</v>
      </c>
      <c r="M360" s="327">
        <v>16807660.133708894</v>
      </c>
      <c r="N360" s="327">
        <v>17180103.191954818</v>
      </c>
      <c r="O360" s="327">
        <v>17198622.086864766</v>
      </c>
      <c r="P360" s="327">
        <v>17294435.603696916</v>
      </c>
      <c r="Q360" s="327">
        <v>18044606.417319253</v>
      </c>
      <c r="R360" s="327">
        <v>20095876.097422298</v>
      </c>
      <c r="S360" s="327">
        <v>19499010.320685353</v>
      </c>
      <c r="T360" s="327">
        <v>19684663.445388533</v>
      </c>
      <c r="U360" s="327">
        <v>21062131.579498816</v>
      </c>
      <c r="V360" s="327">
        <v>22096324.972622659</v>
      </c>
      <c r="W360" s="9"/>
    </row>
    <row r="361" spans="1:23" x14ac:dyDescent="0.2">
      <c r="A361" s="9"/>
      <c r="B361" s="328" t="s">
        <v>226</v>
      </c>
      <c r="C361" s="329"/>
      <c r="D361" s="327">
        <v>2037590.7675000001</v>
      </c>
      <c r="E361" s="327">
        <v>2817695.2309399997</v>
      </c>
      <c r="F361" s="327">
        <v>3132301.6935497997</v>
      </c>
      <c r="G361" s="327">
        <v>3251586.7218106999</v>
      </c>
      <c r="H361" s="327">
        <v>3320893.3127525002</v>
      </c>
      <c r="I361" s="327">
        <v>3012676.9638563199</v>
      </c>
      <c r="J361" s="327">
        <v>2477119.8849499514</v>
      </c>
      <c r="K361" s="327">
        <v>2181469.2775243572</v>
      </c>
      <c r="L361" s="327">
        <v>2001476.752635621</v>
      </c>
      <c r="M361" s="327">
        <v>1961247.7609205777</v>
      </c>
      <c r="N361" s="327">
        <v>2080194.0683056582</v>
      </c>
      <c r="O361" s="327">
        <v>2087333.5482062576</v>
      </c>
      <c r="P361" s="327">
        <v>2098464.1877387138</v>
      </c>
      <c r="Q361" s="327">
        <v>2162522.6414571432</v>
      </c>
      <c r="R361" s="327">
        <v>2230441.4462871253</v>
      </c>
      <c r="S361" s="327">
        <v>2251969.8627620074</v>
      </c>
      <c r="T361" s="327">
        <v>2277687.7292311355</v>
      </c>
      <c r="U361" s="327">
        <v>2426818.3191943369</v>
      </c>
      <c r="V361" s="327">
        <v>2552517.2018564353</v>
      </c>
      <c r="W361" s="9"/>
    </row>
    <row r="362" spans="1:23" ht="13.5" thickBot="1" x14ac:dyDescent="0.25">
      <c r="A362" s="9"/>
      <c r="B362" s="330" t="s">
        <v>227</v>
      </c>
      <c r="C362" s="331"/>
      <c r="D362" s="332">
        <v>40019787.261804126</v>
      </c>
      <c r="E362" s="332">
        <v>38753412.518266514</v>
      </c>
      <c r="F362" s="332">
        <v>37043644.082854651</v>
      </c>
      <c r="G362" s="332">
        <v>35655710.870723873</v>
      </c>
      <c r="H362" s="332">
        <v>35242378.714509614</v>
      </c>
      <c r="I362" s="332">
        <v>37895422.737680905</v>
      </c>
      <c r="J362" s="332">
        <v>41762396.700920425</v>
      </c>
      <c r="K362" s="332">
        <v>43039716.668936118</v>
      </c>
      <c r="L362" s="332">
        <v>44061771.117454365</v>
      </c>
      <c r="M362" s="332">
        <v>43980398.095192812</v>
      </c>
      <c r="N362" s="332">
        <v>45030452.048192695</v>
      </c>
      <c r="O362" s="332">
        <v>45083888.765368164</v>
      </c>
      <c r="P362" s="332">
        <v>45334553.196981005</v>
      </c>
      <c r="Q362" s="332">
        <v>47274038.684755273</v>
      </c>
      <c r="R362" s="332">
        <v>52470131.689842865</v>
      </c>
      <c r="S362" s="332">
        <v>50999495.664475389</v>
      </c>
      <c r="T362" s="332">
        <v>51489346.342702463</v>
      </c>
      <c r="U362" s="332">
        <v>55082147.267941378</v>
      </c>
      <c r="V362" s="332">
        <v>57793329.633413076</v>
      </c>
      <c r="W362" s="9"/>
    </row>
    <row r="363" spans="1:23" ht="13.5" thickTop="1" x14ac:dyDescent="0.2">
      <c r="A363" s="324" t="s">
        <v>228</v>
      </c>
      <c r="B363" s="286" t="s">
        <v>229</v>
      </c>
      <c r="C363" s="320"/>
      <c r="D363" s="327">
        <v>-2727703.30553438</v>
      </c>
      <c r="E363" s="327">
        <v>-3003925.46153438</v>
      </c>
      <c r="F363" s="327">
        <v>-3019599.5160343801</v>
      </c>
      <c r="G363" s="327">
        <v>-3160242.4375343802</v>
      </c>
      <c r="H363" s="327">
        <v>-3268513.9019343802</v>
      </c>
      <c r="I363" s="327">
        <v>-3380033.5102663799</v>
      </c>
      <c r="J363" s="327">
        <v>-3494898.7068483401</v>
      </c>
      <c r="K363" s="327">
        <v>-3613209.8593277587</v>
      </c>
      <c r="L363" s="327">
        <v>-3735070.3463815604</v>
      </c>
      <c r="M363" s="327">
        <v>-3860586.6480469755</v>
      </c>
      <c r="N363" s="327">
        <v>-3989868.4387623533</v>
      </c>
      <c r="O363" s="327">
        <v>-4123028.6831991929</v>
      </c>
      <c r="P363" s="327">
        <v>-4260183.7349691372</v>
      </c>
      <c r="Q363" s="327">
        <v>-4401453.4382921793</v>
      </c>
      <c r="R363" s="327">
        <v>-3617554.3952149325</v>
      </c>
      <c r="S363" s="327">
        <v>-2436755.0984703298</v>
      </c>
      <c r="T363" s="327">
        <v>-2589920.0450734086</v>
      </c>
      <c r="U363" s="327">
        <v>-2748920.3407495795</v>
      </c>
      <c r="V363" s="327">
        <v>-2912690.6452960353</v>
      </c>
      <c r="W363" s="9"/>
    </row>
    <row r="364" spans="1:23" x14ac:dyDescent="0.2">
      <c r="A364" s="9"/>
      <c r="B364" s="286" t="s">
        <v>230</v>
      </c>
      <c r="C364" s="320"/>
      <c r="D364" s="327">
        <v>0</v>
      </c>
      <c r="E364" s="327">
        <v>0</v>
      </c>
      <c r="F364" s="327">
        <v>0</v>
      </c>
      <c r="G364" s="327">
        <v>0</v>
      </c>
      <c r="H364" s="327">
        <v>0</v>
      </c>
      <c r="I364" s="327">
        <v>0</v>
      </c>
      <c r="J364" s="327">
        <v>0</v>
      </c>
      <c r="K364" s="327">
        <v>0</v>
      </c>
      <c r="L364" s="327">
        <v>0</v>
      </c>
      <c r="M364" s="327">
        <v>0</v>
      </c>
      <c r="N364" s="327">
        <v>0</v>
      </c>
      <c r="O364" s="327">
        <v>0</v>
      </c>
      <c r="P364" s="327">
        <v>0</v>
      </c>
      <c r="Q364" s="327">
        <v>0</v>
      </c>
      <c r="R364" s="327">
        <v>0</v>
      </c>
      <c r="S364" s="327">
        <v>0</v>
      </c>
      <c r="T364" s="327">
        <v>0</v>
      </c>
      <c r="U364" s="327">
        <v>0</v>
      </c>
      <c r="V364" s="327">
        <v>0</v>
      </c>
      <c r="W364" s="9"/>
    </row>
    <row r="365" spans="1:23" x14ac:dyDescent="0.2">
      <c r="A365" s="9"/>
      <c r="B365" s="323" t="s">
        <v>231</v>
      </c>
      <c r="C365" s="325"/>
      <c r="D365" s="326">
        <v>37292083.956269749</v>
      </c>
      <c r="E365" s="326">
        <v>35749487.056732133</v>
      </c>
      <c r="F365" s="326">
        <v>34024044.566820271</v>
      </c>
      <c r="G365" s="326">
        <v>32495468.433189493</v>
      </c>
      <c r="H365" s="326">
        <v>31973864.812575232</v>
      </c>
      <c r="I365" s="326">
        <v>34515389.227414526</v>
      </c>
      <c r="J365" s="326">
        <v>38267497.994072087</v>
      </c>
      <c r="K365" s="326">
        <v>39426506.809608363</v>
      </c>
      <c r="L365" s="326">
        <v>40326700.771072805</v>
      </c>
      <c r="M365" s="326">
        <v>40119811.447145835</v>
      </c>
      <c r="N365" s="326">
        <v>41040583.609430343</v>
      </c>
      <c r="O365" s="326">
        <v>40960860.082168974</v>
      </c>
      <c r="P365" s="326">
        <v>41074369.462011866</v>
      </c>
      <c r="Q365" s="326">
        <v>42872585.24646309</v>
      </c>
      <c r="R365" s="326">
        <v>48852577.294627935</v>
      </c>
      <c r="S365" s="326">
        <v>48562740.566005059</v>
      </c>
      <c r="T365" s="326">
        <v>48899426.297629058</v>
      </c>
      <c r="U365" s="326">
        <v>52333226.927191801</v>
      </c>
      <c r="V365" s="326">
        <v>54880638.988117039</v>
      </c>
      <c r="W365" s="9"/>
    </row>
    <row r="366" spans="1:23" ht="13.5" thickBot="1" x14ac:dyDescent="0.25">
      <c r="A366" s="9"/>
      <c r="B366" s="333" t="s">
        <v>237</v>
      </c>
      <c r="C366" s="334"/>
      <c r="D366" s="335">
        <v>-14916833.582507901</v>
      </c>
      <c r="E366" s="335">
        <v>-14299794.822692854</v>
      </c>
      <c r="F366" s="335">
        <v>-13609617.826728109</v>
      </c>
      <c r="G366" s="335">
        <v>-12998187.373275798</v>
      </c>
      <c r="H366" s="335">
        <v>-12789545.925030094</v>
      </c>
      <c r="I366" s="335">
        <v>-13806155.690965811</v>
      </c>
      <c r="J366" s="335">
        <v>-15306999.197628835</v>
      </c>
      <c r="K366" s="335">
        <v>-15770602.723843345</v>
      </c>
      <c r="L366" s="335">
        <v>-16130680.308429122</v>
      </c>
      <c r="M366" s="335">
        <v>-16047924.578858335</v>
      </c>
      <c r="N366" s="335">
        <v>-16416233.443772137</v>
      </c>
      <c r="O366" s="335">
        <v>-16384344.03286759</v>
      </c>
      <c r="P366" s="335">
        <v>-16429747.784804747</v>
      </c>
      <c r="Q366" s="335">
        <v>-17149034.098585237</v>
      </c>
      <c r="R366" s="335">
        <v>-19541030.917851176</v>
      </c>
      <c r="S366" s="335">
        <v>-19425096.226402026</v>
      </c>
      <c r="T366" s="335">
        <v>-19559770.519051623</v>
      </c>
      <c r="U366" s="335">
        <v>-20933290.770876721</v>
      </c>
      <c r="V366" s="335">
        <v>-21952255.595246818</v>
      </c>
      <c r="W366" s="9"/>
    </row>
    <row r="367" spans="1:23" ht="13.5" thickTop="1" x14ac:dyDescent="0.2">
      <c r="A367" s="9"/>
      <c r="B367" s="323" t="s">
        <v>232</v>
      </c>
      <c r="C367" s="325"/>
      <c r="D367" s="326">
        <v>22375250.373761848</v>
      </c>
      <c r="E367" s="326">
        <v>21449692.234039277</v>
      </c>
      <c r="F367" s="326">
        <v>20414426.740092162</v>
      </c>
      <c r="G367" s="326">
        <v>19497281.059913695</v>
      </c>
      <c r="H367" s="326">
        <v>19184318.887545139</v>
      </c>
      <c r="I367" s="326">
        <v>20709233.536448717</v>
      </c>
      <c r="J367" s="326">
        <v>22960498.796443254</v>
      </c>
      <c r="K367" s="326">
        <v>23655904.085765019</v>
      </c>
      <c r="L367" s="326">
        <v>24196020.462643683</v>
      </c>
      <c r="M367" s="326">
        <v>24071886.8682875</v>
      </c>
      <c r="N367" s="326">
        <v>24624350.165658206</v>
      </c>
      <c r="O367" s="326">
        <v>24576516.049301386</v>
      </c>
      <c r="P367" s="326">
        <v>24644621.67720712</v>
      </c>
      <c r="Q367" s="326">
        <v>25723551.147877853</v>
      </c>
      <c r="R367" s="326">
        <v>29311546.376776759</v>
      </c>
      <c r="S367" s="326">
        <v>29137644.339603033</v>
      </c>
      <c r="T367" s="326">
        <v>29339655.778577436</v>
      </c>
      <c r="U367" s="326">
        <v>31399936.156315081</v>
      </c>
      <c r="V367" s="326">
        <v>32928383.392870221</v>
      </c>
      <c r="W367" s="9"/>
    </row>
    <row r="368" spans="1:23" x14ac:dyDescent="0.2">
      <c r="A368" s="9"/>
      <c r="B368" s="9"/>
      <c r="C368" s="320"/>
      <c r="D368" s="9"/>
      <c r="E368" s="321"/>
      <c r="F368" s="313"/>
      <c r="G368" s="322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5.75" x14ac:dyDescent="0.25">
      <c r="A369" s="336" t="s">
        <v>205</v>
      </c>
      <c r="B369" s="33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">
      <c r="A370" s="284" t="s">
        <v>190</v>
      </c>
      <c r="B370" s="303"/>
      <c r="C370" s="338">
        <v>0</v>
      </c>
      <c r="D370" s="277"/>
      <c r="E370" s="277"/>
      <c r="F370" s="277"/>
      <c r="G370" s="277"/>
      <c r="H370" s="277"/>
      <c r="I370" s="277"/>
      <c r="J370" s="277"/>
      <c r="K370" s="277"/>
      <c r="L370" s="277"/>
      <c r="M370" s="277"/>
      <c r="N370" s="277"/>
      <c r="O370" s="277"/>
      <c r="P370" s="277"/>
      <c r="Q370" s="277"/>
      <c r="R370" s="277"/>
      <c r="S370" s="277"/>
      <c r="T370" s="277"/>
      <c r="U370" s="277"/>
      <c r="V370" s="277"/>
      <c r="W370" s="277"/>
    </row>
    <row r="371" spans="1:23" x14ac:dyDescent="0.2">
      <c r="A371" s="284" t="s">
        <v>191</v>
      </c>
      <c r="B371" s="303"/>
      <c r="C371" s="339">
        <v>0</v>
      </c>
      <c r="D371" s="277"/>
      <c r="E371" s="277"/>
      <c r="F371" s="277"/>
      <c r="G371" s="277"/>
      <c r="H371" s="277"/>
      <c r="I371" s="277"/>
      <c r="J371" s="277"/>
      <c r="K371" s="277"/>
      <c r="L371" s="277"/>
      <c r="M371" s="277"/>
      <c r="N371" s="277"/>
      <c r="O371" s="277"/>
      <c r="P371" s="277"/>
      <c r="Q371" s="277"/>
      <c r="R371" s="277"/>
      <c r="S371" s="277"/>
      <c r="T371" s="277"/>
      <c r="U371" s="277"/>
      <c r="V371" s="277"/>
      <c r="W371" s="277"/>
    </row>
    <row r="372" spans="1:23" x14ac:dyDescent="0.2">
      <c r="A372" s="284" t="s">
        <v>201</v>
      </c>
      <c r="B372" s="303"/>
      <c r="C372" s="284">
        <v>15</v>
      </c>
      <c r="D372" s="277"/>
      <c r="E372" s="277"/>
      <c r="F372" s="277"/>
      <c r="G372" s="277"/>
      <c r="H372" s="277"/>
      <c r="I372" s="277"/>
      <c r="J372" s="277"/>
      <c r="K372" s="277"/>
      <c r="L372" s="277"/>
      <c r="M372" s="277"/>
      <c r="N372" s="277"/>
      <c r="O372" s="277"/>
      <c r="P372" s="277"/>
      <c r="Q372" s="277"/>
      <c r="R372" s="277"/>
      <c r="S372" s="277"/>
      <c r="T372" s="277"/>
      <c r="U372" s="277"/>
      <c r="V372" s="277"/>
      <c r="W372" s="277"/>
    </row>
    <row r="373" spans="1:23" x14ac:dyDescent="0.2">
      <c r="A373" s="284" t="s">
        <v>192</v>
      </c>
      <c r="B373" s="303"/>
      <c r="C373" s="339">
        <v>0</v>
      </c>
      <c r="D373" s="277"/>
      <c r="E373" s="277"/>
      <c r="F373" s="277"/>
      <c r="G373" s="277"/>
      <c r="H373" s="277"/>
      <c r="I373" s="277"/>
      <c r="J373" s="277"/>
      <c r="K373" s="277"/>
      <c r="L373" s="277"/>
      <c r="M373" s="277"/>
      <c r="N373" s="277"/>
      <c r="O373" s="277"/>
      <c r="P373" s="277"/>
      <c r="Q373" s="277"/>
      <c r="R373" s="277"/>
      <c r="S373" s="277"/>
      <c r="T373" s="277"/>
      <c r="U373" s="277"/>
      <c r="V373" s="277"/>
      <c r="W373" s="277"/>
    </row>
    <row r="374" spans="1:23" x14ac:dyDescent="0.2">
      <c r="A374" s="284" t="s">
        <v>193</v>
      </c>
      <c r="B374" s="303"/>
      <c r="C374" s="340">
        <v>8.7499999999999994E-2</v>
      </c>
      <c r="D374" s="277"/>
      <c r="E374" s="277"/>
      <c r="F374" s="277"/>
      <c r="G374" s="277"/>
      <c r="H374" s="277"/>
      <c r="I374" s="277"/>
      <c r="J374" s="277"/>
      <c r="K374" s="277"/>
      <c r="L374" s="277"/>
      <c r="M374" s="277"/>
      <c r="N374" s="277"/>
      <c r="O374" s="277"/>
      <c r="P374" s="277"/>
      <c r="Q374" s="277"/>
      <c r="R374" s="277"/>
      <c r="S374" s="277"/>
      <c r="T374" s="277"/>
      <c r="U374" s="277"/>
      <c r="V374" s="277"/>
      <c r="W374" s="277"/>
    </row>
    <row r="375" spans="1:23" x14ac:dyDescent="0.2">
      <c r="A375" s="284"/>
      <c r="B375" s="303"/>
      <c r="C375" s="277"/>
      <c r="D375" s="306">
        <v>2001</v>
      </c>
      <c r="E375" s="306">
        <v>2002</v>
      </c>
      <c r="F375" s="306">
        <v>2003</v>
      </c>
      <c r="G375" s="306">
        <v>2004</v>
      </c>
      <c r="H375" s="306">
        <v>2005</v>
      </c>
      <c r="I375" s="306">
        <v>2006</v>
      </c>
      <c r="J375" s="306">
        <v>2007</v>
      </c>
      <c r="K375" s="306">
        <v>2008</v>
      </c>
      <c r="L375" s="306">
        <v>2009</v>
      </c>
      <c r="M375" s="306">
        <v>2010</v>
      </c>
      <c r="N375" s="306">
        <v>2011</v>
      </c>
      <c r="O375" s="306">
        <v>2012</v>
      </c>
      <c r="P375" s="306">
        <v>2013</v>
      </c>
      <c r="Q375" s="306">
        <v>2014</v>
      </c>
      <c r="R375" s="306">
        <v>2015</v>
      </c>
      <c r="S375" s="306">
        <v>2016</v>
      </c>
      <c r="T375" s="306">
        <v>2017</v>
      </c>
      <c r="U375" s="306">
        <v>2018</v>
      </c>
      <c r="V375" s="306">
        <v>2019</v>
      </c>
      <c r="W375" s="306" t="s">
        <v>154</v>
      </c>
    </row>
    <row r="376" spans="1:23" x14ac:dyDescent="0.2">
      <c r="A376" s="284" t="s">
        <v>194</v>
      </c>
      <c r="B376" s="303"/>
      <c r="C376" s="277"/>
      <c r="D376" s="341">
        <v>0</v>
      </c>
      <c r="E376" s="341">
        <v>0</v>
      </c>
      <c r="F376" s="341">
        <v>0</v>
      </c>
      <c r="G376" s="341">
        <v>0</v>
      </c>
      <c r="H376" s="341">
        <v>0</v>
      </c>
      <c r="I376" s="341">
        <v>0</v>
      </c>
      <c r="J376" s="341">
        <v>0</v>
      </c>
      <c r="K376" s="341">
        <v>0</v>
      </c>
      <c r="L376" s="341">
        <v>0</v>
      </c>
      <c r="M376" s="341">
        <v>0</v>
      </c>
      <c r="N376" s="341">
        <v>0</v>
      </c>
      <c r="O376" s="341">
        <v>0</v>
      </c>
      <c r="P376" s="341">
        <v>0</v>
      </c>
      <c r="Q376" s="341">
        <v>0</v>
      </c>
      <c r="R376" s="341">
        <v>0</v>
      </c>
      <c r="S376" s="341">
        <v>0</v>
      </c>
      <c r="T376" s="341">
        <v>0</v>
      </c>
      <c r="U376" s="341">
        <v>0</v>
      </c>
      <c r="V376" s="341">
        <v>0</v>
      </c>
      <c r="W376" s="341">
        <v>0</v>
      </c>
    </row>
    <row r="377" spans="1:23" x14ac:dyDescent="0.2">
      <c r="A377" s="284" t="s">
        <v>195</v>
      </c>
      <c r="B377" s="303"/>
      <c r="C377" s="277"/>
      <c r="D377" s="341">
        <v>0</v>
      </c>
      <c r="E377" s="341">
        <v>0</v>
      </c>
      <c r="F377" s="341">
        <v>0</v>
      </c>
      <c r="G377" s="341">
        <v>0</v>
      </c>
      <c r="H377" s="341">
        <v>0</v>
      </c>
      <c r="I377" s="341">
        <v>0</v>
      </c>
      <c r="J377" s="341">
        <v>0</v>
      </c>
      <c r="K377" s="341">
        <v>0</v>
      </c>
      <c r="L377" s="341">
        <v>0</v>
      </c>
      <c r="M377" s="341">
        <v>0</v>
      </c>
      <c r="N377" s="341">
        <v>0</v>
      </c>
      <c r="O377" s="341">
        <v>0</v>
      </c>
      <c r="P377" s="341">
        <v>0</v>
      </c>
      <c r="Q377" s="341">
        <v>0</v>
      </c>
      <c r="R377" s="341">
        <v>0</v>
      </c>
      <c r="S377" s="341">
        <v>0</v>
      </c>
      <c r="T377" s="341">
        <v>0</v>
      </c>
      <c r="U377" s="341">
        <v>0</v>
      </c>
      <c r="V377" s="341">
        <v>0</v>
      </c>
      <c r="W377" s="341">
        <v>0</v>
      </c>
    </row>
    <row r="378" spans="1:23" x14ac:dyDescent="0.2">
      <c r="A378" s="284" t="s">
        <v>196</v>
      </c>
      <c r="B378" s="303"/>
      <c r="C378" s="277"/>
      <c r="D378" s="341">
        <v>0</v>
      </c>
      <c r="E378" s="341">
        <v>0</v>
      </c>
      <c r="F378" s="341">
        <v>0</v>
      </c>
      <c r="G378" s="341">
        <v>0</v>
      </c>
      <c r="H378" s="341">
        <v>0</v>
      </c>
      <c r="I378" s="341">
        <v>0</v>
      </c>
      <c r="J378" s="341">
        <v>0</v>
      </c>
      <c r="K378" s="341">
        <v>0</v>
      </c>
      <c r="L378" s="341">
        <v>0</v>
      </c>
      <c r="M378" s="341">
        <v>0</v>
      </c>
      <c r="N378" s="341">
        <v>0</v>
      </c>
      <c r="O378" s="341">
        <v>0</v>
      </c>
      <c r="P378" s="341">
        <v>0</v>
      </c>
      <c r="Q378" s="341">
        <v>0</v>
      </c>
      <c r="R378" s="341">
        <v>0</v>
      </c>
      <c r="S378" s="341">
        <v>0</v>
      </c>
      <c r="T378" s="341">
        <v>0</v>
      </c>
      <c r="U378" s="341">
        <v>0</v>
      </c>
      <c r="V378" s="341">
        <v>0</v>
      </c>
      <c r="W378" s="341">
        <v>0</v>
      </c>
    </row>
    <row r="379" spans="1:23" x14ac:dyDescent="0.2">
      <c r="A379" s="284" t="s">
        <v>197</v>
      </c>
      <c r="B379" s="303"/>
      <c r="C379" s="277"/>
      <c r="D379" s="342">
        <v>0</v>
      </c>
      <c r="E379" s="342">
        <v>0</v>
      </c>
      <c r="F379" s="342">
        <v>0</v>
      </c>
      <c r="G379" s="342">
        <v>0</v>
      </c>
      <c r="H379" s="342">
        <v>0</v>
      </c>
      <c r="I379" s="342">
        <v>0</v>
      </c>
      <c r="J379" s="342">
        <v>0</v>
      </c>
      <c r="K379" s="342">
        <v>0</v>
      </c>
      <c r="L379" s="342">
        <v>0</v>
      </c>
      <c r="M379" s="342">
        <v>0</v>
      </c>
      <c r="N379" s="342">
        <v>0</v>
      </c>
      <c r="O379" s="342">
        <v>0</v>
      </c>
      <c r="P379" s="342">
        <v>0</v>
      </c>
      <c r="Q379" s="342">
        <v>0</v>
      </c>
      <c r="R379" s="342">
        <v>0</v>
      </c>
      <c r="S379" s="342">
        <v>0</v>
      </c>
      <c r="T379" s="342">
        <v>0</v>
      </c>
      <c r="U379" s="342">
        <v>0</v>
      </c>
      <c r="V379" s="342">
        <v>0</v>
      </c>
      <c r="W379" s="342">
        <v>0</v>
      </c>
    </row>
    <row r="380" spans="1:23" ht="13.5" thickBot="1" x14ac:dyDescent="0.25">
      <c r="A380" s="284" t="s">
        <v>198</v>
      </c>
      <c r="B380" s="303"/>
      <c r="C380" s="277"/>
      <c r="D380" s="343">
        <v>0</v>
      </c>
      <c r="E380" s="343">
        <v>0</v>
      </c>
      <c r="F380" s="343">
        <v>0</v>
      </c>
      <c r="G380" s="343">
        <v>0</v>
      </c>
      <c r="H380" s="343">
        <v>0</v>
      </c>
      <c r="I380" s="343">
        <v>0</v>
      </c>
      <c r="J380" s="343">
        <v>0</v>
      </c>
      <c r="K380" s="343">
        <v>0</v>
      </c>
      <c r="L380" s="343">
        <v>0</v>
      </c>
      <c r="M380" s="343">
        <v>0</v>
      </c>
      <c r="N380" s="343">
        <v>0</v>
      </c>
      <c r="O380" s="343">
        <v>0</v>
      </c>
      <c r="P380" s="343">
        <v>0</v>
      </c>
      <c r="Q380" s="343">
        <v>0</v>
      </c>
      <c r="R380" s="343">
        <v>0</v>
      </c>
      <c r="S380" s="343">
        <v>0</v>
      </c>
      <c r="T380" s="343">
        <v>0</v>
      </c>
      <c r="U380" s="343">
        <v>0</v>
      </c>
      <c r="V380" s="343">
        <v>0</v>
      </c>
      <c r="W380" s="343">
        <v>0</v>
      </c>
    </row>
    <row r="381" spans="1:23" ht="13.5" thickTop="1" x14ac:dyDescent="0.2">
      <c r="A381" s="284"/>
      <c r="B381" s="303"/>
      <c r="C381" s="277"/>
      <c r="D381" s="341"/>
      <c r="E381" s="341"/>
      <c r="F381" s="341"/>
      <c r="G381" s="341"/>
      <c r="H381" s="341"/>
      <c r="I381" s="341"/>
      <c r="J381" s="341"/>
      <c r="K381" s="341"/>
      <c r="L381" s="341"/>
      <c r="M381" s="341"/>
      <c r="N381" s="341"/>
      <c r="O381" s="341"/>
      <c r="P381" s="341"/>
      <c r="Q381" s="341"/>
      <c r="R381" s="341"/>
      <c r="S381" s="341"/>
      <c r="T381" s="341"/>
      <c r="U381" s="341"/>
      <c r="V381" s="341"/>
      <c r="W381" s="341"/>
    </row>
    <row r="382" spans="1:23" x14ac:dyDescent="0.2">
      <c r="A382" s="284" t="s">
        <v>199</v>
      </c>
      <c r="B382" s="303"/>
      <c r="C382" s="277"/>
      <c r="D382" s="341">
        <v>0</v>
      </c>
      <c r="E382" s="341">
        <v>0</v>
      </c>
      <c r="F382" s="341">
        <v>0</v>
      </c>
      <c r="G382" s="341">
        <v>0</v>
      </c>
      <c r="H382" s="341">
        <v>0</v>
      </c>
      <c r="I382" s="341">
        <v>0</v>
      </c>
      <c r="J382" s="341">
        <v>0</v>
      </c>
      <c r="K382" s="341">
        <v>0</v>
      </c>
      <c r="L382" s="341">
        <v>0</v>
      </c>
      <c r="M382" s="341">
        <v>0</v>
      </c>
      <c r="N382" s="341">
        <v>0</v>
      </c>
      <c r="O382" s="341">
        <v>0</v>
      </c>
      <c r="P382" s="341">
        <v>0</v>
      </c>
      <c r="Q382" s="341">
        <v>0</v>
      </c>
      <c r="R382" s="341">
        <v>0</v>
      </c>
      <c r="S382" s="341">
        <v>0</v>
      </c>
      <c r="T382" s="341">
        <v>0</v>
      </c>
      <c r="U382" s="341">
        <v>0</v>
      </c>
      <c r="V382" s="341">
        <v>0</v>
      </c>
      <c r="W382" s="341">
        <v>0</v>
      </c>
    </row>
    <row r="383" spans="1:23" x14ac:dyDescent="0.2">
      <c r="A383" s="284"/>
      <c r="B383" s="303"/>
      <c r="C383" s="277"/>
      <c r="D383" s="277"/>
      <c r="E383" s="277"/>
      <c r="F383" s="277"/>
      <c r="G383" s="277"/>
      <c r="H383" s="277"/>
      <c r="I383" s="277"/>
      <c r="J383" s="277"/>
      <c r="K383" s="277"/>
      <c r="L383" s="277"/>
      <c r="M383" s="277"/>
      <c r="N383" s="277"/>
      <c r="O383" s="277"/>
      <c r="P383" s="277"/>
      <c r="Q383" s="277"/>
      <c r="R383" s="277"/>
      <c r="S383" s="277"/>
      <c r="T383" s="277"/>
      <c r="U383" s="277"/>
      <c r="V383" s="277"/>
      <c r="W383" s="277"/>
    </row>
    <row r="384" spans="1:23" x14ac:dyDescent="0.2">
      <c r="A384" s="284" t="s">
        <v>200</v>
      </c>
      <c r="B384" s="303"/>
      <c r="C384" s="277"/>
      <c r="D384" s="341">
        <v>0</v>
      </c>
      <c r="E384" s="341">
        <v>0</v>
      </c>
      <c r="F384" s="341">
        <v>0</v>
      </c>
      <c r="G384" s="341">
        <v>0</v>
      </c>
      <c r="H384" s="341">
        <v>0</v>
      </c>
      <c r="I384" s="341">
        <v>0</v>
      </c>
      <c r="J384" s="341">
        <v>0</v>
      </c>
      <c r="K384" s="341">
        <v>0</v>
      </c>
      <c r="L384" s="341">
        <v>0</v>
      </c>
      <c r="M384" s="341">
        <v>0</v>
      </c>
      <c r="N384" s="341">
        <v>0</v>
      </c>
      <c r="O384" s="341">
        <v>0</v>
      </c>
      <c r="P384" s="341">
        <v>0</v>
      </c>
      <c r="Q384" s="341">
        <v>0</v>
      </c>
      <c r="R384" s="341">
        <v>0</v>
      </c>
      <c r="S384" s="341">
        <v>0</v>
      </c>
      <c r="T384" s="341">
        <v>0</v>
      </c>
      <c r="U384" s="341">
        <v>0</v>
      </c>
      <c r="V384" s="341">
        <v>0</v>
      </c>
      <c r="W384" s="341">
        <v>0</v>
      </c>
    </row>
    <row r="385" spans="1:23" x14ac:dyDescent="0.2">
      <c r="A385" s="277"/>
      <c r="B385" s="303"/>
      <c r="C385" s="277"/>
      <c r="D385" s="277"/>
      <c r="E385" s="277"/>
      <c r="F385" s="277"/>
      <c r="G385" s="277"/>
      <c r="H385" s="277"/>
      <c r="I385" s="277"/>
      <c r="J385" s="277"/>
      <c r="K385" s="277"/>
      <c r="L385" s="277"/>
      <c r="M385" s="277"/>
      <c r="N385" s="277"/>
      <c r="O385" s="277"/>
      <c r="P385" s="277"/>
      <c r="Q385" s="277"/>
      <c r="R385" s="277"/>
      <c r="S385" s="277"/>
      <c r="T385" s="277"/>
      <c r="U385" s="277"/>
      <c r="V385" s="277"/>
      <c r="W385" s="277"/>
    </row>
    <row r="386" spans="1:23" x14ac:dyDescent="0.2">
      <c r="A386" s="277"/>
      <c r="B386" s="303"/>
      <c r="C386" s="277"/>
      <c r="D386" s="277"/>
      <c r="E386" s="277"/>
      <c r="F386" s="277"/>
      <c r="G386" s="277"/>
      <c r="H386" s="277"/>
      <c r="I386" s="277"/>
      <c r="J386" s="277"/>
      <c r="K386" s="277"/>
      <c r="L386" s="277"/>
      <c r="M386" s="277"/>
      <c r="N386" s="277"/>
      <c r="O386" s="277"/>
      <c r="P386" s="277"/>
      <c r="Q386" s="277"/>
      <c r="R386" s="277"/>
      <c r="S386" s="277"/>
      <c r="T386" s="277"/>
      <c r="U386" s="277"/>
      <c r="V386" s="277"/>
      <c r="W386" s="277"/>
    </row>
    <row r="387" spans="1:23" x14ac:dyDescent="0.2">
      <c r="A387" s="284" t="s">
        <v>202</v>
      </c>
      <c r="B387" s="279"/>
      <c r="C387" s="278"/>
      <c r="D387" s="435">
        <v>17886748.664082475</v>
      </c>
      <c r="E387" s="435">
        <v>18854682.483335909</v>
      </c>
      <c r="F387" s="435">
        <v>20965534.347132709</v>
      </c>
      <c r="G387" s="435">
        <v>19881202.781158604</v>
      </c>
      <c r="H387" s="435">
        <v>20308355.265806768</v>
      </c>
      <c r="I387" s="435">
        <v>21711932.261511076</v>
      </c>
      <c r="J387" s="435">
        <v>23750982.042893037</v>
      </c>
      <c r="K387" s="435">
        <v>24330194.662783038</v>
      </c>
      <c r="L387" s="435">
        <v>24800443.630450841</v>
      </c>
      <c r="M387" s="435">
        <v>24662411.92817561</v>
      </c>
      <c r="N387" s="435">
        <v>25264713.041930322</v>
      </c>
      <c r="O387" s="435">
        <v>25222061.789766617</v>
      </c>
      <c r="P387" s="435">
        <v>25297016.557885196</v>
      </c>
      <c r="Q387" s="435">
        <v>26404038.200975168</v>
      </c>
      <c r="R387" s="435">
        <v>29464099.703965887</v>
      </c>
      <c r="S387" s="435">
        <v>28503024.778681718</v>
      </c>
      <c r="T387" s="435">
        <v>28717298.515252359</v>
      </c>
      <c r="U387" s="435">
        <v>30840009.774919141</v>
      </c>
      <c r="V387" s="435">
        <v>32421598.5698613</v>
      </c>
      <c r="W387" s="435">
        <v>170079327.3205899</v>
      </c>
    </row>
    <row r="388" spans="1:23" x14ac:dyDescent="0.2">
      <c r="A388" s="9"/>
      <c r="B388" s="6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">
      <c r="B389" s="348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49"/>
      <c r="N389" s="349"/>
      <c r="O389" s="349"/>
      <c r="P389" s="349"/>
      <c r="Q389" s="349"/>
      <c r="R389" s="349"/>
      <c r="S389" s="349"/>
      <c r="T389" s="349"/>
      <c r="U389" s="349"/>
      <c r="V389" s="349"/>
      <c r="W389" s="294"/>
    </row>
    <row r="390" spans="1:23" x14ac:dyDescent="0.2">
      <c r="B390" s="348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49"/>
      <c r="N390" s="349"/>
      <c r="O390" s="349"/>
      <c r="P390" s="349"/>
      <c r="Q390" s="349"/>
      <c r="R390" s="349"/>
      <c r="S390" s="349"/>
      <c r="T390" s="349"/>
      <c r="U390" s="349"/>
      <c r="V390" s="349"/>
      <c r="W390" s="294"/>
    </row>
    <row r="391" spans="1:23" x14ac:dyDescent="0.2">
      <c r="B391" s="350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294"/>
    </row>
    <row r="392" spans="1:23" x14ac:dyDescent="0.2">
      <c r="B392" s="348"/>
      <c r="C392" s="349"/>
      <c r="D392" s="349"/>
      <c r="E392" s="349"/>
      <c r="F392" s="349"/>
      <c r="G392" s="349"/>
      <c r="H392" s="349"/>
      <c r="I392" s="349"/>
      <c r="J392" s="349"/>
      <c r="K392" s="349"/>
      <c r="L392" s="349"/>
      <c r="M392" s="349"/>
      <c r="N392" s="349"/>
      <c r="O392" s="349"/>
      <c r="P392" s="349"/>
      <c r="Q392" s="349"/>
      <c r="R392" s="349"/>
      <c r="S392" s="349"/>
      <c r="T392" s="349"/>
      <c r="U392" s="349"/>
      <c r="V392" s="349"/>
      <c r="W392" s="294"/>
    </row>
    <row r="393" spans="1:23" x14ac:dyDescent="0.2">
      <c r="B393" s="348"/>
      <c r="C393" s="349"/>
      <c r="D393" s="349"/>
      <c r="E393" s="349"/>
      <c r="F393" s="349"/>
      <c r="G393" s="349"/>
      <c r="H393" s="349"/>
      <c r="I393" s="349"/>
      <c r="J393" s="349"/>
      <c r="K393" s="349"/>
      <c r="L393" s="349"/>
      <c r="M393" s="349"/>
      <c r="N393" s="349"/>
      <c r="O393" s="349"/>
      <c r="P393" s="349"/>
      <c r="Q393" s="349"/>
      <c r="R393" s="349"/>
      <c r="S393" s="349"/>
      <c r="T393" s="349"/>
      <c r="U393" s="349"/>
      <c r="V393" s="349"/>
      <c r="W393" s="294"/>
    </row>
    <row r="394" spans="1:23" x14ac:dyDescent="0.2">
      <c r="B394" s="348"/>
      <c r="C394" s="349"/>
      <c r="D394" s="349"/>
      <c r="E394" s="349"/>
      <c r="F394" s="349"/>
      <c r="G394" s="349"/>
      <c r="H394" s="349"/>
      <c r="I394" s="349"/>
      <c r="J394" s="349"/>
      <c r="K394" s="349"/>
      <c r="L394" s="349"/>
      <c r="M394" s="349"/>
      <c r="N394" s="349"/>
      <c r="O394" s="349"/>
      <c r="P394" s="349"/>
      <c r="Q394" s="349"/>
      <c r="R394" s="349"/>
      <c r="S394" s="349"/>
      <c r="T394" s="349"/>
      <c r="U394" s="349"/>
      <c r="V394" s="349"/>
      <c r="W394" s="294"/>
    </row>
    <row r="395" spans="1:23" x14ac:dyDescent="0.2">
      <c r="B395" s="350"/>
      <c r="C395" s="353"/>
      <c r="D395" s="353"/>
      <c r="E395" s="353"/>
      <c r="F395" s="353"/>
      <c r="G395" s="353"/>
      <c r="H395" s="353"/>
      <c r="I395" s="353"/>
      <c r="J395" s="353"/>
      <c r="K395" s="353"/>
      <c r="L395" s="353"/>
      <c r="M395" s="353"/>
      <c r="N395" s="353"/>
      <c r="O395" s="353"/>
      <c r="P395" s="353"/>
      <c r="Q395" s="353"/>
      <c r="R395" s="353"/>
      <c r="S395" s="353"/>
      <c r="T395" s="353"/>
      <c r="U395" s="353"/>
      <c r="V395" s="353"/>
      <c r="W395" s="294"/>
    </row>
    <row r="396" spans="1:23" ht="15.75" x14ac:dyDescent="0.25">
      <c r="A396" s="302" t="s">
        <v>29</v>
      </c>
      <c r="B396" s="305" t="s">
        <v>60</v>
      </c>
      <c r="C396" s="306">
        <v>2000</v>
      </c>
      <c r="D396" s="306">
        <v>2001</v>
      </c>
      <c r="E396" s="306">
        <v>2002</v>
      </c>
      <c r="F396" s="306">
        <v>2003</v>
      </c>
      <c r="G396" s="306">
        <v>2004</v>
      </c>
      <c r="H396" s="306">
        <v>2005</v>
      </c>
      <c r="I396" s="306">
        <v>2006</v>
      </c>
      <c r="J396" s="306">
        <v>2007</v>
      </c>
      <c r="K396" s="306">
        <v>2008</v>
      </c>
      <c r="L396" s="306">
        <v>2009</v>
      </c>
      <c r="M396" s="306">
        <v>2010</v>
      </c>
      <c r="N396" s="306">
        <v>2011</v>
      </c>
      <c r="O396" s="306">
        <v>2012</v>
      </c>
      <c r="P396" s="306">
        <v>2013</v>
      </c>
      <c r="Q396" s="306">
        <v>2014</v>
      </c>
      <c r="R396" s="306">
        <v>2015</v>
      </c>
      <c r="S396" s="306">
        <v>2016</v>
      </c>
      <c r="T396" s="306">
        <v>2017</v>
      </c>
      <c r="U396" s="306">
        <v>2018</v>
      </c>
      <c r="V396" s="306">
        <v>2019</v>
      </c>
      <c r="W396" s="306" t="s">
        <v>154</v>
      </c>
    </row>
    <row r="397" spans="1:23" x14ac:dyDescent="0.2">
      <c r="A397" s="302" t="s">
        <v>26</v>
      </c>
      <c r="B397" s="303">
        <v>228.15</v>
      </c>
      <c r="C397" s="308"/>
      <c r="D397" s="308"/>
      <c r="E397" s="308"/>
      <c r="F397" s="308"/>
      <c r="G397" s="308"/>
      <c r="H397" s="308"/>
      <c r="I397" s="308"/>
      <c r="J397" s="308"/>
      <c r="K397" s="308"/>
      <c r="L397" s="308"/>
      <c r="M397" s="308"/>
      <c r="N397" s="308"/>
      <c r="O397" s="308"/>
      <c r="P397" s="308"/>
      <c r="Q397" s="308"/>
      <c r="R397" s="308"/>
      <c r="S397" s="308"/>
      <c r="T397" s="308"/>
      <c r="U397" s="308"/>
      <c r="V397" s="308"/>
      <c r="W397" s="308"/>
    </row>
    <row r="398" spans="1:23" x14ac:dyDescent="0.2">
      <c r="A398" s="9"/>
      <c r="B398" s="309" t="s">
        <v>27</v>
      </c>
      <c r="C398" s="443">
        <v>0</v>
      </c>
      <c r="D398" s="404">
        <v>64146320.490170985</v>
      </c>
      <c r="E398" s="404">
        <v>63256691.026939452</v>
      </c>
      <c r="F398" s="404">
        <v>64474273.782860309</v>
      </c>
      <c r="G398" s="404">
        <v>63560427.513728052</v>
      </c>
      <c r="H398" s="404">
        <v>64039176.454186156</v>
      </c>
      <c r="I398" s="404">
        <v>68363220.628550768</v>
      </c>
      <c r="J398" s="404">
        <v>73302819.399992391</v>
      </c>
      <c r="K398" s="404">
        <v>75199732.00820218</v>
      </c>
      <c r="L398" s="404">
        <v>76773722.645194173</v>
      </c>
      <c r="M398" s="404">
        <v>77047800.592917413</v>
      </c>
      <c r="N398" s="404">
        <v>78712413.226944789</v>
      </c>
      <c r="O398" s="404">
        <v>79596336.869204268</v>
      </c>
      <c r="P398" s="404">
        <v>80533030.162801802</v>
      </c>
      <c r="Q398" s="404">
        <v>83367891.14285472</v>
      </c>
      <c r="R398" s="404">
        <v>89282759.377422854</v>
      </c>
      <c r="S398" s="404">
        <v>88768425.843234852</v>
      </c>
      <c r="T398" s="404">
        <v>89899763.374190256</v>
      </c>
      <c r="U398" s="404">
        <v>94219935.267105713</v>
      </c>
      <c r="V398" s="404">
        <v>97081731.482991368</v>
      </c>
      <c r="W398" s="327"/>
    </row>
    <row r="399" spans="1:23" x14ac:dyDescent="0.2">
      <c r="A399" s="9"/>
      <c r="B399" s="309" t="s">
        <v>20</v>
      </c>
      <c r="C399" s="443">
        <v>0</v>
      </c>
      <c r="D399" s="404">
        <v>-18974953.422540888</v>
      </c>
      <c r="E399" s="404">
        <v>-19246796.337692905</v>
      </c>
      <c r="F399" s="404">
        <v>-19580638.514195379</v>
      </c>
      <c r="G399" s="404">
        <v>-20143401.040299557</v>
      </c>
      <c r="H399" s="404">
        <v>-20847649.060254786</v>
      </c>
      <c r="I399" s="404">
        <v>-21653639.457810782</v>
      </c>
      <c r="J399" s="404">
        <v>-22152812.997914482</v>
      </c>
      <c r="K399" s="404">
        <v>-22629730.392918024</v>
      </c>
      <c r="L399" s="404">
        <v>-22998546.511720762</v>
      </c>
      <c r="M399" s="404">
        <v>-23176595.672522087</v>
      </c>
      <c r="N399" s="404">
        <v>-23488181.703924399</v>
      </c>
      <c r="O399" s="404">
        <v>-23996893.591928177</v>
      </c>
      <c r="P399" s="404">
        <v>-24542169.146882225</v>
      </c>
      <c r="Q399" s="404">
        <v>-25062009.107436091</v>
      </c>
      <c r="R399" s="404">
        <v>-25413338.255088691</v>
      </c>
      <c r="S399" s="404">
        <v>-25933178.215642549</v>
      </c>
      <c r="T399" s="404">
        <v>-26524555.785446938</v>
      </c>
      <c r="U399" s="404">
        <v>-27176342.891951788</v>
      </c>
      <c r="V399" s="404">
        <v>-27847206.69425676</v>
      </c>
      <c r="W399" s="327"/>
    </row>
    <row r="400" spans="1:23" x14ac:dyDescent="0.2">
      <c r="A400" s="9"/>
      <c r="B400" s="309" t="s">
        <v>31</v>
      </c>
      <c r="C400" s="443">
        <v>0</v>
      </c>
      <c r="D400" s="404">
        <v>-1400171.7219983716</v>
      </c>
      <c r="E400" s="404">
        <v>-1428433.2860503672</v>
      </c>
      <c r="F400" s="404">
        <v>-2389817.1046514744</v>
      </c>
      <c r="G400" s="404">
        <v>-2442544.860945899</v>
      </c>
      <c r="H400" s="404">
        <v>-2496449.1639736686</v>
      </c>
      <c r="I400" s="404">
        <v>-2551556.5683461754</v>
      </c>
      <c r="J400" s="404">
        <v>-2607894.2348318719</v>
      </c>
      <c r="K400" s="404">
        <v>-2665489.9443453993</v>
      </c>
      <c r="L400" s="404">
        <v>-2724372.1122629256</v>
      </c>
      <c r="M400" s="404">
        <v>-2784569.8030713815</v>
      </c>
      <c r="N400" s="404">
        <v>-2846112.7453594659</v>
      </c>
      <c r="O400" s="404">
        <v>-2909031.3471584511</v>
      </c>
      <c r="P400" s="404">
        <v>-2973356.7116410551</v>
      </c>
      <c r="Q400" s="404">
        <v>-3039120.6531867902</v>
      </c>
      <c r="R400" s="404">
        <v>-3106355.7138224524</v>
      </c>
      <c r="S400" s="404">
        <v>-3175095.1800465705</v>
      </c>
      <c r="T400" s="404">
        <v>-3245373.1000468903</v>
      </c>
      <c r="U400" s="404">
        <v>-3317224.301320143</v>
      </c>
      <c r="V400" s="404">
        <v>-3390684.408703607</v>
      </c>
      <c r="W400" s="327"/>
    </row>
    <row r="401" spans="1:23" x14ac:dyDescent="0.2">
      <c r="A401" s="9"/>
      <c r="B401" s="309" t="s">
        <v>32</v>
      </c>
      <c r="C401" s="443">
        <v>0</v>
      </c>
      <c r="D401" s="404">
        <v>0</v>
      </c>
      <c r="E401" s="404">
        <v>0</v>
      </c>
      <c r="F401" s="404">
        <v>0</v>
      </c>
      <c r="G401" s="404">
        <v>0</v>
      </c>
      <c r="H401" s="404">
        <v>0</v>
      </c>
      <c r="I401" s="404">
        <v>-454419.11170381913</v>
      </c>
      <c r="J401" s="404">
        <v>-503687.28452751786</v>
      </c>
      <c r="K401" s="404">
        <v>-693175.22574910661</v>
      </c>
      <c r="L401" s="404">
        <v>-610456.25011587143</v>
      </c>
      <c r="M401" s="404">
        <v>-678921.20807429589</v>
      </c>
      <c r="N401" s="404">
        <v>-747883.05326897977</v>
      </c>
      <c r="O401" s="404">
        <v>-828632.00081006344</v>
      </c>
      <c r="P401" s="404">
        <v>-929114.4526168108</v>
      </c>
      <c r="Q401" s="404">
        <v>-1034249.3713024631</v>
      </c>
      <c r="R401" s="404">
        <v>-1145632.3584966492</v>
      </c>
      <c r="S401" s="404">
        <v>-1257902.9207758075</v>
      </c>
      <c r="T401" s="404">
        <v>-1235828.2939386545</v>
      </c>
      <c r="U401" s="404">
        <v>-1057317.9483475452</v>
      </c>
      <c r="V401" s="404">
        <v>-1096243.6409361279</v>
      </c>
      <c r="W401" s="327"/>
    </row>
    <row r="402" spans="1:23" ht="13.5" thickBot="1" x14ac:dyDescent="0.25">
      <c r="A402" s="9"/>
      <c r="B402" s="310" t="s">
        <v>33</v>
      </c>
      <c r="C402" s="444">
        <v>0</v>
      </c>
      <c r="D402" s="406">
        <v>0</v>
      </c>
      <c r="E402" s="406">
        <v>0</v>
      </c>
      <c r="F402" s="406">
        <v>-1508766.2061434295</v>
      </c>
      <c r="G402" s="406">
        <v>-1285563.3818132135</v>
      </c>
      <c r="H402" s="406">
        <v>-1334590.4243803546</v>
      </c>
      <c r="I402" s="406">
        <v>-1386089.6628786707</v>
      </c>
      <c r="J402" s="406">
        <v>-1741231.3452355557</v>
      </c>
      <c r="K402" s="406">
        <v>-1520946.0658949553</v>
      </c>
      <c r="L402" s="406">
        <v>-1609813.947019903</v>
      </c>
      <c r="M402" s="406">
        <v>-1531799.6247893895</v>
      </c>
      <c r="N402" s="406">
        <v>-1575671.6285189423</v>
      </c>
      <c r="O402" s="406">
        <v>-1616530.167773868</v>
      </c>
      <c r="P402" s="406">
        <v>-1443900.5991547701</v>
      </c>
      <c r="Q402" s="406">
        <v>-1495526.80090606</v>
      </c>
      <c r="R402" s="406">
        <v>-1526432.4323440432</v>
      </c>
      <c r="S402" s="406">
        <v>-1620963.9986806221</v>
      </c>
      <c r="T402" s="406">
        <v>-1523874.279658678</v>
      </c>
      <c r="U402" s="406">
        <v>-1678360.1453428701</v>
      </c>
      <c r="V402" s="406">
        <v>-913784.11159369664</v>
      </c>
      <c r="W402" s="327"/>
    </row>
    <row r="403" spans="1:23" ht="13.5" thickTop="1" x14ac:dyDescent="0.2">
      <c r="A403" s="9"/>
      <c r="B403" s="311" t="s">
        <v>38</v>
      </c>
      <c r="C403" s="445">
        <v>0</v>
      </c>
      <c r="D403" s="408">
        <v>43771195.345631726</v>
      </c>
      <c r="E403" s="408">
        <v>42581461.403196186</v>
      </c>
      <c r="F403" s="408">
        <v>40995051.957870021</v>
      </c>
      <c r="G403" s="408">
        <v>39688918.230669379</v>
      </c>
      <c r="H403" s="408">
        <v>39360487.805577353</v>
      </c>
      <c r="I403" s="408">
        <v>42317515.827811323</v>
      </c>
      <c r="J403" s="408">
        <v>46297193.537482969</v>
      </c>
      <c r="K403" s="408">
        <v>47690390.379294701</v>
      </c>
      <c r="L403" s="408">
        <v>48830533.824074708</v>
      </c>
      <c r="M403" s="408">
        <v>48875914.284460269</v>
      </c>
      <c r="N403" s="408">
        <v>50054564.095873006</v>
      </c>
      <c r="O403" s="408">
        <v>50245249.761533707</v>
      </c>
      <c r="P403" s="408">
        <v>50644489.252506942</v>
      </c>
      <c r="Q403" s="408">
        <v>52736985.210023314</v>
      </c>
      <c r="R403" s="408">
        <v>58091000.61767102</v>
      </c>
      <c r="S403" s="408">
        <v>56781285.5280893</v>
      </c>
      <c r="T403" s="408">
        <v>57370131.915099099</v>
      </c>
      <c r="U403" s="408">
        <v>60990689.980143368</v>
      </c>
      <c r="V403" s="408">
        <v>63833812.627501182</v>
      </c>
      <c r="W403" s="327"/>
    </row>
    <row r="404" spans="1:23" x14ac:dyDescent="0.2">
      <c r="A404" s="9"/>
      <c r="B404" s="309" t="s">
        <v>34</v>
      </c>
      <c r="C404" s="443">
        <v>0</v>
      </c>
      <c r="D404" s="404">
        <v>-2794736.7439314071</v>
      </c>
      <c r="E404" s="404">
        <v>-2850631.4788100352</v>
      </c>
      <c r="F404" s="404">
        <v>-2949643.1083862358</v>
      </c>
      <c r="G404" s="404">
        <v>-3008845.9655539608</v>
      </c>
      <c r="H404" s="404">
        <v>-3069238.1297400398</v>
      </c>
      <c r="I404" s="404">
        <v>-3130843.5183317158</v>
      </c>
      <c r="J404" s="404">
        <v>-3193686.5303451475</v>
      </c>
      <c r="K404" s="404">
        <v>-3257792.0561400168</v>
      </c>
      <c r="L404" s="404">
        <v>-3323185.4873304833</v>
      </c>
      <c r="M404" s="404">
        <v>-3389892.7268964504</v>
      </c>
      <c r="N404" s="404">
        <v>-3457940.1994992211</v>
      </c>
      <c r="O404" s="404">
        <v>-3527354.8620056682</v>
      </c>
      <c r="P404" s="404">
        <v>-3598164.2142251558</v>
      </c>
      <c r="Q404" s="404">
        <v>-3670396.3098635175</v>
      </c>
      <c r="R404" s="404">
        <v>-3744079.7676984929</v>
      </c>
      <c r="S404" s="404">
        <v>-3819243.7829811103</v>
      </c>
      <c r="T404" s="404">
        <v>-3895918.1390675968</v>
      </c>
      <c r="U404" s="404">
        <v>-3974133.2192864837</v>
      </c>
      <c r="V404" s="404">
        <v>-4053920.0190456873</v>
      </c>
      <c r="W404" s="327"/>
    </row>
    <row r="405" spans="1:23" x14ac:dyDescent="0.2">
      <c r="A405" s="9"/>
      <c r="B405" s="309" t="s">
        <v>35</v>
      </c>
      <c r="C405" s="443">
        <v>0</v>
      </c>
      <c r="D405" s="404">
        <v>-388299.7921559058</v>
      </c>
      <c r="E405" s="404">
        <v>-397276.51828614395</v>
      </c>
      <c r="F405" s="404">
        <v>-406449.83471863432</v>
      </c>
      <c r="G405" s="404">
        <v>-415830.46810249891</v>
      </c>
      <c r="H405" s="404">
        <v>-425434.36056089948</v>
      </c>
      <c r="I405" s="404">
        <v>-435680.84021321853</v>
      </c>
      <c r="J405" s="404">
        <v>-445769.5798686521</v>
      </c>
      <c r="K405" s="404">
        <v>-456535.8470507703</v>
      </c>
      <c r="L405" s="404">
        <v>-467135.4529866915</v>
      </c>
      <c r="M405" s="404">
        <v>-478005.34887397866</v>
      </c>
      <c r="N405" s="404">
        <v>-489138.29624173819</v>
      </c>
      <c r="O405" s="404">
        <v>-500551.79388316523</v>
      </c>
      <c r="P405" s="404">
        <v>-512255.19436468452</v>
      </c>
      <c r="Q405" s="404">
        <v>-524251.17985824175</v>
      </c>
      <c r="R405" s="404">
        <v>-536548.26458768733</v>
      </c>
      <c r="S405" s="404">
        <v>-549152.77643536904</v>
      </c>
      <c r="T405" s="404">
        <v>-562069.88017687318</v>
      </c>
      <c r="U405" s="404">
        <v>-575311.2032222891</v>
      </c>
      <c r="V405" s="404">
        <v>-588884.88347614498</v>
      </c>
      <c r="W405" s="327"/>
    </row>
    <row r="406" spans="1:23" ht="13.5" thickBot="1" x14ac:dyDescent="0.25">
      <c r="A406" s="9"/>
      <c r="B406" s="310" t="s">
        <v>36</v>
      </c>
      <c r="C406" s="444">
        <v>0</v>
      </c>
      <c r="D406" s="406">
        <v>-535405.353751207</v>
      </c>
      <c r="E406" s="406">
        <v>-546702.40671536105</v>
      </c>
      <c r="F406" s="406">
        <v>-558675.18942242803</v>
      </c>
      <c r="G406" s="406">
        <v>-571301.24870336999</v>
      </c>
      <c r="H406" s="406">
        <v>-584898.21842251206</v>
      </c>
      <c r="I406" s="406">
        <v>-599555.82657704898</v>
      </c>
      <c r="J406" s="406">
        <v>-614426.48136174004</v>
      </c>
      <c r="K406" s="406">
        <v>-629978.88536292303</v>
      </c>
      <c r="L406" s="406">
        <v>-645539.36383138795</v>
      </c>
      <c r="M406" s="406">
        <v>-662000.61760908598</v>
      </c>
      <c r="N406" s="406">
        <v>-678021.03255522903</v>
      </c>
      <c r="O406" s="406">
        <v>-695107.16257561895</v>
      </c>
      <c r="P406" s="406">
        <v>-712762.88450503803</v>
      </c>
      <c r="Q406" s="406">
        <v>-730581.95661766396</v>
      </c>
      <c r="R406" s="406">
        <v>-748919.56372876698</v>
      </c>
      <c r="S406" s="406">
        <v>-767642.55282198801</v>
      </c>
      <c r="T406" s="406">
        <v>-786680.08813197201</v>
      </c>
      <c r="U406" s="406">
        <v>-806425.758344086</v>
      </c>
      <c r="V406" s="406">
        <v>-826667.04487852298</v>
      </c>
      <c r="W406" s="327"/>
    </row>
    <row r="407" spans="1:23" ht="13.5" thickTop="1" x14ac:dyDescent="0.2">
      <c r="A407" s="9"/>
      <c r="B407" s="311" t="s">
        <v>220</v>
      </c>
      <c r="C407" s="446">
        <v>0</v>
      </c>
      <c r="D407" s="410">
        <v>40052753.455793209</v>
      </c>
      <c r="E407" s="410">
        <v>38786850.999384642</v>
      </c>
      <c r="F407" s="410">
        <v>37080283.825342722</v>
      </c>
      <c r="G407" s="410">
        <v>35692940.54830955</v>
      </c>
      <c r="H407" s="410">
        <v>35280917.096853904</v>
      </c>
      <c r="I407" s="410">
        <v>38151435.64268934</v>
      </c>
      <c r="J407" s="410">
        <v>42043310.945907429</v>
      </c>
      <c r="K407" s="410">
        <v>43346083.590740994</v>
      </c>
      <c r="L407" s="410">
        <v>44394673.519926146</v>
      </c>
      <c r="M407" s="410">
        <v>44346015.591080755</v>
      </c>
      <c r="N407" s="410">
        <v>45429464.567576818</v>
      </c>
      <c r="O407" s="410">
        <v>45522235.943069257</v>
      </c>
      <c r="P407" s="410">
        <v>45821306.959412061</v>
      </c>
      <c r="Q407" s="410">
        <v>47811755.763683893</v>
      </c>
      <c r="R407" s="410">
        <v>53061453.021656081</v>
      </c>
      <c r="S407" s="410">
        <v>51645246.415850833</v>
      </c>
      <c r="T407" s="410">
        <v>52125463.807722658</v>
      </c>
      <c r="U407" s="410">
        <v>55634819.799290508</v>
      </c>
      <c r="V407" s="410">
        <v>58364340.680100828</v>
      </c>
      <c r="W407" s="327"/>
    </row>
    <row r="408" spans="1:23" x14ac:dyDescent="0.2">
      <c r="A408" s="9"/>
      <c r="B408" s="309" t="s">
        <v>37</v>
      </c>
      <c r="C408" s="443">
        <v>0</v>
      </c>
      <c r="D408" s="404">
        <v>-2047316.6174999999</v>
      </c>
      <c r="E408" s="404">
        <v>-2844446.8905799999</v>
      </c>
      <c r="F408" s="404">
        <v>-3165077.3662298</v>
      </c>
      <c r="G408" s="404">
        <v>-3211737.3334907</v>
      </c>
      <c r="H408" s="404">
        <v>-3206886.8481525001</v>
      </c>
      <c r="I408" s="404">
        <v>-2893055.4684443199</v>
      </c>
      <c r="J408" s="404">
        <v>-2351871.6103367917</v>
      </c>
      <c r="K408" s="404">
        <v>-2050586.4727368024</v>
      </c>
      <c r="L408" s="404">
        <v>-1865662.4146080394</v>
      </c>
      <c r="M408" s="404">
        <v>-1821135.6325193688</v>
      </c>
      <c r="N408" s="404">
        <v>-1935763.4299676127</v>
      </c>
      <c r="O408" s="404">
        <v>-1933224.1710092709</v>
      </c>
      <c r="P408" s="404">
        <v>-1933306.0618530172</v>
      </c>
      <c r="Q408" s="404">
        <v>-1985984.3044220754</v>
      </c>
      <c r="R408" s="404">
        <v>-2042181.4917682055</v>
      </c>
      <c r="S408" s="404">
        <v>-2051636.6422347198</v>
      </c>
      <c r="T408" s="404">
        <v>-2064919.0447152294</v>
      </c>
      <c r="U408" s="404">
        <v>-2201241.1067701546</v>
      </c>
      <c r="V408" s="404">
        <v>-2313747.2056867271</v>
      </c>
      <c r="W408" s="327"/>
    </row>
    <row r="409" spans="1:23" ht="13.5" thickBot="1" x14ac:dyDescent="0.25">
      <c r="A409" s="9"/>
      <c r="B409" s="310" t="s">
        <v>221</v>
      </c>
      <c r="C409" s="444">
        <v>0</v>
      </c>
      <c r="D409" s="406">
        <v>-15202174.735317284</v>
      </c>
      <c r="E409" s="406">
        <v>-14376961.643521858</v>
      </c>
      <c r="F409" s="406">
        <v>-13566082.583645169</v>
      </c>
      <c r="G409" s="406">
        <v>-12992481.285927542</v>
      </c>
      <c r="H409" s="406">
        <v>-12829612.099480562</v>
      </c>
      <c r="I409" s="406">
        <v>-14103352.06969801</v>
      </c>
      <c r="J409" s="406">
        <v>-15876575.734228253</v>
      </c>
      <c r="K409" s="406">
        <v>-16518198.847201675</v>
      </c>
      <c r="L409" s="406">
        <v>-17011604.442127243</v>
      </c>
      <c r="M409" s="406">
        <v>-17009951.983424556</v>
      </c>
      <c r="N409" s="406">
        <v>-17397480.455043685</v>
      </c>
      <c r="O409" s="406">
        <v>-17435604.708823994</v>
      </c>
      <c r="P409" s="406">
        <v>-17555200.359023619</v>
      </c>
      <c r="Q409" s="406">
        <v>-18330308.583704729</v>
      </c>
      <c r="R409" s="406">
        <v>-20407708.611955151</v>
      </c>
      <c r="S409" s="406">
        <v>-19837443.909446444</v>
      </c>
      <c r="T409" s="406">
        <v>-20024217.905202974</v>
      </c>
      <c r="U409" s="406">
        <v>-21373431.477008142</v>
      </c>
      <c r="V409" s="406">
        <v>-22420237.389765643</v>
      </c>
      <c r="W409" s="327"/>
    </row>
    <row r="410" spans="1:23" ht="13.5" thickTop="1" x14ac:dyDescent="0.2">
      <c r="A410" s="9"/>
      <c r="B410" s="311" t="s">
        <v>183</v>
      </c>
      <c r="C410" s="446">
        <v>0</v>
      </c>
      <c r="D410" s="410">
        <v>22803262.102975927</v>
      </c>
      <c r="E410" s="410">
        <v>21565442.465282783</v>
      </c>
      <c r="F410" s="410">
        <v>20349123.875467751</v>
      </c>
      <c r="G410" s="410">
        <v>19488721.928891309</v>
      </c>
      <c r="H410" s="410">
        <v>19244418.149220843</v>
      </c>
      <c r="I410" s="410">
        <v>21155028.104547013</v>
      </c>
      <c r="J410" s="410">
        <v>23814863.60134238</v>
      </c>
      <c r="K410" s="410">
        <v>24777298.270802513</v>
      </c>
      <c r="L410" s="410">
        <v>25517406.663190864</v>
      </c>
      <c r="M410" s="410">
        <v>25514927.975136828</v>
      </c>
      <c r="N410" s="410">
        <v>26096220.682565521</v>
      </c>
      <c r="O410" s="410">
        <v>26153407.063235991</v>
      </c>
      <c r="P410" s="410">
        <v>26332800.538535427</v>
      </c>
      <c r="Q410" s="410">
        <v>27495462.875557091</v>
      </c>
      <c r="R410" s="410">
        <v>30611562.917932726</v>
      </c>
      <c r="S410" s="410">
        <v>29756165.864169668</v>
      </c>
      <c r="T410" s="410">
        <v>30036326.857804459</v>
      </c>
      <c r="U410" s="410">
        <v>32060147.215512209</v>
      </c>
      <c r="V410" s="410">
        <v>33630356.08464846</v>
      </c>
      <c r="W410" s="327"/>
    </row>
    <row r="411" spans="1:23" x14ac:dyDescent="0.2">
      <c r="A411" s="9"/>
      <c r="B411" s="309" t="s">
        <v>37</v>
      </c>
      <c r="C411" s="443">
        <v>0</v>
      </c>
      <c r="D411" s="404">
        <v>2047316.6174999999</v>
      </c>
      <c r="E411" s="404">
        <v>2844446.8905799999</v>
      </c>
      <c r="F411" s="404">
        <v>3165077.3662298</v>
      </c>
      <c r="G411" s="404">
        <v>3211737.3334907</v>
      </c>
      <c r="H411" s="404">
        <v>3206886.8481525001</v>
      </c>
      <c r="I411" s="404">
        <v>2893055.4684443199</v>
      </c>
      <c r="J411" s="404">
        <v>2351871.6103367917</v>
      </c>
      <c r="K411" s="404">
        <v>2050586.4727368024</v>
      </c>
      <c r="L411" s="404">
        <v>1865662.4146080394</v>
      </c>
      <c r="M411" s="404">
        <v>1821135.6325193688</v>
      </c>
      <c r="N411" s="404">
        <v>1935763.4299676127</v>
      </c>
      <c r="O411" s="404">
        <v>1933224.1710092709</v>
      </c>
      <c r="P411" s="404">
        <v>1933306.0618530172</v>
      </c>
      <c r="Q411" s="404">
        <v>1985984.3044220754</v>
      </c>
      <c r="R411" s="404">
        <v>2042181.4917682055</v>
      </c>
      <c r="S411" s="404">
        <v>2051636.6422347198</v>
      </c>
      <c r="T411" s="404">
        <v>2064919.0447152294</v>
      </c>
      <c r="U411" s="404">
        <v>2201241.1067701546</v>
      </c>
      <c r="V411" s="404">
        <v>2313747.2056867271</v>
      </c>
      <c r="W411" s="327"/>
    </row>
    <row r="412" spans="1:23" x14ac:dyDescent="0.2">
      <c r="A412" s="9"/>
      <c r="B412" s="309" t="s">
        <v>39</v>
      </c>
      <c r="C412" s="443">
        <v>0</v>
      </c>
      <c r="D412" s="404">
        <v>-974492</v>
      </c>
      <c r="E412" s="404">
        <v>-1680395.92</v>
      </c>
      <c r="F412" s="404">
        <v>-313481.09000000003</v>
      </c>
      <c r="G412" s="404">
        <v>-941658.43</v>
      </c>
      <c r="H412" s="404">
        <v>-1979460.4879999999</v>
      </c>
      <c r="I412" s="404">
        <v>-2038844.3026399999</v>
      </c>
      <c r="J412" s="404">
        <v>-2100009.6317191999</v>
      </c>
      <c r="K412" s="404">
        <v>-2163009.9206707762</v>
      </c>
      <c r="L412" s="404">
        <v>-2227900.2182908994</v>
      </c>
      <c r="M412" s="404">
        <v>-2294737.2248396263</v>
      </c>
      <c r="N412" s="404">
        <v>-2363579.3415848152</v>
      </c>
      <c r="O412" s="404">
        <v>-2434486.7218323597</v>
      </c>
      <c r="P412" s="404">
        <v>-2507521.3234873307</v>
      </c>
      <c r="Q412" s="404">
        <v>-2582746.9631919507</v>
      </c>
      <c r="R412" s="404">
        <v>-2660229.3720877091</v>
      </c>
      <c r="S412" s="404">
        <v>-2740036.2532503405</v>
      </c>
      <c r="T412" s="404">
        <v>-2822237.3408478508</v>
      </c>
      <c r="U412" s="404">
        <v>-2906904.4610732864</v>
      </c>
      <c r="V412" s="404">
        <v>-2994111.5949054849</v>
      </c>
      <c r="W412" s="327"/>
    </row>
    <row r="413" spans="1:23" ht="13.5" thickBot="1" x14ac:dyDescent="0.25">
      <c r="A413" s="9"/>
      <c r="B413" s="310" t="s">
        <v>40</v>
      </c>
      <c r="C413" s="444">
        <v>0</v>
      </c>
      <c r="D413" s="406">
        <v>-6225024</v>
      </c>
      <c r="E413" s="406">
        <v>-4058147.2</v>
      </c>
      <c r="F413" s="406">
        <v>-2200091.69</v>
      </c>
      <c r="G413" s="406">
        <v>0</v>
      </c>
      <c r="H413" s="406">
        <v>0</v>
      </c>
      <c r="I413" s="406">
        <v>0</v>
      </c>
      <c r="J413" s="406">
        <v>0</v>
      </c>
      <c r="K413" s="406">
        <v>0</v>
      </c>
      <c r="L413" s="406">
        <v>0</v>
      </c>
      <c r="M413" s="406">
        <v>0</v>
      </c>
      <c r="N413" s="406">
        <v>0</v>
      </c>
      <c r="O413" s="406">
        <v>0</v>
      </c>
      <c r="P413" s="406">
        <v>0</v>
      </c>
      <c r="Q413" s="406">
        <v>0</v>
      </c>
      <c r="R413" s="406">
        <v>0</v>
      </c>
      <c r="S413" s="406">
        <v>0</v>
      </c>
      <c r="T413" s="406">
        <v>0</v>
      </c>
      <c r="U413" s="406">
        <v>0</v>
      </c>
      <c r="V413" s="406">
        <v>0</v>
      </c>
      <c r="W413" s="327"/>
    </row>
    <row r="414" spans="1:23" ht="13.5" thickTop="1" x14ac:dyDescent="0.2">
      <c r="A414" s="9"/>
      <c r="B414" s="309"/>
      <c r="C414" s="44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</row>
    <row r="415" spans="1:23" x14ac:dyDescent="0.2">
      <c r="A415" s="9"/>
      <c r="B415" s="311" t="s">
        <v>233</v>
      </c>
      <c r="C415" s="446">
        <v>0</v>
      </c>
      <c r="D415" s="410">
        <v>17651062.720475927</v>
      </c>
      <c r="E415" s="410">
        <v>18671346.23586278</v>
      </c>
      <c r="F415" s="410">
        <v>21000628.461697549</v>
      </c>
      <c r="G415" s="410">
        <v>21758800.832382008</v>
      </c>
      <c r="H415" s="410">
        <v>20471844.509373344</v>
      </c>
      <c r="I415" s="410">
        <v>22009239.270351335</v>
      </c>
      <c r="J415" s="410">
        <v>24066725.579959974</v>
      </c>
      <c r="K415" s="410">
        <v>24664874.822868537</v>
      </c>
      <c r="L415" s="410">
        <v>25155168.859508004</v>
      </c>
      <c r="M415" s="410">
        <v>25041326.382816568</v>
      </c>
      <c r="N415" s="410">
        <v>25668404.770948317</v>
      </c>
      <c r="O415" s="410">
        <v>25652144.512412902</v>
      </c>
      <c r="P415" s="410">
        <v>25758585.276901115</v>
      </c>
      <c r="Q415" s="410">
        <v>26898700.216787219</v>
      </c>
      <c r="R415" s="410">
        <v>29993515.037613221</v>
      </c>
      <c r="S415" s="410">
        <v>29067766.253154047</v>
      </c>
      <c r="T415" s="410">
        <v>29279008.561671838</v>
      </c>
      <c r="U415" s="410">
        <v>31354483.86120908</v>
      </c>
      <c r="V415" s="410">
        <v>32949991.695429701</v>
      </c>
      <c r="W415" s="408">
        <v>173070289.8059153</v>
      </c>
    </row>
    <row r="416" spans="1:23" x14ac:dyDescent="0.2">
      <c r="A416" s="9"/>
      <c r="B416" s="286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">
      <c r="A417" s="302" t="s">
        <v>218</v>
      </c>
      <c r="B417" s="300" t="s">
        <v>170</v>
      </c>
      <c r="C417" s="433">
        <v>74828326.82357125</v>
      </c>
      <c r="D417" s="9"/>
      <c r="E417" s="137" t="s">
        <v>219</v>
      </c>
      <c r="F417" s="313" t="s">
        <v>170</v>
      </c>
      <c r="G417" s="437">
        <v>74828326.82357125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">
      <c r="A418" s="9"/>
      <c r="B418" s="300" t="s">
        <v>180</v>
      </c>
      <c r="C418" s="433">
        <v>118643446.34393473</v>
      </c>
      <c r="D418" s="9"/>
      <c r="E418" s="315"/>
      <c r="F418" s="313" t="s">
        <v>180</v>
      </c>
      <c r="G418" s="437">
        <v>118643446.34393473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3.5" thickBot="1" x14ac:dyDescent="0.25">
      <c r="A419" s="9"/>
      <c r="B419" s="316" t="s">
        <v>137</v>
      </c>
      <c r="C419" s="434">
        <v>25725795.779941186</v>
      </c>
      <c r="D419" s="317"/>
      <c r="E419" s="315"/>
      <c r="F419" s="313" t="s">
        <v>137</v>
      </c>
      <c r="G419" s="437">
        <v>25725795.779941186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4.25" thickTop="1" thickBot="1" x14ac:dyDescent="0.25">
      <c r="A420" s="9"/>
      <c r="B420" s="300" t="s">
        <v>28</v>
      </c>
      <c r="C420" s="432">
        <v>219197568.94744715</v>
      </c>
      <c r="D420" s="299"/>
      <c r="E420" s="315"/>
      <c r="F420" s="318" t="s">
        <v>203</v>
      </c>
      <c r="G420" s="319"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3.5" thickTop="1" x14ac:dyDescent="0.2">
      <c r="A421" s="9"/>
      <c r="B421" s="286"/>
      <c r="C421" s="320"/>
      <c r="D421" s="9"/>
      <c r="E421" s="321"/>
      <c r="F421" s="313" t="s">
        <v>28</v>
      </c>
      <c r="G421" s="362">
        <v>219197568.94744715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">
      <c r="A422" s="9"/>
      <c r="B422" s="286"/>
      <c r="C422" s="320"/>
      <c r="D422" s="9"/>
      <c r="E422" s="321"/>
      <c r="F422" s="313"/>
      <c r="G422" s="322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">
      <c r="A423" s="9"/>
      <c r="B423" s="286"/>
      <c r="C423" s="320"/>
      <c r="D423" s="9"/>
      <c r="E423" s="321"/>
      <c r="F423" s="313"/>
      <c r="G423" s="322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">
      <c r="A424" s="9"/>
      <c r="B424" s="323" t="s">
        <v>222</v>
      </c>
      <c r="C424" s="320"/>
      <c r="D424" s="9"/>
      <c r="E424" s="321"/>
      <c r="F424" s="313"/>
      <c r="G424" s="322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">
      <c r="A425" s="324" t="s">
        <v>224</v>
      </c>
      <c r="B425" s="323" t="s">
        <v>223</v>
      </c>
      <c r="C425" s="325"/>
      <c r="D425" s="326">
        <v>22803262.102975927</v>
      </c>
      <c r="E425" s="326">
        <v>21565442.465282783</v>
      </c>
      <c r="F425" s="326">
        <v>20349123.875467751</v>
      </c>
      <c r="G425" s="326">
        <v>19488721.928891309</v>
      </c>
      <c r="H425" s="326">
        <v>19244418.149220843</v>
      </c>
      <c r="I425" s="326">
        <v>21155028.104547013</v>
      </c>
      <c r="J425" s="326">
        <v>23814863.60134238</v>
      </c>
      <c r="K425" s="326">
        <v>24777298.270802513</v>
      </c>
      <c r="L425" s="326">
        <v>25517406.663190864</v>
      </c>
      <c r="M425" s="326">
        <v>25514927.975136828</v>
      </c>
      <c r="N425" s="326">
        <v>26096220.682565521</v>
      </c>
      <c r="O425" s="326">
        <v>26153407.063235991</v>
      </c>
      <c r="P425" s="326">
        <v>26332800.538535427</v>
      </c>
      <c r="Q425" s="326">
        <v>27495462.875557091</v>
      </c>
      <c r="R425" s="326">
        <v>30611562.917932726</v>
      </c>
      <c r="S425" s="326">
        <v>29756165.864169668</v>
      </c>
      <c r="T425" s="326">
        <v>30036326.857804459</v>
      </c>
      <c r="U425" s="326">
        <v>32060147.215512209</v>
      </c>
      <c r="V425" s="326">
        <v>33630356.08464846</v>
      </c>
      <c r="W425" s="9"/>
    </row>
    <row r="426" spans="1:23" x14ac:dyDescent="0.2">
      <c r="A426" s="9"/>
      <c r="B426" s="286" t="s">
        <v>225</v>
      </c>
      <c r="C426" s="320"/>
      <c r="D426" s="327">
        <v>15202174.735317284</v>
      </c>
      <c r="E426" s="327">
        <v>14376961.643521858</v>
      </c>
      <c r="F426" s="327">
        <v>13566082.583645169</v>
      </c>
      <c r="G426" s="327">
        <v>12992481.285927542</v>
      </c>
      <c r="H426" s="327">
        <v>12829612.099480562</v>
      </c>
      <c r="I426" s="327">
        <v>14103352.06969801</v>
      </c>
      <c r="J426" s="327">
        <v>15876575.734228253</v>
      </c>
      <c r="K426" s="327">
        <v>16518198.847201675</v>
      </c>
      <c r="L426" s="327">
        <v>17011604.442127243</v>
      </c>
      <c r="M426" s="327">
        <v>17009951.983424556</v>
      </c>
      <c r="N426" s="327">
        <v>17397480.455043685</v>
      </c>
      <c r="O426" s="327">
        <v>17435604.708823994</v>
      </c>
      <c r="P426" s="327">
        <v>17555200.359023619</v>
      </c>
      <c r="Q426" s="327">
        <v>18330308.583704729</v>
      </c>
      <c r="R426" s="327">
        <v>20407708.611955151</v>
      </c>
      <c r="S426" s="327">
        <v>19837443.909446444</v>
      </c>
      <c r="T426" s="327">
        <v>20024217.905202974</v>
      </c>
      <c r="U426" s="327">
        <v>21373431.477008142</v>
      </c>
      <c r="V426" s="327">
        <v>22420237.389765643</v>
      </c>
      <c r="W426" s="9"/>
    </row>
    <row r="427" spans="1:23" x14ac:dyDescent="0.2">
      <c r="A427" s="9"/>
      <c r="B427" s="328" t="s">
        <v>226</v>
      </c>
      <c r="C427" s="329"/>
      <c r="D427" s="327">
        <v>2047316.6174999999</v>
      </c>
      <c r="E427" s="327">
        <v>2844446.8905799999</v>
      </c>
      <c r="F427" s="327">
        <v>3165077.3662298</v>
      </c>
      <c r="G427" s="327">
        <v>3211737.3334907</v>
      </c>
      <c r="H427" s="327">
        <v>3206886.8481525001</v>
      </c>
      <c r="I427" s="327">
        <v>2893055.4684443199</v>
      </c>
      <c r="J427" s="327">
        <v>2351871.6103367917</v>
      </c>
      <c r="K427" s="327">
        <v>2050586.4727368024</v>
      </c>
      <c r="L427" s="327">
        <v>1865662.4146080394</v>
      </c>
      <c r="M427" s="327">
        <v>1821135.6325193688</v>
      </c>
      <c r="N427" s="327">
        <v>1935763.4299676127</v>
      </c>
      <c r="O427" s="327">
        <v>1933224.1710092709</v>
      </c>
      <c r="P427" s="327">
        <v>1933306.0618530172</v>
      </c>
      <c r="Q427" s="327">
        <v>1985984.3044220754</v>
      </c>
      <c r="R427" s="327">
        <v>2042181.4917682055</v>
      </c>
      <c r="S427" s="327">
        <v>2051636.6422347198</v>
      </c>
      <c r="T427" s="327">
        <v>2064919.0447152294</v>
      </c>
      <c r="U427" s="327">
        <v>2201241.1067701546</v>
      </c>
      <c r="V427" s="327">
        <v>2313747.2056867271</v>
      </c>
      <c r="W427" s="9"/>
    </row>
    <row r="428" spans="1:23" ht="13.5" thickBot="1" x14ac:dyDescent="0.25">
      <c r="A428" s="9"/>
      <c r="B428" s="330" t="s">
        <v>227</v>
      </c>
      <c r="C428" s="331"/>
      <c r="D428" s="332">
        <v>40052753.455793209</v>
      </c>
      <c r="E428" s="332">
        <v>38786850.999384642</v>
      </c>
      <c r="F428" s="332">
        <v>37080283.825342722</v>
      </c>
      <c r="G428" s="332">
        <v>35692940.54830955</v>
      </c>
      <c r="H428" s="332">
        <v>35280917.096853904</v>
      </c>
      <c r="I428" s="332">
        <v>38151435.64268934</v>
      </c>
      <c r="J428" s="332">
        <v>42043310.945907429</v>
      </c>
      <c r="K428" s="332">
        <v>43346083.590740994</v>
      </c>
      <c r="L428" s="332">
        <v>44394673.519926146</v>
      </c>
      <c r="M428" s="332">
        <v>44346015.591080755</v>
      </c>
      <c r="N428" s="332">
        <v>45429464.567576818</v>
      </c>
      <c r="O428" s="332">
        <v>45522235.943069257</v>
      </c>
      <c r="P428" s="332">
        <v>45821306.959412061</v>
      </c>
      <c r="Q428" s="332">
        <v>47811755.763683893</v>
      </c>
      <c r="R428" s="332">
        <v>53061453.021656081</v>
      </c>
      <c r="S428" s="332">
        <v>51645246.415850833</v>
      </c>
      <c r="T428" s="332">
        <v>52125463.807722658</v>
      </c>
      <c r="U428" s="332">
        <v>55634819.799290508</v>
      </c>
      <c r="V428" s="332">
        <v>58364340.680100828</v>
      </c>
      <c r="W428" s="9"/>
    </row>
    <row r="429" spans="1:23" ht="13.5" thickTop="1" x14ac:dyDescent="0.2">
      <c r="A429" s="324" t="s">
        <v>228</v>
      </c>
      <c r="B429" s="286" t="s">
        <v>229</v>
      </c>
      <c r="C429" s="320"/>
      <c r="D429" s="327">
        <v>-2740671.1055343803</v>
      </c>
      <c r="E429" s="327">
        <v>-3027598.2615343803</v>
      </c>
      <c r="F429" s="327">
        <v>-3043272.3160343799</v>
      </c>
      <c r="G429" s="327">
        <v>-3090355.2375343801</v>
      </c>
      <c r="H429" s="327">
        <v>-3189328.26193438</v>
      </c>
      <c r="I429" s="327">
        <v>-3291270.47706638</v>
      </c>
      <c r="J429" s="327">
        <v>-3396270.9586523399</v>
      </c>
      <c r="K429" s="327">
        <v>-3504421.4546858789</v>
      </c>
      <c r="L429" s="327">
        <v>-3615816.465600424</v>
      </c>
      <c r="M429" s="327">
        <v>-3730553.3268424049</v>
      </c>
      <c r="N429" s="327">
        <v>-3848732.2939216457</v>
      </c>
      <c r="O429" s="327">
        <v>-3970456.6300132638</v>
      </c>
      <c r="P429" s="327">
        <v>-4095832.6961876303</v>
      </c>
      <c r="Q429" s="327">
        <v>-4224970.0443472285</v>
      </c>
      <c r="R429" s="327">
        <v>-3428574.6754516321</v>
      </c>
      <c r="S429" s="327">
        <v>-2234904.16311413</v>
      </c>
      <c r="T429" s="327">
        <v>-2374811.7576565226</v>
      </c>
      <c r="U429" s="327">
        <v>-2520156.980710187</v>
      </c>
      <c r="V429" s="327">
        <v>-2669862.5604554615</v>
      </c>
      <c r="W429" s="9"/>
    </row>
    <row r="430" spans="1:23" x14ac:dyDescent="0.2">
      <c r="A430" s="9"/>
      <c r="B430" s="286" t="s">
        <v>230</v>
      </c>
      <c r="C430" s="320"/>
      <c r="D430" s="327">
        <v>0</v>
      </c>
      <c r="E430" s="327">
        <v>0</v>
      </c>
      <c r="F430" s="327">
        <v>0</v>
      </c>
      <c r="G430" s="327">
        <v>0</v>
      </c>
      <c r="H430" s="327">
        <v>0</v>
      </c>
      <c r="I430" s="327">
        <v>0</v>
      </c>
      <c r="J430" s="327">
        <v>0</v>
      </c>
      <c r="K430" s="327">
        <v>0</v>
      </c>
      <c r="L430" s="327">
        <v>0</v>
      </c>
      <c r="M430" s="327">
        <v>0</v>
      </c>
      <c r="N430" s="327">
        <v>0</v>
      </c>
      <c r="O430" s="327">
        <v>0</v>
      </c>
      <c r="P430" s="327">
        <v>0</v>
      </c>
      <c r="Q430" s="327">
        <v>0</v>
      </c>
      <c r="R430" s="327">
        <v>0</v>
      </c>
      <c r="S430" s="327">
        <v>0</v>
      </c>
      <c r="T430" s="327">
        <v>0</v>
      </c>
      <c r="U430" s="327">
        <v>0</v>
      </c>
      <c r="V430" s="327">
        <v>0</v>
      </c>
      <c r="W430" s="9"/>
    </row>
    <row r="431" spans="1:23" x14ac:dyDescent="0.2">
      <c r="A431" s="9"/>
      <c r="B431" s="323" t="s">
        <v>231</v>
      </c>
      <c r="C431" s="325"/>
      <c r="D431" s="326">
        <v>37312082.350258827</v>
      </c>
      <c r="E431" s="326">
        <v>35759252.737850264</v>
      </c>
      <c r="F431" s="326">
        <v>34037011.509308346</v>
      </c>
      <c r="G431" s="326">
        <v>32602585.310775168</v>
      </c>
      <c r="H431" s="326">
        <v>32091588.834919523</v>
      </c>
      <c r="I431" s="326">
        <v>34860165.165622957</v>
      </c>
      <c r="J431" s="326">
        <v>38647039.987255089</v>
      </c>
      <c r="K431" s="326">
        <v>39841662.136055112</v>
      </c>
      <c r="L431" s="326">
        <v>40778857.054325722</v>
      </c>
      <c r="M431" s="326">
        <v>40615462.26423835</v>
      </c>
      <c r="N431" s="326">
        <v>41580732.273655176</v>
      </c>
      <c r="O431" s="326">
        <v>41551779.313055992</v>
      </c>
      <c r="P431" s="326">
        <v>41725474.26322443</v>
      </c>
      <c r="Q431" s="326">
        <v>43586785.719336666</v>
      </c>
      <c r="R431" s="326">
        <v>49632878.346204452</v>
      </c>
      <c r="S431" s="326">
        <v>49410342.252736703</v>
      </c>
      <c r="T431" s="326">
        <v>49750652.050066136</v>
      </c>
      <c r="U431" s="326">
        <v>53114662.818580322</v>
      </c>
      <c r="V431" s="326">
        <v>55694478.119645365</v>
      </c>
      <c r="W431" s="9"/>
    </row>
    <row r="432" spans="1:23" ht="13.5" thickBot="1" x14ac:dyDescent="0.25">
      <c r="A432" s="9"/>
      <c r="B432" s="333" t="s">
        <v>237</v>
      </c>
      <c r="C432" s="334"/>
      <c r="D432" s="335">
        <v>-14924832.940103531</v>
      </c>
      <c r="E432" s="335">
        <v>-14303701.095140107</v>
      </c>
      <c r="F432" s="335">
        <v>-13614804.60372334</v>
      </c>
      <c r="G432" s="335">
        <v>-13041034.124310069</v>
      </c>
      <c r="H432" s="335">
        <v>-12836635.53396781</v>
      </c>
      <c r="I432" s="335">
        <v>-13944066.066249184</v>
      </c>
      <c r="J432" s="335">
        <v>-15458815.994902037</v>
      </c>
      <c r="K432" s="335">
        <v>-15936664.854422046</v>
      </c>
      <c r="L432" s="335">
        <v>-16311542.82173029</v>
      </c>
      <c r="M432" s="335">
        <v>-16246184.905695342</v>
      </c>
      <c r="N432" s="335">
        <v>-16632292.909462072</v>
      </c>
      <c r="O432" s="335">
        <v>-16620711.725222398</v>
      </c>
      <c r="P432" s="335">
        <v>-16690189.705289774</v>
      </c>
      <c r="Q432" s="335">
        <v>-17434714.287734669</v>
      </c>
      <c r="R432" s="335">
        <v>-19853151.33848178</v>
      </c>
      <c r="S432" s="335">
        <v>-19764136.901094683</v>
      </c>
      <c r="T432" s="335">
        <v>-19900260.820026454</v>
      </c>
      <c r="U432" s="335">
        <v>-21245865.12743213</v>
      </c>
      <c r="V432" s="335">
        <v>-22277791.247858148</v>
      </c>
      <c r="W432" s="9"/>
    </row>
    <row r="433" spans="1:23" ht="13.5" thickTop="1" x14ac:dyDescent="0.2">
      <c r="A433" s="9"/>
      <c r="B433" s="323" t="s">
        <v>232</v>
      </c>
      <c r="C433" s="325"/>
      <c r="D433" s="326">
        <v>22387249.410155296</v>
      </c>
      <c r="E433" s="326">
        <v>21455551.642710157</v>
      </c>
      <c r="F433" s="326">
        <v>20422206.905585006</v>
      </c>
      <c r="G433" s="326">
        <v>19561551.186465099</v>
      </c>
      <c r="H433" s="326">
        <v>19254953.300951712</v>
      </c>
      <c r="I433" s="326">
        <v>20916099.099373773</v>
      </c>
      <c r="J433" s="326">
        <v>23188223.992353052</v>
      </c>
      <c r="K433" s="326">
        <v>23904997.281633064</v>
      </c>
      <c r="L433" s="326">
        <v>24467314.232595433</v>
      </c>
      <c r="M433" s="326">
        <v>24369277.358543009</v>
      </c>
      <c r="N433" s="326">
        <v>24948439.364193104</v>
      </c>
      <c r="O433" s="326">
        <v>24931067.587833595</v>
      </c>
      <c r="P433" s="326">
        <v>25035284.557934657</v>
      </c>
      <c r="Q433" s="326">
        <v>26152071.431601997</v>
      </c>
      <c r="R433" s="326">
        <v>29779727.007722672</v>
      </c>
      <c r="S433" s="326">
        <v>29646205.35164202</v>
      </c>
      <c r="T433" s="326">
        <v>29850391.230039682</v>
      </c>
      <c r="U433" s="326">
        <v>31868797.691148192</v>
      </c>
      <c r="V433" s="326">
        <v>33416686.871787217</v>
      </c>
      <c r="W433" s="9"/>
    </row>
    <row r="434" spans="1:23" x14ac:dyDescent="0.2">
      <c r="A434" s="9"/>
      <c r="B434" s="9"/>
      <c r="C434" s="320"/>
      <c r="D434" s="9"/>
      <c r="E434" s="321"/>
      <c r="F434" s="313"/>
      <c r="G434" s="322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5.75" x14ac:dyDescent="0.25">
      <c r="A435" s="336" t="s">
        <v>205</v>
      </c>
      <c r="B435" s="33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">
      <c r="A436" s="284" t="s">
        <v>190</v>
      </c>
      <c r="B436" s="303"/>
      <c r="C436" s="338">
        <v>0</v>
      </c>
      <c r="D436" s="277"/>
      <c r="E436" s="277"/>
      <c r="F436" s="277"/>
      <c r="G436" s="277"/>
      <c r="H436" s="277"/>
      <c r="I436" s="277"/>
      <c r="J436" s="277"/>
      <c r="K436" s="277"/>
      <c r="L436" s="277"/>
      <c r="M436" s="277"/>
      <c r="N436" s="277"/>
      <c r="O436" s="277"/>
      <c r="P436" s="277"/>
      <c r="Q436" s="277"/>
      <c r="R436" s="277"/>
      <c r="S436" s="277"/>
      <c r="T436" s="277"/>
      <c r="U436" s="277"/>
      <c r="V436" s="277"/>
      <c r="W436" s="277"/>
    </row>
    <row r="437" spans="1:23" x14ac:dyDescent="0.2">
      <c r="A437" s="284" t="s">
        <v>191</v>
      </c>
      <c r="B437" s="303"/>
      <c r="C437" s="339">
        <v>0</v>
      </c>
      <c r="D437" s="277"/>
      <c r="E437" s="277"/>
      <c r="F437" s="277"/>
      <c r="G437" s="277"/>
      <c r="H437" s="277"/>
      <c r="I437" s="277"/>
      <c r="J437" s="277"/>
      <c r="K437" s="277"/>
      <c r="L437" s="277"/>
      <c r="M437" s="277"/>
      <c r="N437" s="277"/>
      <c r="O437" s="277"/>
      <c r="P437" s="277"/>
      <c r="Q437" s="277"/>
      <c r="R437" s="277"/>
      <c r="S437" s="277"/>
      <c r="T437" s="277"/>
      <c r="U437" s="277"/>
      <c r="V437" s="277"/>
      <c r="W437" s="277"/>
    </row>
    <row r="438" spans="1:23" x14ac:dyDescent="0.2">
      <c r="A438" s="284" t="s">
        <v>201</v>
      </c>
      <c r="B438" s="303"/>
      <c r="C438" s="284">
        <v>15</v>
      </c>
      <c r="D438" s="277"/>
      <c r="E438" s="277"/>
      <c r="F438" s="277"/>
      <c r="G438" s="277"/>
      <c r="H438" s="277"/>
      <c r="I438" s="277"/>
      <c r="J438" s="277"/>
      <c r="K438" s="277"/>
      <c r="L438" s="277"/>
      <c r="M438" s="277"/>
      <c r="N438" s="277"/>
      <c r="O438" s="277"/>
      <c r="P438" s="277"/>
      <c r="Q438" s="277"/>
      <c r="R438" s="277"/>
      <c r="S438" s="277"/>
      <c r="T438" s="277"/>
      <c r="U438" s="277"/>
      <c r="V438" s="277"/>
      <c r="W438" s="277"/>
    </row>
    <row r="439" spans="1:23" x14ac:dyDescent="0.2">
      <c r="A439" s="284" t="s">
        <v>192</v>
      </c>
      <c r="B439" s="303"/>
      <c r="C439" s="339">
        <v>0</v>
      </c>
      <c r="D439" s="277"/>
      <c r="E439" s="277"/>
      <c r="F439" s="277"/>
      <c r="G439" s="277"/>
      <c r="H439" s="277"/>
      <c r="I439" s="277"/>
      <c r="J439" s="277"/>
      <c r="K439" s="277"/>
      <c r="L439" s="277"/>
      <c r="M439" s="277"/>
      <c r="N439" s="277"/>
      <c r="O439" s="277"/>
      <c r="P439" s="277"/>
      <c r="Q439" s="277"/>
      <c r="R439" s="277"/>
      <c r="S439" s="277"/>
      <c r="T439" s="277"/>
      <c r="U439" s="277"/>
      <c r="V439" s="277"/>
      <c r="W439" s="277"/>
    </row>
    <row r="440" spans="1:23" x14ac:dyDescent="0.2">
      <c r="A440" s="284" t="s">
        <v>193</v>
      </c>
      <c r="B440" s="303"/>
      <c r="C440" s="340">
        <v>8.7499999999999994E-2</v>
      </c>
      <c r="D440" s="277"/>
      <c r="E440" s="277"/>
      <c r="F440" s="277"/>
      <c r="G440" s="277"/>
      <c r="H440" s="277"/>
      <c r="I440" s="277"/>
      <c r="J440" s="277"/>
      <c r="K440" s="277"/>
      <c r="L440" s="277"/>
      <c r="M440" s="277"/>
      <c r="N440" s="277"/>
      <c r="O440" s="277"/>
      <c r="P440" s="277"/>
      <c r="Q440" s="277"/>
      <c r="R440" s="277"/>
      <c r="S440" s="277"/>
      <c r="T440" s="277"/>
      <c r="U440" s="277"/>
      <c r="V440" s="277"/>
      <c r="W440" s="277"/>
    </row>
    <row r="441" spans="1:23" x14ac:dyDescent="0.2">
      <c r="A441" s="284"/>
      <c r="B441" s="303"/>
      <c r="C441" s="277"/>
      <c r="D441" s="306">
        <v>2001</v>
      </c>
      <c r="E441" s="306">
        <v>2002</v>
      </c>
      <c r="F441" s="306">
        <v>2003</v>
      </c>
      <c r="G441" s="306">
        <v>2004</v>
      </c>
      <c r="H441" s="306">
        <v>2005</v>
      </c>
      <c r="I441" s="306">
        <v>2006</v>
      </c>
      <c r="J441" s="306">
        <v>2007</v>
      </c>
      <c r="K441" s="306">
        <v>2008</v>
      </c>
      <c r="L441" s="306">
        <v>2009</v>
      </c>
      <c r="M441" s="306">
        <v>2010</v>
      </c>
      <c r="N441" s="306">
        <v>2011</v>
      </c>
      <c r="O441" s="306">
        <v>2012</v>
      </c>
      <c r="P441" s="306">
        <v>2013</v>
      </c>
      <c r="Q441" s="306">
        <v>2014</v>
      </c>
      <c r="R441" s="306">
        <v>2015</v>
      </c>
      <c r="S441" s="306">
        <v>2016</v>
      </c>
      <c r="T441" s="306">
        <v>2017</v>
      </c>
      <c r="U441" s="306">
        <v>2018</v>
      </c>
      <c r="V441" s="306">
        <v>2019</v>
      </c>
      <c r="W441" s="306" t="s">
        <v>154</v>
      </c>
    </row>
    <row r="442" spans="1:23" x14ac:dyDescent="0.2">
      <c r="A442" s="284" t="s">
        <v>194</v>
      </c>
      <c r="B442" s="303"/>
      <c r="C442" s="277"/>
      <c r="D442" s="341">
        <v>0</v>
      </c>
      <c r="E442" s="341">
        <v>0</v>
      </c>
      <c r="F442" s="341">
        <v>0</v>
      </c>
      <c r="G442" s="341">
        <v>0</v>
      </c>
      <c r="H442" s="341">
        <v>0</v>
      </c>
      <c r="I442" s="341">
        <v>0</v>
      </c>
      <c r="J442" s="341">
        <v>0</v>
      </c>
      <c r="K442" s="341">
        <v>0</v>
      </c>
      <c r="L442" s="341">
        <v>0</v>
      </c>
      <c r="M442" s="341">
        <v>0</v>
      </c>
      <c r="N442" s="341">
        <v>0</v>
      </c>
      <c r="O442" s="341">
        <v>0</v>
      </c>
      <c r="P442" s="341">
        <v>0</v>
      </c>
      <c r="Q442" s="341">
        <v>0</v>
      </c>
      <c r="R442" s="341">
        <v>0</v>
      </c>
      <c r="S442" s="341">
        <v>0</v>
      </c>
      <c r="T442" s="341">
        <v>0</v>
      </c>
      <c r="U442" s="341">
        <v>0</v>
      </c>
      <c r="V442" s="341">
        <v>0</v>
      </c>
      <c r="W442" s="341">
        <v>0</v>
      </c>
    </row>
    <row r="443" spans="1:23" x14ac:dyDescent="0.2">
      <c r="A443" s="284" t="s">
        <v>195</v>
      </c>
      <c r="B443" s="303"/>
      <c r="C443" s="277"/>
      <c r="D443" s="341">
        <v>0</v>
      </c>
      <c r="E443" s="341">
        <v>0</v>
      </c>
      <c r="F443" s="341">
        <v>0</v>
      </c>
      <c r="G443" s="341">
        <v>0</v>
      </c>
      <c r="H443" s="341">
        <v>0</v>
      </c>
      <c r="I443" s="341">
        <v>0</v>
      </c>
      <c r="J443" s="341">
        <v>0</v>
      </c>
      <c r="K443" s="341">
        <v>0</v>
      </c>
      <c r="L443" s="341">
        <v>0</v>
      </c>
      <c r="M443" s="341">
        <v>0</v>
      </c>
      <c r="N443" s="341">
        <v>0</v>
      </c>
      <c r="O443" s="341">
        <v>0</v>
      </c>
      <c r="P443" s="341">
        <v>0</v>
      </c>
      <c r="Q443" s="341">
        <v>0</v>
      </c>
      <c r="R443" s="341">
        <v>0</v>
      </c>
      <c r="S443" s="341">
        <v>0</v>
      </c>
      <c r="T443" s="341">
        <v>0</v>
      </c>
      <c r="U443" s="341">
        <v>0</v>
      </c>
      <c r="V443" s="341">
        <v>0</v>
      </c>
      <c r="W443" s="341">
        <v>0</v>
      </c>
    </row>
    <row r="444" spans="1:23" x14ac:dyDescent="0.2">
      <c r="A444" s="284" t="s">
        <v>196</v>
      </c>
      <c r="B444" s="303"/>
      <c r="C444" s="277"/>
      <c r="D444" s="341">
        <v>0</v>
      </c>
      <c r="E444" s="341">
        <v>0</v>
      </c>
      <c r="F444" s="341">
        <v>0</v>
      </c>
      <c r="G444" s="341">
        <v>0</v>
      </c>
      <c r="H444" s="341">
        <v>0</v>
      </c>
      <c r="I444" s="341">
        <v>0</v>
      </c>
      <c r="J444" s="341">
        <v>0</v>
      </c>
      <c r="K444" s="341">
        <v>0</v>
      </c>
      <c r="L444" s="341">
        <v>0</v>
      </c>
      <c r="M444" s="341">
        <v>0</v>
      </c>
      <c r="N444" s="341">
        <v>0</v>
      </c>
      <c r="O444" s="341">
        <v>0</v>
      </c>
      <c r="P444" s="341">
        <v>0</v>
      </c>
      <c r="Q444" s="341">
        <v>0</v>
      </c>
      <c r="R444" s="341">
        <v>0</v>
      </c>
      <c r="S444" s="341">
        <v>0</v>
      </c>
      <c r="T444" s="341">
        <v>0</v>
      </c>
      <c r="U444" s="341">
        <v>0</v>
      </c>
      <c r="V444" s="341">
        <v>0</v>
      </c>
      <c r="W444" s="341">
        <v>0</v>
      </c>
    </row>
    <row r="445" spans="1:23" x14ac:dyDescent="0.2">
      <c r="A445" s="284" t="s">
        <v>197</v>
      </c>
      <c r="B445" s="303"/>
      <c r="C445" s="277"/>
      <c r="D445" s="342">
        <v>0</v>
      </c>
      <c r="E445" s="342">
        <v>0</v>
      </c>
      <c r="F445" s="342">
        <v>0</v>
      </c>
      <c r="G445" s="342">
        <v>0</v>
      </c>
      <c r="H445" s="342">
        <v>0</v>
      </c>
      <c r="I445" s="342">
        <v>0</v>
      </c>
      <c r="J445" s="342">
        <v>0</v>
      </c>
      <c r="K445" s="342">
        <v>0</v>
      </c>
      <c r="L445" s="342">
        <v>0</v>
      </c>
      <c r="M445" s="342">
        <v>0</v>
      </c>
      <c r="N445" s="342">
        <v>0</v>
      </c>
      <c r="O445" s="342">
        <v>0</v>
      </c>
      <c r="P445" s="342">
        <v>0</v>
      </c>
      <c r="Q445" s="342">
        <v>0</v>
      </c>
      <c r="R445" s="342">
        <v>0</v>
      </c>
      <c r="S445" s="342">
        <v>0</v>
      </c>
      <c r="T445" s="342">
        <v>0</v>
      </c>
      <c r="U445" s="342">
        <v>0</v>
      </c>
      <c r="V445" s="342">
        <v>0</v>
      </c>
      <c r="W445" s="342">
        <v>0</v>
      </c>
    </row>
    <row r="446" spans="1:23" ht="13.5" thickBot="1" x14ac:dyDescent="0.25">
      <c r="A446" s="284" t="s">
        <v>198</v>
      </c>
      <c r="B446" s="303"/>
      <c r="C446" s="277"/>
      <c r="D446" s="343">
        <v>0</v>
      </c>
      <c r="E446" s="343">
        <v>0</v>
      </c>
      <c r="F446" s="343">
        <v>0</v>
      </c>
      <c r="G446" s="343">
        <v>0</v>
      </c>
      <c r="H446" s="343">
        <v>0</v>
      </c>
      <c r="I446" s="343">
        <v>0</v>
      </c>
      <c r="J446" s="343">
        <v>0</v>
      </c>
      <c r="K446" s="343">
        <v>0</v>
      </c>
      <c r="L446" s="343">
        <v>0</v>
      </c>
      <c r="M446" s="343">
        <v>0</v>
      </c>
      <c r="N446" s="343">
        <v>0</v>
      </c>
      <c r="O446" s="343">
        <v>0</v>
      </c>
      <c r="P446" s="343">
        <v>0</v>
      </c>
      <c r="Q446" s="343">
        <v>0</v>
      </c>
      <c r="R446" s="343">
        <v>0</v>
      </c>
      <c r="S446" s="343">
        <v>0</v>
      </c>
      <c r="T446" s="343">
        <v>0</v>
      </c>
      <c r="U446" s="343">
        <v>0</v>
      </c>
      <c r="V446" s="343">
        <v>0</v>
      </c>
      <c r="W446" s="343">
        <v>0</v>
      </c>
    </row>
    <row r="447" spans="1:23" ht="13.5" thickTop="1" x14ac:dyDescent="0.2">
      <c r="A447" s="284"/>
      <c r="B447" s="303"/>
      <c r="C447" s="277"/>
      <c r="D447" s="341"/>
      <c r="E447" s="341"/>
      <c r="F447" s="341"/>
      <c r="G447" s="341"/>
      <c r="H447" s="341"/>
      <c r="I447" s="341"/>
      <c r="J447" s="341"/>
      <c r="K447" s="341"/>
      <c r="L447" s="341"/>
      <c r="M447" s="341"/>
      <c r="N447" s="341"/>
      <c r="O447" s="341"/>
      <c r="P447" s="341"/>
      <c r="Q447" s="341"/>
      <c r="R447" s="341"/>
      <c r="S447" s="341"/>
      <c r="T447" s="341"/>
      <c r="U447" s="341"/>
      <c r="V447" s="341"/>
      <c r="W447" s="341"/>
    </row>
    <row r="448" spans="1:23" x14ac:dyDescent="0.2">
      <c r="A448" s="284" t="s">
        <v>199</v>
      </c>
      <c r="B448" s="303"/>
      <c r="C448" s="277"/>
      <c r="D448" s="341">
        <v>0</v>
      </c>
      <c r="E448" s="341">
        <v>0</v>
      </c>
      <c r="F448" s="341">
        <v>0</v>
      </c>
      <c r="G448" s="341">
        <v>0</v>
      </c>
      <c r="H448" s="341">
        <v>0</v>
      </c>
      <c r="I448" s="341">
        <v>0</v>
      </c>
      <c r="J448" s="341">
        <v>0</v>
      </c>
      <c r="K448" s="341">
        <v>0</v>
      </c>
      <c r="L448" s="341">
        <v>0</v>
      </c>
      <c r="M448" s="341">
        <v>0</v>
      </c>
      <c r="N448" s="341">
        <v>0</v>
      </c>
      <c r="O448" s="341">
        <v>0</v>
      </c>
      <c r="P448" s="341">
        <v>0</v>
      </c>
      <c r="Q448" s="341">
        <v>0</v>
      </c>
      <c r="R448" s="341">
        <v>0</v>
      </c>
      <c r="S448" s="341">
        <v>0</v>
      </c>
      <c r="T448" s="341">
        <v>0</v>
      </c>
      <c r="U448" s="341">
        <v>0</v>
      </c>
      <c r="V448" s="341">
        <v>0</v>
      </c>
      <c r="W448" s="341">
        <v>0</v>
      </c>
    </row>
    <row r="449" spans="1:23" x14ac:dyDescent="0.2">
      <c r="A449" s="284"/>
      <c r="B449" s="303"/>
      <c r="C449" s="277"/>
      <c r="D449" s="277"/>
      <c r="E449" s="277"/>
      <c r="F449" s="277"/>
      <c r="G449" s="277"/>
      <c r="H449" s="277"/>
      <c r="I449" s="277"/>
      <c r="J449" s="277"/>
      <c r="K449" s="277"/>
      <c r="L449" s="277"/>
      <c r="M449" s="277"/>
      <c r="N449" s="277"/>
      <c r="O449" s="277"/>
      <c r="P449" s="277"/>
      <c r="Q449" s="277"/>
      <c r="R449" s="277"/>
      <c r="S449" s="277"/>
      <c r="T449" s="277"/>
      <c r="U449" s="277"/>
      <c r="V449" s="277"/>
      <c r="W449" s="277"/>
    </row>
    <row r="450" spans="1:23" x14ac:dyDescent="0.2">
      <c r="A450" s="284" t="s">
        <v>200</v>
      </c>
      <c r="B450" s="303"/>
      <c r="C450" s="277"/>
      <c r="D450" s="341">
        <v>0</v>
      </c>
      <c r="E450" s="341">
        <v>0</v>
      </c>
      <c r="F450" s="341">
        <v>0</v>
      </c>
      <c r="G450" s="341">
        <v>0</v>
      </c>
      <c r="H450" s="341">
        <v>0</v>
      </c>
      <c r="I450" s="341">
        <v>0</v>
      </c>
      <c r="J450" s="341">
        <v>0</v>
      </c>
      <c r="K450" s="341">
        <v>0</v>
      </c>
      <c r="L450" s="341">
        <v>0</v>
      </c>
      <c r="M450" s="341">
        <v>0</v>
      </c>
      <c r="N450" s="341">
        <v>0</v>
      </c>
      <c r="O450" s="341">
        <v>0</v>
      </c>
      <c r="P450" s="341">
        <v>0</v>
      </c>
      <c r="Q450" s="341">
        <v>0</v>
      </c>
      <c r="R450" s="341">
        <v>0</v>
      </c>
      <c r="S450" s="341">
        <v>0</v>
      </c>
      <c r="T450" s="341">
        <v>0</v>
      </c>
      <c r="U450" s="341">
        <v>0</v>
      </c>
      <c r="V450" s="341">
        <v>0</v>
      </c>
      <c r="W450" s="341">
        <v>0</v>
      </c>
    </row>
    <row r="451" spans="1:23" x14ac:dyDescent="0.2">
      <c r="A451" s="277"/>
      <c r="B451" s="303"/>
      <c r="C451" s="277"/>
      <c r="D451" s="277"/>
      <c r="E451" s="277"/>
      <c r="F451" s="277"/>
      <c r="G451" s="277"/>
      <c r="H451" s="277"/>
      <c r="I451" s="277"/>
      <c r="J451" s="277"/>
      <c r="K451" s="277"/>
      <c r="L451" s="277"/>
      <c r="M451" s="277"/>
      <c r="N451" s="277"/>
      <c r="O451" s="277"/>
      <c r="P451" s="277"/>
      <c r="Q451" s="277"/>
      <c r="R451" s="277"/>
      <c r="S451" s="277"/>
      <c r="T451" s="277"/>
      <c r="U451" s="277"/>
      <c r="V451" s="277"/>
      <c r="W451" s="277"/>
    </row>
    <row r="452" spans="1:23" x14ac:dyDescent="0.2">
      <c r="A452" s="277"/>
      <c r="B452" s="303"/>
      <c r="C452" s="277"/>
      <c r="D452" s="277"/>
      <c r="E452" s="277"/>
      <c r="F452" s="277"/>
      <c r="G452" s="277"/>
      <c r="H452" s="277"/>
      <c r="I452" s="277"/>
      <c r="J452" s="277"/>
      <c r="K452" s="277"/>
      <c r="L452" s="277"/>
      <c r="M452" s="277"/>
      <c r="N452" s="277"/>
      <c r="O452" s="277"/>
      <c r="P452" s="277"/>
      <c r="Q452" s="277"/>
      <c r="R452" s="277"/>
      <c r="S452" s="277"/>
      <c r="T452" s="277"/>
      <c r="U452" s="277"/>
      <c r="V452" s="277"/>
      <c r="W452" s="277"/>
    </row>
    <row r="453" spans="1:23" x14ac:dyDescent="0.2">
      <c r="A453" s="284" t="s">
        <v>202</v>
      </c>
      <c r="B453" s="279"/>
      <c r="C453" s="278"/>
      <c r="D453" s="435">
        <v>17651062.720475927</v>
      </c>
      <c r="E453" s="435">
        <v>18671346.23586278</v>
      </c>
      <c r="F453" s="435">
        <v>21000628.461697549</v>
      </c>
      <c r="G453" s="435">
        <v>21758800.832382008</v>
      </c>
      <c r="H453" s="435">
        <v>20471844.509373344</v>
      </c>
      <c r="I453" s="435">
        <v>22009239.270351335</v>
      </c>
      <c r="J453" s="435">
        <v>24066725.579959974</v>
      </c>
      <c r="K453" s="435">
        <v>24664874.822868537</v>
      </c>
      <c r="L453" s="435">
        <v>25155168.859508004</v>
      </c>
      <c r="M453" s="435">
        <v>25041326.382816568</v>
      </c>
      <c r="N453" s="435">
        <v>25668404.770948317</v>
      </c>
      <c r="O453" s="435">
        <v>25652144.512412902</v>
      </c>
      <c r="P453" s="435">
        <v>25758585.276901115</v>
      </c>
      <c r="Q453" s="435">
        <v>26898700.216787219</v>
      </c>
      <c r="R453" s="435">
        <v>29993515.037613221</v>
      </c>
      <c r="S453" s="435">
        <v>29067766.253154047</v>
      </c>
      <c r="T453" s="435">
        <v>29279008.561671838</v>
      </c>
      <c r="U453" s="435">
        <v>31354483.86120908</v>
      </c>
      <c r="V453" s="435">
        <v>32949991.695429701</v>
      </c>
      <c r="W453" s="435">
        <v>173070289.8059153</v>
      </c>
    </row>
    <row r="454" spans="1:23" x14ac:dyDescent="0.2">
      <c r="A454" s="9"/>
      <c r="B454" s="6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">
      <c r="B455" s="350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352"/>
      <c r="T455" s="352"/>
      <c r="U455" s="352"/>
      <c r="V455" s="352"/>
      <c r="W455" s="294"/>
    </row>
    <row r="456" spans="1:23" x14ac:dyDescent="0.2">
      <c r="B456" s="348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49"/>
      <c r="N456" s="349"/>
      <c r="O456" s="349"/>
      <c r="P456" s="349"/>
      <c r="Q456" s="349"/>
      <c r="R456" s="349"/>
      <c r="S456" s="349"/>
      <c r="T456" s="349"/>
      <c r="U456" s="349"/>
      <c r="V456" s="349"/>
      <c r="W456" s="294"/>
    </row>
    <row r="457" spans="1:23" x14ac:dyDescent="0.2">
      <c r="B457" s="348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49"/>
      <c r="N457" s="349"/>
      <c r="O457" s="349"/>
      <c r="P457" s="349"/>
      <c r="Q457" s="349"/>
      <c r="R457" s="349"/>
      <c r="S457" s="349"/>
      <c r="T457" s="349"/>
      <c r="U457" s="349"/>
      <c r="V457" s="349"/>
      <c r="W457" s="294"/>
    </row>
    <row r="458" spans="1:23" x14ac:dyDescent="0.2">
      <c r="B458" s="348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294"/>
    </row>
    <row r="459" spans="1:23" x14ac:dyDescent="0.2">
      <c r="B459" s="350"/>
      <c r="C459" s="353"/>
      <c r="D459" s="353"/>
      <c r="E459" s="353"/>
      <c r="F459" s="353"/>
      <c r="G459" s="353"/>
      <c r="H459" s="353"/>
      <c r="I459" s="353"/>
      <c r="J459" s="353"/>
      <c r="K459" s="353"/>
      <c r="L459" s="353"/>
      <c r="M459" s="353"/>
      <c r="N459" s="353"/>
      <c r="O459" s="353"/>
      <c r="P459" s="353"/>
      <c r="Q459" s="353"/>
      <c r="R459" s="353"/>
      <c r="S459" s="353"/>
      <c r="T459" s="353"/>
      <c r="U459" s="353"/>
      <c r="V459" s="353"/>
      <c r="W459" s="294"/>
    </row>
    <row r="460" spans="1:23" x14ac:dyDescent="0.2">
      <c r="B460" s="348"/>
      <c r="C460" s="349"/>
      <c r="D460" s="349"/>
      <c r="E460" s="349"/>
      <c r="F460" s="349"/>
      <c r="G460" s="349"/>
      <c r="H460" s="349"/>
      <c r="I460" s="349"/>
      <c r="J460" s="349"/>
      <c r="K460" s="349"/>
      <c r="L460" s="349"/>
      <c r="M460" s="349"/>
      <c r="N460" s="349"/>
      <c r="O460" s="349"/>
      <c r="P460" s="349"/>
      <c r="Q460" s="349"/>
      <c r="R460" s="349"/>
      <c r="S460" s="349"/>
      <c r="T460" s="349"/>
      <c r="U460" s="349"/>
      <c r="V460" s="349"/>
      <c r="W460" s="294"/>
    </row>
    <row r="461" spans="1:23" x14ac:dyDescent="0.2">
      <c r="B461" s="348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49"/>
      <c r="N461" s="349"/>
      <c r="O461" s="349"/>
      <c r="P461" s="349"/>
      <c r="Q461" s="349"/>
      <c r="R461" s="349"/>
      <c r="S461" s="349"/>
      <c r="T461" s="349"/>
      <c r="U461" s="349"/>
      <c r="V461" s="349"/>
      <c r="W461" s="294"/>
    </row>
    <row r="462" spans="1:23" ht="15.75" x14ac:dyDescent="0.25">
      <c r="A462" s="302" t="s">
        <v>29</v>
      </c>
      <c r="B462" s="305" t="s">
        <v>61</v>
      </c>
      <c r="C462" s="306">
        <v>2000</v>
      </c>
      <c r="D462" s="306">
        <v>2001</v>
      </c>
      <c r="E462" s="306">
        <v>2002</v>
      </c>
      <c r="F462" s="306">
        <v>2003</v>
      </c>
      <c r="G462" s="306">
        <v>2004</v>
      </c>
      <c r="H462" s="306">
        <v>2005</v>
      </c>
      <c r="I462" s="306">
        <v>2006</v>
      </c>
      <c r="J462" s="306">
        <v>2007</v>
      </c>
      <c r="K462" s="306">
        <v>2008</v>
      </c>
      <c r="L462" s="306">
        <v>2009</v>
      </c>
      <c r="M462" s="306">
        <v>2010</v>
      </c>
      <c r="N462" s="306">
        <v>2011</v>
      </c>
      <c r="O462" s="306">
        <v>2012</v>
      </c>
      <c r="P462" s="306">
        <v>2013</v>
      </c>
      <c r="Q462" s="306">
        <v>2014</v>
      </c>
      <c r="R462" s="306">
        <v>2015</v>
      </c>
      <c r="S462" s="306">
        <v>2016</v>
      </c>
      <c r="T462" s="306">
        <v>2017</v>
      </c>
      <c r="U462" s="306">
        <v>2018</v>
      </c>
      <c r="V462" s="306">
        <v>2019</v>
      </c>
      <c r="W462" s="306" t="s">
        <v>154</v>
      </c>
    </row>
    <row r="463" spans="1:23" x14ac:dyDescent="0.2">
      <c r="A463" s="302" t="s">
        <v>26</v>
      </c>
      <c r="B463" s="303">
        <v>198</v>
      </c>
      <c r="C463" s="308"/>
      <c r="D463" s="308"/>
      <c r="E463" s="308"/>
      <c r="F463" s="308"/>
      <c r="G463" s="308"/>
      <c r="H463" s="308"/>
      <c r="I463" s="308"/>
      <c r="J463" s="308"/>
      <c r="K463" s="308"/>
      <c r="L463" s="308"/>
      <c r="M463" s="308"/>
      <c r="N463" s="308"/>
      <c r="O463" s="308"/>
      <c r="P463" s="308"/>
      <c r="Q463" s="308"/>
      <c r="R463" s="308"/>
      <c r="S463" s="308"/>
      <c r="T463" s="308"/>
      <c r="U463" s="308"/>
      <c r="V463" s="308"/>
      <c r="W463" s="308"/>
    </row>
    <row r="464" spans="1:23" x14ac:dyDescent="0.2">
      <c r="A464" s="9"/>
      <c r="B464" s="309" t="s">
        <v>27</v>
      </c>
      <c r="C464" s="443">
        <v>0</v>
      </c>
      <c r="D464" s="404">
        <v>59029311.854294986</v>
      </c>
      <c r="E464" s="404">
        <v>58210648.919015475</v>
      </c>
      <c r="F464" s="404">
        <v>59331104.023196816</v>
      </c>
      <c r="G464" s="404">
        <v>58490156.078010201</v>
      </c>
      <c r="H464" s="404">
        <v>58930714.792684168</v>
      </c>
      <c r="I464" s="404">
        <v>62909826.144510292</v>
      </c>
      <c r="J464" s="404">
        <v>67455388.759581819</v>
      </c>
      <c r="K464" s="404">
        <v>69200982.973789617</v>
      </c>
      <c r="L464" s="404">
        <v>70649414.987609908</v>
      </c>
      <c r="M464" s="404">
        <v>70901629.495393306</v>
      </c>
      <c r="N464" s="404">
        <v>72433454.509513274</v>
      </c>
      <c r="O464" s="404">
        <v>73246866.782198653</v>
      </c>
      <c r="P464" s="404">
        <v>74108839.22453174</v>
      </c>
      <c r="Q464" s="404">
        <v>76717560.840618134</v>
      </c>
      <c r="R464" s="404">
        <v>82160594.812440157</v>
      </c>
      <c r="S464" s="404">
        <v>81687290.118504524</v>
      </c>
      <c r="T464" s="404">
        <v>82728379.855482772</v>
      </c>
      <c r="U464" s="404">
        <v>86703927.821170628</v>
      </c>
      <c r="V464" s="404">
        <v>89337436.025539756</v>
      </c>
      <c r="W464" s="327"/>
    </row>
    <row r="465" spans="1:23" x14ac:dyDescent="0.2">
      <c r="A465" s="9"/>
      <c r="B465" s="309" t="s">
        <v>20</v>
      </c>
      <c r="C465" s="443">
        <v>0</v>
      </c>
      <c r="D465" s="404">
        <v>-17654877.869266108</v>
      </c>
      <c r="E465" s="404">
        <v>-17907791.768126413</v>
      </c>
      <c r="F465" s="404">
        <v>-18217239.36202608</v>
      </c>
      <c r="G465" s="404">
        <v>-18742407.634365417</v>
      </c>
      <c r="H465" s="404">
        <v>-19398496.042585384</v>
      </c>
      <c r="I465" s="404">
        <v>-20151286.823898997</v>
      </c>
      <c r="J465" s="404">
        <v>-20615458.214748498</v>
      </c>
      <c r="K465" s="404">
        <v>-21057313.673345614</v>
      </c>
      <c r="L465" s="404">
        <v>-21400979.03003227</v>
      </c>
      <c r="M465" s="404">
        <v>-21564629.199883055</v>
      </c>
      <c r="N465" s="404">
        <v>-21853248.590347163</v>
      </c>
      <c r="O465" s="404">
        <v>-22326346.35409762</v>
      </c>
      <c r="P465" s="404">
        <v>-22832174.151818231</v>
      </c>
      <c r="Q465" s="404">
        <v>-23317173.746103279</v>
      </c>
      <c r="R465" s="404">
        <v>-23642986.356988039</v>
      </c>
      <c r="S465" s="404">
        <v>-24125010.493639432</v>
      </c>
      <c r="T465" s="404">
        <v>-24675470.155864809</v>
      </c>
      <c r="U465" s="404">
        <v>-25280975.784312718</v>
      </c>
      <c r="V465" s="404">
        <v>-25905821.887379345</v>
      </c>
      <c r="W465" s="327"/>
    </row>
    <row r="466" spans="1:23" x14ac:dyDescent="0.2">
      <c r="A466" s="9"/>
      <c r="B466" s="309" t="s">
        <v>31</v>
      </c>
      <c r="C466" s="443">
        <v>0</v>
      </c>
      <c r="D466" s="404">
        <v>-1205351.1234934758</v>
      </c>
      <c r="E466" s="404">
        <v>-1229680.3592911656</v>
      </c>
      <c r="F466" s="404">
        <v>-2050467.7257127655</v>
      </c>
      <c r="G466" s="404">
        <v>-2095688.1898554435</v>
      </c>
      <c r="H466" s="404">
        <v>-2141917.2272867966</v>
      </c>
      <c r="I466" s="404">
        <v>-2189177.591092722</v>
      </c>
      <c r="J466" s="404">
        <v>-2237492.5535075944</v>
      </c>
      <c r="K466" s="404">
        <v>-2286885.9178902442</v>
      </c>
      <c r="L466" s="404">
        <v>-2337382.0309790978</v>
      </c>
      <c r="M466" s="404">
        <v>-2389005.7954330486</v>
      </c>
      <c r="N466" s="404">
        <v>-2441782.6826647837</v>
      </c>
      <c r="O466" s="404">
        <v>-2495738.7459734562</v>
      </c>
      <c r="P466" s="404">
        <v>-2550900.6339837438</v>
      </c>
      <c r="Q466" s="404">
        <v>-2607295.6043985323</v>
      </c>
      <c r="R466" s="404">
        <v>-2664951.5380725772</v>
      </c>
      <c r="S466" s="404">
        <v>-2723896.9534147503</v>
      </c>
      <c r="T466" s="404">
        <v>-2784161.0211265762</v>
      </c>
      <c r="U466" s="404">
        <v>-2845773.5792850209</v>
      </c>
      <c r="V466" s="404">
        <v>-2908765.1487776181</v>
      </c>
      <c r="W466" s="327"/>
    </row>
    <row r="467" spans="1:23" x14ac:dyDescent="0.2">
      <c r="A467" s="9"/>
      <c r="B467" s="309" t="s">
        <v>32</v>
      </c>
      <c r="C467" s="443">
        <v>0</v>
      </c>
      <c r="D467" s="404">
        <v>0</v>
      </c>
      <c r="E467" s="404">
        <v>0</v>
      </c>
      <c r="F467" s="404">
        <v>0</v>
      </c>
      <c r="G467" s="404">
        <v>0</v>
      </c>
      <c r="H467" s="404">
        <v>0</v>
      </c>
      <c r="I467" s="404">
        <v>-1254558.6561632352</v>
      </c>
      <c r="J467" s="404">
        <v>-1390578.0512488952</v>
      </c>
      <c r="K467" s="404">
        <v>-1663008.286253568</v>
      </c>
      <c r="L467" s="404">
        <v>-1685345.4290694122</v>
      </c>
      <c r="M467" s="404">
        <v>-1874363.2398048388</v>
      </c>
      <c r="N467" s="404">
        <v>-2064752.8550426075</v>
      </c>
      <c r="O467" s="404">
        <v>-2287684.2602247195</v>
      </c>
      <c r="P467" s="404">
        <v>-2565095.8533111084</v>
      </c>
      <c r="Q467" s="404">
        <v>-2855351.9602947235</v>
      </c>
      <c r="R467" s="404">
        <v>-3162857.7124402379</v>
      </c>
      <c r="S467" s="404">
        <v>-3472813.8787016626</v>
      </c>
      <c r="T467" s="404">
        <v>-3411870.3279863629</v>
      </c>
      <c r="U467" s="404">
        <v>-2919039.6051844042</v>
      </c>
      <c r="V467" s="404">
        <v>-3026505.5178768802</v>
      </c>
      <c r="W467" s="327"/>
    </row>
    <row r="468" spans="1:23" ht="13.5" thickBot="1" x14ac:dyDescent="0.25">
      <c r="A468" s="9"/>
      <c r="B468" s="310" t="s">
        <v>33</v>
      </c>
      <c r="C468" s="444">
        <v>0</v>
      </c>
      <c r="D468" s="406">
        <v>0</v>
      </c>
      <c r="E468" s="406">
        <v>0</v>
      </c>
      <c r="F468" s="406">
        <v>-955152.53764317709</v>
      </c>
      <c r="G468" s="406">
        <v>-813849.83401683159</v>
      </c>
      <c r="H468" s="406">
        <v>-844887.31612006843</v>
      </c>
      <c r="I468" s="406">
        <v>-877489.86788591905</v>
      </c>
      <c r="J468" s="406">
        <v>-1102318.9220792225</v>
      </c>
      <c r="K468" s="406">
        <v>-962863.22462863382</v>
      </c>
      <c r="L468" s="406">
        <v>-1019122.6913543867</v>
      </c>
      <c r="M468" s="406">
        <v>-969734.2721628818</v>
      </c>
      <c r="N468" s="406">
        <v>-997508.26095130108</v>
      </c>
      <c r="O468" s="406">
        <v>-1023374.5199481082</v>
      </c>
      <c r="P468" s="406">
        <v>-914088.15744384122</v>
      </c>
      <c r="Q468" s="406">
        <v>-946771.08566084248</v>
      </c>
      <c r="R468" s="406">
        <v>-966336.47105670813</v>
      </c>
      <c r="S468" s="406">
        <v>-1026181.4391545581</v>
      </c>
      <c r="T468" s="406">
        <v>-964716.98487047479</v>
      </c>
      <c r="U468" s="406">
        <v>-1062517.1384247036</v>
      </c>
      <c r="V468" s="406">
        <v>-578488.04506147769</v>
      </c>
      <c r="W468" s="327"/>
    </row>
    <row r="469" spans="1:23" ht="13.5" thickTop="1" x14ac:dyDescent="0.2">
      <c r="A469" s="9"/>
      <c r="B469" s="311" t="s">
        <v>38</v>
      </c>
      <c r="C469" s="445">
        <v>0</v>
      </c>
      <c r="D469" s="408">
        <v>40169082.8615354</v>
      </c>
      <c r="E469" s="408">
        <v>39073176.791597895</v>
      </c>
      <c r="F469" s="408">
        <v>38108244.397814788</v>
      </c>
      <c r="G469" s="408">
        <v>36838210.419772513</v>
      </c>
      <c r="H469" s="408">
        <v>36545414.206691921</v>
      </c>
      <c r="I469" s="408">
        <v>38437313.205469422</v>
      </c>
      <c r="J469" s="408">
        <v>42109541.017997608</v>
      </c>
      <c r="K469" s="408">
        <v>43230911.871671557</v>
      </c>
      <c r="L469" s="408">
        <v>44206585.80617474</v>
      </c>
      <c r="M469" s="408">
        <v>44103896.988109469</v>
      </c>
      <c r="N469" s="408">
        <v>45076162.120507419</v>
      </c>
      <c r="O469" s="408">
        <v>45113722.901954748</v>
      </c>
      <c r="P469" s="408">
        <v>45246580.427974813</v>
      </c>
      <c r="Q469" s="408">
        <v>46990968.444160752</v>
      </c>
      <c r="R469" s="408">
        <v>51723462.733882591</v>
      </c>
      <c r="S469" s="408">
        <v>50339387.353594117</v>
      </c>
      <c r="T469" s="408">
        <v>50892161.365634561</v>
      </c>
      <c r="U469" s="408">
        <v>54595621.713963784</v>
      </c>
      <c r="V469" s="408">
        <v>56917855.426444434</v>
      </c>
      <c r="W469" s="327"/>
    </row>
    <row r="470" spans="1:23" x14ac:dyDescent="0.2">
      <c r="A470" s="9"/>
      <c r="B470" s="309" t="s">
        <v>34</v>
      </c>
      <c r="C470" s="443">
        <v>0</v>
      </c>
      <c r="D470" s="404">
        <v>-2322788.9396784999</v>
      </c>
      <c r="E470" s="404">
        <v>-2369244.7184720701</v>
      </c>
      <c r="F470" s="404">
        <v>-2452166.6128415116</v>
      </c>
      <c r="G470" s="404">
        <v>-2501387.6300983415</v>
      </c>
      <c r="H470" s="404">
        <v>-2551597.5098253083</v>
      </c>
      <c r="I470" s="404">
        <v>-2602816.1403249395</v>
      </c>
      <c r="J470" s="404">
        <v>-2655063.8104421417</v>
      </c>
      <c r="K470" s="404">
        <v>-2708361.2176444554</v>
      </c>
      <c r="L470" s="404">
        <v>-2762729.4762656516</v>
      </c>
      <c r="M470" s="404">
        <v>-2818190.12591598</v>
      </c>
      <c r="N470" s="404">
        <v>-2874765.1400624402</v>
      </c>
      <c r="O470" s="404">
        <v>-2932476.9347825334</v>
      </c>
      <c r="P470" s="404">
        <v>-2991348.3776949993</v>
      </c>
      <c r="Q470" s="404">
        <v>-3051402.7970711347</v>
      </c>
      <c r="R470" s="404">
        <v>-3112663.9911303483</v>
      </c>
      <c r="S470" s="404">
        <v>-3175156.2375236917</v>
      </c>
      <c r="T470" s="404">
        <v>-3238904.3030091701</v>
      </c>
      <c r="U470" s="404">
        <v>-3303933.4533227333</v>
      </c>
      <c r="V470" s="404">
        <v>-3370269.4632489025</v>
      </c>
      <c r="W470" s="327"/>
    </row>
    <row r="471" spans="1:23" x14ac:dyDescent="0.2">
      <c r="A471" s="9"/>
      <c r="B471" s="309" t="s">
        <v>35</v>
      </c>
      <c r="C471" s="443">
        <v>0</v>
      </c>
      <c r="D471" s="404">
        <v>-784147.16871290235</v>
      </c>
      <c r="E471" s="404">
        <v>-791825.82781056478</v>
      </c>
      <c r="F471" s="404">
        <v>-799672.64954246604</v>
      </c>
      <c r="G471" s="404">
        <v>-807696.80944550817</v>
      </c>
      <c r="H471" s="404">
        <v>-815911.94435424276</v>
      </c>
      <c r="I471" s="404">
        <v>-824678.59368557215</v>
      </c>
      <c r="J471" s="404">
        <v>-833308.46513482928</v>
      </c>
      <c r="K471" s="404">
        <v>-842519.83192443964</v>
      </c>
      <c r="L471" s="404">
        <v>-851586.69654419599</v>
      </c>
      <c r="M471" s="404">
        <v>-860884.76621175604</v>
      </c>
      <c r="N471" s="404">
        <v>-870407.84916527104</v>
      </c>
      <c r="O471" s="404">
        <v>-880170.9138092146</v>
      </c>
      <c r="P471" s="404">
        <v>-890181.96029511432</v>
      </c>
      <c r="Q471" s="404">
        <v>-900443.28294316155</v>
      </c>
      <c r="R471" s="404">
        <v>-910962.1647896748</v>
      </c>
      <c r="S471" s="404">
        <v>-921744.01868235087</v>
      </c>
      <c r="T471" s="404">
        <v>-932793.26255156531</v>
      </c>
      <c r="U471" s="404">
        <v>-944119.84244189702</v>
      </c>
      <c r="V471" s="404">
        <v>-955730.71948747605</v>
      </c>
      <c r="W471" s="327"/>
    </row>
    <row r="472" spans="1:23" ht="13.5" thickBot="1" x14ac:dyDescent="0.25">
      <c r="A472" s="9"/>
      <c r="B472" s="310" t="s">
        <v>36</v>
      </c>
      <c r="C472" s="444">
        <v>0</v>
      </c>
      <c r="D472" s="406">
        <v>-467999.200989959</v>
      </c>
      <c r="E472" s="406">
        <v>-477873.98413085</v>
      </c>
      <c r="F472" s="406">
        <v>-488339.42438331601</v>
      </c>
      <c r="G472" s="406">
        <v>-499375.89537437499</v>
      </c>
      <c r="H472" s="406">
        <v>-511261.04168428603</v>
      </c>
      <c r="I472" s="406">
        <v>-524073.29478688602</v>
      </c>
      <c r="J472" s="406">
        <v>-537071.77249853604</v>
      </c>
      <c r="K472" s="406">
        <v>-550666.16895914497</v>
      </c>
      <c r="L472" s="406">
        <v>-564267.62333243701</v>
      </c>
      <c r="M472" s="406">
        <v>-578656.44772741199</v>
      </c>
      <c r="N472" s="406">
        <v>-592659.93376241799</v>
      </c>
      <c r="O472" s="406">
        <v>-607594.96409322903</v>
      </c>
      <c r="P472" s="406">
        <v>-623027.87618119596</v>
      </c>
      <c r="Q472" s="406">
        <v>-638603.57308572496</v>
      </c>
      <c r="R472" s="406">
        <v>-654632.52277017699</v>
      </c>
      <c r="S472" s="406">
        <v>-670998.33583943301</v>
      </c>
      <c r="T472" s="406">
        <v>-687639.09456825</v>
      </c>
      <c r="U472" s="406">
        <v>-704898.83584191406</v>
      </c>
      <c r="V472" s="406">
        <v>-722591.79662154603</v>
      </c>
      <c r="W472" s="327"/>
    </row>
    <row r="473" spans="1:23" ht="13.5" thickTop="1" x14ac:dyDescent="0.2">
      <c r="A473" s="9"/>
      <c r="B473" s="311" t="s">
        <v>220</v>
      </c>
      <c r="C473" s="446">
        <v>0</v>
      </c>
      <c r="D473" s="410">
        <v>36594147.552154042</v>
      </c>
      <c r="E473" s="410">
        <v>35434232.261184409</v>
      </c>
      <c r="F473" s="410">
        <v>34368065.7110475</v>
      </c>
      <c r="G473" s="410">
        <v>33029750.084854286</v>
      </c>
      <c r="H473" s="410">
        <v>32666643.710828081</v>
      </c>
      <c r="I473" s="410">
        <v>34485745.176672019</v>
      </c>
      <c r="J473" s="410">
        <v>38084096.969922103</v>
      </c>
      <c r="K473" s="410">
        <v>39129364.653143518</v>
      </c>
      <c r="L473" s="410">
        <v>40028002.01003246</v>
      </c>
      <c r="M473" s="410">
        <v>39846165.64825432</v>
      </c>
      <c r="N473" s="410">
        <v>40738329.197517298</v>
      </c>
      <c r="O473" s="410">
        <v>40693480.089269765</v>
      </c>
      <c r="P473" s="410">
        <v>40742022.213803507</v>
      </c>
      <c r="Q473" s="410">
        <v>42400518.791060731</v>
      </c>
      <c r="R473" s="410">
        <v>47045204.055192389</v>
      </c>
      <c r="S473" s="410">
        <v>45571488.761548638</v>
      </c>
      <c r="T473" s="410">
        <v>46032824.705505572</v>
      </c>
      <c r="U473" s="410">
        <v>49642669.582357243</v>
      </c>
      <c r="V473" s="410">
        <v>51869263.447086513</v>
      </c>
      <c r="W473" s="327"/>
    </row>
    <row r="474" spans="1:23" x14ac:dyDescent="0.2">
      <c r="A474" s="9"/>
      <c r="B474" s="309" t="s">
        <v>37</v>
      </c>
      <c r="C474" s="443">
        <v>0</v>
      </c>
      <c r="D474" s="404">
        <v>-1069759.6792499998</v>
      </c>
      <c r="E474" s="404">
        <v>-1814450.4413242002</v>
      </c>
      <c r="F474" s="404">
        <v>-2041965.8463563998</v>
      </c>
      <c r="G474" s="404">
        <v>-2135973.2199964002</v>
      </c>
      <c r="H474" s="404">
        <v>-2045195.4127860002</v>
      </c>
      <c r="I474" s="404">
        <v>-1538830.28524304</v>
      </c>
      <c r="J474" s="404">
        <v>-1007068.1225786073</v>
      </c>
      <c r="K474" s="404">
        <v>-824781.95448470558</v>
      </c>
      <c r="L474" s="404">
        <v>-763836.9500448748</v>
      </c>
      <c r="M474" s="404">
        <v>-720934.45378960692</v>
      </c>
      <c r="N474" s="404">
        <v>-680525.75891158113</v>
      </c>
      <c r="O474" s="404">
        <v>-715095.33043252467</v>
      </c>
      <c r="P474" s="404">
        <v>-750405.22894047643</v>
      </c>
      <c r="Q474" s="404">
        <v>-786737.88440366671</v>
      </c>
      <c r="R474" s="404">
        <v>-783697.05953075283</v>
      </c>
      <c r="S474" s="404">
        <v>-781753.46991165134</v>
      </c>
      <c r="T474" s="404">
        <v>-821474.81260397693</v>
      </c>
      <c r="U474" s="404">
        <v>-862387.79557707219</v>
      </c>
      <c r="V474" s="404">
        <v>-904528.1680393602</v>
      </c>
      <c r="W474" s="327"/>
    </row>
    <row r="475" spans="1:23" ht="13.5" thickBot="1" x14ac:dyDescent="0.25">
      <c r="A475" s="9"/>
      <c r="B475" s="310" t="s">
        <v>221</v>
      </c>
      <c r="C475" s="444">
        <v>0</v>
      </c>
      <c r="D475" s="406">
        <v>-14209755.149161616</v>
      </c>
      <c r="E475" s="406">
        <v>-13447912.727944085</v>
      </c>
      <c r="F475" s="406">
        <v>-12930439.945876442</v>
      </c>
      <c r="G475" s="406">
        <v>-12357510.745943155</v>
      </c>
      <c r="H475" s="406">
        <v>-12248579.319216833</v>
      </c>
      <c r="I475" s="406">
        <v>-13178765.956571592</v>
      </c>
      <c r="J475" s="406">
        <v>-14830811.538937399</v>
      </c>
      <c r="K475" s="406">
        <v>-15321833.079463525</v>
      </c>
      <c r="L475" s="406">
        <v>-15705666.023995034</v>
      </c>
      <c r="M475" s="406">
        <v>-15650092.477785885</v>
      </c>
      <c r="N475" s="406">
        <v>-16023121.375442289</v>
      </c>
      <c r="O475" s="406">
        <v>-15991353.903534897</v>
      </c>
      <c r="P475" s="406">
        <v>-15996646.793945212</v>
      </c>
      <c r="Q475" s="406">
        <v>-16645512.362662826</v>
      </c>
      <c r="R475" s="406">
        <v>-18504602.798264656</v>
      </c>
      <c r="S475" s="406">
        <v>-17915894.116654795</v>
      </c>
      <c r="T475" s="406">
        <v>-18084539.957160637</v>
      </c>
      <c r="U475" s="406">
        <v>-19512112.714712068</v>
      </c>
      <c r="V475" s="406">
        <v>-20385894.111618862</v>
      </c>
      <c r="W475" s="327"/>
    </row>
    <row r="476" spans="1:23" ht="13.5" thickTop="1" x14ac:dyDescent="0.2">
      <c r="A476" s="9"/>
      <c r="B476" s="311" t="s">
        <v>183</v>
      </c>
      <c r="C476" s="446">
        <v>0</v>
      </c>
      <c r="D476" s="410">
        <v>21314632.723742425</v>
      </c>
      <c r="E476" s="410">
        <v>20171869.091916129</v>
      </c>
      <c r="F476" s="410">
        <v>19395659.918814659</v>
      </c>
      <c r="G476" s="410">
        <v>18536266.118914731</v>
      </c>
      <c r="H476" s="410">
        <v>18372868.978825249</v>
      </c>
      <c r="I476" s="410">
        <v>19768148.934857383</v>
      </c>
      <c r="J476" s="410">
        <v>22246217.3084061</v>
      </c>
      <c r="K476" s="410">
        <v>22982749.619195282</v>
      </c>
      <c r="L476" s="410">
        <v>23558499.035992548</v>
      </c>
      <c r="M476" s="410">
        <v>23475138.716678828</v>
      </c>
      <c r="N476" s="410">
        <v>24034682.063163429</v>
      </c>
      <c r="O476" s="410">
        <v>23987030.855302341</v>
      </c>
      <c r="P476" s="410">
        <v>23994970.190917816</v>
      </c>
      <c r="Q476" s="410">
        <v>24968268.543994237</v>
      </c>
      <c r="R476" s="410">
        <v>27756904.197396982</v>
      </c>
      <c r="S476" s="410">
        <v>26873841.174982194</v>
      </c>
      <c r="T476" s="410">
        <v>27126809.935740955</v>
      </c>
      <c r="U476" s="410">
        <v>29268169.072068103</v>
      </c>
      <c r="V476" s="410">
        <v>30578841.167428292</v>
      </c>
      <c r="W476" s="327"/>
    </row>
    <row r="477" spans="1:23" x14ac:dyDescent="0.2">
      <c r="A477" s="9"/>
      <c r="B477" s="309" t="s">
        <v>37</v>
      </c>
      <c r="C477" s="443">
        <v>0</v>
      </c>
      <c r="D477" s="404">
        <v>1069759.6792499998</v>
      </c>
      <c r="E477" s="404">
        <v>1814450.4413242002</v>
      </c>
      <c r="F477" s="404">
        <v>2041965.8463563998</v>
      </c>
      <c r="G477" s="404">
        <v>2135973.2199964002</v>
      </c>
      <c r="H477" s="404">
        <v>2045195.4127860002</v>
      </c>
      <c r="I477" s="404">
        <v>1538830.28524304</v>
      </c>
      <c r="J477" s="404">
        <v>1007068.1225786073</v>
      </c>
      <c r="K477" s="404">
        <v>824781.95448470558</v>
      </c>
      <c r="L477" s="404">
        <v>763836.9500448748</v>
      </c>
      <c r="M477" s="404">
        <v>720934.45378960692</v>
      </c>
      <c r="N477" s="404">
        <v>680525.75891158113</v>
      </c>
      <c r="O477" s="404">
        <v>715095.33043252467</v>
      </c>
      <c r="P477" s="404">
        <v>750405.22894047643</v>
      </c>
      <c r="Q477" s="404">
        <v>786737.88440366671</v>
      </c>
      <c r="R477" s="404">
        <v>783697.05953075283</v>
      </c>
      <c r="S477" s="404">
        <v>781753.46991165134</v>
      </c>
      <c r="T477" s="404">
        <v>821474.81260397693</v>
      </c>
      <c r="U477" s="404">
        <v>862387.79557707219</v>
      </c>
      <c r="V477" s="404">
        <v>904528.1680393602</v>
      </c>
      <c r="W477" s="327"/>
    </row>
    <row r="478" spans="1:23" x14ac:dyDescent="0.2">
      <c r="A478" s="9"/>
      <c r="B478" s="309" t="s">
        <v>39</v>
      </c>
      <c r="C478" s="443">
        <v>0</v>
      </c>
      <c r="D478" s="404">
        <v>-2359867.1800000002</v>
      </c>
      <c r="E478" s="404">
        <v>-51955.200000000186</v>
      </c>
      <c r="F478" s="404">
        <v>-453987.6</v>
      </c>
      <c r="G478" s="404">
        <v>-54796.5</v>
      </c>
      <c r="H478" s="404">
        <v>-594021.29600000032</v>
      </c>
      <c r="I478" s="404">
        <v>-611841.93488000031</v>
      </c>
      <c r="J478" s="404">
        <v>-630197.19292640034</v>
      </c>
      <c r="K478" s="404">
        <v>-649103.10871419241</v>
      </c>
      <c r="L478" s="404">
        <v>-668576.20197561814</v>
      </c>
      <c r="M478" s="404">
        <v>-688633.48803488666</v>
      </c>
      <c r="N478" s="404">
        <v>-709292.49267593329</v>
      </c>
      <c r="O478" s="404">
        <v>-730571.26745621127</v>
      </c>
      <c r="P478" s="404">
        <v>-752488.40547989763</v>
      </c>
      <c r="Q478" s="404">
        <v>-775063.05764429457</v>
      </c>
      <c r="R478" s="404">
        <v>-798314.94937362347</v>
      </c>
      <c r="S478" s="404">
        <v>-822264.39785483223</v>
      </c>
      <c r="T478" s="404">
        <v>-846932.32979047718</v>
      </c>
      <c r="U478" s="404">
        <v>-872340.29968419147</v>
      </c>
      <c r="V478" s="404">
        <v>-898510.50867471728</v>
      </c>
      <c r="W478" s="327"/>
    </row>
    <row r="479" spans="1:23" ht="13.5" thickBot="1" x14ac:dyDescent="0.25">
      <c r="A479" s="9"/>
      <c r="B479" s="310" t="s">
        <v>40</v>
      </c>
      <c r="C479" s="444">
        <v>0</v>
      </c>
      <c r="D479" s="406">
        <v>-7279104</v>
      </c>
      <c r="E479" s="406">
        <v>-1766161.92</v>
      </c>
      <c r="F479" s="406">
        <v>-1476105.18</v>
      </c>
      <c r="G479" s="406">
        <v>0</v>
      </c>
      <c r="H479" s="406">
        <v>0</v>
      </c>
      <c r="I479" s="406">
        <v>0</v>
      </c>
      <c r="J479" s="406">
        <v>0</v>
      </c>
      <c r="K479" s="406">
        <v>0</v>
      </c>
      <c r="L479" s="406">
        <v>0</v>
      </c>
      <c r="M479" s="406">
        <v>0</v>
      </c>
      <c r="N479" s="406">
        <v>0</v>
      </c>
      <c r="O479" s="406">
        <v>0</v>
      </c>
      <c r="P479" s="406">
        <v>0</v>
      </c>
      <c r="Q479" s="406">
        <v>0</v>
      </c>
      <c r="R479" s="406">
        <v>0</v>
      </c>
      <c r="S479" s="406">
        <v>0</v>
      </c>
      <c r="T479" s="406">
        <v>0</v>
      </c>
      <c r="U479" s="406">
        <v>0</v>
      </c>
      <c r="V479" s="406">
        <v>0</v>
      </c>
      <c r="W479" s="327"/>
    </row>
    <row r="480" spans="1:23" ht="13.5" thickTop="1" x14ac:dyDescent="0.2">
      <c r="A480" s="9"/>
      <c r="B480" s="309"/>
      <c r="C480" s="447"/>
      <c r="D480" s="327"/>
      <c r="E480" s="327"/>
      <c r="F480" s="327"/>
      <c r="G480" s="327"/>
      <c r="H480" s="327"/>
      <c r="I480" s="327"/>
      <c r="J480" s="327"/>
      <c r="K480" s="327"/>
      <c r="L480" s="327"/>
      <c r="M480" s="327"/>
      <c r="N480" s="327"/>
      <c r="O480" s="327"/>
      <c r="P480" s="327"/>
      <c r="Q480" s="327"/>
      <c r="R480" s="327"/>
      <c r="S480" s="327"/>
      <c r="T480" s="327"/>
      <c r="U480" s="327"/>
      <c r="V480" s="327"/>
      <c r="W480" s="327"/>
    </row>
    <row r="481" spans="1:23" x14ac:dyDescent="0.2">
      <c r="A481" s="9"/>
      <c r="B481" s="311" t="s">
        <v>233</v>
      </c>
      <c r="C481" s="446">
        <v>0</v>
      </c>
      <c r="D481" s="410">
        <v>12745421.222992424</v>
      </c>
      <c r="E481" s="410">
        <v>20168202.413240328</v>
      </c>
      <c r="F481" s="410">
        <v>19507532.985171057</v>
      </c>
      <c r="G481" s="410">
        <v>20617442.838911131</v>
      </c>
      <c r="H481" s="410">
        <v>19824043.095611248</v>
      </c>
      <c r="I481" s="410">
        <v>20695137.285220426</v>
      </c>
      <c r="J481" s="410">
        <v>22623088.238058306</v>
      </c>
      <c r="K481" s="410">
        <v>23158428.464965794</v>
      </c>
      <c r="L481" s="410">
        <v>23653759.784061804</v>
      </c>
      <c r="M481" s="410">
        <v>23507439.682433549</v>
      </c>
      <c r="N481" s="410">
        <v>24005915.329399075</v>
      </c>
      <c r="O481" s="410">
        <v>23971554.918278653</v>
      </c>
      <c r="P481" s="410">
        <v>23992887.014378395</v>
      </c>
      <c r="Q481" s="410">
        <v>24979943.370753609</v>
      </c>
      <c r="R481" s="410">
        <v>27742286.307554111</v>
      </c>
      <c r="S481" s="410">
        <v>26833330.247039013</v>
      </c>
      <c r="T481" s="410">
        <v>27101352.418554455</v>
      </c>
      <c r="U481" s="410">
        <v>29258216.567960981</v>
      </c>
      <c r="V481" s="410">
        <v>30584858.826792933</v>
      </c>
      <c r="W481" s="408">
        <v>160974007.81894362</v>
      </c>
    </row>
    <row r="482" spans="1:23" x14ac:dyDescent="0.2">
      <c r="A482" s="9"/>
      <c r="B482" s="286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">
      <c r="A483" s="302" t="s">
        <v>218</v>
      </c>
      <c r="B483" s="300" t="s">
        <v>170</v>
      </c>
      <c r="C483" s="433">
        <v>69302142.647407666</v>
      </c>
      <c r="D483" s="9"/>
      <c r="E483" s="137" t="s">
        <v>219</v>
      </c>
      <c r="F483" s="313" t="s">
        <v>170</v>
      </c>
      <c r="G483" s="437">
        <v>69302142.647407666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">
      <c r="A484" s="9"/>
      <c r="B484" s="300" t="s">
        <v>180</v>
      </c>
      <c r="C484" s="433">
        <v>110875262.62930071</v>
      </c>
      <c r="D484" s="9"/>
      <c r="E484" s="315"/>
      <c r="F484" s="313" t="s">
        <v>180</v>
      </c>
      <c r="G484" s="437">
        <v>110875262.62930071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3.5" thickBot="1" x14ac:dyDescent="0.25">
      <c r="A485" s="9"/>
      <c r="B485" s="316" t="s">
        <v>137</v>
      </c>
      <c r="C485" s="434">
        <v>23927760.53979462</v>
      </c>
      <c r="D485" s="317"/>
      <c r="E485" s="315"/>
      <c r="F485" s="313" t="s">
        <v>137</v>
      </c>
      <c r="G485" s="437">
        <v>23927760.53979462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4.25" thickTop="1" thickBot="1" x14ac:dyDescent="0.25">
      <c r="A486" s="9"/>
      <c r="B486" s="300" t="s">
        <v>28</v>
      </c>
      <c r="C486" s="432">
        <v>204105165.81650302</v>
      </c>
      <c r="D486" s="299"/>
      <c r="E486" s="315"/>
      <c r="F486" s="318" t="s">
        <v>203</v>
      </c>
      <c r="G486" s="319"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3.5" thickTop="1" x14ac:dyDescent="0.2">
      <c r="A487" s="9"/>
      <c r="B487" s="286"/>
      <c r="C487" s="320"/>
      <c r="D487" s="9"/>
      <c r="E487" s="321"/>
      <c r="F487" s="313" t="s">
        <v>28</v>
      </c>
      <c r="G487" s="362">
        <v>204105165.81650302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">
      <c r="A488" s="9"/>
      <c r="B488" s="286"/>
      <c r="C488" s="320"/>
      <c r="D488" s="9"/>
      <c r="E488" s="321"/>
      <c r="F488" s="313"/>
      <c r="G488" s="322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">
      <c r="A489" s="9"/>
      <c r="B489" s="286"/>
      <c r="C489" s="320"/>
      <c r="D489" s="9"/>
      <c r="E489" s="321"/>
      <c r="F489" s="313"/>
      <c r="G489" s="322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">
      <c r="A490" s="9"/>
      <c r="B490" s="323" t="s">
        <v>222</v>
      </c>
      <c r="C490" s="320"/>
      <c r="D490" s="9"/>
      <c r="E490" s="321"/>
      <c r="F490" s="313"/>
      <c r="G490" s="322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">
      <c r="A491" s="324" t="s">
        <v>224</v>
      </c>
      <c r="B491" s="323" t="s">
        <v>223</v>
      </c>
      <c r="C491" s="325"/>
      <c r="D491" s="326">
        <v>21314632.723742425</v>
      </c>
      <c r="E491" s="326">
        <v>20171869.091916129</v>
      </c>
      <c r="F491" s="326">
        <v>19395659.918814659</v>
      </c>
      <c r="G491" s="326">
        <v>18536266.118914731</v>
      </c>
      <c r="H491" s="326">
        <v>18372868.978825249</v>
      </c>
      <c r="I491" s="326">
        <v>19768148.934857383</v>
      </c>
      <c r="J491" s="326">
        <v>22246217.3084061</v>
      </c>
      <c r="K491" s="326">
        <v>22982749.619195282</v>
      </c>
      <c r="L491" s="326">
        <v>23558499.035992548</v>
      </c>
      <c r="M491" s="326">
        <v>23475138.716678828</v>
      </c>
      <c r="N491" s="326">
        <v>24034682.063163429</v>
      </c>
      <c r="O491" s="326">
        <v>23987030.855302341</v>
      </c>
      <c r="P491" s="326">
        <v>23994970.190917816</v>
      </c>
      <c r="Q491" s="326">
        <v>24968268.543994237</v>
      </c>
      <c r="R491" s="326">
        <v>27756904.197396982</v>
      </c>
      <c r="S491" s="326">
        <v>26873841.174982194</v>
      </c>
      <c r="T491" s="326">
        <v>27126809.935740955</v>
      </c>
      <c r="U491" s="326">
        <v>29268169.072068103</v>
      </c>
      <c r="V491" s="326">
        <v>30578841.167428292</v>
      </c>
      <c r="W491" s="9"/>
    </row>
    <row r="492" spans="1:23" x14ac:dyDescent="0.2">
      <c r="A492" s="9"/>
      <c r="B492" s="286" t="s">
        <v>225</v>
      </c>
      <c r="C492" s="320"/>
      <c r="D492" s="327">
        <v>14209755.149161616</v>
      </c>
      <c r="E492" s="327">
        <v>13447912.727944085</v>
      </c>
      <c r="F492" s="327">
        <v>12930439.945876442</v>
      </c>
      <c r="G492" s="327">
        <v>12357510.745943155</v>
      </c>
      <c r="H492" s="327">
        <v>12248579.319216833</v>
      </c>
      <c r="I492" s="327">
        <v>13178765.956571592</v>
      </c>
      <c r="J492" s="327">
        <v>14830811.538937399</v>
      </c>
      <c r="K492" s="327">
        <v>15321833.079463525</v>
      </c>
      <c r="L492" s="327">
        <v>15705666.023995034</v>
      </c>
      <c r="M492" s="327">
        <v>15650092.477785885</v>
      </c>
      <c r="N492" s="327">
        <v>16023121.375442289</v>
      </c>
      <c r="O492" s="327">
        <v>15991353.903534897</v>
      </c>
      <c r="P492" s="327">
        <v>15996646.793945212</v>
      </c>
      <c r="Q492" s="327">
        <v>16645512.362662826</v>
      </c>
      <c r="R492" s="327">
        <v>18504602.798264656</v>
      </c>
      <c r="S492" s="327">
        <v>17915894.116654795</v>
      </c>
      <c r="T492" s="327">
        <v>18084539.957160637</v>
      </c>
      <c r="U492" s="327">
        <v>19512112.714712068</v>
      </c>
      <c r="V492" s="327">
        <v>20385894.111618862</v>
      </c>
      <c r="W492" s="9"/>
    </row>
    <row r="493" spans="1:23" x14ac:dyDescent="0.2">
      <c r="A493" s="9"/>
      <c r="B493" s="328" t="s">
        <v>226</v>
      </c>
      <c r="C493" s="329"/>
      <c r="D493" s="327">
        <v>1069759.6792499998</v>
      </c>
      <c r="E493" s="327">
        <v>1814450.4413242002</v>
      </c>
      <c r="F493" s="327">
        <v>2041965.8463563998</v>
      </c>
      <c r="G493" s="327">
        <v>2135973.2199964002</v>
      </c>
      <c r="H493" s="327">
        <v>2045195.4127860002</v>
      </c>
      <c r="I493" s="327">
        <v>1538830.28524304</v>
      </c>
      <c r="J493" s="327">
        <v>1007068.1225786073</v>
      </c>
      <c r="K493" s="327">
        <v>824781.95448470558</v>
      </c>
      <c r="L493" s="327">
        <v>763836.9500448748</v>
      </c>
      <c r="M493" s="327">
        <v>720934.45378960692</v>
      </c>
      <c r="N493" s="327">
        <v>680525.75891158113</v>
      </c>
      <c r="O493" s="327">
        <v>715095.33043252467</v>
      </c>
      <c r="P493" s="327">
        <v>750405.22894047643</v>
      </c>
      <c r="Q493" s="327">
        <v>786737.88440366671</v>
      </c>
      <c r="R493" s="327">
        <v>783697.05953075283</v>
      </c>
      <c r="S493" s="327">
        <v>781753.46991165134</v>
      </c>
      <c r="T493" s="327">
        <v>821474.81260397693</v>
      </c>
      <c r="U493" s="327">
        <v>862387.79557707219</v>
      </c>
      <c r="V493" s="327">
        <v>904528.1680393602</v>
      </c>
      <c r="W493" s="9"/>
    </row>
    <row r="494" spans="1:23" ht="13.5" thickBot="1" x14ac:dyDescent="0.25">
      <c r="A494" s="9"/>
      <c r="B494" s="330" t="s">
        <v>227</v>
      </c>
      <c r="C494" s="331"/>
      <c r="D494" s="332">
        <v>36594147.552154042</v>
      </c>
      <c r="E494" s="332">
        <v>35434232.261184409</v>
      </c>
      <c r="F494" s="332">
        <v>34368065.7110475</v>
      </c>
      <c r="G494" s="332">
        <v>33029750.084854286</v>
      </c>
      <c r="H494" s="332">
        <v>32666643.710828081</v>
      </c>
      <c r="I494" s="332">
        <v>34485745.176672019</v>
      </c>
      <c r="J494" s="332">
        <v>38084096.969922103</v>
      </c>
      <c r="K494" s="332">
        <v>39129364.653143518</v>
      </c>
      <c r="L494" s="332">
        <v>40028002.01003246</v>
      </c>
      <c r="M494" s="332">
        <v>39846165.64825432</v>
      </c>
      <c r="N494" s="332">
        <v>40738329.197517298</v>
      </c>
      <c r="O494" s="332">
        <v>40693480.089269765</v>
      </c>
      <c r="P494" s="332">
        <v>40742022.213803507</v>
      </c>
      <c r="Q494" s="332">
        <v>42400518.791060731</v>
      </c>
      <c r="R494" s="332">
        <v>47045204.055192389</v>
      </c>
      <c r="S494" s="332">
        <v>45571488.761548638</v>
      </c>
      <c r="T494" s="332">
        <v>46032824.705505572</v>
      </c>
      <c r="U494" s="332">
        <v>49642669.582357243</v>
      </c>
      <c r="V494" s="332">
        <v>51869263.447086513</v>
      </c>
      <c r="W494" s="9"/>
    </row>
    <row r="495" spans="1:23" ht="13.5" thickTop="1" x14ac:dyDescent="0.2">
      <c r="A495" s="324" t="s">
        <v>228</v>
      </c>
      <c r="B495" s="286" t="s">
        <v>229</v>
      </c>
      <c r="C495" s="320"/>
      <c r="D495" s="327">
        <v>-5918885.2383675007</v>
      </c>
      <c r="E495" s="327">
        <v>-6009791.0943675004</v>
      </c>
      <c r="F495" s="327">
        <v>-6032490.4743675003</v>
      </c>
      <c r="G495" s="327">
        <v>-6035230.2993675005</v>
      </c>
      <c r="H495" s="327">
        <v>-6064931.3641675003</v>
      </c>
      <c r="I495" s="327">
        <v>-6095523.4609115003</v>
      </c>
      <c r="J495" s="327">
        <v>-6127033.3205578206</v>
      </c>
      <c r="K495" s="327">
        <v>-6159488.4759935299</v>
      </c>
      <c r="L495" s="327">
        <v>-6192917.2860923111</v>
      </c>
      <c r="M495" s="327">
        <v>-6227348.9604940554</v>
      </c>
      <c r="N495" s="327">
        <v>-6262813.5851278519</v>
      </c>
      <c r="O495" s="327">
        <v>-6299342.1485006623</v>
      </c>
      <c r="P495" s="327">
        <v>-6336966.5687746573</v>
      </c>
      <c r="Q495" s="327">
        <v>-6375719.721656872</v>
      </c>
      <c r="R495" s="327">
        <v>-6415635.469125553</v>
      </c>
      <c r="S495" s="327">
        <v>-6456748.6890182951</v>
      </c>
      <c r="T495" s="327">
        <v>-4608746.6855078293</v>
      </c>
      <c r="U495" s="327">
        <v>-1400735.3204920283</v>
      </c>
      <c r="V495" s="327">
        <v>-1445660.8459257642</v>
      </c>
      <c r="W495" s="9"/>
    </row>
    <row r="496" spans="1:23" x14ac:dyDescent="0.2">
      <c r="A496" s="9"/>
      <c r="B496" s="286" t="s">
        <v>230</v>
      </c>
      <c r="C496" s="320"/>
      <c r="D496" s="327">
        <v>0</v>
      </c>
      <c r="E496" s="327">
        <v>0</v>
      </c>
      <c r="F496" s="327">
        <v>0</v>
      </c>
      <c r="G496" s="327">
        <v>0</v>
      </c>
      <c r="H496" s="327">
        <v>0</v>
      </c>
      <c r="I496" s="327">
        <v>0</v>
      </c>
      <c r="J496" s="327">
        <v>0</v>
      </c>
      <c r="K496" s="327">
        <v>0</v>
      </c>
      <c r="L496" s="327">
        <v>0</v>
      </c>
      <c r="M496" s="327">
        <v>0</v>
      </c>
      <c r="N496" s="327">
        <v>0</v>
      </c>
      <c r="O496" s="327">
        <v>0</v>
      </c>
      <c r="P496" s="327">
        <v>0</v>
      </c>
      <c r="Q496" s="327">
        <v>0</v>
      </c>
      <c r="R496" s="327">
        <v>0</v>
      </c>
      <c r="S496" s="327">
        <v>0</v>
      </c>
      <c r="T496" s="327">
        <v>0</v>
      </c>
      <c r="U496" s="327">
        <v>0</v>
      </c>
      <c r="V496" s="327">
        <v>0</v>
      </c>
      <c r="W496" s="9"/>
    </row>
    <row r="497" spans="1:23" x14ac:dyDescent="0.2">
      <c r="A497" s="9"/>
      <c r="B497" s="323" t="s">
        <v>231</v>
      </c>
      <c r="C497" s="325"/>
      <c r="D497" s="326">
        <v>30675262.31378654</v>
      </c>
      <c r="E497" s="326">
        <v>29424441.166816909</v>
      </c>
      <c r="F497" s="326">
        <v>28335575.236680001</v>
      </c>
      <c r="G497" s="326">
        <v>26994519.785486788</v>
      </c>
      <c r="H497" s="326">
        <v>26601712.34666058</v>
      </c>
      <c r="I497" s="326">
        <v>28390221.715760518</v>
      </c>
      <c r="J497" s="326">
        <v>31957063.649364281</v>
      </c>
      <c r="K497" s="326">
        <v>32969876.177149989</v>
      </c>
      <c r="L497" s="326">
        <v>33835084.723940149</v>
      </c>
      <c r="M497" s="326">
        <v>33618816.687760264</v>
      </c>
      <c r="N497" s="326">
        <v>34475515.612389445</v>
      </c>
      <c r="O497" s="326">
        <v>34394137.940769106</v>
      </c>
      <c r="P497" s="326">
        <v>34405055.645028852</v>
      </c>
      <c r="Q497" s="326">
        <v>36024799.069403857</v>
      </c>
      <c r="R497" s="326">
        <v>40629568.586066835</v>
      </c>
      <c r="S497" s="326">
        <v>39114740.072530344</v>
      </c>
      <c r="T497" s="326">
        <v>41424078.019997746</v>
      </c>
      <c r="U497" s="326">
        <v>48241934.261865214</v>
      </c>
      <c r="V497" s="326">
        <v>50423602.60116075</v>
      </c>
      <c r="W497" s="9"/>
    </row>
    <row r="498" spans="1:23" ht="13.5" thickBot="1" x14ac:dyDescent="0.25">
      <c r="A498" s="9"/>
      <c r="B498" s="333" t="s">
        <v>237</v>
      </c>
      <c r="C498" s="334"/>
      <c r="D498" s="335">
        <v>-12270104.925514616</v>
      </c>
      <c r="E498" s="335">
        <v>-11769776.466726765</v>
      </c>
      <c r="F498" s="335">
        <v>-11334230.094672002</v>
      </c>
      <c r="G498" s="335">
        <v>-10797807.914194716</v>
      </c>
      <c r="H498" s="335">
        <v>-10640684.938664233</v>
      </c>
      <c r="I498" s="335">
        <v>-11356088.686304208</v>
      </c>
      <c r="J498" s="335">
        <v>-12782825.459745713</v>
      </c>
      <c r="K498" s="335">
        <v>-13187950.470859997</v>
      </c>
      <c r="L498" s="335">
        <v>-13534033.889576061</v>
      </c>
      <c r="M498" s="335">
        <v>-13447526.675104106</v>
      </c>
      <c r="N498" s="335">
        <v>-13790206.244955778</v>
      </c>
      <c r="O498" s="335">
        <v>-13757655.176307643</v>
      </c>
      <c r="P498" s="335">
        <v>-13762022.258011542</v>
      </c>
      <c r="Q498" s="335">
        <v>-14409919.627761543</v>
      </c>
      <c r="R498" s="335">
        <v>-16251827.434426734</v>
      </c>
      <c r="S498" s="335">
        <v>-15645896.029012138</v>
      </c>
      <c r="T498" s="335">
        <v>-16569631.207999099</v>
      </c>
      <c r="U498" s="335">
        <v>-19296773.704746086</v>
      </c>
      <c r="V498" s="335">
        <v>-20169441.040464301</v>
      </c>
      <c r="W498" s="9"/>
    </row>
    <row r="499" spans="1:23" ht="13.5" thickTop="1" x14ac:dyDescent="0.2">
      <c r="A499" s="9"/>
      <c r="B499" s="323" t="s">
        <v>232</v>
      </c>
      <c r="C499" s="325"/>
      <c r="D499" s="326">
        <v>18405157.388271924</v>
      </c>
      <c r="E499" s="326">
        <v>17654664.700090144</v>
      </c>
      <c r="F499" s="326">
        <v>17001345.142007999</v>
      </c>
      <c r="G499" s="326">
        <v>16196711.871292071</v>
      </c>
      <c r="H499" s="326">
        <v>15961027.407996347</v>
      </c>
      <c r="I499" s="326">
        <v>17034133.02945631</v>
      </c>
      <c r="J499" s="326">
        <v>19174238.189618569</v>
      </c>
      <c r="K499" s="326">
        <v>19781925.706289992</v>
      </c>
      <c r="L499" s="326">
        <v>20301050.834364086</v>
      </c>
      <c r="M499" s="326">
        <v>20171290.01265616</v>
      </c>
      <c r="N499" s="326">
        <v>20685309.367433667</v>
      </c>
      <c r="O499" s="326">
        <v>20636482.764461465</v>
      </c>
      <c r="P499" s="326">
        <v>20643033.38701731</v>
      </c>
      <c r="Q499" s="326">
        <v>21614879.441642314</v>
      </c>
      <c r="R499" s="326">
        <v>24377741.151640102</v>
      </c>
      <c r="S499" s="326">
        <v>23468844.043518208</v>
      </c>
      <c r="T499" s="326">
        <v>24854446.811998647</v>
      </c>
      <c r="U499" s="326">
        <v>28945160.557119127</v>
      </c>
      <c r="V499" s="326">
        <v>30254161.560696449</v>
      </c>
      <c r="W499" s="9"/>
    </row>
    <row r="500" spans="1:23" x14ac:dyDescent="0.2">
      <c r="A500" s="9"/>
      <c r="B500" s="9"/>
      <c r="C500" s="320"/>
      <c r="D500" s="9"/>
      <c r="E500" s="321"/>
      <c r="F500" s="313"/>
      <c r="G500" s="322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5.75" x14ac:dyDescent="0.25">
      <c r="A501" s="336" t="s">
        <v>205</v>
      </c>
      <c r="B501" s="33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">
      <c r="A502" s="284" t="s">
        <v>190</v>
      </c>
      <c r="B502" s="303"/>
      <c r="C502" s="338">
        <v>0</v>
      </c>
      <c r="D502" s="277"/>
      <c r="E502" s="277"/>
      <c r="F502" s="277"/>
      <c r="G502" s="277"/>
      <c r="H502" s="277"/>
      <c r="I502" s="277"/>
      <c r="J502" s="277"/>
      <c r="K502" s="277"/>
      <c r="L502" s="277"/>
      <c r="M502" s="277"/>
      <c r="N502" s="277"/>
      <c r="O502" s="277"/>
      <c r="P502" s="277"/>
      <c r="Q502" s="277"/>
      <c r="R502" s="277"/>
      <c r="S502" s="277"/>
      <c r="T502" s="277"/>
      <c r="U502" s="277"/>
      <c r="V502" s="277"/>
      <c r="W502" s="277"/>
    </row>
    <row r="503" spans="1:23" x14ac:dyDescent="0.2">
      <c r="A503" s="284" t="s">
        <v>191</v>
      </c>
      <c r="B503" s="303"/>
      <c r="C503" s="339">
        <v>0</v>
      </c>
      <c r="D503" s="277"/>
      <c r="E503" s="277"/>
      <c r="F503" s="277"/>
      <c r="G503" s="277"/>
      <c r="H503" s="277"/>
      <c r="I503" s="277"/>
      <c r="J503" s="277"/>
      <c r="K503" s="277"/>
      <c r="L503" s="277"/>
      <c r="M503" s="277"/>
      <c r="N503" s="277"/>
      <c r="O503" s="277"/>
      <c r="P503" s="277"/>
      <c r="Q503" s="277"/>
      <c r="R503" s="277"/>
      <c r="S503" s="277"/>
      <c r="T503" s="277"/>
      <c r="U503" s="277"/>
      <c r="V503" s="277"/>
      <c r="W503" s="277"/>
    </row>
    <row r="504" spans="1:23" x14ac:dyDescent="0.2">
      <c r="A504" s="284" t="s">
        <v>201</v>
      </c>
      <c r="B504" s="303"/>
      <c r="C504" s="284">
        <v>15</v>
      </c>
      <c r="D504" s="277"/>
      <c r="E504" s="277"/>
      <c r="F504" s="277"/>
      <c r="G504" s="277"/>
      <c r="H504" s="277"/>
      <c r="I504" s="277"/>
      <c r="J504" s="277"/>
      <c r="K504" s="277"/>
      <c r="L504" s="277"/>
      <c r="M504" s="277"/>
      <c r="N504" s="277"/>
      <c r="O504" s="277"/>
      <c r="P504" s="277"/>
      <c r="Q504" s="277"/>
      <c r="R504" s="277"/>
      <c r="S504" s="277"/>
      <c r="T504" s="277"/>
      <c r="U504" s="277"/>
      <c r="V504" s="277"/>
      <c r="W504" s="277"/>
    </row>
    <row r="505" spans="1:23" x14ac:dyDescent="0.2">
      <c r="A505" s="284" t="s">
        <v>192</v>
      </c>
      <c r="B505" s="303"/>
      <c r="C505" s="339">
        <v>0</v>
      </c>
      <c r="D505" s="277"/>
      <c r="E505" s="277"/>
      <c r="F505" s="277"/>
      <c r="G505" s="277"/>
      <c r="H505" s="277"/>
      <c r="I505" s="277"/>
      <c r="J505" s="277"/>
      <c r="K505" s="277"/>
      <c r="L505" s="277"/>
      <c r="M505" s="277"/>
      <c r="N505" s="277"/>
      <c r="O505" s="277"/>
      <c r="P505" s="277"/>
      <c r="Q505" s="277"/>
      <c r="R505" s="277"/>
      <c r="S505" s="277"/>
      <c r="T505" s="277"/>
      <c r="U505" s="277"/>
      <c r="V505" s="277"/>
      <c r="W505" s="277"/>
    </row>
    <row r="506" spans="1:23" x14ac:dyDescent="0.2">
      <c r="A506" s="284" t="s">
        <v>193</v>
      </c>
      <c r="B506" s="303"/>
      <c r="C506" s="340">
        <v>8.7499999999999994E-2</v>
      </c>
      <c r="D506" s="277"/>
      <c r="E506" s="277"/>
      <c r="F506" s="277"/>
      <c r="G506" s="277"/>
      <c r="H506" s="277"/>
      <c r="I506" s="277"/>
      <c r="J506" s="277"/>
      <c r="K506" s="277"/>
      <c r="L506" s="277"/>
      <c r="M506" s="277"/>
      <c r="N506" s="277"/>
      <c r="O506" s="277"/>
      <c r="P506" s="277"/>
      <c r="Q506" s="277"/>
      <c r="R506" s="277"/>
      <c r="S506" s="277"/>
      <c r="T506" s="277"/>
      <c r="U506" s="277"/>
      <c r="V506" s="277"/>
      <c r="W506" s="277"/>
    </row>
    <row r="507" spans="1:23" x14ac:dyDescent="0.2">
      <c r="A507" s="284"/>
      <c r="B507" s="303"/>
      <c r="C507" s="277"/>
      <c r="D507" s="306">
        <v>2001</v>
      </c>
      <c r="E507" s="306">
        <v>2002</v>
      </c>
      <c r="F507" s="306">
        <v>2003</v>
      </c>
      <c r="G507" s="306">
        <v>2004</v>
      </c>
      <c r="H507" s="306">
        <v>2005</v>
      </c>
      <c r="I507" s="306">
        <v>2006</v>
      </c>
      <c r="J507" s="306">
        <v>2007</v>
      </c>
      <c r="K507" s="306">
        <v>2008</v>
      </c>
      <c r="L507" s="306">
        <v>2009</v>
      </c>
      <c r="M507" s="306">
        <v>2010</v>
      </c>
      <c r="N507" s="306">
        <v>2011</v>
      </c>
      <c r="O507" s="306">
        <v>2012</v>
      </c>
      <c r="P507" s="306">
        <v>2013</v>
      </c>
      <c r="Q507" s="306">
        <v>2014</v>
      </c>
      <c r="R507" s="306">
        <v>2015</v>
      </c>
      <c r="S507" s="306">
        <v>2016</v>
      </c>
      <c r="T507" s="306">
        <v>2017</v>
      </c>
      <c r="U507" s="306">
        <v>2018</v>
      </c>
      <c r="V507" s="306">
        <v>2019</v>
      </c>
      <c r="W507" s="306" t="s">
        <v>154</v>
      </c>
    </row>
    <row r="508" spans="1:23" x14ac:dyDescent="0.2">
      <c r="A508" s="284" t="s">
        <v>194</v>
      </c>
      <c r="B508" s="303"/>
      <c r="C508" s="277"/>
      <c r="D508" s="341">
        <v>0</v>
      </c>
      <c r="E508" s="341">
        <v>0</v>
      </c>
      <c r="F508" s="341">
        <v>0</v>
      </c>
      <c r="G508" s="341">
        <v>0</v>
      </c>
      <c r="H508" s="341">
        <v>0</v>
      </c>
      <c r="I508" s="341">
        <v>0</v>
      </c>
      <c r="J508" s="341">
        <v>0</v>
      </c>
      <c r="K508" s="341">
        <v>0</v>
      </c>
      <c r="L508" s="341">
        <v>0</v>
      </c>
      <c r="M508" s="341">
        <v>0</v>
      </c>
      <c r="N508" s="341">
        <v>0</v>
      </c>
      <c r="O508" s="341">
        <v>0</v>
      </c>
      <c r="P508" s="341">
        <v>0</v>
      </c>
      <c r="Q508" s="341">
        <v>0</v>
      </c>
      <c r="R508" s="341">
        <v>0</v>
      </c>
      <c r="S508" s="341">
        <v>0</v>
      </c>
      <c r="T508" s="341">
        <v>0</v>
      </c>
      <c r="U508" s="341">
        <v>0</v>
      </c>
      <c r="V508" s="341">
        <v>0</v>
      </c>
      <c r="W508" s="341">
        <v>0</v>
      </c>
    </row>
    <row r="509" spans="1:23" x14ac:dyDescent="0.2">
      <c r="A509" s="284" t="s">
        <v>195</v>
      </c>
      <c r="B509" s="303"/>
      <c r="C509" s="277"/>
      <c r="D509" s="341">
        <v>0</v>
      </c>
      <c r="E509" s="341">
        <v>0</v>
      </c>
      <c r="F509" s="341">
        <v>0</v>
      </c>
      <c r="G509" s="341">
        <v>0</v>
      </c>
      <c r="H509" s="341">
        <v>0</v>
      </c>
      <c r="I509" s="341">
        <v>0</v>
      </c>
      <c r="J509" s="341">
        <v>0</v>
      </c>
      <c r="K509" s="341">
        <v>0</v>
      </c>
      <c r="L509" s="341">
        <v>0</v>
      </c>
      <c r="M509" s="341">
        <v>0</v>
      </c>
      <c r="N509" s="341">
        <v>0</v>
      </c>
      <c r="O509" s="341">
        <v>0</v>
      </c>
      <c r="P509" s="341">
        <v>0</v>
      </c>
      <c r="Q509" s="341">
        <v>0</v>
      </c>
      <c r="R509" s="341">
        <v>0</v>
      </c>
      <c r="S509" s="341">
        <v>0</v>
      </c>
      <c r="T509" s="341">
        <v>0</v>
      </c>
      <c r="U509" s="341">
        <v>0</v>
      </c>
      <c r="V509" s="341">
        <v>0</v>
      </c>
      <c r="W509" s="341">
        <v>0</v>
      </c>
    </row>
    <row r="510" spans="1:23" x14ac:dyDescent="0.2">
      <c r="A510" s="284" t="s">
        <v>196</v>
      </c>
      <c r="B510" s="303"/>
      <c r="C510" s="277"/>
      <c r="D510" s="341">
        <v>0</v>
      </c>
      <c r="E510" s="341">
        <v>0</v>
      </c>
      <c r="F510" s="341">
        <v>0</v>
      </c>
      <c r="G510" s="341">
        <v>0</v>
      </c>
      <c r="H510" s="341">
        <v>0</v>
      </c>
      <c r="I510" s="341">
        <v>0</v>
      </c>
      <c r="J510" s="341">
        <v>0</v>
      </c>
      <c r="K510" s="341">
        <v>0</v>
      </c>
      <c r="L510" s="341">
        <v>0</v>
      </c>
      <c r="M510" s="341">
        <v>0</v>
      </c>
      <c r="N510" s="341">
        <v>0</v>
      </c>
      <c r="O510" s="341">
        <v>0</v>
      </c>
      <c r="P510" s="341">
        <v>0</v>
      </c>
      <c r="Q510" s="341">
        <v>0</v>
      </c>
      <c r="R510" s="341">
        <v>0</v>
      </c>
      <c r="S510" s="341">
        <v>0</v>
      </c>
      <c r="T510" s="341">
        <v>0</v>
      </c>
      <c r="U510" s="341">
        <v>0</v>
      </c>
      <c r="V510" s="341">
        <v>0</v>
      </c>
      <c r="W510" s="341">
        <v>0</v>
      </c>
    </row>
    <row r="511" spans="1:23" x14ac:dyDescent="0.2">
      <c r="A511" s="284" t="s">
        <v>197</v>
      </c>
      <c r="B511" s="303"/>
      <c r="C511" s="277"/>
      <c r="D511" s="342">
        <v>0</v>
      </c>
      <c r="E511" s="342">
        <v>0</v>
      </c>
      <c r="F511" s="342">
        <v>0</v>
      </c>
      <c r="G511" s="342">
        <v>0</v>
      </c>
      <c r="H511" s="342">
        <v>0</v>
      </c>
      <c r="I511" s="342">
        <v>0</v>
      </c>
      <c r="J511" s="342">
        <v>0</v>
      </c>
      <c r="K511" s="342">
        <v>0</v>
      </c>
      <c r="L511" s="342">
        <v>0</v>
      </c>
      <c r="M511" s="342">
        <v>0</v>
      </c>
      <c r="N511" s="342">
        <v>0</v>
      </c>
      <c r="O511" s="342">
        <v>0</v>
      </c>
      <c r="P511" s="342">
        <v>0</v>
      </c>
      <c r="Q511" s="342">
        <v>0</v>
      </c>
      <c r="R511" s="342">
        <v>0</v>
      </c>
      <c r="S511" s="342">
        <v>0</v>
      </c>
      <c r="T511" s="342">
        <v>0</v>
      </c>
      <c r="U511" s="342">
        <v>0</v>
      </c>
      <c r="V511" s="342">
        <v>0</v>
      </c>
      <c r="W511" s="342">
        <v>0</v>
      </c>
    </row>
    <row r="512" spans="1:23" ht="13.5" thickBot="1" x14ac:dyDescent="0.25">
      <c r="A512" s="284" t="s">
        <v>198</v>
      </c>
      <c r="B512" s="303"/>
      <c r="C512" s="277"/>
      <c r="D512" s="343">
        <v>0</v>
      </c>
      <c r="E512" s="343">
        <v>0</v>
      </c>
      <c r="F512" s="343">
        <v>0</v>
      </c>
      <c r="G512" s="343">
        <v>0</v>
      </c>
      <c r="H512" s="343">
        <v>0</v>
      </c>
      <c r="I512" s="343">
        <v>0</v>
      </c>
      <c r="J512" s="343">
        <v>0</v>
      </c>
      <c r="K512" s="343">
        <v>0</v>
      </c>
      <c r="L512" s="343">
        <v>0</v>
      </c>
      <c r="M512" s="343">
        <v>0</v>
      </c>
      <c r="N512" s="343">
        <v>0</v>
      </c>
      <c r="O512" s="343">
        <v>0</v>
      </c>
      <c r="P512" s="343">
        <v>0</v>
      </c>
      <c r="Q512" s="343">
        <v>0</v>
      </c>
      <c r="R512" s="343">
        <v>0</v>
      </c>
      <c r="S512" s="343">
        <v>0</v>
      </c>
      <c r="T512" s="343">
        <v>0</v>
      </c>
      <c r="U512" s="343">
        <v>0</v>
      </c>
      <c r="V512" s="343">
        <v>0</v>
      </c>
      <c r="W512" s="343">
        <v>0</v>
      </c>
    </row>
    <row r="513" spans="1:23" ht="13.5" thickTop="1" x14ac:dyDescent="0.2">
      <c r="A513" s="284"/>
      <c r="B513" s="303"/>
      <c r="C513" s="277"/>
      <c r="D513" s="341"/>
      <c r="E513" s="341"/>
      <c r="F513" s="341"/>
      <c r="G513" s="341"/>
      <c r="H513" s="341"/>
      <c r="I513" s="341"/>
      <c r="J513" s="341"/>
      <c r="K513" s="341"/>
      <c r="L513" s="341"/>
      <c r="M513" s="341"/>
      <c r="N513" s="341"/>
      <c r="O513" s="341"/>
      <c r="P513" s="341"/>
      <c r="Q513" s="341"/>
      <c r="R513" s="341"/>
      <c r="S513" s="341"/>
      <c r="T513" s="341"/>
      <c r="U513" s="341"/>
      <c r="V513" s="341"/>
      <c r="W513" s="341"/>
    </row>
    <row r="514" spans="1:23" x14ac:dyDescent="0.2">
      <c r="A514" s="284" t="s">
        <v>199</v>
      </c>
      <c r="B514" s="303"/>
      <c r="C514" s="277"/>
      <c r="D514" s="341">
        <v>0</v>
      </c>
      <c r="E514" s="341">
        <v>0</v>
      </c>
      <c r="F514" s="341">
        <v>0</v>
      </c>
      <c r="G514" s="341">
        <v>0</v>
      </c>
      <c r="H514" s="341">
        <v>0</v>
      </c>
      <c r="I514" s="341">
        <v>0</v>
      </c>
      <c r="J514" s="341">
        <v>0</v>
      </c>
      <c r="K514" s="341">
        <v>0</v>
      </c>
      <c r="L514" s="341">
        <v>0</v>
      </c>
      <c r="M514" s="341">
        <v>0</v>
      </c>
      <c r="N514" s="341">
        <v>0</v>
      </c>
      <c r="O514" s="341">
        <v>0</v>
      </c>
      <c r="P514" s="341">
        <v>0</v>
      </c>
      <c r="Q514" s="341">
        <v>0</v>
      </c>
      <c r="R514" s="341">
        <v>0</v>
      </c>
      <c r="S514" s="341">
        <v>0</v>
      </c>
      <c r="T514" s="341">
        <v>0</v>
      </c>
      <c r="U514" s="341">
        <v>0</v>
      </c>
      <c r="V514" s="341">
        <v>0</v>
      </c>
      <c r="W514" s="341">
        <v>0</v>
      </c>
    </row>
    <row r="515" spans="1:23" x14ac:dyDescent="0.2">
      <c r="A515" s="284"/>
      <c r="B515" s="303"/>
      <c r="C515" s="277"/>
      <c r="D515" s="277"/>
      <c r="E515" s="277"/>
      <c r="F515" s="277"/>
      <c r="G515" s="277"/>
      <c r="H515" s="277"/>
      <c r="I515" s="277"/>
      <c r="J515" s="277"/>
      <c r="K515" s="277"/>
      <c r="L515" s="277"/>
      <c r="M515" s="277"/>
      <c r="N515" s="277"/>
      <c r="O515" s="277"/>
      <c r="P515" s="277"/>
      <c r="Q515" s="277"/>
      <c r="R515" s="277"/>
      <c r="S515" s="277"/>
      <c r="T515" s="277"/>
      <c r="U515" s="277"/>
      <c r="V515" s="277"/>
      <c r="W515" s="277"/>
    </row>
    <row r="516" spans="1:23" x14ac:dyDescent="0.2">
      <c r="A516" s="284" t="s">
        <v>200</v>
      </c>
      <c r="B516" s="303"/>
      <c r="C516" s="277"/>
      <c r="D516" s="341">
        <v>0</v>
      </c>
      <c r="E516" s="341">
        <v>0</v>
      </c>
      <c r="F516" s="341">
        <v>0</v>
      </c>
      <c r="G516" s="341">
        <v>0</v>
      </c>
      <c r="H516" s="341">
        <v>0</v>
      </c>
      <c r="I516" s="341">
        <v>0</v>
      </c>
      <c r="J516" s="341">
        <v>0</v>
      </c>
      <c r="K516" s="341">
        <v>0</v>
      </c>
      <c r="L516" s="341">
        <v>0</v>
      </c>
      <c r="M516" s="341">
        <v>0</v>
      </c>
      <c r="N516" s="341">
        <v>0</v>
      </c>
      <c r="O516" s="341">
        <v>0</v>
      </c>
      <c r="P516" s="341">
        <v>0</v>
      </c>
      <c r="Q516" s="341">
        <v>0</v>
      </c>
      <c r="R516" s="341">
        <v>0</v>
      </c>
      <c r="S516" s="341">
        <v>0</v>
      </c>
      <c r="T516" s="341">
        <v>0</v>
      </c>
      <c r="U516" s="341">
        <v>0</v>
      </c>
      <c r="V516" s="341">
        <v>0</v>
      </c>
      <c r="W516" s="341">
        <v>0</v>
      </c>
    </row>
    <row r="517" spans="1:23" x14ac:dyDescent="0.2">
      <c r="A517" s="277"/>
      <c r="B517" s="303"/>
      <c r="C517" s="277"/>
      <c r="D517" s="277"/>
      <c r="E517" s="277"/>
      <c r="F517" s="277"/>
      <c r="G517" s="277"/>
      <c r="H517" s="277"/>
      <c r="I517" s="277"/>
      <c r="J517" s="277"/>
      <c r="K517" s="277"/>
      <c r="L517" s="277"/>
      <c r="M517" s="277"/>
      <c r="N517" s="277"/>
      <c r="O517" s="277"/>
      <c r="P517" s="277"/>
      <c r="Q517" s="277"/>
      <c r="R517" s="277"/>
      <c r="S517" s="277"/>
      <c r="T517" s="277"/>
      <c r="U517" s="277"/>
      <c r="V517" s="277"/>
      <c r="W517" s="277"/>
    </row>
    <row r="518" spans="1:23" x14ac:dyDescent="0.2">
      <c r="A518" s="277"/>
      <c r="B518" s="303"/>
      <c r="C518" s="277"/>
      <c r="D518" s="277"/>
      <c r="E518" s="277"/>
      <c r="F518" s="277"/>
      <c r="G518" s="277"/>
      <c r="H518" s="277"/>
      <c r="I518" s="277"/>
      <c r="J518" s="277"/>
      <c r="K518" s="277"/>
      <c r="L518" s="277"/>
      <c r="M518" s="277"/>
      <c r="N518" s="277"/>
      <c r="O518" s="277"/>
      <c r="P518" s="277"/>
      <c r="Q518" s="277"/>
      <c r="R518" s="277"/>
      <c r="S518" s="277"/>
      <c r="T518" s="277"/>
      <c r="U518" s="277"/>
      <c r="V518" s="277"/>
      <c r="W518" s="277"/>
    </row>
    <row r="519" spans="1:23" x14ac:dyDescent="0.2">
      <c r="A519" s="284" t="s">
        <v>202</v>
      </c>
      <c r="B519" s="279"/>
      <c r="C519" s="278"/>
      <c r="D519" s="435">
        <v>12745421.222992424</v>
      </c>
      <c r="E519" s="435">
        <v>20168202.413240328</v>
      </c>
      <c r="F519" s="435">
        <v>19507532.985171057</v>
      </c>
      <c r="G519" s="435">
        <v>20617442.838911131</v>
      </c>
      <c r="H519" s="435">
        <v>19824043.095611248</v>
      </c>
      <c r="I519" s="435">
        <v>20695137.285220426</v>
      </c>
      <c r="J519" s="435">
        <v>22623088.238058306</v>
      </c>
      <c r="K519" s="435">
        <v>23158428.464965794</v>
      </c>
      <c r="L519" s="435">
        <v>23653759.784061804</v>
      </c>
      <c r="M519" s="435">
        <v>23507439.682433549</v>
      </c>
      <c r="N519" s="435">
        <v>24005915.329399075</v>
      </c>
      <c r="O519" s="435">
        <v>23971554.918278653</v>
      </c>
      <c r="P519" s="435">
        <v>23992887.014378395</v>
      </c>
      <c r="Q519" s="435">
        <v>24979943.370753609</v>
      </c>
      <c r="R519" s="435">
        <v>27742286.307554111</v>
      </c>
      <c r="S519" s="435">
        <v>26833330.247039013</v>
      </c>
      <c r="T519" s="435">
        <v>27101352.418554455</v>
      </c>
      <c r="U519" s="435">
        <v>29258216.567960981</v>
      </c>
      <c r="V519" s="435">
        <v>30584858.826792933</v>
      </c>
      <c r="W519" s="435">
        <v>160974007.81894362</v>
      </c>
    </row>
    <row r="520" spans="1:23" x14ac:dyDescent="0.2">
      <c r="A520" s="9"/>
      <c r="B520" s="6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">
      <c r="B521" s="348"/>
      <c r="C521" s="349"/>
      <c r="D521" s="349"/>
      <c r="E521" s="349"/>
      <c r="F521" s="349"/>
      <c r="G521" s="349"/>
      <c r="H521" s="349"/>
      <c r="I521" s="349"/>
      <c r="J521" s="349"/>
      <c r="K521" s="349"/>
      <c r="L521" s="349"/>
      <c r="M521" s="349"/>
      <c r="N521" s="349"/>
      <c r="O521" s="349"/>
      <c r="P521" s="349"/>
      <c r="Q521" s="349"/>
      <c r="R521" s="349"/>
      <c r="S521" s="349"/>
      <c r="T521" s="349"/>
      <c r="U521" s="349"/>
      <c r="V521" s="349"/>
      <c r="W521" s="294"/>
    </row>
    <row r="522" spans="1:23" x14ac:dyDescent="0.2">
      <c r="B522" s="348"/>
      <c r="C522" s="349"/>
      <c r="D522" s="349"/>
      <c r="E522" s="349"/>
      <c r="F522" s="349"/>
      <c r="G522" s="349"/>
      <c r="H522" s="349"/>
      <c r="I522" s="349"/>
      <c r="J522" s="349"/>
      <c r="K522" s="349"/>
      <c r="L522" s="349"/>
      <c r="M522" s="349"/>
      <c r="N522" s="349"/>
      <c r="O522" s="349"/>
      <c r="P522" s="349"/>
      <c r="Q522" s="349"/>
      <c r="R522" s="349"/>
      <c r="S522" s="349"/>
      <c r="T522" s="349"/>
      <c r="U522" s="349"/>
      <c r="V522" s="349"/>
      <c r="W522" s="294"/>
    </row>
    <row r="523" spans="1:23" x14ac:dyDescent="0.2">
      <c r="B523" s="350"/>
      <c r="C523" s="353"/>
      <c r="D523" s="353"/>
      <c r="E523" s="353"/>
      <c r="F523" s="353"/>
      <c r="G523" s="353"/>
      <c r="H523" s="353"/>
      <c r="I523" s="353"/>
      <c r="J523" s="353"/>
      <c r="K523" s="353"/>
      <c r="L523" s="353"/>
      <c r="M523" s="353"/>
      <c r="N523" s="353"/>
      <c r="O523" s="353"/>
      <c r="P523" s="353"/>
      <c r="Q523" s="353"/>
      <c r="R523" s="353"/>
      <c r="S523" s="353"/>
      <c r="T523" s="353"/>
      <c r="U523" s="353"/>
      <c r="V523" s="353"/>
      <c r="W523" s="294"/>
    </row>
    <row r="524" spans="1:23" x14ac:dyDescent="0.2">
      <c r="B524" s="348"/>
      <c r="C524" s="349"/>
      <c r="D524" s="349"/>
      <c r="E524" s="349"/>
      <c r="F524" s="349"/>
      <c r="G524" s="349"/>
      <c r="H524" s="349"/>
      <c r="I524" s="349"/>
      <c r="J524" s="349"/>
      <c r="K524" s="349"/>
      <c r="L524" s="349"/>
      <c r="M524" s="349"/>
      <c r="N524" s="349"/>
      <c r="O524" s="349"/>
      <c r="P524" s="349"/>
      <c r="Q524" s="349"/>
      <c r="R524" s="349"/>
      <c r="S524" s="349"/>
      <c r="T524" s="349"/>
      <c r="U524" s="349"/>
      <c r="V524" s="349"/>
      <c r="W524" s="294"/>
    </row>
    <row r="525" spans="1:23" x14ac:dyDescent="0.2">
      <c r="B525" s="348"/>
      <c r="C525" s="349"/>
      <c r="D525" s="349"/>
      <c r="E525" s="349"/>
      <c r="F525" s="349"/>
      <c r="G525" s="349"/>
      <c r="H525" s="349"/>
      <c r="I525" s="349"/>
      <c r="J525" s="349"/>
      <c r="K525" s="349"/>
      <c r="L525" s="349"/>
      <c r="M525" s="349"/>
      <c r="N525" s="349"/>
      <c r="O525" s="349"/>
      <c r="P525" s="349"/>
      <c r="Q525" s="349"/>
      <c r="R525" s="349"/>
      <c r="S525" s="349"/>
      <c r="T525" s="349"/>
      <c r="U525" s="349"/>
      <c r="V525" s="349"/>
      <c r="W525" s="294"/>
    </row>
    <row r="526" spans="1:23" x14ac:dyDescent="0.2">
      <c r="B526" s="350"/>
      <c r="C526" s="353"/>
      <c r="D526" s="353"/>
      <c r="E526" s="353"/>
      <c r="F526" s="353"/>
      <c r="G526" s="353"/>
      <c r="H526" s="353"/>
      <c r="I526" s="353"/>
      <c r="J526" s="353"/>
      <c r="K526" s="353"/>
      <c r="L526" s="353"/>
      <c r="M526" s="353"/>
      <c r="N526" s="353"/>
      <c r="O526" s="353"/>
      <c r="P526" s="353"/>
      <c r="Q526" s="353"/>
      <c r="R526" s="353"/>
      <c r="S526" s="353"/>
      <c r="T526" s="353"/>
      <c r="U526" s="353"/>
      <c r="V526" s="353"/>
      <c r="W526" s="294"/>
    </row>
    <row r="527" spans="1:23" x14ac:dyDescent="0.2">
      <c r="B527" s="348"/>
      <c r="C527" s="349"/>
      <c r="D527" s="349"/>
      <c r="E527" s="349"/>
      <c r="F527" s="349"/>
      <c r="G527" s="349"/>
      <c r="H527" s="349"/>
      <c r="I527" s="349"/>
      <c r="J527" s="349"/>
      <c r="K527" s="349"/>
      <c r="L527" s="349"/>
      <c r="M527" s="349"/>
      <c r="N527" s="349"/>
      <c r="O527" s="349"/>
      <c r="P527" s="349"/>
      <c r="Q527" s="349"/>
      <c r="R527" s="349"/>
      <c r="S527" s="349"/>
      <c r="T527" s="349"/>
      <c r="U527" s="349"/>
      <c r="V527" s="349"/>
      <c r="W527" s="294"/>
    </row>
    <row r="528" spans="1:23" ht="15.75" x14ac:dyDescent="0.25">
      <c r="A528" s="302" t="s">
        <v>29</v>
      </c>
      <c r="B528" s="305" t="s">
        <v>62</v>
      </c>
      <c r="C528" s="306">
        <v>2000</v>
      </c>
      <c r="D528" s="306">
        <v>2001</v>
      </c>
      <c r="E528" s="306">
        <v>2002</v>
      </c>
      <c r="F528" s="306">
        <v>2003</v>
      </c>
      <c r="G528" s="306">
        <v>2004</v>
      </c>
      <c r="H528" s="306">
        <v>2005</v>
      </c>
      <c r="I528" s="306">
        <v>2006</v>
      </c>
      <c r="J528" s="306">
        <v>2007</v>
      </c>
      <c r="K528" s="306">
        <v>2008</v>
      </c>
      <c r="L528" s="306">
        <v>2009</v>
      </c>
      <c r="M528" s="306">
        <v>2010</v>
      </c>
      <c r="N528" s="306">
        <v>2011</v>
      </c>
      <c r="O528" s="306">
        <v>2012</v>
      </c>
      <c r="P528" s="306">
        <v>2013</v>
      </c>
      <c r="Q528" s="306">
        <v>2014</v>
      </c>
      <c r="R528" s="306">
        <v>2015</v>
      </c>
      <c r="S528" s="306">
        <v>2016</v>
      </c>
      <c r="T528" s="306">
        <v>2017</v>
      </c>
      <c r="U528" s="306">
        <v>2018</v>
      </c>
      <c r="V528" s="306">
        <v>2019</v>
      </c>
      <c r="W528" s="306" t="s">
        <v>154</v>
      </c>
    </row>
    <row r="529" spans="1:23" x14ac:dyDescent="0.2">
      <c r="A529" s="302" t="s">
        <v>26</v>
      </c>
      <c r="B529" s="303">
        <v>80</v>
      </c>
      <c r="C529" s="308"/>
      <c r="D529" s="308"/>
      <c r="E529" s="308"/>
      <c r="F529" s="308"/>
      <c r="G529" s="308"/>
      <c r="H529" s="308"/>
      <c r="I529" s="308"/>
      <c r="J529" s="308"/>
      <c r="K529" s="308"/>
      <c r="L529" s="308"/>
      <c r="M529" s="308"/>
      <c r="N529" s="308"/>
      <c r="O529" s="308"/>
      <c r="P529" s="308"/>
      <c r="Q529" s="308"/>
      <c r="R529" s="308"/>
      <c r="S529" s="308"/>
      <c r="T529" s="308"/>
      <c r="U529" s="308"/>
      <c r="V529" s="308"/>
      <c r="W529" s="308"/>
    </row>
    <row r="530" spans="1:23" x14ac:dyDescent="0.2">
      <c r="A530" s="9"/>
      <c r="B530" s="309" t="s">
        <v>27</v>
      </c>
      <c r="C530" s="443">
        <v>0</v>
      </c>
      <c r="D530" s="404">
        <v>21964140.094118726</v>
      </c>
      <c r="E530" s="404">
        <v>21659524.86423555</v>
      </c>
      <c r="F530" s="404">
        <v>20589808.972860821</v>
      </c>
      <c r="G530" s="404">
        <v>20335325.516110316</v>
      </c>
      <c r="H530" s="404">
        <v>20408149.827221651</v>
      </c>
      <c r="I530" s="404">
        <v>17043267.1195613</v>
      </c>
      <c r="J530" s="404">
        <v>16000067.437847372</v>
      </c>
      <c r="K530" s="404">
        <v>16586300.691558329</v>
      </c>
      <c r="L530" s="404">
        <v>16699188.949745204</v>
      </c>
      <c r="M530" s="404">
        <v>17456717.146095209</v>
      </c>
      <c r="N530" s="404">
        <v>18824947.740854688</v>
      </c>
      <c r="O530" s="404">
        <v>17622862.898432128</v>
      </c>
      <c r="P530" s="404">
        <v>17719192.816406392</v>
      </c>
      <c r="Q530" s="404">
        <v>19557148.555805083</v>
      </c>
      <c r="R530" s="404">
        <v>25283584.692205977</v>
      </c>
      <c r="S530" s="404">
        <v>19998098.267131202</v>
      </c>
      <c r="T530" s="404">
        <v>20634101.682751488</v>
      </c>
      <c r="U530" s="404">
        <v>23970526.472484853</v>
      </c>
      <c r="V530" s="404">
        <v>31097032.932463773</v>
      </c>
      <c r="W530" s="327"/>
    </row>
    <row r="531" spans="1:23" x14ac:dyDescent="0.2">
      <c r="A531" s="9"/>
      <c r="B531" s="309" t="s">
        <v>20</v>
      </c>
      <c r="C531" s="443">
        <v>0</v>
      </c>
      <c r="D531" s="404">
        <v>-9335046.5966015756</v>
      </c>
      <c r="E531" s="404">
        <v>-9470699.571174698</v>
      </c>
      <c r="F531" s="404">
        <v>-8815821.8265163526</v>
      </c>
      <c r="G531" s="404">
        <v>-9054934.0553582218</v>
      </c>
      <c r="H531" s="404">
        <v>-9341098.690645216</v>
      </c>
      <c r="I531" s="404">
        <v>-6795533.1450619297</v>
      </c>
      <c r="J531" s="404">
        <v>-5126713.3314511701</v>
      </c>
      <c r="K531" s="404">
        <v>-5266363.9476233032</v>
      </c>
      <c r="L531" s="404">
        <v>-5317518.4471773338</v>
      </c>
      <c r="M531" s="404">
        <v>-5633371.082138435</v>
      </c>
      <c r="N531" s="404">
        <v>-6475500.1192249795</v>
      </c>
      <c r="O531" s="404">
        <v>-5847576.2994699543</v>
      </c>
      <c r="P531" s="404">
        <v>-5848619.0433469843</v>
      </c>
      <c r="Q531" s="404">
        <v>-6538261.1707371529</v>
      </c>
      <c r="R531" s="404">
        <v>-9165595.6027799696</v>
      </c>
      <c r="S531" s="404">
        <v>-6629535.828347262</v>
      </c>
      <c r="T531" s="404">
        <v>-6823960.4184463173</v>
      </c>
      <c r="U531" s="404">
        <v>-8089127.2444795053</v>
      </c>
      <c r="V531" s="404">
        <v>-12226131.894984894</v>
      </c>
      <c r="W531" s="327"/>
    </row>
    <row r="532" spans="1:23" x14ac:dyDescent="0.2">
      <c r="A532" s="9"/>
      <c r="B532" s="309" t="s">
        <v>31</v>
      </c>
      <c r="C532" s="443">
        <v>0</v>
      </c>
      <c r="D532" s="404">
        <v>-721720.17343479011</v>
      </c>
      <c r="E532" s="404">
        <v>-736287.63011791289</v>
      </c>
      <c r="F532" s="404">
        <v>-687236.87066821789</v>
      </c>
      <c r="G532" s="404">
        <v>-700129.08000937605</v>
      </c>
      <c r="H532" s="404">
        <v>-712219.64534026897</v>
      </c>
      <c r="I532" s="404">
        <v>-509104.74532693753</v>
      </c>
      <c r="J532" s="404">
        <v>-383194.51730319893</v>
      </c>
      <c r="K532" s="404">
        <v>-392796.78843807528</v>
      </c>
      <c r="L532" s="404">
        <v>-398238.46518881532</v>
      </c>
      <c r="M532" s="404">
        <v>-426781.75679382042</v>
      </c>
      <c r="N532" s="404">
        <v>-494017.15884024929</v>
      </c>
      <c r="O532" s="404">
        <v>-445179.63597631402</v>
      </c>
      <c r="P532" s="404">
        <v>-443921.29509079538</v>
      </c>
      <c r="Q532" s="404">
        <v>-496153.95715177123</v>
      </c>
      <c r="R532" s="404">
        <v>-699252.96448193106</v>
      </c>
      <c r="S532" s="404">
        <v>-505734.23067331198</v>
      </c>
      <c r="T532" s="404">
        <v>-519095.07903862867</v>
      </c>
      <c r="U532" s="404">
        <v>-612667.54977976775</v>
      </c>
      <c r="V532" s="404">
        <v>-921988.93560913473</v>
      </c>
      <c r="W532" s="327"/>
    </row>
    <row r="533" spans="1:23" x14ac:dyDescent="0.2">
      <c r="A533" s="9"/>
      <c r="B533" s="309" t="s">
        <v>32</v>
      </c>
      <c r="C533" s="443">
        <v>0</v>
      </c>
      <c r="D533" s="404">
        <v>0</v>
      </c>
      <c r="E533" s="404">
        <v>0</v>
      </c>
      <c r="F533" s="404">
        <v>0</v>
      </c>
      <c r="G533" s="404">
        <v>0</v>
      </c>
      <c r="H533" s="404">
        <v>0</v>
      </c>
      <c r="I533" s="404">
        <v>-811968.43751935882</v>
      </c>
      <c r="J533" s="404">
        <v>-637230.48502632394</v>
      </c>
      <c r="K533" s="404">
        <v>-737294.63162715698</v>
      </c>
      <c r="L533" s="404">
        <v>-771279.83921241271</v>
      </c>
      <c r="M533" s="404">
        <v>-908191.402015934</v>
      </c>
      <c r="N533" s="404">
        <v>-1154496.8301061108</v>
      </c>
      <c r="O533" s="404">
        <v>-1111248.3597912905</v>
      </c>
      <c r="P533" s="404">
        <v>-1214362.3214995733</v>
      </c>
      <c r="Q533" s="404">
        <v>-1499163.5091246036</v>
      </c>
      <c r="R533" s="404">
        <v>-2382741.2405846217</v>
      </c>
      <c r="S533" s="404">
        <v>-1781025.7438509255</v>
      </c>
      <c r="T533" s="404">
        <v>-1762418.425736652</v>
      </c>
      <c r="U533" s="404">
        <v>-1777773.6767954386</v>
      </c>
      <c r="V533" s="404">
        <v>-2822716.7590452037</v>
      </c>
      <c r="W533" s="327"/>
    </row>
    <row r="534" spans="1:23" ht="13.5" thickBot="1" x14ac:dyDescent="0.25">
      <c r="A534" s="9"/>
      <c r="B534" s="310" t="s">
        <v>33</v>
      </c>
      <c r="C534" s="444">
        <v>0</v>
      </c>
      <c r="D534" s="406">
        <v>0</v>
      </c>
      <c r="E534" s="406">
        <v>0</v>
      </c>
      <c r="F534" s="406">
        <v>-5106693.0364226336</v>
      </c>
      <c r="G534" s="406">
        <v>-4335443.1660740357</v>
      </c>
      <c r="H534" s="406">
        <v>-4467058.9566399585</v>
      </c>
      <c r="I534" s="406">
        <v>-1633623.6228446485</v>
      </c>
      <c r="J534" s="406">
        <v>-3447695.8838062533</v>
      </c>
      <c r="K534" s="406">
        <v>-3023302.8408107208</v>
      </c>
      <c r="L534" s="406">
        <v>-3183823.4796631113</v>
      </c>
      <c r="M534" s="406">
        <v>-3183242.2521188995</v>
      </c>
      <c r="N534" s="406">
        <v>-3713065.9545611823</v>
      </c>
      <c r="O534" s="406">
        <v>-3366675.0525120189</v>
      </c>
      <c r="P534" s="406">
        <v>-2940695.0416130475</v>
      </c>
      <c r="Q534" s="406">
        <v>-3333873.9137971294</v>
      </c>
      <c r="R534" s="406">
        <v>-4703112.0805076547</v>
      </c>
      <c r="S534" s="406">
        <v>-3539786.0668230988</v>
      </c>
      <c r="T534" s="406">
        <v>-3348842.9394140765</v>
      </c>
      <c r="U534" s="406">
        <v>-4267423.4756816514</v>
      </c>
      <c r="V534" s="406">
        <v>-3426845.4712325726</v>
      </c>
      <c r="W534" s="327"/>
    </row>
    <row r="535" spans="1:23" ht="13.5" thickTop="1" x14ac:dyDescent="0.2">
      <c r="A535" s="9"/>
      <c r="B535" s="311" t="s">
        <v>38</v>
      </c>
      <c r="C535" s="445">
        <v>0</v>
      </c>
      <c r="D535" s="408">
        <v>11907373.32408236</v>
      </c>
      <c r="E535" s="408">
        <v>11452537.662942939</v>
      </c>
      <c r="F535" s="408">
        <v>5980057.2392536169</v>
      </c>
      <c r="G535" s="408">
        <v>6244819.2146686818</v>
      </c>
      <c r="H535" s="408">
        <v>5887772.5345962066</v>
      </c>
      <c r="I535" s="408">
        <v>7293037.1688084258</v>
      </c>
      <c r="J535" s="408">
        <v>6405233.2202604264</v>
      </c>
      <c r="K535" s="408">
        <v>7166542.4830590719</v>
      </c>
      <c r="L535" s="408">
        <v>7028328.7185035311</v>
      </c>
      <c r="M535" s="408">
        <v>7305130.6530281203</v>
      </c>
      <c r="N535" s="408">
        <v>6987867.6781221638</v>
      </c>
      <c r="O535" s="408">
        <v>6852183.5506825494</v>
      </c>
      <c r="P535" s="408">
        <v>7271595.1148559917</v>
      </c>
      <c r="Q535" s="408">
        <v>7689696.0049944278</v>
      </c>
      <c r="R535" s="408">
        <v>8332882.8038518</v>
      </c>
      <c r="S535" s="408">
        <v>7542016.3974366039</v>
      </c>
      <c r="T535" s="408">
        <v>8179784.8201158121</v>
      </c>
      <c r="U535" s="408">
        <v>9223534.5257484913</v>
      </c>
      <c r="V535" s="408">
        <v>11699349.871591967</v>
      </c>
      <c r="W535" s="327"/>
    </row>
    <row r="536" spans="1:23" x14ac:dyDescent="0.2">
      <c r="A536" s="9"/>
      <c r="B536" s="309" t="s">
        <v>34</v>
      </c>
      <c r="C536" s="443">
        <v>0</v>
      </c>
      <c r="D536" s="404">
        <v>-931626.66778965387</v>
      </c>
      <c r="E536" s="404">
        <v>-950259.20114544698</v>
      </c>
      <c r="F536" s="404">
        <v>-969264.38516835589</v>
      </c>
      <c r="G536" s="404">
        <v>-988649.67287172307</v>
      </c>
      <c r="H536" s="404">
        <v>-1008422.6663291575</v>
      </c>
      <c r="I536" s="404">
        <v>-1028591.1196557407</v>
      </c>
      <c r="J536" s="404">
        <v>-1049162.9420488556</v>
      </c>
      <c r="K536" s="404">
        <v>-1070146.2008898328</v>
      </c>
      <c r="L536" s="404">
        <v>-1091549.1249076296</v>
      </c>
      <c r="M536" s="404">
        <v>-1113380.1074057822</v>
      </c>
      <c r="N536" s="404">
        <v>-1135647.7095538978</v>
      </c>
      <c r="O536" s="404">
        <v>-1158360.6637449758</v>
      </c>
      <c r="P536" s="404">
        <v>-1181527.8770198755</v>
      </c>
      <c r="Q536" s="404">
        <v>-1205158.4345602731</v>
      </c>
      <c r="R536" s="404">
        <v>-1229261.6032514786</v>
      </c>
      <c r="S536" s="404">
        <v>-1253846.8353165083</v>
      </c>
      <c r="T536" s="404">
        <v>-1278923.7720228385</v>
      </c>
      <c r="U536" s="404">
        <v>-1304502.2474632952</v>
      </c>
      <c r="V536" s="404">
        <v>-1330592.2924125611</v>
      </c>
      <c r="W536" s="327"/>
    </row>
    <row r="537" spans="1:23" x14ac:dyDescent="0.2">
      <c r="A537" s="9"/>
      <c r="B537" s="309" t="s">
        <v>35</v>
      </c>
      <c r="C537" s="443">
        <v>0</v>
      </c>
      <c r="D537" s="404">
        <v>-200917.67593297298</v>
      </c>
      <c r="E537" s="404">
        <v>-205641.43199241639</v>
      </c>
      <c r="F537" s="404">
        <v>-218077.27806039757</v>
      </c>
      <c r="G537" s="404">
        <v>-229740.23732528751</v>
      </c>
      <c r="H537" s="404">
        <v>-277364.27038042538</v>
      </c>
      <c r="I537" s="404">
        <v>-345386.73370678158</v>
      </c>
      <c r="J537" s="404">
        <v>-385353.45526847139</v>
      </c>
      <c r="K537" s="404">
        <v>-421308.50507779239</v>
      </c>
      <c r="L537" s="404">
        <v>-452769.73269078415</v>
      </c>
      <c r="M537" s="404">
        <v>-463724.02074573957</v>
      </c>
      <c r="N537" s="404">
        <v>-469582.42912591412</v>
      </c>
      <c r="O537" s="404">
        <v>-475922.50254742149</v>
      </c>
      <c r="P537" s="404">
        <v>-482081.0962416688</v>
      </c>
      <c r="Q537" s="404">
        <v>-488393.65477827226</v>
      </c>
      <c r="R537" s="404">
        <v>-494864.65853414452</v>
      </c>
      <c r="S537" s="404">
        <v>-501497.43738391355</v>
      </c>
      <c r="T537" s="404">
        <v>-508294.70914915687</v>
      </c>
      <c r="U537" s="404">
        <v>-515262.5924357078</v>
      </c>
      <c r="V537" s="404">
        <v>-522405.36959275114</v>
      </c>
      <c r="W537" s="327"/>
    </row>
    <row r="538" spans="1:23" ht="13.5" thickBot="1" x14ac:dyDescent="0.25">
      <c r="A538" s="9"/>
      <c r="B538" s="310" t="s">
        <v>36</v>
      </c>
      <c r="C538" s="444">
        <v>0</v>
      </c>
      <c r="D538" s="406">
        <v>-224390.18479580799</v>
      </c>
      <c r="E538" s="406">
        <v>-229124.81769500099</v>
      </c>
      <c r="F538" s="406">
        <v>-234142.65120252201</v>
      </c>
      <c r="G538" s="406">
        <v>-239434.27511969701</v>
      </c>
      <c r="H538" s="406">
        <v>-245132.810867547</v>
      </c>
      <c r="I538" s="406">
        <v>-251275.86375152899</v>
      </c>
      <c r="J538" s="406">
        <v>-257508.20519487301</v>
      </c>
      <c r="K538" s="406">
        <v>-264026.27002816898</v>
      </c>
      <c r="L538" s="406">
        <v>-270547.71889786603</v>
      </c>
      <c r="M538" s="406">
        <v>-277446.68572975998</v>
      </c>
      <c r="N538" s="406">
        <v>-284160.895524422</v>
      </c>
      <c r="O538" s="406">
        <v>-291321.75009163597</v>
      </c>
      <c r="P538" s="406">
        <v>-298721.32254396298</v>
      </c>
      <c r="Q538" s="406">
        <v>-306189.355607562</v>
      </c>
      <c r="R538" s="406">
        <v>-313874.70843331201</v>
      </c>
      <c r="S538" s="406">
        <v>-321721.57614414499</v>
      </c>
      <c r="T538" s="406">
        <v>-329700.27123252</v>
      </c>
      <c r="U538" s="406">
        <v>-337975.74804045598</v>
      </c>
      <c r="V538" s="406">
        <v>-346458.93931627198</v>
      </c>
      <c r="W538" s="327"/>
    </row>
    <row r="539" spans="1:23" ht="13.5" thickTop="1" x14ac:dyDescent="0.2">
      <c r="A539" s="9"/>
      <c r="B539" s="311" t="s">
        <v>220</v>
      </c>
      <c r="C539" s="446">
        <v>0</v>
      </c>
      <c r="D539" s="410">
        <v>10550438.795563925</v>
      </c>
      <c r="E539" s="410">
        <v>10067512.212110072</v>
      </c>
      <c r="F539" s="410">
        <v>4558572.9248223417</v>
      </c>
      <c r="G539" s="410">
        <v>4786995.0293519748</v>
      </c>
      <c r="H539" s="410">
        <v>4356852.7870190768</v>
      </c>
      <c r="I539" s="410">
        <v>5667783.4516943749</v>
      </c>
      <c r="J539" s="410">
        <v>4713208.617748227</v>
      </c>
      <c r="K539" s="410">
        <v>5411061.507063278</v>
      </c>
      <c r="L539" s="410">
        <v>5213462.1420072513</v>
      </c>
      <c r="M539" s="410">
        <v>5450579.8391468385</v>
      </c>
      <c r="N539" s="410">
        <v>5098476.6439179294</v>
      </c>
      <c r="O539" s="410">
        <v>4926578.6342985164</v>
      </c>
      <c r="P539" s="410">
        <v>5309264.8190504843</v>
      </c>
      <c r="Q539" s="410">
        <v>5689954.5600483213</v>
      </c>
      <c r="R539" s="410">
        <v>6294881.833632865</v>
      </c>
      <c r="S539" s="410">
        <v>5464950.5485920375</v>
      </c>
      <c r="T539" s="410">
        <v>6062866.0677112965</v>
      </c>
      <c r="U539" s="410">
        <v>7065793.9378090315</v>
      </c>
      <c r="V539" s="410">
        <v>9499893.270270383</v>
      </c>
      <c r="W539" s="327"/>
    </row>
    <row r="540" spans="1:23" x14ac:dyDescent="0.2">
      <c r="A540" s="9"/>
      <c r="B540" s="309" t="s">
        <v>37</v>
      </c>
      <c r="C540" s="443">
        <v>0</v>
      </c>
      <c r="D540" s="404">
        <v>-700819.32445730455</v>
      </c>
      <c r="E540" s="404">
        <v>-751368.69483894447</v>
      </c>
      <c r="F540" s="404">
        <v>-831570.84888766624</v>
      </c>
      <c r="G540" s="404">
        <v>-856503.02183152293</v>
      </c>
      <c r="H540" s="404">
        <v>-875236.0646171642</v>
      </c>
      <c r="I540" s="404">
        <v>-907751.92485708511</v>
      </c>
      <c r="J540" s="404">
        <v>-940112.30075409717</v>
      </c>
      <c r="K540" s="404">
        <v>-971641.32093640394</v>
      </c>
      <c r="L540" s="404">
        <v>-1003382.6824531665</v>
      </c>
      <c r="M540" s="404">
        <v>-978527.95518103265</v>
      </c>
      <c r="N540" s="404">
        <v>-955969.76373299141</v>
      </c>
      <c r="O540" s="404">
        <v>-993679.8458975153</v>
      </c>
      <c r="P540" s="404">
        <v>-879474.97258894099</v>
      </c>
      <c r="Q540" s="404">
        <v>-766259.62057082145</v>
      </c>
      <c r="R540" s="404">
        <v>-693547.82774524472</v>
      </c>
      <c r="S540" s="404">
        <v>-622011.8794888102</v>
      </c>
      <c r="T540" s="404">
        <v>-665609.08899867442</v>
      </c>
      <c r="U540" s="404">
        <v>-710511.54154280573</v>
      </c>
      <c r="V540" s="404">
        <v>-754338.06190194411</v>
      </c>
      <c r="W540" s="327"/>
    </row>
    <row r="541" spans="1:23" ht="13.5" thickBot="1" x14ac:dyDescent="0.25">
      <c r="A541" s="9"/>
      <c r="B541" s="310" t="s">
        <v>221</v>
      </c>
      <c r="C541" s="444">
        <v>0</v>
      </c>
      <c r="D541" s="406">
        <v>-3939847.7884426485</v>
      </c>
      <c r="E541" s="406">
        <v>-3726457.4069084511</v>
      </c>
      <c r="F541" s="406">
        <v>-1490800.8303738702</v>
      </c>
      <c r="G541" s="406">
        <v>-1572196.803008181</v>
      </c>
      <c r="H541" s="406">
        <v>-1392646.688960765</v>
      </c>
      <c r="I541" s="406">
        <v>-1904012.6107349158</v>
      </c>
      <c r="J541" s="406">
        <v>-1509238.526797652</v>
      </c>
      <c r="K541" s="406">
        <v>-1775768.0744507497</v>
      </c>
      <c r="L541" s="406">
        <v>-1684031.783821634</v>
      </c>
      <c r="M541" s="406">
        <v>-1788820.7535863225</v>
      </c>
      <c r="N541" s="406">
        <v>-1657002.7520739753</v>
      </c>
      <c r="O541" s="406">
        <v>-1573159.5153604005</v>
      </c>
      <c r="P541" s="406">
        <v>-1771915.9385846176</v>
      </c>
      <c r="Q541" s="406">
        <v>-1969477.9757909998</v>
      </c>
      <c r="R541" s="406">
        <v>-2240533.6023550481</v>
      </c>
      <c r="S541" s="406">
        <v>-1937175.4676412912</v>
      </c>
      <c r="T541" s="406">
        <v>-2158902.7914850488</v>
      </c>
      <c r="U541" s="406">
        <v>-2542112.9585064906</v>
      </c>
      <c r="V541" s="406">
        <v>-3498222.083347376</v>
      </c>
      <c r="W541" s="327"/>
    </row>
    <row r="542" spans="1:23" ht="13.5" thickTop="1" x14ac:dyDescent="0.2">
      <c r="A542" s="9"/>
      <c r="B542" s="311" t="s">
        <v>183</v>
      </c>
      <c r="C542" s="446">
        <v>0</v>
      </c>
      <c r="D542" s="410">
        <v>5909771.6826639716</v>
      </c>
      <c r="E542" s="410">
        <v>5589686.1103626769</v>
      </c>
      <c r="F542" s="410">
        <v>2236201.2455608053</v>
      </c>
      <c r="G542" s="410">
        <v>2358295.2045122711</v>
      </c>
      <c r="H542" s="410">
        <v>2088970.0334411473</v>
      </c>
      <c r="I542" s="410">
        <v>2856018.9161023735</v>
      </c>
      <c r="J542" s="410">
        <v>2263857.7901964774</v>
      </c>
      <c r="K542" s="410">
        <v>2663652.1116761239</v>
      </c>
      <c r="L542" s="410">
        <v>2526047.6757324506</v>
      </c>
      <c r="M542" s="410">
        <v>2683231.1303794836</v>
      </c>
      <c r="N542" s="410">
        <v>2485504.1281109629</v>
      </c>
      <c r="O542" s="410">
        <v>2359739.2730406006</v>
      </c>
      <c r="P542" s="410">
        <v>2657873.9078769265</v>
      </c>
      <c r="Q542" s="410">
        <v>2954216.9636864997</v>
      </c>
      <c r="R542" s="410">
        <v>3360800.4035325721</v>
      </c>
      <c r="S542" s="410">
        <v>2905763.2014619363</v>
      </c>
      <c r="T542" s="410">
        <v>3238354.1872275732</v>
      </c>
      <c r="U542" s="410">
        <v>3813169.4377597352</v>
      </c>
      <c r="V542" s="410">
        <v>5247333.1250210628</v>
      </c>
      <c r="W542" s="327"/>
    </row>
    <row r="543" spans="1:23" x14ac:dyDescent="0.2">
      <c r="A543" s="9"/>
      <c r="B543" s="309" t="s">
        <v>37</v>
      </c>
      <c r="C543" s="443">
        <v>0</v>
      </c>
      <c r="D543" s="404">
        <v>700819.32445730455</v>
      </c>
      <c r="E543" s="404">
        <v>751368.69483894447</v>
      </c>
      <c r="F543" s="404">
        <v>831570.84888766624</v>
      </c>
      <c r="G543" s="404">
        <v>856503.02183152293</v>
      </c>
      <c r="H543" s="404">
        <v>875236.0646171642</v>
      </c>
      <c r="I543" s="404">
        <v>907751.92485708511</v>
      </c>
      <c r="J543" s="404">
        <v>940112.30075409717</v>
      </c>
      <c r="K543" s="404">
        <v>971641.32093640394</v>
      </c>
      <c r="L543" s="404">
        <v>1003382.6824531665</v>
      </c>
      <c r="M543" s="404">
        <v>978527.95518103265</v>
      </c>
      <c r="N543" s="404">
        <v>955969.76373299141</v>
      </c>
      <c r="O543" s="404">
        <v>993679.8458975153</v>
      </c>
      <c r="P543" s="404">
        <v>879474.97258894099</v>
      </c>
      <c r="Q543" s="404">
        <v>766259.62057082145</v>
      </c>
      <c r="R543" s="404">
        <v>693547.82774524472</v>
      </c>
      <c r="S543" s="404">
        <v>622011.8794888102</v>
      </c>
      <c r="T543" s="404">
        <v>665609.08899867442</v>
      </c>
      <c r="U543" s="404">
        <v>710511.54154280573</v>
      </c>
      <c r="V543" s="404">
        <v>754338.06190194411</v>
      </c>
      <c r="W543" s="327"/>
    </row>
    <row r="544" spans="1:23" x14ac:dyDescent="0.2">
      <c r="A544" s="9"/>
      <c r="B544" s="309" t="s">
        <v>39</v>
      </c>
      <c r="C544" s="443">
        <v>0</v>
      </c>
      <c r="D544" s="404">
        <v>-296039.05</v>
      </c>
      <c r="E544" s="404">
        <v>-1656351.77</v>
      </c>
      <c r="F544" s="404">
        <v>-768259.69</v>
      </c>
      <c r="G544" s="404">
        <v>-270547</v>
      </c>
      <c r="H544" s="404">
        <v>-651964.07999999996</v>
      </c>
      <c r="I544" s="404">
        <v>-671523.0024</v>
      </c>
      <c r="J544" s="404">
        <v>-691668.69247200002</v>
      </c>
      <c r="K544" s="404">
        <v>-712418.75324615999</v>
      </c>
      <c r="L544" s="404">
        <v>-733791.31584354478</v>
      </c>
      <c r="M544" s="404">
        <v>-755805.05531885114</v>
      </c>
      <c r="N544" s="404">
        <v>-778479.20697841665</v>
      </c>
      <c r="O544" s="404">
        <v>-801833.58318776917</v>
      </c>
      <c r="P544" s="404">
        <v>-825888.59068340226</v>
      </c>
      <c r="Q544" s="404">
        <v>-850665.24840390438</v>
      </c>
      <c r="R544" s="404">
        <v>-876185.20585602149</v>
      </c>
      <c r="S544" s="404">
        <v>-902470.76203170221</v>
      </c>
      <c r="T544" s="404">
        <v>-929544.88489265332</v>
      </c>
      <c r="U544" s="404">
        <v>-957431.23143943294</v>
      </c>
      <c r="V544" s="404">
        <v>-986154.16838261602</v>
      </c>
      <c r="W544" s="327"/>
    </row>
    <row r="545" spans="1:23" ht="13.5" thickBot="1" x14ac:dyDescent="0.25">
      <c r="A545" s="9"/>
      <c r="B545" s="310" t="s">
        <v>40</v>
      </c>
      <c r="C545" s="444">
        <v>0</v>
      </c>
      <c r="D545" s="406">
        <v>0</v>
      </c>
      <c r="E545" s="406">
        <v>0</v>
      </c>
      <c r="F545" s="406">
        <v>0</v>
      </c>
      <c r="G545" s="406">
        <v>0</v>
      </c>
      <c r="H545" s="406">
        <v>0</v>
      </c>
      <c r="I545" s="406">
        <v>0</v>
      </c>
      <c r="J545" s="406">
        <v>0</v>
      </c>
      <c r="K545" s="406">
        <v>0</v>
      </c>
      <c r="L545" s="406">
        <v>0</v>
      </c>
      <c r="M545" s="406">
        <v>0</v>
      </c>
      <c r="N545" s="406">
        <v>0</v>
      </c>
      <c r="O545" s="406">
        <v>0</v>
      </c>
      <c r="P545" s="406">
        <v>0</v>
      </c>
      <c r="Q545" s="406">
        <v>0</v>
      </c>
      <c r="R545" s="406">
        <v>0</v>
      </c>
      <c r="S545" s="406">
        <v>0</v>
      </c>
      <c r="T545" s="406">
        <v>0</v>
      </c>
      <c r="U545" s="406">
        <v>0</v>
      </c>
      <c r="V545" s="406">
        <v>0</v>
      </c>
      <c r="W545" s="327"/>
    </row>
    <row r="546" spans="1:23" ht="13.5" thickTop="1" x14ac:dyDescent="0.2">
      <c r="A546" s="9"/>
      <c r="B546" s="309"/>
      <c r="C546" s="447"/>
      <c r="D546" s="327"/>
      <c r="E546" s="327"/>
      <c r="F546" s="327"/>
      <c r="G546" s="327"/>
      <c r="H546" s="327"/>
      <c r="I546" s="327"/>
      <c r="J546" s="327"/>
      <c r="K546" s="327"/>
      <c r="L546" s="327"/>
      <c r="M546" s="327"/>
      <c r="N546" s="327"/>
      <c r="O546" s="327"/>
      <c r="P546" s="327"/>
      <c r="Q546" s="327"/>
      <c r="R546" s="327"/>
      <c r="S546" s="327"/>
      <c r="T546" s="327"/>
      <c r="U546" s="327"/>
      <c r="V546" s="327"/>
      <c r="W546" s="327"/>
    </row>
    <row r="547" spans="1:23" x14ac:dyDescent="0.2">
      <c r="A547" s="9"/>
      <c r="B547" s="311" t="s">
        <v>233</v>
      </c>
      <c r="C547" s="446">
        <v>0</v>
      </c>
      <c r="D547" s="410">
        <v>6314551.9571212763</v>
      </c>
      <c r="E547" s="410">
        <v>4684703.0352016222</v>
      </c>
      <c r="F547" s="410">
        <v>2299512.4044484715</v>
      </c>
      <c r="G547" s="410">
        <v>2944251.2263437938</v>
      </c>
      <c r="H547" s="410">
        <v>2312242.0180583112</v>
      </c>
      <c r="I547" s="410">
        <v>3092247.8385594585</v>
      </c>
      <c r="J547" s="410">
        <v>2512301.3984785746</v>
      </c>
      <c r="K547" s="410">
        <v>2922874.6793663679</v>
      </c>
      <c r="L547" s="410">
        <v>2795639.0423420724</v>
      </c>
      <c r="M547" s="410">
        <v>2905954.0302416654</v>
      </c>
      <c r="N547" s="410">
        <v>2662994.6848655376</v>
      </c>
      <c r="O547" s="410">
        <v>2551585.5357503467</v>
      </c>
      <c r="P547" s="410">
        <v>2711460.2897824654</v>
      </c>
      <c r="Q547" s="410">
        <v>2869811.3358534169</v>
      </c>
      <c r="R547" s="410">
        <v>3178163.0254217954</v>
      </c>
      <c r="S547" s="410">
        <v>2625304.318919044</v>
      </c>
      <c r="T547" s="410">
        <v>2974418.3913335945</v>
      </c>
      <c r="U547" s="410">
        <v>3566249.7478631074</v>
      </c>
      <c r="V547" s="410">
        <v>5015517.0185403908</v>
      </c>
      <c r="W547" s="408">
        <v>19085921.540818479</v>
      </c>
    </row>
    <row r="548" spans="1:23" x14ac:dyDescent="0.2">
      <c r="A548" s="9"/>
      <c r="B548" s="286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">
      <c r="A549" s="302" t="s">
        <v>218</v>
      </c>
      <c r="B549" s="300" t="s">
        <v>170</v>
      </c>
      <c r="C549" s="433">
        <v>14786498.461166803</v>
      </c>
      <c r="D549" s="9"/>
      <c r="E549" s="137" t="s">
        <v>219</v>
      </c>
      <c r="F549" s="313" t="s">
        <v>170</v>
      </c>
      <c r="G549" s="437">
        <v>14786498.461166803</v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">
      <c r="A550" s="9"/>
      <c r="B550" s="300" t="s">
        <v>180</v>
      </c>
      <c r="C550" s="433">
        <v>13373881.318440353</v>
      </c>
      <c r="D550" s="9"/>
      <c r="E550" s="315"/>
      <c r="F550" s="313" t="s">
        <v>180</v>
      </c>
      <c r="G550" s="437">
        <v>13373881.318440353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3.5" thickBot="1" x14ac:dyDescent="0.25">
      <c r="A551" s="9"/>
      <c r="B551" s="316" t="s">
        <v>137</v>
      </c>
      <c r="C551" s="434">
        <v>2837000.6220114096</v>
      </c>
      <c r="D551" s="317"/>
      <c r="E551" s="315"/>
      <c r="F551" s="313" t="s">
        <v>137</v>
      </c>
      <c r="G551" s="437">
        <v>2837000.6220114096</v>
      </c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4.25" thickTop="1" thickBot="1" x14ac:dyDescent="0.25">
      <c r="A552" s="9"/>
      <c r="B552" s="300" t="s">
        <v>28</v>
      </c>
      <c r="C552" s="432">
        <v>30997380.401618559</v>
      </c>
      <c r="D552" s="299"/>
      <c r="E552" s="315"/>
      <c r="F552" s="318" t="s">
        <v>203</v>
      </c>
      <c r="G552" s="319">
        <v>0</v>
      </c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3.5" thickTop="1" x14ac:dyDescent="0.2">
      <c r="A553" s="9"/>
      <c r="B553" s="286"/>
      <c r="C553" s="320"/>
      <c r="D553" s="9"/>
      <c r="E553" s="321"/>
      <c r="F553" s="313" t="s">
        <v>28</v>
      </c>
      <c r="G553" s="362">
        <v>30997380.401618559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">
      <c r="A554" s="9"/>
      <c r="B554" s="286"/>
      <c r="C554" s="320"/>
      <c r="D554" s="9"/>
      <c r="E554" s="321"/>
      <c r="F554" s="313"/>
      <c r="G554" s="322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">
      <c r="A555" s="9"/>
      <c r="B555" s="286"/>
      <c r="C555" s="320"/>
      <c r="D555" s="9"/>
      <c r="E555" s="321"/>
      <c r="F555" s="313"/>
      <c r="G555" s="322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">
      <c r="A556" s="9"/>
      <c r="B556" s="323" t="s">
        <v>222</v>
      </c>
      <c r="C556" s="320"/>
      <c r="D556" s="9"/>
      <c r="E556" s="321"/>
      <c r="F556" s="313"/>
      <c r="G556" s="322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">
      <c r="A557" s="324" t="s">
        <v>224</v>
      </c>
      <c r="B557" s="323" t="s">
        <v>223</v>
      </c>
      <c r="C557" s="325"/>
      <c r="D557" s="326">
        <v>5909771.6826639716</v>
      </c>
      <c r="E557" s="326">
        <v>5589686.1103626769</v>
      </c>
      <c r="F557" s="326">
        <v>2236201.2455608053</v>
      </c>
      <c r="G557" s="326">
        <v>2358295.2045122711</v>
      </c>
      <c r="H557" s="326">
        <v>2088970.0334411473</v>
      </c>
      <c r="I557" s="326">
        <v>2856018.9161023735</v>
      </c>
      <c r="J557" s="326">
        <v>2263857.7901964774</v>
      </c>
      <c r="K557" s="326">
        <v>2663652.1116761239</v>
      </c>
      <c r="L557" s="326">
        <v>2526047.6757324506</v>
      </c>
      <c r="M557" s="326">
        <v>2683231.1303794836</v>
      </c>
      <c r="N557" s="326">
        <v>2485504.1281109629</v>
      </c>
      <c r="O557" s="326">
        <v>2359739.2730406006</v>
      </c>
      <c r="P557" s="326">
        <v>2657873.9078769265</v>
      </c>
      <c r="Q557" s="326">
        <v>2954216.9636864997</v>
      </c>
      <c r="R557" s="326">
        <v>3360800.4035325721</v>
      </c>
      <c r="S557" s="326">
        <v>2905763.2014619363</v>
      </c>
      <c r="T557" s="326">
        <v>3238354.1872275732</v>
      </c>
      <c r="U557" s="326">
        <v>3813169.4377597352</v>
      </c>
      <c r="V557" s="326">
        <v>5247333.1250210628</v>
      </c>
      <c r="W557" s="9"/>
    </row>
    <row r="558" spans="1:23" x14ac:dyDescent="0.2">
      <c r="A558" s="9"/>
      <c r="B558" s="286" t="s">
        <v>225</v>
      </c>
      <c r="C558" s="320"/>
      <c r="D558" s="327">
        <v>3939847.7884426485</v>
      </c>
      <c r="E558" s="327">
        <v>3726457.4069084511</v>
      </c>
      <c r="F558" s="327">
        <v>1490800.8303738702</v>
      </c>
      <c r="G558" s="327">
        <v>1572196.803008181</v>
      </c>
      <c r="H558" s="327">
        <v>1392646.688960765</v>
      </c>
      <c r="I558" s="327">
        <v>1904012.6107349158</v>
      </c>
      <c r="J558" s="327">
        <v>1509238.526797652</v>
      </c>
      <c r="K558" s="327">
        <v>1775768.0744507497</v>
      </c>
      <c r="L558" s="327">
        <v>1684031.783821634</v>
      </c>
      <c r="M558" s="327">
        <v>1788820.7535863225</v>
      </c>
      <c r="N558" s="327">
        <v>1657002.7520739753</v>
      </c>
      <c r="O558" s="327">
        <v>1573159.5153604005</v>
      </c>
      <c r="P558" s="327">
        <v>1771915.9385846176</v>
      </c>
      <c r="Q558" s="327">
        <v>1969477.9757909998</v>
      </c>
      <c r="R558" s="327">
        <v>2240533.6023550481</v>
      </c>
      <c r="S558" s="327">
        <v>1937175.4676412912</v>
      </c>
      <c r="T558" s="327">
        <v>2158902.7914850488</v>
      </c>
      <c r="U558" s="327">
        <v>2542112.9585064906</v>
      </c>
      <c r="V558" s="327">
        <v>3498222.083347376</v>
      </c>
      <c r="W558" s="9"/>
    </row>
    <row r="559" spans="1:23" x14ac:dyDescent="0.2">
      <c r="A559" s="9"/>
      <c r="B559" s="328" t="s">
        <v>226</v>
      </c>
      <c r="C559" s="329"/>
      <c r="D559" s="327">
        <v>700819.32445730455</v>
      </c>
      <c r="E559" s="327">
        <v>751368.69483894447</v>
      </c>
      <c r="F559" s="327">
        <v>831570.84888766624</v>
      </c>
      <c r="G559" s="327">
        <v>856503.02183152293</v>
      </c>
      <c r="H559" s="327">
        <v>875236.0646171642</v>
      </c>
      <c r="I559" s="327">
        <v>907751.92485708511</v>
      </c>
      <c r="J559" s="327">
        <v>940112.30075409717</v>
      </c>
      <c r="K559" s="327">
        <v>971641.32093640394</v>
      </c>
      <c r="L559" s="327">
        <v>1003382.6824531665</v>
      </c>
      <c r="M559" s="327">
        <v>978527.95518103265</v>
      </c>
      <c r="N559" s="327">
        <v>955969.76373299141</v>
      </c>
      <c r="O559" s="327">
        <v>993679.8458975153</v>
      </c>
      <c r="P559" s="327">
        <v>879474.97258894099</v>
      </c>
      <c r="Q559" s="327">
        <v>766259.62057082145</v>
      </c>
      <c r="R559" s="327">
        <v>693547.82774524472</v>
      </c>
      <c r="S559" s="327">
        <v>622011.8794888102</v>
      </c>
      <c r="T559" s="327">
        <v>665609.08899867442</v>
      </c>
      <c r="U559" s="327">
        <v>710511.54154280573</v>
      </c>
      <c r="V559" s="327">
        <v>754338.06190194411</v>
      </c>
      <c r="W559" s="9"/>
    </row>
    <row r="560" spans="1:23" ht="13.5" thickBot="1" x14ac:dyDescent="0.25">
      <c r="A560" s="9"/>
      <c r="B560" s="330" t="s">
        <v>227</v>
      </c>
      <c r="C560" s="331"/>
      <c r="D560" s="332">
        <v>10550438.795563925</v>
      </c>
      <c r="E560" s="332">
        <v>10067512.212110072</v>
      </c>
      <c r="F560" s="332">
        <v>4558572.9248223417</v>
      </c>
      <c r="G560" s="332">
        <v>4786995.0293519748</v>
      </c>
      <c r="H560" s="332">
        <v>4356852.7870190768</v>
      </c>
      <c r="I560" s="332">
        <v>5667783.4516943749</v>
      </c>
      <c r="J560" s="332">
        <v>4713208.617748227</v>
      </c>
      <c r="K560" s="332">
        <v>5411061.507063278</v>
      </c>
      <c r="L560" s="332">
        <v>5213462.1420072513</v>
      </c>
      <c r="M560" s="332">
        <v>5450579.8391468385</v>
      </c>
      <c r="N560" s="332">
        <v>5098476.6439179294</v>
      </c>
      <c r="O560" s="332">
        <v>4926578.6342985164</v>
      </c>
      <c r="P560" s="332">
        <v>5309264.8190504853</v>
      </c>
      <c r="Q560" s="332">
        <v>5689954.5600483213</v>
      </c>
      <c r="R560" s="332">
        <v>6294881.833632865</v>
      </c>
      <c r="S560" s="332">
        <v>5464950.5485920375</v>
      </c>
      <c r="T560" s="332">
        <v>6062866.0677112965</v>
      </c>
      <c r="U560" s="332">
        <v>7065793.9378090315</v>
      </c>
      <c r="V560" s="332">
        <v>9499893.270270383</v>
      </c>
      <c r="W560" s="9"/>
    </row>
    <row r="561" spans="1:23" ht="13.5" thickTop="1" x14ac:dyDescent="0.2">
      <c r="A561" s="324" t="s">
        <v>228</v>
      </c>
      <c r="B561" s="286" t="s">
        <v>229</v>
      </c>
      <c r="C561" s="320"/>
      <c r="D561" s="327">
        <v>-894987.72088404582</v>
      </c>
      <c r="E561" s="327">
        <v>-975964.88205908309</v>
      </c>
      <c r="F561" s="327">
        <v>-1007722.0180806834</v>
      </c>
      <c r="G561" s="327">
        <v>-1021156.6972996661</v>
      </c>
      <c r="H561" s="327">
        <v>-1053660.2130681276</v>
      </c>
      <c r="I561" s="327">
        <v>-1087236.3631881275</v>
      </c>
      <c r="J561" s="327">
        <v>-984717.03467063268</v>
      </c>
      <c r="K561" s="327">
        <v>-916871.64077303547</v>
      </c>
      <c r="L561" s="327">
        <v>-904342.4604490177</v>
      </c>
      <c r="M561" s="327">
        <v>-937860.09010366001</v>
      </c>
      <c r="N561" s="327">
        <v>-976784.05045258079</v>
      </c>
      <c r="O561" s="327">
        <v>-1016875.7296119693</v>
      </c>
      <c r="P561" s="327">
        <v>-940324.05061240937</v>
      </c>
      <c r="Q561" s="327">
        <v>-821843.11256441928</v>
      </c>
      <c r="R561" s="327">
        <v>-620908.29028645973</v>
      </c>
      <c r="S561" s="327">
        <v>-650627.81051190197</v>
      </c>
      <c r="T561" s="327">
        <v>-696053.72213257197</v>
      </c>
      <c r="U561" s="327">
        <v>-743925.28370454372</v>
      </c>
      <c r="V561" s="327">
        <v>-792333.83911239542</v>
      </c>
      <c r="W561" s="9"/>
    </row>
    <row r="562" spans="1:23" x14ac:dyDescent="0.2">
      <c r="A562" s="9"/>
      <c r="B562" s="286" t="s">
        <v>230</v>
      </c>
      <c r="C562" s="320"/>
      <c r="D562" s="327">
        <v>0</v>
      </c>
      <c r="E562" s="327">
        <v>0</v>
      </c>
      <c r="F562" s="327">
        <v>0</v>
      </c>
      <c r="G562" s="327">
        <v>0</v>
      </c>
      <c r="H562" s="327">
        <v>0</v>
      </c>
      <c r="I562" s="327">
        <v>0</v>
      </c>
      <c r="J562" s="327">
        <v>0</v>
      </c>
      <c r="K562" s="327">
        <v>0</v>
      </c>
      <c r="L562" s="327">
        <v>0</v>
      </c>
      <c r="M562" s="327">
        <v>0</v>
      </c>
      <c r="N562" s="327">
        <v>0</v>
      </c>
      <c r="O562" s="327">
        <v>0</v>
      </c>
      <c r="P562" s="327">
        <v>0</v>
      </c>
      <c r="Q562" s="327">
        <v>0</v>
      </c>
      <c r="R562" s="327">
        <v>0</v>
      </c>
      <c r="S562" s="327">
        <v>0</v>
      </c>
      <c r="T562" s="327">
        <v>0</v>
      </c>
      <c r="U562" s="327">
        <v>0</v>
      </c>
      <c r="V562" s="327">
        <v>0</v>
      </c>
      <c r="W562" s="9"/>
    </row>
    <row r="563" spans="1:23" x14ac:dyDescent="0.2">
      <c r="A563" s="9"/>
      <c r="B563" s="323" t="s">
        <v>231</v>
      </c>
      <c r="C563" s="325"/>
      <c r="D563" s="326">
        <v>9655451.0746798795</v>
      </c>
      <c r="E563" s="326">
        <v>9091547.33005099</v>
      </c>
      <c r="F563" s="326">
        <v>3550850.9067416582</v>
      </c>
      <c r="G563" s="326">
        <v>3765838.3320523086</v>
      </c>
      <c r="H563" s="326">
        <v>3303192.5739509491</v>
      </c>
      <c r="I563" s="326">
        <v>4580547.0885062478</v>
      </c>
      <c r="J563" s="326">
        <v>3728491.5830775942</v>
      </c>
      <c r="K563" s="326">
        <v>4494189.8662902424</v>
      </c>
      <c r="L563" s="326">
        <v>4309119.6815582337</v>
      </c>
      <c r="M563" s="326">
        <v>4512719.7490431787</v>
      </c>
      <c r="N563" s="326">
        <v>4121692.5934653487</v>
      </c>
      <c r="O563" s="326">
        <v>3909702.9046865469</v>
      </c>
      <c r="P563" s="326">
        <v>4368940.7684380757</v>
      </c>
      <c r="Q563" s="326">
        <v>4868111.4474839019</v>
      </c>
      <c r="R563" s="326">
        <v>5673973.543346405</v>
      </c>
      <c r="S563" s="326">
        <v>4814322.7380801355</v>
      </c>
      <c r="T563" s="326">
        <v>5366812.3455787245</v>
      </c>
      <c r="U563" s="326">
        <v>6321868.654104488</v>
      </c>
      <c r="V563" s="326">
        <v>8707559.4311579876</v>
      </c>
      <c r="W563" s="9"/>
    </row>
    <row r="564" spans="1:23" ht="13.5" thickBot="1" x14ac:dyDescent="0.25">
      <c r="A564" s="9"/>
      <c r="B564" s="333" t="s">
        <v>237</v>
      </c>
      <c r="C564" s="334"/>
      <c r="D564" s="335">
        <v>-3862180.4298719522</v>
      </c>
      <c r="E564" s="335">
        <v>-3636618.932020396</v>
      </c>
      <c r="F564" s="335">
        <v>-1420340.3626966635</v>
      </c>
      <c r="G564" s="335">
        <v>-1506335.3328209235</v>
      </c>
      <c r="H564" s="335">
        <v>-1321277.0295803798</v>
      </c>
      <c r="I564" s="335">
        <v>-1832218.8354024992</v>
      </c>
      <c r="J564" s="335">
        <v>-1491396.6332310378</v>
      </c>
      <c r="K564" s="335">
        <v>-1797675.9465160971</v>
      </c>
      <c r="L564" s="335">
        <v>-1723647.8726232937</v>
      </c>
      <c r="M564" s="335">
        <v>-1805087.8996172715</v>
      </c>
      <c r="N564" s="335">
        <v>-1648677.0373861396</v>
      </c>
      <c r="O564" s="335">
        <v>-1563881.1618746188</v>
      </c>
      <c r="P564" s="335">
        <v>-1747576.3073752304</v>
      </c>
      <c r="Q564" s="335">
        <v>-1947244.5789935607</v>
      </c>
      <c r="R564" s="335">
        <v>-2269589.4173385622</v>
      </c>
      <c r="S564" s="335">
        <v>-1925729.0952320544</v>
      </c>
      <c r="T564" s="335">
        <v>-2146724.9382314901</v>
      </c>
      <c r="U564" s="335">
        <v>-2528747.4616417955</v>
      </c>
      <c r="V564" s="335">
        <v>-3483023.772463195</v>
      </c>
      <c r="W564" s="9"/>
    </row>
    <row r="565" spans="1:23" ht="13.5" thickTop="1" x14ac:dyDescent="0.2">
      <c r="A565" s="9"/>
      <c r="B565" s="323" t="s">
        <v>232</v>
      </c>
      <c r="C565" s="325"/>
      <c r="D565" s="326">
        <v>5793270.6448079273</v>
      </c>
      <c r="E565" s="326">
        <v>5454928.398030594</v>
      </c>
      <c r="F565" s="326">
        <v>2130510.5440449947</v>
      </c>
      <c r="G565" s="326">
        <v>2259502.9992313851</v>
      </c>
      <c r="H565" s="326">
        <v>1981915.5443705693</v>
      </c>
      <c r="I565" s="326">
        <v>2748328.2531037489</v>
      </c>
      <c r="J565" s="326">
        <v>2237094.9498465564</v>
      </c>
      <c r="K565" s="326">
        <v>2696513.9197741454</v>
      </c>
      <c r="L565" s="326">
        <v>2585471.80893494</v>
      </c>
      <c r="M565" s="326">
        <v>2707631.8494259072</v>
      </c>
      <c r="N565" s="326">
        <v>2473015.5560792089</v>
      </c>
      <c r="O565" s="326">
        <v>2345821.742811928</v>
      </c>
      <c r="P565" s="326">
        <v>2621364.4610628453</v>
      </c>
      <c r="Q565" s="326">
        <v>2920866.8684903411</v>
      </c>
      <c r="R565" s="326">
        <v>3404384.1260078428</v>
      </c>
      <c r="S565" s="326">
        <v>2888593.642848081</v>
      </c>
      <c r="T565" s="326">
        <v>3220087.4073472344</v>
      </c>
      <c r="U565" s="326">
        <v>3793121.1924626925</v>
      </c>
      <c r="V565" s="326">
        <v>5224535.6586947925</v>
      </c>
      <c r="W565" s="9"/>
    </row>
    <row r="566" spans="1:23" x14ac:dyDescent="0.2">
      <c r="A566" s="9"/>
      <c r="B566" s="9"/>
      <c r="C566" s="320"/>
      <c r="D566" s="9"/>
      <c r="E566" s="321"/>
      <c r="F566" s="313"/>
      <c r="G566" s="322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5.75" x14ac:dyDescent="0.25">
      <c r="A567" s="336" t="s">
        <v>205</v>
      </c>
      <c r="B567" s="33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">
      <c r="A568" s="284" t="s">
        <v>190</v>
      </c>
      <c r="B568" s="303"/>
      <c r="C568" s="338">
        <v>0</v>
      </c>
      <c r="D568" s="277"/>
      <c r="E568" s="277"/>
      <c r="F568" s="277"/>
      <c r="G568" s="277"/>
      <c r="H568" s="277"/>
      <c r="I568" s="277"/>
      <c r="J568" s="277"/>
      <c r="K568" s="277"/>
      <c r="L568" s="277"/>
      <c r="M568" s="277"/>
      <c r="N568" s="277"/>
      <c r="O568" s="277"/>
      <c r="P568" s="277"/>
      <c r="Q568" s="277"/>
      <c r="R568" s="277"/>
      <c r="S568" s="277"/>
      <c r="T568" s="277"/>
      <c r="U568" s="277"/>
      <c r="V568" s="277"/>
      <c r="W568" s="277"/>
    </row>
    <row r="569" spans="1:23" x14ac:dyDescent="0.2">
      <c r="A569" s="284" t="s">
        <v>191</v>
      </c>
      <c r="B569" s="303"/>
      <c r="C569" s="339">
        <v>0</v>
      </c>
      <c r="D569" s="277"/>
      <c r="E569" s="277"/>
      <c r="F569" s="277"/>
      <c r="G569" s="277"/>
      <c r="H569" s="277"/>
      <c r="I569" s="277"/>
      <c r="J569" s="277"/>
      <c r="K569" s="277"/>
      <c r="L569" s="277"/>
      <c r="M569" s="277"/>
      <c r="N569" s="277"/>
      <c r="O569" s="277"/>
      <c r="P569" s="277"/>
      <c r="Q569" s="277"/>
      <c r="R569" s="277"/>
      <c r="S569" s="277"/>
      <c r="T569" s="277"/>
      <c r="U569" s="277"/>
      <c r="V569" s="277"/>
      <c r="W569" s="277"/>
    </row>
    <row r="570" spans="1:23" x14ac:dyDescent="0.2">
      <c r="A570" s="284" t="s">
        <v>201</v>
      </c>
      <c r="B570" s="303"/>
      <c r="C570" s="284">
        <v>15</v>
      </c>
      <c r="D570" s="277"/>
      <c r="E570" s="277"/>
      <c r="F570" s="277"/>
      <c r="G570" s="277"/>
      <c r="H570" s="277"/>
      <c r="I570" s="277"/>
      <c r="J570" s="277"/>
      <c r="K570" s="277"/>
      <c r="L570" s="277"/>
      <c r="M570" s="277"/>
      <c r="N570" s="277"/>
      <c r="O570" s="277"/>
      <c r="P570" s="277"/>
      <c r="Q570" s="277"/>
      <c r="R570" s="277"/>
      <c r="S570" s="277"/>
      <c r="T570" s="277"/>
      <c r="U570" s="277"/>
      <c r="V570" s="277"/>
      <c r="W570" s="277"/>
    </row>
    <row r="571" spans="1:23" x14ac:dyDescent="0.2">
      <c r="A571" s="284" t="s">
        <v>192</v>
      </c>
      <c r="B571" s="303"/>
      <c r="C571" s="339">
        <v>0</v>
      </c>
      <c r="D571" s="277"/>
      <c r="E571" s="277"/>
      <c r="F571" s="277"/>
      <c r="G571" s="277"/>
      <c r="H571" s="277"/>
      <c r="I571" s="277"/>
      <c r="J571" s="277"/>
      <c r="K571" s="277"/>
      <c r="L571" s="277"/>
      <c r="M571" s="277"/>
      <c r="N571" s="277"/>
      <c r="O571" s="277"/>
      <c r="P571" s="277"/>
      <c r="Q571" s="277"/>
      <c r="R571" s="277"/>
      <c r="S571" s="277"/>
      <c r="T571" s="277"/>
      <c r="U571" s="277"/>
      <c r="V571" s="277"/>
      <c r="W571" s="277"/>
    </row>
    <row r="572" spans="1:23" x14ac:dyDescent="0.2">
      <c r="A572" s="284" t="s">
        <v>193</v>
      </c>
      <c r="B572" s="303"/>
      <c r="C572" s="340">
        <v>8.7499999999999994E-2</v>
      </c>
      <c r="D572" s="277"/>
      <c r="E572" s="277"/>
      <c r="F572" s="277"/>
      <c r="G572" s="277"/>
      <c r="H572" s="277"/>
      <c r="I572" s="277"/>
      <c r="J572" s="277"/>
      <c r="K572" s="277"/>
      <c r="L572" s="277"/>
      <c r="M572" s="277"/>
      <c r="N572" s="277"/>
      <c r="O572" s="277"/>
      <c r="P572" s="277"/>
      <c r="Q572" s="277"/>
      <c r="R572" s="277"/>
      <c r="S572" s="277"/>
      <c r="T572" s="277"/>
      <c r="U572" s="277"/>
      <c r="V572" s="277"/>
      <c r="W572" s="277"/>
    </row>
    <row r="573" spans="1:23" x14ac:dyDescent="0.2">
      <c r="A573" s="284"/>
      <c r="B573" s="303"/>
      <c r="C573" s="277"/>
      <c r="D573" s="306">
        <v>2001</v>
      </c>
      <c r="E573" s="306">
        <v>2002</v>
      </c>
      <c r="F573" s="306">
        <v>2003</v>
      </c>
      <c r="G573" s="306">
        <v>2004</v>
      </c>
      <c r="H573" s="306">
        <v>2005</v>
      </c>
      <c r="I573" s="306">
        <v>2006</v>
      </c>
      <c r="J573" s="306">
        <v>2007</v>
      </c>
      <c r="K573" s="306">
        <v>2008</v>
      </c>
      <c r="L573" s="306">
        <v>2009</v>
      </c>
      <c r="M573" s="306">
        <v>2010</v>
      </c>
      <c r="N573" s="306">
        <v>2011</v>
      </c>
      <c r="O573" s="306">
        <v>2012</v>
      </c>
      <c r="P573" s="306">
        <v>2013</v>
      </c>
      <c r="Q573" s="306">
        <v>2014</v>
      </c>
      <c r="R573" s="306">
        <v>2015</v>
      </c>
      <c r="S573" s="306">
        <v>2016</v>
      </c>
      <c r="T573" s="306">
        <v>2017</v>
      </c>
      <c r="U573" s="306">
        <v>2018</v>
      </c>
      <c r="V573" s="306">
        <v>2019</v>
      </c>
      <c r="W573" s="306" t="s">
        <v>154</v>
      </c>
    </row>
    <row r="574" spans="1:23" x14ac:dyDescent="0.2">
      <c r="A574" s="284" t="s">
        <v>194</v>
      </c>
      <c r="B574" s="303"/>
      <c r="C574" s="277"/>
      <c r="D574" s="341">
        <v>0</v>
      </c>
      <c r="E574" s="341">
        <v>0</v>
      </c>
      <c r="F574" s="341">
        <v>0</v>
      </c>
      <c r="G574" s="341">
        <v>0</v>
      </c>
      <c r="H574" s="341">
        <v>0</v>
      </c>
      <c r="I574" s="341">
        <v>0</v>
      </c>
      <c r="J574" s="341">
        <v>0</v>
      </c>
      <c r="K574" s="341">
        <v>0</v>
      </c>
      <c r="L574" s="341">
        <v>0</v>
      </c>
      <c r="M574" s="341">
        <v>0</v>
      </c>
      <c r="N574" s="341">
        <v>0</v>
      </c>
      <c r="O574" s="341">
        <v>0</v>
      </c>
      <c r="P574" s="341">
        <v>0</v>
      </c>
      <c r="Q574" s="341">
        <v>0</v>
      </c>
      <c r="R574" s="341">
        <v>0</v>
      </c>
      <c r="S574" s="341">
        <v>0</v>
      </c>
      <c r="T574" s="341">
        <v>0</v>
      </c>
      <c r="U574" s="341">
        <v>0</v>
      </c>
      <c r="V574" s="341">
        <v>0</v>
      </c>
      <c r="W574" s="341">
        <v>0</v>
      </c>
    </row>
    <row r="575" spans="1:23" x14ac:dyDescent="0.2">
      <c r="A575" s="284" t="s">
        <v>195</v>
      </c>
      <c r="B575" s="303"/>
      <c r="C575" s="277"/>
      <c r="D575" s="341">
        <v>0</v>
      </c>
      <c r="E575" s="341">
        <v>0</v>
      </c>
      <c r="F575" s="341">
        <v>0</v>
      </c>
      <c r="G575" s="341">
        <v>0</v>
      </c>
      <c r="H575" s="341">
        <v>0</v>
      </c>
      <c r="I575" s="341">
        <v>0</v>
      </c>
      <c r="J575" s="341">
        <v>0</v>
      </c>
      <c r="K575" s="341">
        <v>0</v>
      </c>
      <c r="L575" s="341">
        <v>0</v>
      </c>
      <c r="M575" s="341">
        <v>0</v>
      </c>
      <c r="N575" s="341">
        <v>0</v>
      </c>
      <c r="O575" s="341">
        <v>0</v>
      </c>
      <c r="P575" s="341">
        <v>0</v>
      </c>
      <c r="Q575" s="341">
        <v>0</v>
      </c>
      <c r="R575" s="341">
        <v>0</v>
      </c>
      <c r="S575" s="341">
        <v>0</v>
      </c>
      <c r="T575" s="341">
        <v>0</v>
      </c>
      <c r="U575" s="341">
        <v>0</v>
      </c>
      <c r="V575" s="341">
        <v>0</v>
      </c>
      <c r="W575" s="341">
        <v>0</v>
      </c>
    </row>
    <row r="576" spans="1:23" x14ac:dyDescent="0.2">
      <c r="A576" s="284" t="s">
        <v>196</v>
      </c>
      <c r="B576" s="303"/>
      <c r="C576" s="277"/>
      <c r="D576" s="341">
        <v>0</v>
      </c>
      <c r="E576" s="341">
        <v>0</v>
      </c>
      <c r="F576" s="341">
        <v>0</v>
      </c>
      <c r="G576" s="341">
        <v>0</v>
      </c>
      <c r="H576" s="341">
        <v>0</v>
      </c>
      <c r="I576" s="341">
        <v>0</v>
      </c>
      <c r="J576" s="341">
        <v>0</v>
      </c>
      <c r="K576" s="341">
        <v>0</v>
      </c>
      <c r="L576" s="341">
        <v>0</v>
      </c>
      <c r="M576" s="341">
        <v>0</v>
      </c>
      <c r="N576" s="341">
        <v>0</v>
      </c>
      <c r="O576" s="341">
        <v>0</v>
      </c>
      <c r="P576" s="341">
        <v>0</v>
      </c>
      <c r="Q576" s="341">
        <v>0</v>
      </c>
      <c r="R576" s="341">
        <v>0</v>
      </c>
      <c r="S576" s="341">
        <v>0</v>
      </c>
      <c r="T576" s="341">
        <v>0</v>
      </c>
      <c r="U576" s="341">
        <v>0</v>
      </c>
      <c r="V576" s="341">
        <v>0</v>
      </c>
      <c r="W576" s="341">
        <v>0</v>
      </c>
    </row>
    <row r="577" spans="1:23" x14ac:dyDescent="0.2">
      <c r="A577" s="284" t="s">
        <v>197</v>
      </c>
      <c r="B577" s="303"/>
      <c r="C577" s="277"/>
      <c r="D577" s="342">
        <v>0</v>
      </c>
      <c r="E577" s="342">
        <v>0</v>
      </c>
      <c r="F577" s="342">
        <v>0</v>
      </c>
      <c r="G577" s="342">
        <v>0</v>
      </c>
      <c r="H577" s="342">
        <v>0</v>
      </c>
      <c r="I577" s="342">
        <v>0</v>
      </c>
      <c r="J577" s="342">
        <v>0</v>
      </c>
      <c r="K577" s="342">
        <v>0</v>
      </c>
      <c r="L577" s="342">
        <v>0</v>
      </c>
      <c r="M577" s="342">
        <v>0</v>
      </c>
      <c r="N577" s="342">
        <v>0</v>
      </c>
      <c r="O577" s="342">
        <v>0</v>
      </c>
      <c r="P577" s="342">
        <v>0</v>
      </c>
      <c r="Q577" s="342">
        <v>0</v>
      </c>
      <c r="R577" s="342">
        <v>0</v>
      </c>
      <c r="S577" s="342">
        <v>0</v>
      </c>
      <c r="T577" s="342">
        <v>0</v>
      </c>
      <c r="U577" s="342">
        <v>0</v>
      </c>
      <c r="V577" s="342">
        <v>0</v>
      </c>
      <c r="W577" s="342">
        <v>0</v>
      </c>
    </row>
    <row r="578" spans="1:23" ht="13.5" thickBot="1" x14ac:dyDescent="0.25">
      <c r="A578" s="284" t="s">
        <v>198</v>
      </c>
      <c r="B578" s="303"/>
      <c r="C578" s="277"/>
      <c r="D578" s="343">
        <v>0</v>
      </c>
      <c r="E578" s="343">
        <v>0</v>
      </c>
      <c r="F578" s="343">
        <v>0</v>
      </c>
      <c r="G578" s="343">
        <v>0</v>
      </c>
      <c r="H578" s="343">
        <v>0</v>
      </c>
      <c r="I578" s="343">
        <v>0</v>
      </c>
      <c r="J578" s="343">
        <v>0</v>
      </c>
      <c r="K578" s="343">
        <v>0</v>
      </c>
      <c r="L578" s="343">
        <v>0</v>
      </c>
      <c r="M578" s="343">
        <v>0</v>
      </c>
      <c r="N578" s="343">
        <v>0</v>
      </c>
      <c r="O578" s="343">
        <v>0</v>
      </c>
      <c r="P578" s="343">
        <v>0</v>
      </c>
      <c r="Q578" s="343">
        <v>0</v>
      </c>
      <c r="R578" s="343">
        <v>0</v>
      </c>
      <c r="S578" s="343">
        <v>0</v>
      </c>
      <c r="T578" s="343">
        <v>0</v>
      </c>
      <c r="U578" s="343">
        <v>0</v>
      </c>
      <c r="V578" s="343">
        <v>0</v>
      </c>
      <c r="W578" s="343">
        <v>0</v>
      </c>
    </row>
    <row r="579" spans="1:23" ht="13.5" thickTop="1" x14ac:dyDescent="0.2">
      <c r="A579" s="284"/>
      <c r="B579" s="303"/>
      <c r="C579" s="277"/>
      <c r="D579" s="341"/>
      <c r="E579" s="341"/>
      <c r="F579" s="341"/>
      <c r="G579" s="341"/>
      <c r="H579" s="341"/>
      <c r="I579" s="341"/>
      <c r="J579" s="341"/>
      <c r="K579" s="341"/>
      <c r="L579" s="341"/>
      <c r="M579" s="341"/>
      <c r="N579" s="341"/>
      <c r="O579" s="341"/>
      <c r="P579" s="341"/>
      <c r="Q579" s="341"/>
      <c r="R579" s="341"/>
      <c r="S579" s="341"/>
      <c r="T579" s="341"/>
      <c r="U579" s="341"/>
      <c r="V579" s="341"/>
      <c r="W579" s="341"/>
    </row>
    <row r="580" spans="1:23" x14ac:dyDescent="0.2">
      <c r="A580" s="284" t="s">
        <v>199</v>
      </c>
      <c r="B580" s="303"/>
      <c r="C580" s="277"/>
      <c r="D580" s="341">
        <v>0</v>
      </c>
      <c r="E580" s="341">
        <v>0</v>
      </c>
      <c r="F580" s="341">
        <v>0</v>
      </c>
      <c r="G580" s="341">
        <v>0</v>
      </c>
      <c r="H580" s="341">
        <v>0</v>
      </c>
      <c r="I580" s="341">
        <v>0</v>
      </c>
      <c r="J580" s="341">
        <v>0</v>
      </c>
      <c r="K580" s="341">
        <v>0</v>
      </c>
      <c r="L580" s="341">
        <v>0</v>
      </c>
      <c r="M580" s="341">
        <v>0</v>
      </c>
      <c r="N580" s="341">
        <v>0</v>
      </c>
      <c r="O580" s="341">
        <v>0</v>
      </c>
      <c r="P580" s="341">
        <v>0</v>
      </c>
      <c r="Q580" s="341">
        <v>0</v>
      </c>
      <c r="R580" s="341">
        <v>0</v>
      </c>
      <c r="S580" s="341">
        <v>0</v>
      </c>
      <c r="T580" s="341">
        <v>0</v>
      </c>
      <c r="U580" s="341">
        <v>0</v>
      </c>
      <c r="V580" s="341">
        <v>0</v>
      </c>
      <c r="W580" s="341">
        <v>0</v>
      </c>
    </row>
    <row r="581" spans="1:23" x14ac:dyDescent="0.2">
      <c r="A581" s="284"/>
      <c r="B581" s="303"/>
      <c r="C581" s="277"/>
      <c r="D581" s="277"/>
      <c r="E581" s="277"/>
      <c r="F581" s="277"/>
      <c r="G581" s="277"/>
      <c r="H581" s="277"/>
      <c r="I581" s="277"/>
      <c r="J581" s="277"/>
      <c r="K581" s="277"/>
      <c r="L581" s="277"/>
      <c r="M581" s="277"/>
      <c r="N581" s="277"/>
      <c r="O581" s="277"/>
      <c r="P581" s="277"/>
      <c r="Q581" s="277"/>
      <c r="R581" s="277"/>
      <c r="S581" s="277"/>
      <c r="T581" s="277"/>
      <c r="U581" s="277"/>
      <c r="V581" s="277"/>
      <c r="W581" s="277"/>
    </row>
    <row r="582" spans="1:23" x14ac:dyDescent="0.2">
      <c r="A582" s="284" t="s">
        <v>200</v>
      </c>
      <c r="B582" s="303"/>
      <c r="C582" s="277"/>
      <c r="D582" s="341">
        <v>0</v>
      </c>
      <c r="E582" s="341">
        <v>0</v>
      </c>
      <c r="F582" s="341">
        <v>0</v>
      </c>
      <c r="G582" s="341">
        <v>0</v>
      </c>
      <c r="H582" s="341">
        <v>0</v>
      </c>
      <c r="I582" s="341">
        <v>0</v>
      </c>
      <c r="J582" s="341">
        <v>0</v>
      </c>
      <c r="K582" s="341">
        <v>0</v>
      </c>
      <c r="L582" s="341">
        <v>0</v>
      </c>
      <c r="M582" s="341">
        <v>0</v>
      </c>
      <c r="N582" s="341">
        <v>0</v>
      </c>
      <c r="O582" s="341">
        <v>0</v>
      </c>
      <c r="P582" s="341">
        <v>0</v>
      </c>
      <c r="Q582" s="341">
        <v>0</v>
      </c>
      <c r="R582" s="341">
        <v>0</v>
      </c>
      <c r="S582" s="341">
        <v>0</v>
      </c>
      <c r="T582" s="341">
        <v>0</v>
      </c>
      <c r="U582" s="341">
        <v>0</v>
      </c>
      <c r="V582" s="341">
        <v>0</v>
      </c>
      <c r="W582" s="341">
        <v>0</v>
      </c>
    </row>
    <row r="583" spans="1:23" x14ac:dyDescent="0.2">
      <c r="A583" s="277"/>
      <c r="B583" s="303"/>
      <c r="C583" s="277"/>
      <c r="D583" s="277"/>
      <c r="E583" s="277"/>
      <c r="F583" s="277"/>
      <c r="G583" s="277"/>
      <c r="H583" s="277"/>
      <c r="I583" s="277"/>
      <c r="J583" s="277"/>
      <c r="K583" s="277"/>
      <c r="L583" s="277"/>
      <c r="M583" s="277"/>
      <c r="N583" s="277"/>
      <c r="O583" s="277"/>
      <c r="P583" s="277"/>
      <c r="Q583" s="277"/>
      <c r="R583" s="277"/>
      <c r="S583" s="277"/>
      <c r="T583" s="277"/>
      <c r="U583" s="277"/>
      <c r="V583" s="277"/>
      <c r="W583" s="277"/>
    </row>
    <row r="584" spans="1:23" x14ac:dyDescent="0.2">
      <c r="A584" s="277"/>
      <c r="B584" s="303"/>
      <c r="C584" s="277"/>
      <c r="D584" s="277"/>
      <c r="E584" s="277"/>
      <c r="F584" s="277"/>
      <c r="G584" s="277"/>
      <c r="H584" s="277"/>
      <c r="I584" s="277"/>
      <c r="J584" s="277"/>
      <c r="K584" s="277"/>
      <c r="L584" s="277"/>
      <c r="M584" s="277"/>
      <c r="N584" s="277"/>
      <c r="O584" s="277"/>
      <c r="P584" s="277"/>
      <c r="Q584" s="277"/>
      <c r="R584" s="277"/>
      <c r="S584" s="277"/>
      <c r="T584" s="277"/>
      <c r="U584" s="277"/>
      <c r="V584" s="277"/>
      <c r="W584" s="277"/>
    </row>
    <row r="585" spans="1:23" x14ac:dyDescent="0.2">
      <c r="A585" s="284" t="s">
        <v>202</v>
      </c>
      <c r="B585" s="279"/>
      <c r="C585" s="278"/>
      <c r="D585" s="435">
        <v>6314551.9571212763</v>
      </c>
      <c r="E585" s="435">
        <v>4684703.0352016222</v>
      </c>
      <c r="F585" s="435">
        <v>2299512.4044484715</v>
      </c>
      <c r="G585" s="435">
        <v>2944251.2263437938</v>
      </c>
      <c r="H585" s="435">
        <v>2312242.0180583112</v>
      </c>
      <c r="I585" s="435">
        <v>3092247.8385594585</v>
      </c>
      <c r="J585" s="435">
        <v>2512301.3984785746</v>
      </c>
      <c r="K585" s="435">
        <v>2922874.6793663679</v>
      </c>
      <c r="L585" s="435">
        <v>2795639.0423420724</v>
      </c>
      <c r="M585" s="435">
        <v>2905954.0302416654</v>
      </c>
      <c r="N585" s="435">
        <v>2662994.6848655376</v>
      </c>
      <c r="O585" s="435">
        <v>2551585.5357503467</v>
      </c>
      <c r="P585" s="435">
        <v>2711460.2897824654</v>
      </c>
      <c r="Q585" s="435">
        <v>2869811.3358534169</v>
      </c>
      <c r="R585" s="435">
        <v>3178163.0254217954</v>
      </c>
      <c r="S585" s="435">
        <v>2625304.318919044</v>
      </c>
      <c r="T585" s="435">
        <v>2974418.3913335945</v>
      </c>
      <c r="U585" s="435">
        <v>3566249.7478631074</v>
      </c>
      <c r="V585" s="435">
        <v>5015517.0185403908</v>
      </c>
      <c r="W585" s="435">
        <v>19085921.540818479</v>
      </c>
    </row>
    <row r="586" spans="1:23" x14ac:dyDescent="0.2">
      <c r="A586" s="9"/>
      <c r="B586" s="6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">
      <c r="B587" s="350"/>
      <c r="C587" s="353"/>
      <c r="D587" s="353"/>
      <c r="E587" s="353"/>
      <c r="F587" s="353"/>
      <c r="G587" s="353"/>
      <c r="H587" s="353"/>
      <c r="I587" s="353"/>
      <c r="J587" s="353"/>
      <c r="K587" s="353"/>
      <c r="L587" s="353"/>
      <c r="M587" s="353"/>
      <c r="N587" s="353"/>
      <c r="O587" s="353"/>
      <c r="P587" s="353"/>
      <c r="Q587" s="353"/>
      <c r="R587" s="353"/>
      <c r="S587" s="353"/>
      <c r="T587" s="353"/>
      <c r="U587" s="353"/>
      <c r="V587" s="353"/>
      <c r="W587" s="294"/>
    </row>
    <row r="588" spans="1:23" x14ac:dyDescent="0.2">
      <c r="B588" s="348"/>
      <c r="C588" s="349"/>
      <c r="D588" s="349"/>
      <c r="E588" s="349"/>
      <c r="F588" s="349"/>
      <c r="G588" s="349"/>
      <c r="H588" s="349"/>
      <c r="I588" s="349"/>
      <c r="J588" s="349"/>
      <c r="K588" s="349"/>
      <c r="L588" s="349"/>
      <c r="M588" s="349"/>
      <c r="N588" s="349"/>
      <c r="O588" s="349"/>
      <c r="P588" s="349"/>
      <c r="Q588" s="349"/>
      <c r="R588" s="349"/>
      <c r="S588" s="349"/>
      <c r="T588" s="349"/>
      <c r="U588" s="349"/>
      <c r="V588" s="349"/>
      <c r="W588" s="294"/>
    </row>
    <row r="589" spans="1:23" x14ac:dyDescent="0.2">
      <c r="B589" s="348"/>
      <c r="C589" s="349"/>
      <c r="D589" s="349"/>
      <c r="E589" s="349"/>
      <c r="F589" s="349"/>
      <c r="G589" s="349"/>
      <c r="H589" s="349"/>
      <c r="I589" s="349"/>
      <c r="J589" s="349"/>
      <c r="K589" s="349"/>
      <c r="L589" s="349"/>
      <c r="M589" s="349"/>
      <c r="N589" s="349"/>
      <c r="O589" s="349"/>
      <c r="P589" s="349"/>
      <c r="Q589" s="349"/>
      <c r="R589" s="349"/>
      <c r="S589" s="349"/>
      <c r="T589" s="349"/>
      <c r="U589" s="349"/>
      <c r="V589" s="349"/>
      <c r="W589" s="294"/>
    </row>
    <row r="590" spans="1:23" x14ac:dyDescent="0.2">
      <c r="B590" s="350"/>
      <c r="C590" s="353"/>
      <c r="D590" s="353"/>
      <c r="E590" s="353"/>
      <c r="F590" s="353"/>
      <c r="G590" s="353"/>
      <c r="H590" s="353"/>
      <c r="I590" s="353"/>
      <c r="J590" s="353"/>
      <c r="K590" s="353"/>
      <c r="L590" s="353"/>
      <c r="M590" s="353"/>
      <c r="N590" s="353"/>
      <c r="O590" s="353"/>
      <c r="P590" s="353"/>
      <c r="Q590" s="353"/>
      <c r="R590" s="353"/>
      <c r="S590" s="353"/>
      <c r="T590" s="353"/>
      <c r="U590" s="353"/>
      <c r="V590" s="353"/>
      <c r="W590" s="294"/>
    </row>
    <row r="591" spans="1:23" x14ac:dyDescent="0.2">
      <c r="B591" s="348"/>
      <c r="C591" s="349"/>
      <c r="D591" s="349"/>
      <c r="E591" s="349"/>
      <c r="F591" s="349"/>
      <c r="G591" s="349"/>
      <c r="H591" s="349"/>
      <c r="I591" s="349"/>
      <c r="J591" s="349"/>
      <c r="K591" s="349"/>
      <c r="L591" s="349"/>
      <c r="M591" s="349"/>
      <c r="N591" s="349"/>
      <c r="O591" s="349"/>
      <c r="P591" s="349"/>
      <c r="Q591" s="349"/>
      <c r="R591" s="349"/>
      <c r="S591" s="349"/>
      <c r="T591" s="349"/>
      <c r="U591" s="349"/>
      <c r="V591" s="349"/>
      <c r="W591" s="294"/>
    </row>
    <row r="592" spans="1:23" x14ac:dyDescent="0.2">
      <c r="B592" s="348"/>
      <c r="C592" s="349"/>
      <c r="D592" s="349"/>
      <c r="E592" s="349"/>
      <c r="F592" s="349"/>
      <c r="G592" s="349"/>
      <c r="H592" s="349"/>
      <c r="I592" s="349"/>
      <c r="J592" s="349"/>
      <c r="K592" s="349"/>
      <c r="L592" s="349"/>
      <c r="M592" s="349"/>
      <c r="N592" s="349"/>
      <c r="O592" s="349"/>
      <c r="P592" s="349"/>
      <c r="Q592" s="349"/>
      <c r="R592" s="349"/>
      <c r="S592" s="349"/>
      <c r="T592" s="349"/>
      <c r="U592" s="349"/>
      <c r="V592" s="349"/>
      <c r="W592" s="294"/>
    </row>
    <row r="593" spans="1:23" x14ac:dyDescent="0.2">
      <c r="B593" s="348"/>
      <c r="C593" s="349"/>
      <c r="D593" s="349"/>
      <c r="E593" s="349"/>
      <c r="F593" s="349"/>
      <c r="G593" s="349"/>
      <c r="H593" s="349"/>
      <c r="I593" s="349"/>
      <c r="J593" s="349"/>
      <c r="K593" s="349"/>
      <c r="L593" s="349"/>
      <c r="M593" s="349"/>
      <c r="N593" s="349"/>
      <c r="O593" s="349"/>
      <c r="P593" s="349"/>
      <c r="Q593" s="349"/>
      <c r="R593" s="349"/>
      <c r="S593" s="349"/>
      <c r="T593" s="349"/>
      <c r="U593" s="349"/>
      <c r="V593" s="349"/>
      <c r="W593" s="294"/>
    </row>
    <row r="594" spans="1:23" ht="15.75" x14ac:dyDescent="0.25">
      <c r="A594" s="302" t="s">
        <v>29</v>
      </c>
      <c r="B594" s="305" t="s">
        <v>63</v>
      </c>
      <c r="C594" s="306">
        <v>2000</v>
      </c>
      <c r="D594" s="306">
        <v>2001</v>
      </c>
      <c r="E594" s="306">
        <v>2002</v>
      </c>
      <c r="F594" s="306">
        <v>2003</v>
      </c>
      <c r="G594" s="306">
        <v>2004</v>
      </c>
      <c r="H594" s="306">
        <v>2005</v>
      </c>
      <c r="I594" s="306">
        <v>2006</v>
      </c>
      <c r="J594" s="306">
        <v>2007</v>
      </c>
      <c r="K594" s="306">
        <v>2008</v>
      </c>
      <c r="L594" s="306">
        <v>2009</v>
      </c>
      <c r="M594" s="306">
        <v>2010</v>
      </c>
      <c r="N594" s="306">
        <v>2011</v>
      </c>
      <c r="O594" s="306">
        <v>2012</v>
      </c>
      <c r="P594" s="306">
        <v>2013</v>
      </c>
      <c r="Q594" s="306">
        <v>2014</v>
      </c>
      <c r="R594" s="306">
        <v>2015</v>
      </c>
      <c r="S594" s="306">
        <v>2016</v>
      </c>
      <c r="T594" s="306">
        <v>2017</v>
      </c>
      <c r="U594" s="306">
        <v>2018</v>
      </c>
      <c r="V594" s="306">
        <v>2019</v>
      </c>
      <c r="W594" s="306" t="s">
        <v>154</v>
      </c>
    </row>
    <row r="595" spans="1:23" x14ac:dyDescent="0.2">
      <c r="A595" s="302" t="s">
        <v>26</v>
      </c>
      <c r="B595" s="303">
        <v>163</v>
      </c>
      <c r="C595" s="308"/>
      <c r="D595" s="308"/>
      <c r="E595" s="308"/>
      <c r="F595" s="308"/>
      <c r="G595" s="308"/>
      <c r="H595" s="308"/>
      <c r="I595" s="308"/>
      <c r="J595" s="308"/>
      <c r="K595" s="308"/>
      <c r="L595" s="308"/>
      <c r="M595" s="308"/>
      <c r="N595" s="308"/>
      <c r="O595" s="308"/>
      <c r="P595" s="308"/>
      <c r="Q595" s="308"/>
      <c r="R595" s="308"/>
      <c r="S595" s="308"/>
      <c r="T595" s="308"/>
      <c r="U595" s="308"/>
      <c r="V595" s="308"/>
      <c r="W595" s="308"/>
    </row>
    <row r="596" spans="1:23" x14ac:dyDescent="0.2">
      <c r="A596" s="9"/>
      <c r="B596" s="309" t="s">
        <v>27</v>
      </c>
      <c r="C596" s="443">
        <v>0</v>
      </c>
      <c r="D596" s="404">
        <v>44329663.06041424</v>
      </c>
      <c r="E596" s="404">
        <v>43714865.920807227</v>
      </c>
      <c r="F596" s="404">
        <v>44556302.076547652</v>
      </c>
      <c r="G596" s="404">
        <v>43924769.40421211</v>
      </c>
      <c r="H596" s="404">
        <v>44255618.922296166</v>
      </c>
      <c r="I596" s="404">
        <v>47243840.53568238</v>
      </c>
      <c r="J596" s="404">
        <v>50657454.091664806</v>
      </c>
      <c r="K596" s="404">
        <v>51968355.420601986</v>
      </c>
      <c r="L596" s="404">
        <v>53056094.733861461</v>
      </c>
      <c r="M596" s="404">
        <v>53245502.060455121</v>
      </c>
      <c r="N596" s="404">
        <v>54395867.609541431</v>
      </c>
      <c r="O596" s="404">
        <v>55006721.621635541</v>
      </c>
      <c r="P596" s="404">
        <v>55654043.210447319</v>
      </c>
      <c r="Q596" s="404">
        <v>57613133.476398215</v>
      </c>
      <c r="R596" s="404">
        <v>61700727.493974432</v>
      </c>
      <c r="S596" s="404">
        <v>61345286.494444072</v>
      </c>
      <c r="T596" s="404">
        <v>62127121.074691631</v>
      </c>
      <c r="U596" s="404">
        <v>65112666.666591242</v>
      </c>
      <c r="V596" s="404">
        <v>67090371.093413591</v>
      </c>
      <c r="W596" s="327"/>
    </row>
    <row r="597" spans="1:23" x14ac:dyDescent="0.2">
      <c r="A597" s="9"/>
      <c r="B597" s="309" t="s">
        <v>20</v>
      </c>
      <c r="C597" s="443">
        <v>0</v>
      </c>
      <c r="D597" s="404">
        <v>-13753991.327758463</v>
      </c>
      <c r="E597" s="404">
        <v>-13953858.550332645</v>
      </c>
      <c r="F597" s="404">
        <v>-14196155.686078999</v>
      </c>
      <c r="G597" s="404">
        <v>-14601473.014539491</v>
      </c>
      <c r="H597" s="404">
        <v>-15106165.665955858</v>
      </c>
      <c r="I597" s="404">
        <v>-15684552.377092319</v>
      </c>
      <c r="J597" s="404">
        <v>-16046323.215718208</v>
      </c>
      <c r="K597" s="404">
        <v>-16391345.404407723</v>
      </c>
      <c r="L597" s="404">
        <v>-16662673.533377139</v>
      </c>
      <c r="M597" s="404">
        <v>-16800012.462855488</v>
      </c>
      <c r="N597" s="404">
        <v>-17030027.255315159</v>
      </c>
      <c r="O597" s="404">
        <v>-17400730.707240455</v>
      </c>
      <c r="P597" s="404">
        <v>-17797115.42240154</v>
      </c>
      <c r="Q597" s="404">
        <v>-18176751.487626243</v>
      </c>
      <c r="R597" s="404">
        <v>-18435797.273308985</v>
      </c>
      <c r="S597" s="404">
        <v>-18814316.76187126</v>
      </c>
      <c r="T597" s="404">
        <v>-19244198.776905108</v>
      </c>
      <c r="U597" s="404">
        <v>-19716510.705111139</v>
      </c>
      <c r="V597" s="404">
        <v>-20204454.706591126</v>
      </c>
      <c r="W597" s="327"/>
    </row>
    <row r="598" spans="1:23" x14ac:dyDescent="0.2">
      <c r="A598" s="9"/>
      <c r="B598" s="309" t="s">
        <v>31</v>
      </c>
      <c r="C598" s="443">
        <v>0</v>
      </c>
      <c r="D598" s="404">
        <v>-655483.22806298546</v>
      </c>
      <c r="E598" s="404">
        <v>-668713.73468146764</v>
      </c>
      <c r="F598" s="404">
        <v>-682211.29055138363</v>
      </c>
      <c r="G598" s="404">
        <v>-695981.28588980925</v>
      </c>
      <c r="H598" s="404">
        <v>-710029.21971187799</v>
      </c>
      <c r="I598" s="404">
        <v>-724360.70202680188</v>
      </c>
      <c r="J598" s="404">
        <v>-738981.45607821306</v>
      </c>
      <c r="K598" s="404">
        <v>-753897.32062972989</v>
      </c>
      <c r="L598" s="404">
        <v>-769114.25229665171</v>
      </c>
      <c r="M598" s="404">
        <v>-784638.32792471931</v>
      </c>
      <c r="N598" s="404">
        <v>-800475.74701689079</v>
      </c>
      <c r="O598" s="404">
        <v>-816632.8342090958</v>
      </c>
      <c r="P598" s="404">
        <v>-833116.04179596493</v>
      </c>
      <c r="Q598" s="404">
        <v>-849931.95230753941</v>
      </c>
      <c r="R598" s="404">
        <v>-867087.28113798809</v>
      </c>
      <c r="S598" s="404">
        <v>-884588.87922738353</v>
      </c>
      <c r="T598" s="404">
        <v>-902443.73579761002</v>
      </c>
      <c r="U598" s="404">
        <v>-920658.98114349227</v>
      </c>
      <c r="V598" s="404">
        <v>-939241.88948026148</v>
      </c>
      <c r="W598" s="327"/>
    </row>
    <row r="599" spans="1:23" x14ac:dyDescent="0.2">
      <c r="A599" s="9"/>
      <c r="B599" s="309" t="s">
        <v>32</v>
      </c>
      <c r="C599" s="443">
        <v>0</v>
      </c>
      <c r="D599" s="404">
        <v>0</v>
      </c>
      <c r="E599" s="404">
        <v>0</v>
      </c>
      <c r="F599" s="404">
        <v>0</v>
      </c>
      <c r="G599" s="404">
        <v>0</v>
      </c>
      <c r="H599" s="404">
        <v>0</v>
      </c>
      <c r="I599" s="404">
        <v>-526392.60279621463</v>
      </c>
      <c r="J599" s="404">
        <v>-583464.14987626788</v>
      </c>
      <c r="K599" s="404">
        <v>-740318.24626939138</v>
      </c>
      <c r="L599" s="404">
        <v>-707143.79328559781</v>
      </c>
      <c r="M599" s="404">
        <v>-786452.62183583342</v>
      </c>
      <c r="N599" s="404">
        <v>-866337.03745724121</v>
      </c>
      <c r="O599" s="404">
        <v>-959875.46393282339</v>
      </c>
      <c r="P599" s="404">
        <v>-1076272.8996471325</v>
      </c>
      <c r="Q599" s="404">
        <v>-1198059.6864840812</v>
      </c>
      <c r="R599" s="404">
        <v>-1327084.1465613167</v>
      </c>
      <c r="S599" s="404">
        <v>-1457136.7609285628</v>
      </c>
      <c r="T599" s="404">
        <v>-1431565.8287708126</v>
      </c>
      <c r="U599" s="404">
        <v>-1224781.9963535666</v>
      </c>
      <c r="V599" s="404">
        <v>-1269872.9621813949</v>
      </c>
      <c r="W599" s="327"/>
    </row>
    <row r="600" spans="1:23" ht="13.5" thickBot="1" x14ac:dyDescent="0.25">
      <c r="A600" s="9"/>
      <c r="B600" s="310" t="s">
        <v>33</v>
      </c>
      <c r="C600" s="444">
        <v>0</v>
      </c>
      <c r="D600" s="406">
        <v>0</v>
      </c>
      <c r="E600" s="406">
        <v>0</v>
      </c>
      <c r="F600" s="406">
        <v>-831148.07104002114</v>
      </c>
      <c r="G600" s="406">
        <v>-708190.25548360054</v>
      </c>
      <c r="H600" s="406">
        <v>-735198.23835898249</v>
      </c>
      <c r="I600" s="406">
        <v>-763568.10279763257</v>
      </c>
      <c r="J600" s="406">
        <v>-959208.30406601378</v>
      </c>
      <c r="K600" s="406">
        <v>-837857.70365029445</v>
      </c>
      <c r="L600" s="406">
        <v>-886813.17976956349</v>
      </c>
      <c r="M600" s="406">
        <v>-843836.70457323163</v>
      </c>
      <c r="N600" s="406">
        <v>-868004.88326387503</v>
      </c>
      <c r="O600" s="406">
        <v>-890513.00675508799</v>
      </c>
      <c r="P600" s="406">
        <v>-795414.95088797878</v>
      </c>
      <c r="Q600" s="406">
        <v>-823854.75675451383</v>
      </c>
      <c r="R600" s="406">
        <v>-840880.02935762482</v>
      </c>
      <c r="S600" s="406">
        <v>-892955.51241995534</v>
      </c>
      <c r="T600" s="406">
        <v>-839470.79599780426</v>
      </c>
      <c r="U600" s="406">
        <v>-924573.86149830313</v>
      </c>
      <c r="V600" s="406">
        <v>-503384.75146488007</v>
      </c>
      <c r="W600" s="327"/>
    </row>
    <row r="601" spans="1:23" ht="13.5" thickTop="1" x14ac:dyDescent="0.2">
      <c r="A601" s="9"/>
      <c r="B601" s="311" t="s">
        <v>38</v>
      </c>
      <c r="C601" s="445">
        <v>0</v>
      </c>
      <c r="D601" s="408">
        <v>29920188.504592791</v>
      </c>
      <c r="E601" s="408">
        <v>29092293.635793116</v>
      </c>
      <c r="F601" s="408">
        <v>28846787.028877251</v>
      </c>
      <c r="G601" s="408">
        <v>27919124.848299209</v>
      </c>
      <c r="H601" s="408">
        <v>27704225.798269451</v>
      </c>
      <c r="I601" s="408">
        <v>29544966.750969414</v>
      </c>
      <c r="J601" s="408">
        <v>32329476.9659261</v>
      </c>
      <c r="K601" s="408">
        <v>33244936.745644845</v>
      </c>
      <c r="L601" s="408">
        <v>34030349.97513251</v>
      </c>
      <c r="M601" s="408">
        <v>34030561.943265848</v>
      </c>
      <c r="N601" s="408">
        <v>34831022.686488263</v>
      </c>
      <c r="O601" s="408">
        <v>34938969.609498076</v>
      </c>
      <c r="P601" s="408">
        <v>35152123.895714708</v>
      </c>
      <c r="Q601" s="408">
        <v>36564535.593225837</v>
      </c>
      <c r="R601" s="408">
        <v>40229878.763608515</v>
      </c>
      <c r="S601" s="408">
        <v>39296288.579996906</v>
      </c>
      <c r="T601" s="408">
        <v>39709441.937220298</v>
      </c>
      <c r="U601" s="408">
        <v>42326141.122484744</v>
      </c>
      <c r="V601" s="408">
        <v>44173416.783695921</v>
      </c>
      <c r="W601" s="327"/>
    </row>
    <row r="602" spans="1:23" x14ac:dyDescent="0.2">
      <c r="A602" s="9"/>
      <c r="B602" s="309" t="s">
        <v>34</v>
      </c>
      <c r="C602" s="443">
        <v>0</v>
      </c>
      <c r="D602" s="404">
        <v>-2719789.5337921353</v>
      </c>
      <c r="E602" s="404">
        <v>-2774185.324467978</v>
      </c>
      <c r="F602" s="404">
        <v>-2829669.0309573375</v>
      </c>
      <c r="G602" s="404">
        <v>-2886262.4115764843</v>
      </c>
      <c r="H602" s="404">
        <v>-2943987.6598080141</v>
      </c>
      <c r="I602" s="404">
        <v>-3002867.4130041744</v>
      </c>
      <c r="J602" s="404">
        <v>-3062924.7612642581</v>
      </c>
      <c r="K602" s="404">
        <v>-3124183.2564895432</v>
      </c>
      <c r="L602" s="404">
        <v>-3186666.9216193343</v>
      </c>
      <c r="M602" s="404">
        <v>-3250400.2600517208</v>
      </c>
      <c r="N602" s="404">
        <v>-3315408.265252755</v>
      </c>
      <c r="O602" s="404">
        <v>-3381716.4305578102</v>
      </c>
      <c r="P602" s="404">
        <v>-3449350.7591689667</v>
      </c>
      <c r="Q602" s="404">
        <v>-3518337.7743523461</v>
      </c>
      <c r="R602" s="404">
        <v>-3588704.5298393932</v>
      </c>
      <c r="S602" s="404">
        <v>-3660478.6204361813</v>
      </c>
      <c r="T602" s="404">
        <v>-3733688.192844905</v>
      </c>
      <c r="U602" s="404">
        <v>-3808361.956701803</v>
      </c>
      <c r="V602" s="404">
        <v>-3884529.195835839</v>
      </c>
      <c r="W602" s="327"/>
    </row>
    <row r="603" spans="1:23" x14ac:dyDescent="0.2">
      <c r="A603" s="9"/>
      <c r="B603" s="309" t="s">
        <v>35</v>
      </c>
      <c r="C603" s="443">
        <v>0</v>
      </c>
      <c r="D603" s="404">
        <v>-408315.87348898494</v>
      </c>
      <c r="E603" s="404">
        <v>-417397.215776205</v>
      </c>
      <c r="F603" s="404">
        <v>-426677.43945951521</v>
      </c>
      <c r="G603" s="404">
        <v>-445393.60991703469</v>
      </c>
      <c r="H603" s="404">
        <v>-502785.0734297476</v>
      </c>
      <c r="I603" s="404">
        <v>-638437.90786963713</v>
      </c>
      <c r="J603" s="404">
        <v>-708139.9737642681</v>
      </c>
      <c r="K603" s="404">
        <v>-779539.64570515463</v>
      </c>
      <c r="L603" s="404">
        <v>-852788.96295934892</v>
      </c>
      <c r="M603" s="404">
        <v>-895780.2172534219</v>
      </c>
      <c r="N603" s="404">
        <v>-907042.90971450391</v>
      </c>
      <c r="O603" s="404">
        <v>-918589.42202560499</v>
      </c>
      <c r="P603" s="404">
        <v>-930429.21574940812</v>
      </c>
      <c r="Q603" s="404">
        <v>-942565.00431630621</v>
      </c>
      <c r="R603" s="404">
        <v>-955005.40117623354</v>
      </c>
      <c r="S603" s="404">
        <v>-967756.80795765901</v>
      </c>
      <c r="T603" s="404">
        <v>-980824.4496272637</v>
      </c>
      <c r="U603" s="404">
        <v>-994220.08910277579</v>
      </c>
      <c r="V603" s="404">
        <v>-1007951.959129123</v>
      </c>
      <c r="W603" s="327"/>
    </row>
    <row r="604" spans="1:23" ht="13.5" thickBot="1" x14ac:dyDescent="0.25">
      <c r="A604" s="9"/>
      <c r="B604" s="310" t="s">
        <v>36</v>
      </c>
      <c r="C604" s="444">
        <v>0</v>
      </c>
      <c r="D604" s="406">
        <v>-457195.00152146001</v>
      </c>
      <c r="E604" s="406">
        <v>-466841.81605356501</v>
      </c>
      <c r="F604" s="406">
        <v>-477065.65182513901</v>
      </c>
      <c r="G604" s="406">
        <v>-487847.33555638301</v>
      </c>
      <c r="H604" s="406">
        <v>-499458.10214262601</v>
      </c>
      <c r="I604" s="406">
        <v>-511974.57239374099</v>
      </c>
      <c r="J604" s="406">
        <v>-524672.96808455302</v>
      </c>
      <c r="K604" s="406">
        <v>-537953.52518239501</v>
      </c>
      <c r="L604" s="406">
        <v>-551240.97725440096</v>
      </c>
      <c r="M604" s="406">
        <v>-565297.62217438605</v>
      </c>
      <c r="N604" s="406">
        <v>-578977.82463100902</v>
      </c>
      <c r="O604" s="406">
        <v>-593568.06581170904</v>
      </c>
      <c r="P604" s="406">
        <v>-608644.69468332501</v>
      </c>
      <c r="Q604" s="406">
        <v>-623860.81205040799</v>
      </c>
      <c r="R604" s="406">
        <v>-639519.71843287302</v>
      </c>
      <c r="S604" s="406">
        <v>-655507.71139369602</v>
      </c>
      <c r="T604" s="406">
        <v>-671764.302636259</v>
      </c>
      <c r="U604" s="406">
        <v>-688625.58663242997</v>
      </c>
      <c r="V604" s="406">
        <v>-705910.08885690395</v>
      </c>
      <c r="W604" s="327"/>
    </row>
    <row r="605" spans="1:23" ht="13.5" thickTop="1" x14ac:dyDescent="0.2">
      <c r="A605" s="9"/>
      <c r="B605" s="311" t="s">
        <v>220</v>
      </c>
      <c r="C605" s="446">
        <v>0</v>
      </c>
      <c r="D605" s="410">
        <v>26334888.095790211</v>
      </c>
      <c r="E605" s="410">
        <v>25433869.279495366</v>
      </c>
      <c r="F605" s="410">
        <v>25113374.906635262</v>
      </c>
      <c r="G605" s="410">
        <v>24099621.491249308</v>
      </c>
      <c r="H605" s="410">
        <v>23757994.962889064</v>
      </c>
      <c r="I605" s="410">
        <v>25391686.85770186</v>
      </c>
      <c r="J605" s="410">
        <v>28033739.262813024</v>
      </c>
      <c r="K605" s="410">
        <v>28803260.318267748</v>
      </c>
      <c r="L605" s="410">
        <v>29439653.113299426</v>
      </c>
      <c r="M605" s="410">
        <v>29319083.843786322</v>
      </c>
      <c r="N605" s="410">
        <v>30029593.686889995</v>
      </c>
      <c r="O605" s="410">
        <v>30045095.691102952</v>
      </c>
      <c r="P605" s="410">
        <v>30163699.226113006</v>
      </c>
      <c r="Q605" s="410">
        <v>31479772.002506774</v>
      </c>
      <c r="R605" s="410">
        <v>35046649.114160009</v>
      </c>
      <c r="S605" s="410">
        <v>34012545.440209366</v>
      </c>
      <c r="T605" s="410">
        <v>34323164.992111869</v>
      </c>
      <c r="U605" s="410">
        <v>36834933.490047738</v>
      </c>
      <c r="V605" s="410">
        <v>38575025.539874054</v>
      </c>
      <c r="W605" s="327"/>
    </row>
    <row r="606" spans="1:23" x14ac:dyDescent="0.2">
      <c r="A606" s="9"/>
      <c r="B606" s="309" t="s">
        <v>37</v>
      </c>
      <c r="C606" s="443">
        <v>0</v>
      </c>
      <c r="D606" s="404">
        <v>-1428845.3279176957</v>
      </c>
      <c r="E606" s="404">
        <v>-1671845.0831347557</v>
      </c>
      <c r="F606" s="404">
        <v>-1950497.1869944339</v>
      </c>
      <c r="G606" s="404">
        <v>-1964377.6077388772</v>
      </c>
      <c r="H606" s="404">
        <v>-2015306.6968826358</v>
      </c>
      <c r="I606" s="404">
        <v>-2132269.9888610551</v>
      </c>
      <c r="J606" s="404">
        <v>-2247134.5676326104</v>
      </c>
      <c r="K606" s="404">
        <v>-2358781.2162485886</v>
      </c>
      <c r="L606" s="404">
        <v>-2469516.5066949418</v>
      </c>
      <c r="M606" s="404">
        <v>-2474024.0359973088</v>
      </c>
      <c r="N606" s="404">
        <v>-2482519.7033724068</v>
      </c>
      <c r="O606" s="404">
        <v>-2611566.7114531775</v>
      </c>
      <c r="P606" s="404">
        <v>-2432024.2573896032</v>
      </c>
      <c r="Q606" s="404">
        <v>-2256092.4522144105</v>
      </c>
      <c r="R606" s="404">
        <v>-2164328.9831308746</v>
      </c>
      <c r="S606" s="404">
        <v>-2076652.9016209238</v>
      </c>
      <c r="T606" s="404">
        <v>-2225302.9814516832</v>
      </c>
      <c r="U606" s="404">
        <v>-2378407.1169283935</v>
      </c>
      <c r="V606" s="404">
        <v>-2531167.5022307215</v>
      </c>
      <c r="W606" s="327"/>
    </row>
    <row r="607" spans="1:23" ht="13.5" thickBot="1" x14ac:dyDescent="0.25">
      <c r="A607" s="9"/>
      <c r="B607" s="310" t="s">
        <v>221</v>
      </c>
      <c r="C607" s="444">
        <v>0</v>
      </c>
      <c r="D607" s="406">
        <v>-9962417.1071490068</v>
      </c>
      <c r="E607" s="406">
        <v>-9504809.6785442438</v>
      </c>
      <c r="F607" s="406">
        <v>-9265151.0878563318</v>
      </c>
      <c r="G607" s="406">
        <v>-8854097.5534041729</v>
      </c>
      <c r="H607" s="406">
        <v>-8697075.3064025715</v>
      </c>
      <c r="I607" s="406">
        <v>-9303766.7475363221</v>
      </c>
      <c r="J607" s="406">
        <v>-10314641.878072165</v>
      </c>
      <c r="K607" s="406">
        <v>-10577791.640807666</v>
      </c>
      <c r="L607" s="406">
        <v>-10788054.642641794</v>
      </c>
      <c r="M607" s="406">
        <v>-10738023.923115605</v>
      </c>
      <c r="N607" s="406">
        <v>-11018829.593407035</v>
      </c>
      <c r="O607" s="406">
        <v>-10973411.591859911</v>
      </c>
      <c r="P607" s="406">
        <v>-11092669.987489361</v>
      </c>
      <c r="Q607" s="406">
        <v>-11689471.820116946</v>
      </c>
      <c r="R607" s="406">
        <v>-13152928.052411653</v>
      </c>
      <c r="S607" s="406">
        <v>-12774357.015435377</v>
      </c>
      <c r="T607" s="406">
        <v>-12839144.804264076</v>
      </c>
      <c r="U607" s="406">
        <v>-13782610.54924774</v>
      </c>
      <c r="V607" s="406">
        <v>-14417543.215057336</v>
      </c>
      <c r="W607" s="327"/>
    </row>
    <row r="608" spans="1:23" ht="13.5" thickTop="1" x14ac:dyDescent="0.2">
      <c r="A608" s="9"/>
      <c r="B608" s="311" t="s">
        <v>183</v>
      </c>
      <c r="C608" s="446">
        <v>0</v>
      </c>
      <c r="D608" s="410">
        <v>14943625.660723509</v>
      </c>
      <c r="E608" s="410">
        <v>14257214.517816367</v>
      </c>
      <c r="F608" s="410">
        <v>13897726.631784497</v>
      </c>
      <c r="G608" s="410">
        <v>13281146.330106257</v>
      </c>
      <c r="H608" s="410">
        <v>13045612.959603857</v>
      </c>
      <c r="I608" s="410">
        <v>13955650.121304484</v>
      </c>
      <c r="J608" s="410">
        <v>15471962.817108247</v>
      </c>
      <c r="K608" s="410">
        <v>15866687.461211495</v>
      </c>
      <c r="L608" s="410">
        <v>16182081.963962689</v>
      </c>
      <c r="M608" s="410">
        <v>16107035.884673407</v>
      </c>
      <c r="N608" s="410">
        <v>16528244.390110552</v>
      </c>
      <c r="O608" s="410">
        <v>16460117.387789864</v>
      </c>
      <c r="P608" s="410">
        <v>16639004.98123404</v>
      </c>
      <c r="Q608" s="410">
        <v>17534207.730175421</v>
      </c>
      <c r="R608" s="410">
        <v>19729392.07861748</v>
      </c>
      <c r="S608" s="410">
        <v>19161535.523153067</v>
      </c>
      <c r="T608" s="410">
        <v>19258717.20639611</v>
      </c>
      <c r="U608" s="410">
        <v>20673915.823871605</v>
      </c>
      <c r="V608" s="410">
        <v>21626314.822586</v>
      </c>
      <c r="W608" s="327"/>
    </row>
    <row r="609" spans="1:23" x14ac:dyDescent="0.2">
      <c r="A609" s="9"/>
      <c r="B609" s="309" t="s">
        <v>37</v>
      </c>
      <c r="C609" s="443">
        <v>0</v>
      </c>
      <c r="D609" s="404">
        <v>1428845.3279176957</v>
      </c>
      <c r="E609" s="404">
        <v>1671845.0831347557</v>
      </c>
      <c r="F609" s="404">
        <v>1950497.1869944339</v>
      </c>
      <c r="G609" s="404">
        <v>1964377.6077388772</v>
      </c>
      <c r="H609" s="404">
        <v>2015306.6968826358</v>
      </c>
      <c r="I609" s="404">
        <v>2132269.9888610551</v>
      </c>
      <c r="J609" s="404">
        <v>2247134.5676326104</v>
      </c>
      <c r="K609" s="404">
        <v>2358781.2162485886</v>
      </c>
      <c r="L609" s="404">
        <v>2469516.5066949418</v>
      </c>
      <c r="M609" s="404">
        <v>2474024.0359973088</v>
      </c>
      <c r="N609" s="404">
        <v>2482519.7033724068</v>
      </c>
      <c r="O609" s="404">
        <v>2611566.7114531775</v>
      </c>
      <c r="P609" s="404">
        <v>2432024.2573896032</v>
      </c>
      <c r="Q609" s="404">
        <v>2256092.4522144105</v>
      </c>
      <c r="R609" s="404">
        <v>2164328.9831308746</v>
      </c>
      <c r="S609" s="404">
        <v>2076652.9016209238</v>
      </c>
      <c r="T609" s="404">
        <v>2225302.9814516832</v>
      </c>
      <c r="U609" s="404">
        <v>2378407.1169283935</v>
      </c>
      <c r="V609" s="404">
        <v>2531167.5022307215</v>
      </c>
      <c r="W609" s="327"/>
    </row>
    <row r="610" spans="1:23" x14ac:dyDescent="0.2">
      <c r="A610" s="9"/>
      <c r="B610" s="309" t="s">
        <v>39</v>
      </c>
      <c r="C610" s="443">
        <v>0</v>
      </c>
      <c r="D610" s="404">
        <v>-627871.68000000005</v>
      </c>
      <c r="E610" s="404">
        <v>-7085452.5600000005</v>
      </c>
      <c r="F610" s="404">
        <v>-1209378.25</v>
      </c>
      <c r="G610" s="404">
        <v>-434627.63</v>
      </c>
      <c r="H610" s="404">
        <v>-2222979.2160000005</v>
      </c>
      <c r="I610" s="404">
        <v>-2289668.5924800006</v>
      </c>
      <c r="J610" s="404">
        <v>-2358358.6502544004</v>
      </c>
      <c r="K610" s="404">
        <v>-2429109.4097620323</v>
      </c>
      <c r="L610" s="404">
        <v>-2501982.6920548934</v>
      </c>
      <c r="M610" s="404">
        <v>-2577042.1728165401</v>
      </c>
      <c r="N610" s="404">
        <v>-2654353.4380010362</v>
      </c>
      <c r="O610" s="404">
        <v>-2733984.0411410672</v>
      </c>
      <c r="P610" s="404">
        <v>-2816003.5623752992</v>
      </c>
      <c r="Q610" s="404">
        <v>-2900483.6692465581</v>
      </c>
      <c r="R610" s="404">
        <v>-2987498.179323955</v>
      </c>
      <c r="S610" s="404">
        <v>-3077123.1247036736</v>
      </c>
      <c r="T610" s="404">
        <v>-3169436.8184447838</v>
      </c>
      <c r="U610" s="404">
        <v>-3264519.9229981275</v>
      </c>
      <c r="V610" s="404">
        <v>-3362455.5206880714</v>
      </c>
      <c r="W610" s="327"/>
    </row>
    <row r="611" spans="1:23" ht="13.5" thickBot="1" x14ac:dyDescent="0.25">
      <c r="A611" s="9"/>
      <c r="B611" s="310" t="s">
        <v>40</v>
      </c>
      <c r="C611" s="444">
        <v>0</v>
      </c>
      <c r="D611" s="406">
        <v>0</v>
      </c>
      <c r="E611" s="406">
        <v>0</v>
      </c>
      <c r="F611" s="406">
        <v>0</v>
      </c>
      <c r="G611" s="406">
        <v>0</v>
      </c>
      <c r="H611" s="406">
        <v>0</v>
      </c>
      <c r="I611" s="406">
        <v>0</v>
      </c>
      <c r="J611" s="406">
        <v>0</v>
      </c>
      <c r="K611" s="406">
        <v>0</v>
      </c>
      <c r="L611" s="406">
        <v>0</v>
      </c>
      <c r="M611" s="406">
        <v>0</v>
      </c>
      <c r="N611" s="406">
        <v>0</v>
      </c>
      <c r="O611" s="406">
        <v>0</v>
      </c>
      <c r="P611" s="406">
        <v>0</v>
      </c>
      <c r="Q611" s="406">
        <v>0</v>
      </c>
      <c r="R611" s="406">
        <v>0</v>
      </c>
      <c r="S611" s="406">
        <v>0</v>
      </c>
      <c r="T611" s="406">
        <v>0</v>
      </c>
      <c r="U611" s="406">
        <v>0</v>
      </c>
      <c r="V611" s="406">
        <v>0</v>
      </c>
      <c r="W611" s="327"/>
    </row>
    <row r="612" spans="1:23" ht="13.5" thickTop="1" x14ac:dyDescent="0.2">
      <c r="A612" s="9"/>
      <c r="B612" s="309"/>
      <c r="C612" s="447"/>
      <c r="D612" s="327"/>
      <c r="E612" s="327"/>
      <c r="F612" s="327"/>
      <c r="G612" s="327"/>
      <c r="H612" s="327"/>
      <c r="I612" s="327"/>
      <c r="J612" s="327"/>
      <c r="K612" s="327"/>
      <c r="L612" s="327"/>
      <c r="M612" s="327"/>
      <c r="N612" s="327"/>
      <c r="O612" s="327"/>
      <c r="P612" s="327"/>
      <c r="Q612" s="327"/>
      <c r="R612" s="327"/>
      <c r="S612" s="327"/>
      <c r="T612" s="327"/>
      <c r="U612" s="327"/>
      <c r="V612" s="327"/>
      <c r="W612" s="327"/>
    </row>
    <row r="613" spans="1:23" x14ac:dyDescent="0.2">
      <c r="A613" s="9"/>
      <c r="B613" s="311" t="s">
        <v>233</v>
      </c>
      <c r="C613" s="446">
        <v>0</v>
      </c>
      <c r="D613" s="410">
        <v>15744599.308641205</v>
      </c>
      <c r="E613" s="410">
        <v>8843607.0409511216</v>
      </c>
      <c r="F613" s="410">
        <v>14638845.56877893</v>
      </c>
      <c r="G613" s="410">
        <v>14810896.307845132</v>
      </c>
      <c r="H613" s="410">
        <v>12837940.440486493</v>
      </c>
      <c r="I613" s="410">
        <v>13798251.51768554</v>
      </c>
      <c r="J613" s="410">
        <v>15360738.734486459</v>
      </c>
      <c r="K613" s="410">
        <v>15796359.26769805</v>
      </c>
      <c r="L613" s="410">
        <v>16149615.778602738</v>
      </c>
      <c r="M613" s="410">
        <v>16004017.747854177</v>
      </c>
      <c r="N613" s="410">
        <v>16356410.655481923</v>
      </c>
      <c r="O613" s="410">
        <v>16337700.058101974</v>
      </c>
      <c r="P613" s="410">
        <v>16255025.676248342</v>
      </c>
      <c r="Q613" s="410">
        <v>16889816.513143275</v>
      </c>
      <c r="R613" s="410">
        <v>18906222.882424399</v>
      </c>
      <c r="S613" s="410">
        <v>18161065.300070316</v>
      </c>
      <c r="T613" s="410">
        <v>18314583.369403008</v>
      </c>
      <c r="U613" s="410">
        <v>19787803.017801873</v>
      </c>
      <c r="V613" s="410">
        <v>20795026.804128651</v>
      </c>
      <c r="W613" s="408">
        <v>109255117.26646404</v>
      </c>
    </row>
    <row r="614" spans="1:23" x14ac:dyDescent="0.2">
      <c r="A614" s="9"/>
      <c r="B614" s="286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">
      <c r="A615" s="302" t="s">
        <v>218</v>
      </c>
      <c r="B615" s="300" t="s">
        <v>170</v>
      </c>
      <c r="C615" s="433">
        <v>50707812.020183764</v>
      </c>
      <c r="D615" s="9"/>
      <c r="E615" s="137" t="s">
        <v>219</v>
      </c>
      <c r="F615" s="313" t="s">
        <v>170</v>
      </c>
      <c r="G615" s="437">
        <v>50707812.020183764</v>
      </c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">
      <c r="A616" s="9"/>
      <c r="B616" s="300" t="s">
        <v>180</v>
      </c>
      <c r="C616" s="433">
        <v>75215232.267508596</v>
      </c>
      <c r="D616" s="9"/>
      <c r="E616" s="315"/>
      <c r="F616" s="313" t="s">
        <v>180</v>
      </c>
      <c r="G616" s="437">
        <v>75215232.267508596</v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3.5" thickBot="1" x14ac:dyDescent="0.25">
      <c r="A617" s="9"/>
      <c r="B617" s="316" t="s">
        <v>137</v>
      </c>
      <c r="C617" s="434">
        <v>16240077.010690456</v>
      </c>
      <c r="D617" s="317"/>
      <c r="E617" s="315"/>
      <c r="F617" s="313" t="s">
        <v>137</v>
      </c>
      <c r="G617" s="437">
        <v>16240077.010690456</v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4.25" thickTop="1" thickBot="1" x14ac:dyDescent="0.25">
      <c r="A618" s="9"/>
      <c r="B618" s="300" t="s">
        <v>28</v>
      </c>
      <c r="C618" s="432">
        <v>142163121.29838279</v>
      </c>
      <c r="D618" s="299"/>
      <c r="E618" s="315"/>
      <c r="F618" s="318" t="s">
        <v>203</v>
      </c>
      <c r="G618" s="319">
        <v>0</v>
      </c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3.5" thickTop="1" x14ac:dyDescent="0.2">
      <c r="A619" s="9"/>
      <c r="B619" s="286"/>
      <c r="C619" s="320"/>
      <c r="D619" s="9"/>
      <c r="E619" s="321"/>
      <c r="F619" s="313" t="s">
        <v>28</v>
      </c>
      <c r="G619" s="362">
        <v>142163121.29838279</v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">
      <c r="A620" s="9"/>
      <c r="B620" s="286"/>
      <c r="C620" s="320"/>
      <c r="D620" s="9"/>
      <c r="E620" s="321"/>
      <c r="F620" s="313"/>
      <c r="G620" s="32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">
      <c r="A621" s="9"/>
      <c r="B621" s="286"/>
      <c r="C621" s="320"/>
      <c r="D621" s="9"/>
      <c r="E621" s="321"/>
      <c r="F621" s="313"/>
      <c r="G621" s="32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">
      <c r="A622" s="9"/>
      <c r="B622" s="323" t="s">
        <v>222</v>
      </c>
      <c r="C622" s="320"/>
      <c r="D622" s="9"/>
      <c r="E622" s="321"/>
      <c r="F622" s="313"/>
      <c r="G622" s="32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">
      <c r="A623" s="324" t="s">
        <v>224</v>
      </c>
      <c r="B623" s="323" t="s">
        <v>223</v>
      </c>
      <c r="C623" s="325"/>
      <c r="D623" s="326">
        <v>14943625.660723509</v>
      </c>
      <c r="E623" s="326">
        <v>14257214.517816367</v>
      </c>
      <c r="F623" s="326">
        <v>13897726.631784497</v>
      </c>
      <c r="G623" s="326">
        <v>13281146.330106257</v>
      </c>
      <c r="H623" s="326">
        <v>13045612.959603857</v>
      </c>
      <c r="I623" s="326">
        <v>13955650.121304484</v>
      </c>
      <c r="J623" s="326">
        <v>15471962.817108247</v>
      </c>
      <c r="K623" s="326">
        <v>15866687.461211495</v>
      </c>
      <c r="L623" s="326">
        <v>16182081.963962689</v>
      </c>
      <c r="M623" s="326">
        <v>16107035.884673407</v>
      </c>
      <c r="N623" s="326">
        <v>16528244.390110552</v>
      </c>
      <c r="O623" s="326">
        <v>16460117.387789864</v>
      </c>
      <c r="P623" s="326">
        <v>16639004.98123404</v>
      </c>
      <c r="Q623" s="326">
        <v>17534207.730175421</v>
      </c>
      <c r="R623" s="326">
        <v>19729392.07861748</v>
      </c>
      <c r="S623" s="326">
        <v>19161535.523153067</v>
      </c>
      <c r="T623" s="326">
        <v>19258717.20639611</v>
      </c>
      <c r="U623" s="326">
        <v>20673915.823871605</v>
      </c>
      <c r="V623" s="326">
        <v>21626314.822586</v>
      </c>
      <c r="W623" s="9"/>
    </row>
    <row r="624" spans="1:23" x14ac:dyDescent="0.2">
      <c r="A624" s="9"/>
      <c r="B624" s="286" t="s">
        <v>225</v>
      </c>
      <c r="C624" s="320"/>
      <c r="D624" s="327">
        <v>9962417.1071490068</v>
      </c>
      <c r="E624" s="327">
        <v>9504809.6785442438</v>
      </c>
      <c r="F624" s="327">
        <v>9265151.0878563318</v>
      </c>
      <c r="G624" s="327">
        <v>8854097.5534041729</v>
      </c>
      <c r="H624" s="327">
        <v>8697075.3064025715</v>
      </c>
      <c r="I624" s="327">
        <v>9303766.7475363221</v>
      </c>
      <c r="J624" s="327">
        <v>10314641.878072165</v>
      </c>
      <c r="K624" s="327">
        <v>10577791.640807666</v>
      </c>
      <c r="L624" s="327">
        <v>10788054.642641794</v>
      </c>
      <c r="M624" s="327">
        <v>10738023.923115605</v>
      </c>
      <c r="N624" s="327">
        <v>11018829.593407035</v>
      </c>
      <c r="O624" s="327">
        <v>10973411.591859911</v>
      </c>
      <c r="P624" s="327">
        <v>11092669.987489361</v>
      </c>
      <c r="Q624" s="327">
        <v>11689471.820116946</v>
      </c>
      <c r="R624" s="327">
        <v>13152928.052411653</v>
      </c>
      <c r="S624" s="327">
        <v>12774357.015435377</v>
      </c>
      <c r="T624" s="327">
        <v>12839144.804264076</v>
      </c>
      <c r="U624" s="327">
        <v>13782610.54924774</v>
      </c>
      <c r="V624" s="327">
        <v>14417543.215057336</v>
      </c>
      <c r="W624" s="9"/>
    </row>
    <row r="625" spans="1:23" x14ac:dyDescent="0.2">
      <c r="A625" s="9"/>
      <c r="B625" s="328" t="s">
        <v>226</v>
      </c>
      <c r="C625" s="329"/>
      <c r="D625" s="327">
        <v>1428845.3279176957</v>
      </c>
      <c r="E625" s="327">
        <v>1671845.0831347557</v>
      </c>
      <c r="F625" s="327">
        <v>1950497.1869944339</v>
      </c>
      <c r="G625" s="327">
        <v>1964377.6077388772</v>
      </c>
      <c r="H625" s="327">
        <v>2015306.6968826358</v>
      </c>
      <c r="I625" s="327">
        <v>2132269.9888610551</v>
      </c>
      <c r="J625" s="327">
        <v>2247134.5676326104</v>
      </c>
      <c r="K625" s="327">
        <v>2358781.2162485886</v>
      </c>
      <c r="L625" s="327">
        <v>2469516.5066949418</v>
      </c>
      <c r="M625" s="327">
        <v>2474024.0359973088</v>
      </c>
      <c r="N625" s="327">
        <v>2482519.7033724068</v>
      </c>
      <c r="O625" s="327">
        <v>2611566.7114531775</v>
      </c>
      <c r="P625" s="327">
        <v>2432024.2573896032</v>
      </c>
      <c r="Q625" s="327">
        <v>2256092.4522144105</v>
      </c>
      <c r="R625" s="327">
        <v>2164328.9831308746</v>
      </c>
      <c r="S625" s="327">
        <v>2076652.9016209238</v>
      </c>
      <c r="T625" s="327">
        <v>2225302.9814516832</v>
      </c>
      <c r="U625" s="327">
        <v>2378407.1169283935</v>
      </c>
      <c r="V625" s="327">
        <v>2531167.5022307215</v>
      </c>
      <c r="W625" s="9"/>
    </row>
    <row r="626" spans="1:23" ht="13.5" thickBot="1" x14ac:dyDescent="0.25">
      <c r="A626" s="9"/>
      <c r="B626" s="330" t="s">
        <v>227</v>
      </c>
      <c r="C626" s="331"/>
      <c r="D626" s="332">
        <v>26334888.095790211</v>
      </c>
      <c r="E626" s="332">
        <v>25433869.279495366</v>
      </c>
      <c r="F626" s="332">
        <v>25113374.906635262</v>
      </c>
      <c r="G626" s="332">
        <v>24099621.491249308</v>
      </c>
      <c r="H626" s="332">
        <v>23757994.962889064</v>
      </c>
      <c r="I626" s="332">
        <v>25391686.85770186</v>
      </c>
      <c r="J626" s="332">
        <v>28033739.262813024</v>
      </c>
      <c r="K626" s="332">
        <v>28803260.318267748</v>
      </c>
      <c r="L626" s="332">
        <v>29439653.113299426</v>
      </c>
      <c r="M626" s="332">
        <v>29319083.843786322</v>
      </c>
      <c r="N626" s="332">
        <v>30029593.686889995</v>
      </c>
      <c r="O626" s="332">
        <v>30045095.691102952</v>
      </c>
      <c r="P626" s="332">
        <v>30163699.226113006</v>
      </c>
      <c r="Q626" s="332">
        <v>31479772.002506778</v>
      </c>
      <c r="R626" s="332">
        <v>35046649.114160009</v>
      </c>
      <c r="S626" s="332">
        <v>34012545.440209366</v>
      </c>
      <c r="T626" s="332">
        <v>34323164.992111869</v>
      </c>
      <c r="U626" s="332">
        <v>36834933.490047738</v>
      </c>
      <c r="V626" s="332">
        <v>38575025.539874054</v>
      </c>
      <c r="W626" s="9"/>
    </row>
    <row r="627" spans="1:23" ht="13.5" thickTop="1" x14ac:dyDescent="0.2">
      <c r="A627" s="324" t="s">
        <v>228</v>
      </c>
      <c r="B627" s="286" t="s">
        <v>229</v>
      </c>
      <c r="C627" s="320"/>
      <c r="D627" s="327">
        <v>-1824772.0870824936</v>
      </c>
      <c r="E627" s="327">
        <v>-2175294.8444078816</v>
      </c>
      <c r="F627" s="327">
        <v>-2222202.4656331427</v>
      </c>
      <c r="G627" s="327">
        <v>-2243745.0304168202</v>
      </c>
      <c r="H627" s="327">
        <v>-2354701.0639450597</v>
      </c>
      <c r="I627" s="327">
        <v>-2469184.4935690598</v>
      </c>
      <c r="J627" s="327">
        <v>-2307755.5461817989</v>
      </c>
      <c r="K627" s="327">
        <v>-2218398.3661165941</v>
      </c>
      <c r="L627" s="327">
        <v>-2243214.305507591</v>
      </c>
      <c r="M627" s="327">
        <v>-2363360.9445591439</v>
      </c>
      <c r="N627" s="327">
        <v>-2496078.616459196</v>
      </c>
      <c r="O627" s="327">
        <v>-2632777.8185162493</v>
      </c>
      <c r="P627" s="327">
        <v>-2533466.5504975393</v>
      </c>
      <c r="Q627" s="327">
        <v>-2350424.3005059394</v>
      </c>
      <c r="R627" s="327">
        <v>-2001133.1412342126</v>
      </c>
      <c r="S627" s="327">
        <v>-2123603.6110467548</v>
      </c>
      <c r="T627" s="327">
        <v>-2279933.3617476705</v>
      </c>
      <c r="U627" s="327">
        <v>-2443159.3578975769</v>
      </c>
      <c r="V627" s="327">
        <v>-2609450.1096714996</v>
      </c>
      <c r="W627" s="9"/>
    </row>
    <row r="628" spans="1:23" x14ac:dyDescent="0.2">
      <c r="A628" s="9"/>
      <c r="B628" s="286" t="s">
        <v>230</v>
      </c>
      <c r="C628" s="320"/>
      <c r="D628" s="327">
        <v>0</v>
      </c>
      <c r="E628" s="327">
        <v>0</v>
      </c>
      <c r="F628" s="327">
        <v>0</v>
      </c>
      <c r="G628" s="327">
        <v>0</v>
      </c>
      <c r="H628" s="327">
        <v>0</v>
      </c>
      <c r="I628" s="327">
        <v>0</v>
      </c>
      <c r="J628" s="327">
        <v>0</v>
      </c>
      <c r="K628" s="327">
        <v>0</v>
      </c>
      <c r="L628" s="327">
        <v>0</v>
      </c>
      <c r="M628" s="327">
        <v>0</v>
      </c>
      <c r="N628" s="327">
        <v>0</v>
      </c>
      <c r="O628" s="327">
        <v>0</v>
      </c>
      <c r="P628" s="327">
        <v>0</v>
      </c>
      <c r="Q628" s="327">
        <v>0</v>
      </c>
      <c r="R628" s="327">
        <v>0</v>
      </c>
      <c r="S628" s="327">
        <v>0</v>
      </c>
      <c r="T628" s="327">
        <v>0</v>
      </c>
      <c r="U628" s="327">
        <v>0</v>
      </c>
      <c r="V628" s="327">
        <v>0</v>
      </c>
      <c r="W628" s="9"/>
    </row>
    <row r="629" spans="1:23" x14ac:dyDescent="0.2">
      <c r="A629" s="9"/>
      <c r="B629" s="323" t="s">
        <v>231</v>
      </c>
      <c r="C629" s="325"/>
      <c r="D629" s="326">
        <v>24510116.008707717</v>
      </c>
      <c r="E629" s="326">
        <v>23258574.435087483</v>
      </c>
      <c r="F629" s="326">
        <v>22891172.441002119</v>
      </c>
      <c r="G629" s="326">
        <v>21855876.460832488</v>
      </c>
      <c r="H629" s="326">
        <v>21403293.898944005</v>
      </c>
      <c r="I629" s="326">
        <v>22922502.364132799</v>
      </c>
      <c r="J629" s="326">
        <v>25725983.716631226</v>
      </c>
      <c r="K629" s="326">
        <v>26584861.952151153</v>
      </c>
      <c r="L629" s="326">
        <v>27196438.807791837</v>
      </c>
      <c r="M629" s="326">
        <v>26955722.89922718</v>
      </c>
      <c r="N629" s="326">
        <v>27533515.0704308</v>
      </c>
      <c r="O629" s="326">
        <v>27412317.872586701</v>
      </c>
      <c r="P629" s="326">
        <v>27630232.675615467</v>
      </c>
      <c r="Q629" s="326">
        <v>29129347.702000838</v>
      </c>
      <c r="R629" s="326">
        <v>33045515.972925797</v>
      </c>
      <c r="S629" s="326">
        <v>31888941.829162613</v>
      </c>
      <c r="T629" s="326">
        <v>32043231.630364198</v>
      </c>
      <c r="U629" s="326">
        <v>34391774.132150158</v>
      </c>
      <c r="V629" s="326">
        <v>35965575.430202559</v>
      </c>
      <c r="W629" s="9"/>
    </row>
    <row r="630" spans="1:23" ht="13.5" thickBot="1" x14ac:dyDescent="0.25">
      <c r="A630" s="9"/>
      <c r="B630" s="333" t="s">
        <v>237</v>
      </c>
      <c r="C630" s="334"/>
      <c r="D630" s="335">
        <v>-9804046.4034830872</v>
      </c>
      <c r="E630" s="335">
        <v>-9303429.7740349937</v>
      </c>
      <c r="F630" s="335">
        <v>-9156468.9764008485</v>
      </c>
      <c r="G630" s="335">
        <v>-8742350.5843329951</v>
      </c>
      <c r="H630" s="335">
        <v>-8561317.5595776029</v>
      </c>
      <c r="I630" s="335">
        <v>-9169000.9456531201</v>
      </c>
      <c r="J630" s="335">
        <v>-10290393.486652492</v>
      </c>
      <c r="K630" s="335">
        <v>-10633944.780860461</v>
      </c>
      <c r="L630" s="335">
        <v>-10878575.523116736</v>
      </c>
      <c r="M630" s="335">
        <v>-10782289.159690872</v>
      </c>
      <c r="N630" s="335">
        <v>-11013406.028172322</v>
      </c>
      <c r="O630" s="335">
        <v>-10964927.149034681</v>
      </c>
      <c r="P630" s="335">
        <v>-11052093.070246188</v>
      </c>
      <c r="Q630" s="335">
        <v>-11651739.080800336</v>
      </c>
      <c r="R630" s="335">
        <v>-13218206.389170319</v>
      </c>
      <c r="S630" s="335">
        <v>-12755576.731665045</v>
      </c>
      <c r="T630" s="335">
        <v>-12817292.65214568</v>
      </c>
      <c r="U630" s="335">
        <v>-13756709.652860064</v>
      </c>
      <c r="V630" s="335">
        <v>-14386230.172081023</v>
      </c>
      <c r="W630" s="9"/>
    </row>
    <row r="631" spans="1:23" ht="13.5" thickTop="1" x14ac:dyDescent="0.2">
      <c r="A631" s="9"/>
      <c r="B631" s="323" t="s">
        <v>232</v>
      </c>
      <c r="C631" s="325"/>
      <c r="D631" s="326">
        <v>14706069.60522463</v>
      </c>
      <c r="E631" s="326">
        <v>13955144.66105249</v>
      </c>
      <c r="F631" s="326">
        <v>13734703.464601271</v>
      </c>
      <c r="G631" s="326">
        <v>13113525.876499493</v>
      </c>
      <c r="H631" s="326">
        <v>12841976.339366402</v>
      </c>
      <c r="I631" s="326">
        <v>13753501.418479679</v>
      </c>
      <c r="J631" s="326">
        <v>15435590.229978735</v>
      </c>
      <c r="K631" s="326">
        <v>15950917.171290692</v>
      </c>
      <c r="L631" s="326">
        <v>16317863.284675101</v>
      </c>
      <c r="M631" s="326">
        <v>16173433.739536308</v>
      </c>
      <c r="N631" s="326">
        <v>16520109.042258479</v>
      </c>
      <c r="O631" s="326">
        <v>16447390.72355202</v>
      </c>
      <c r="P631" s="326">
        <v>16578139.605369279</v>
      </c>
      <c r="Q631" s="326">
        <v>17477608.621200502</v>
      </c>
      <c r="R631" s="326">
        <v>19827309.583755478</v>
      </c>
      <c r="S631" s="326">
        <v>19133365.097497568</v>
      </c>
      <c r="T631" s="326">
        <v>19225938.978218518</v>
      </c>
      <c r="U631" s="326">
        <v>20635064.479290094</v>
      </c>
      <c r="V631" s="326">
        <v>21579345.258121535</v>
      </c>
      <c r="W631" s="9"/>
    </row>
    <row r="632" spans="1:23" x14ac:dyDescent="0.2">
      <c r="A632" s="9"/>
      <c r="B632" s="9"/>
      <c r="C632" s="320"/>
      <c r="D632" s="9"/>
      <c r="E632" s="321"/>
      <c r="F632" s="313"/>
      <c r="G632" s="32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5.75" x14ac:dyDescent="0.25">
      <c r="A633" s="336" t="s">
        <v>205</v>
      </c>
      <c r="B633" s="33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">
      <c r="A634" s="284" t="s">
        <v>190</v>
      </c>
      <c r="B634" s="303"/>
      <c r="C634" s="338">
        <v>0</v>
      </c>
      <c r="D634" s="277"/>
      <c r="E634" s="277"/>
      <c r="F634" s="277"/>
      <c r="G634" s="277"/>
      <c r="H634" s="277"/>
      <c r="I634" s="277"/>
      <c r="J634" s="277"/>
      <c r="K634" s="277"/>
      <c r="L634" s="277"/>
      <c r="M634" s="277"/>
      <c r="N634" s="277"/>
      <c r="O634" s="277"/>
      <c r="P634" s="277"/>
      <c r="Q634" s="277"/>
      <c r="R634" s="277"/>
      <c r="S634" s="277"/>
      <c r="T634" s="277"/>
      <c r="U634" s="277"/>
      <c r="V634" s="277"/>
      <c r="W634" s="277"/>
    </row>
    <row r="635" spans="1:23" x14ac:dyDescent="0.2">
      <c r="A635" s="284" t="s">
        <v>191</v>
      </c>
      <c r="B635" s="303"/>
      <c r="C635" s="339">
        <v>0</v>
      </c>
      <c r="D635" s="277"/>
      <c r="E635" s="277"/>
      <c r="F635" s="277"/>
      <c r="G635" s="277"/>
      <c r="H635" s="277"/>
      <c r="I635" s="277"/>
      <c r="J635" s="277"/>
      <c r="K635" s="277"/>
      <c r="L635" s="277"/>
      <c r="M635" s="277"/>
      <c r="N635" s="277"/>
      <c r="O635" s="277"/>
      <c r="P635" s="277"/>
      <c r="Q635" s="277"/>
      <c r="R635" s="277"/>
      <c r="S635" s="277"/>
      <c r="T635" s="277"/>
      <c r="U635" s="277"/>
      <c r="V635" s="277"/>
      <c r="W635" s="277"/>
    </row>
    <row r="636" spans="1:23" x14ac:dyDescent="0.2">
      <c r="A636" s="284" t="s">
        <v>201</v>
      </c>
      <c r="B636" s="303"/>
      <c r="C636" s="284">
        <v>15</v>
      </c>
      <c r="D636" s="277"/>
      <c r="E636" s="277"/>
      <c r="F636" s="277"/>
      <c r="G636" s="277"/>
      <c r="H636" s="277"/>
      <c r="I636" s="277"/>
      <c r="J636" s="277"/>
      <c r="K636" s="277"/>
      <c r="L636" s="277"/>
      <c r="M636" s="277"/>
      <c r="N636" s="277"/>
      <c r="O636" s="277"/>
      <c r="P636" s="277"/>
      <c r="Q636" s="277"/>
      <c r="R636" s="277"/>
      <c r="S636" s="277"/>
      <c r="T636" s="277"/>
      <c r="U636" s="277"/>
      <c r="V636" s="277"/>
      <c r="W636" s="277"/>
    </row>
    <row r="637" spans="1:23" x14ac:dyDescent="0.2">
      <c r="A637" s="284" t="s">
        <v>192</v>
      </c>
      <c r="B637" s="303"/>
      <c r="C637" s="339">
        <v>0</v>
      </c>
      <c r="D637" s="277"/>
      <c r="E637" s="277"/>
      <c r="F637" s="277"/>
      <c r="G637" s="277"/>
      <c r="H637" s="277"/>
      <c r="I637" s="277"/>
      <c r="J637" s="277"/>
      <c r="K637" s="277"/>
      <c r="L637" s="277"/>
      <c r="M637" s="277"/>
      <c r="N637" s="277"/>
      <c r="O637" s="277"/>
      <c r="P637" s="277"/>
      <c r="Q637" s="277"/>
      <c r="R637" s="277"/>
      <c r="S637" s="277"/>
      <c r="T637" s="277"/>
      <c r="U637" s="277"/>
      <c r="V637" s="277"/>
      <c r="W637" s="277"/>
    </row>
    <row r="638" spans="1:23" x14ac:dyDescent="0.2">
      <c r="A638" s="284" t="s">
        <v>193</v>
      </c>
      <c r="B638" s="303"/>
      <c r="C638" s="340">
        <v>8.7499999999999994E-2</v>
      </c>
      <c r="D638" s="277"/>
      <c r="E638" s="277"/>
      <c r="F638" s="277"/>
      <c r="G638" s="277"/>
      <c r="H638" s="277"/>
      <c r="I638" s="277"/>
      <c r="J638" s="277"/>
      <c r="K638" s="277"/>
      <c r="L638" s="277"/>
      <c r="M638" s="277"/>
      <c r="N638" s="277"/>
      <c r="O638" s="277"/>
      <c r="P638" s="277"/>
      <c r="Q638" s="277"/>
      <c r="R638" s="277"/>
      <c r="S638" s="277"/>
      <c r="T638" s="277"/>
      <c r="U638" s="277"/>
      <c r="V638" s="277"/>
      <c r="W638" s="277"/>
    </row>
    <row r="639" spans="1:23" x14ac:dyDescent="0.2">
      <c r="A639" s="284"/>
      <c r="B639" s="303"/>
      <c r="C639" s="277"/>
      <c r="D639" s="306">
        <v>2001</v>
      </c>
      <c r="E639" s="306">
        <v>2002</v>
      </c>
      <c r="F639" s="306">
        <v>2003</v>
      </c>
      <c r="G639" s="306">
        <v>2004</v>
      </c>
      <c r="H639" s="306">
        <v>2005</v>
      </c>
      <c r="I639" s="306">
        <v>2006</v>
      </c>
      <c r="J639" s="306">
        <v>2007</v>
      </c>
      <c r="K639" s="306">
        <v>2008</v>
      </c>
      <c r="L639" s="306">
        <v>2009</v>
      </c>
      <c r="M639" s="306">
        <v>2010</v>
      </c>
      <c r="N639" s="306">
        <v>2011</v>
      </c>
      <c r="O639" s="306">
        <v>2012</v>
      </c>
      <c r="P639" s="306">
        <v>2013</v>
      </c>
      <c r="Q639" s="306">
        <v>2014</v>
      </c>
      <c r="R639" s="306">
        <v>2015</v>
      </c>
      <c r="S639" s="306">
        <v>2016</v>
      </c>
      <c r="T639" s="306">
        <v>2017</v>
      </c>
      <c r="U639" s="306">
        <v>2018</v>
      </c>
      <c r="V639" s="306">
        <v>2019</v>
      </c>
      <c r="W639" s="306" t="s">
        <v>154</v>
      </c>
    </row>
    <row r="640" spans="1:23" x14ac:dyDescent="0.2">
      <c r="A640" s="284" t="s">
        <v>194</v>
      </c>
      <c r="B640" s="303"/>
      <c r="C640" s="277"/>
      <c r="D640" s="341">
        <v>0</v>
      </c>
      <c r="E640" s="341">
        <v>0</v>
      </c>
      <c r="F640" s="341">
        <v>0</v>
      </c>
      <c r="G640" s="341">
        <v>0</v>
      </c>
      <c r="H640" s="341">
        <v>0</v>
      </c>
      <c r="I640" s="341">
        <v>0</v>
      </c>
      <c r="J640" s="341">
        <v>0</v>
      </c>
      <c r="K640" s="341">
        <v>0</v>
      </c>
      <c r="L640" s="341">
        <v>0</v>
      </c>
      <c r="M640" s="341">
        <v>0</v>
      </c>
      <c r="N640" s="341">
        <v>0</v>
      </c>
      <c r="O640" s="341">
        <v>0</v>
      </c>
      <c r="P640" s="341">
        <v>0</v>
      </c>
      <c r="Q640" s="341">
        <v>0</v>
      </c>
      <c r="R640" s="341">
        <v>0</v>
      </c>
      <c r="S640" s="341">
        <v>0</v>
      </c>
      <c r="T640" s="341">
        <v>0</v>
      </c>
      <c r="U640" s="341">
        <v>0</v>
      </c>
      <c r="V640" s="341">
        <v>0</v>
      </c>
      <c r="W640" s="341">
        <v>0</v>
      </c>
    </row>
    <row r="641" spans="1:23" x14ac:dyDescent="0.2">
      <c r="A641" s="284" t="s">
        <v>195</v>
      </c>
      <c r="B641" s="303"/>
      <c r="C641" s="277"/>
      <c r="D641" s="341">
        <v>0</v>
      </c>
      <c r="E641" s="341">
        <v>0</v>
      </c>
      <c r="F641" s="341">
        <v>0</v>
      </c>
      <c r="G641" s="341">
        <v>0</v>
      </c>
      <c r="H641" s="341">
        <v>0</v>
      </c>
      <c r="I641" s="341">
        <v>0</v>
      </c>
      <c r="J641" s="341">
        <v>0</v>
      </c>
      <c r="K641" s="341">
        <v>0</v>
      </c>
      <c r="L641" s="341">
        <v>0</v>
      </c>
      <c r="M641" s="341">
        <v>0</v>
      </c>
      <c r="N641" s="341">
        <v>0</v>
      </c>
      <c r="O641" s="341">
        <v>0</v>
      </c>
      <c r="P641" s="341">
        <v>0</v>
      </c>
      <c r="Q641" s="341">
        <v>0</v>
      </c>
      <c r="R641" s="341">
        <v>0</v>
      </c>
      <c r="S641" s="341">
        <v>0</v>
      </c>
      <c r="T641" s="341">
        <v>0</v>
      </c>
      <c r="U641" s="341">
        <v>0</v>
      </c>
      <c r="V641" s="341">
        <v>0</v>
      </c>
      <c r="W641" s="341">
        <v>0</v>
      </c>
    </row>
    <row r="642" spans="1:23" x14ac:dyDescent="0.2">
      <c r="A642" s="284" t="s">
        <v>196</v>
      </c>
      <c r="B642" s="303"/>
      <c r="C642" s="277"/>
      <c r="D642" s="341">
        <v>0</v>
      </c>
      <c r="E642" s="341">
        <v>0</v>
      </c>
      <c r="F642" s="341">
        <v>0</v>
      </c>
      <c r="G642" s="341">
        <v>0</v>
      </c>
      <c r="H642" s="341">
        <v>0</v>
      </c>
      <c r="I642" s="341">
        <v>0</v>
      </c>
      <c r="J642" s="341">
        <v>0</v>
      </c>
      <c r="K642" s="341">
        <v>0</v>
      </c>
      <c r="L642" s="341">
        <v>0</v>
      </c>
      <c r="M642" s="341">
        <v>0</v>
      </c>
      <c r="N642" s="341">
        <v>0</v>
      </c>
      <c r="O642" s="341">
        <v>0</v>
      </c>
      <c r="P642" s="341">
        <v>0</v>
      </c>
      <c r="Q642" s="341">
        <v>0</v>
      </c>
      <c r="R642" s="341">
        <v>0</v>
      </c>
      <c r="S642" s="341">
        <v>0</v>
      </c>
      <c r="T642" s="341">
        <v>0</v>
      </c>
      <c r="U642" s="341">
        <v>0</v>
      </c>
      <c r="V642" s="341">
        <v>0</v>
      </c>
      <c r="W642" s="341">
        <v>0</v>
      </c>
    </row>
    <row r="643" spans="1:23" x14ac:dyDescent="0.2">
      <c r="A643" s="284" t="s">
        <v>197</v>
      </c>
      <c r="B643" s="303"/>
      <c r="C643" s="277"/>
      <c r="D643" s="342">
        <v>0</v>
      </c>
      <c r="E643" s="342">
        <v>0</v>
      </c>
      <c r="F643" s="342">
        <v>0</v>
      </c>
      <c r="G643" s="342">
        <v>0</v>
      </c>
      <c r="H643" s="342">
        <v>0</v>
      </c>
      <c r="I643" s="342">
        <v>0</v>
      </c>
      <c r="J643" s="342">
        <v>0</v>
      </c>
      <c r="K643" s="342">
        <v>0</v>
      </c>
      <c r="L643" s="342">
        <v>0</v>
      </c>
      <c r="M643" s="342">
        <v>0</v>
      </c>
      <c r="N643" s="342">
        <v>0</v>
      </c>
      <c r="O643" s="342">
        <v>0</v>
      </c>
      <c r="P643" s="342">
        <v>0</v>
      </c>
      <c r="Q643" s="342">
        <v>0</v>
      </c>
      <c r="R643" s="342">
        <v>0</v>
      </c>
      <c r="S643" s="342">
        <v>0</v>
      </c>
      <c r="T643" s="342">
        <v>0</v>
      </c>
      <c r="U643" s="342">
        <v>0</v>
      </c>
      <c r="V643" s="342">
        <v>0</v>
      </c>
      <c r="W643" s="342">
        <v>0</v>
      </c>
    </row>
    <row r="644" spans="1:23" ht="13.5" thickBot="1" x14ac:dyDescent="0.25">
      <c r="A644" s="284" t="s">
        <v>198</v>
      </c>
      <c r="B644" s="303"/>
      <c r="C644" s="277"/>
      <c r="D644" s="343">
        <v>0</v>
      </c>
      <c r="E644" s="343">
        <v>0</v>
      </c>
      <c r="F644" s="343">
        <v>0</v>
      </c>
      <c r="G644" s="343">
        <v>0</v>
      </c>
      <c r="H644" s="343">
        <v>0</v>
      </c>
      <c r="I644" s="343">
        <v>0</v>
      </c>
      <c r="J644" s="343">
        <v>0</v>
      </c>
      <c r="K644" s="343">
        <v>0</v>
      </c>
      <c r="L644" s="343">
        <v>0</v>
      </c>
      <c r="M644" s="343">
        <v>0</v>
      </c>
      <c r="N644" s="343">
        <v>0</v>
      </c>
      <c r="O644" s="343">
        <v>0</v>
      </c>
      <c r="P644" s="343">
        <v>0</v>
      </c>
      <c r="Q644" s="343">
        <v>0</v>
      </c>
      <c r="R644" s="343">
        <v>0</v>
      </c>
      <c r="S644" s="343">
        <v>0</v>
      </c>
      <c r="T644" s="343">
        <v>0</v>
      </c>
      <c r="U644" s="343">
        <v>0</v>
      </c>
      <c r="V644" s="343">
        <v>0</v>
      </c>
      <c r="W644" s="343">
        <v>0</v>
      </c>
    </row>
    <row r="645" spans="1:23" ht="13.5" thickTop="1" x14ac:dyDescent="0.2">
      <c r="A645" s="284"/>
      <c r="B645" s="303"/>
      <c r="C645" s="277"/>
      <c r="D645" s="341"/>
      <c r="E645" s="341"/>
      <c r="F645" s="341"/>
      <c r="G645" s="341"/>
      <c r="H645" s="341"/>
      <c r="I645" s="341"/>
      <c r="J645" s="341"/>
      <c r="K645" s="341"/>
      <c r="L645" s="341"/>
      <c r="M645" s="341"/>
      <c r="N645" s="341"/>
      <c r="O645" s="341"/>
      <c r="P645" s="341"/>
      <c r="Q645" s="341"/>
      <c r="R645" s="341"/>
      <c r="S645" s="341"/>
      <c r="T645" s="341"/>
      <c r="U645" s="341"/>
      <c r="V645" s="341"/>
      <c r="W645" s="341"/>
    </row>
    <row r="646" spans="1:23" x14ac:dyDescent="0.2">
      <c r="A646" s="284" t="s">
        <v>199</v>
      </c>
      <c r="B646" s="303"/>
      <c r="C646" s="277"/>
      <c r="D646" s="341">
        <v>0</v>
      </c>
      <c r="E646" s="341">
        <v>0</v>
      </c>
      <c r="F646" s="341">
        <v>0</v>
      </c>
      <c r="G646" s="341">
        <v>0</v>
      </c>
      <c r="H646" s="341">
        <v>0</v>
      </c>
      <c r="I646" s="341">
        <v>0</v>
      </c>
      <c r="J646" s="341">
        <v>0</v>
      </c>
      <c r="K646" s="341">
        <v>0</v>
      </c>
      <c r="L646" s="341">
        <v>0</v>
      </c>
      <c r="M646" s="341">
        <v>0</v>
      </c>
      <c r="N646" s="341">
        <v>0</v>
      </c>
      <c r="O646" s="341">
        <v>0</v>
      </c>
      <c r="P646" s="341">
        <v>0</v>
      </c>
      <c r="Q646" s="341">
        <v>0</v>
      </c>
      <c r="R646" s="341">
        <v>0</v>
      </c>
      <c r="S646" s="341">
        <v>0</v>
      </c>
      <c r="T646" s="341">
        <v>0</v>
      </c>
      <c r="U646" s="341">
        <v>0</v>
      </c>
      <c r="V646" s="341">
        <v>0</v>
      </c>
      <c r="W646" s="341">
        <v>0</v>
      </c>
    </row>
    <row r="647" spans="1:23" x14ac:dyDescent="0.2">
      <c r="A647" s="284"/>
      <c r="B647" s="303"/>
      <c r="C647" s="277"/>
      <c r="D647" s="277"/>
      <c r="E647" s="277"/>
      <c r="F647" s="277"/>
      <c r="G647" s="277"/>
      <c r="H647" s="277"/>
      <c r="I647" s="277"/>
      <c r="J647" s="277"/>
      <c r="K647" s="277"/>
      <c r="L647" s="277"/>
      <c r="M647" s="277"/>
      <c r="N647" s="277"/>
      <c r="O647" s="277"/>
      <c r="P647" s="277"/>
      <c r="Q647" s="277"/>
      <c r="R647" s="277"/>
      <c r="S647" s="277"/>
      <c r="T647" s="277"/>
      <c r="U647" s="277"/>
      <c r="V647" s="277"/>
      <c r="W647" s="277"/>
    </row>
    <row r="648" spans="1:23" x14ac:dyDescent="0.2">
      <c r="A648" s="284" t="s">
        <v>200</v>
      </c>
      <c r="B648" s="303"/>
      <c r="C648" s="277"/>
      <c r="D648" s="341">
        <v>0</v>
      </c>
      <c r="E648" s="341">
        <v>0</v>
      </c>
      <c r="F648" s="341">
        <v>0</v>
      </c>
      <c r="G648" s="341">
        <v>0</v>
      </c>
      <c r="H648" s="341">
        <v>0</v>
      </c>
      <c r="I648" s="341">
        <v>0</v>
      </c>
      <c r="J648" s="341">
        <v>0</v>
      </c>
      <c r="K648" s="341">
        <v>0</v>
      </c>
      <c r="L648" s="341">
        <v>0</v>
      </c>
      <c r="M648" s="341">
        <v>0</v>
      </c>
      <c r="N648" s="341">
        <v>0</v>
      </c>
      <c r="O648" s="341">
        <v>0</v>
      </c>
      <c r="P648" s="341">
        <v>0</v>
      </c>
      <c r="Q648" s="341">
        <v>0</v>
      </c>
      <c r="R648" s="341">
        <v>0</v>
      </c>
      <c r="S648" s="341">
        <v>0</v>
      </c>
      <c r="T648" s="341">
        <v>0</v>
      </c>
      <c r="U648" s="341">
        <v>0</v>
      </c>
      <c r="V648" s="341">
        <v>0</v>
      </c>
      <c r="W648" s="341">
        <v>0</v>
      </c>
    </row>
    <row r="649" spans="1:23" x14ac:dyDescent="0.2">
      <c r="A649" s="277"/>
      <c r="B649" s="303"/>
      <c r="C649" s="277"/>
      <c r="D649" s="277"/>
      <c r="E649" s="277"/>
      <c r="F649" s="277"/>
      <c r="G649" s="277"/>
      <c r="H649" s="277"/>
      <c r="I649" s="277"/>
      <c r="J649" s="277"/>
      <c r="K649" s="277"/>
      <c r="L649" s="277"/>
      <c r="M649" s="277"/>
      <c r="N649" s="277"/>
      <c r="O649" s="277"/>
      <c r="P649" s="277"/>
      <c r="Q649" s="277"/>
      <c r="R649" s="277"/>
      <c r="S649" s="277"/>
      <c r="T649" s="277"/>
      <c r="U649" s="277"/>
      <c r="V649" s="277"/>
      <c r="W649" s="277"/>
    </row>
    <row r="650" spans="1:23" x14ac:dyDescent="0.2">
      <c r="A650" s="277"/>
      <c r="B650" s="303"/>
      <c r="C650" s="277"/>
      <c r="D650" s="277"/>
      <c r="E650" s="277"/>
      <c r="F650" s="277"/>
      <c r="G650" s="277"/>
      <c r="H650" s="277"/>
      <c r="I650" s="277"/>
      <c r="J650" s="277"/>
      <c r="K650" s="277"/>
      <c r="L650" s="277"/>
      <c r="M650" s="277"/>
      <c r="N650" s="277"/>
      <c r="O650" s="277"/>
      <c r="P650" s="277"/>
      <c r="Q650" s="277"/>
      <c r="R650" s="277"/>
      <c r="S650" s="277"/>
      <c r="T650" s="277"/>
      <c r="U650" s="277"/>
      <c r="V650" s="277"/>
      <c r="W650" s="277"/>
    </row>
    <row r="651" spans="1:23" x14ac:dyDescent="0.2">
      <c r="A651" s="284" t="s">
        <v>202</v>
      </c>
      <c r="B651" s="279"/>
      <c r="C651" s="278"/>
      <c r="D651" s="435">
        <v>15744599.308641205</v>
      </c>
      <c r="E651" s="435">
        <v>8843607.0409511216</v>
      </c>
      <c r="F651" s="435">
        <v>14638845.56877893</v>
      </c>
      <c r="G651" s="435">
        <v>14810896.307845132</v>
      </c>
      <c r="H651" s="435">
        <v>12837940.440486493</v>
      </c>
      <c r="I651" s="435">
        <v>13798251.51768554</v>
      </c>
      <c r="J651" s="435">
        <v>15360738.734486459</v>
      </c>
      <c r="K651" s="435">
        <v>15796359.26769805</v>
      </c>
      <c r="L651" s="435">
        <v>16149615.778602738</v>
      </c>
      <c r="M651" s="435">
        <v>16004017.747854177</v>
      </c>
      <c r="N651" s="435">
        <v>16356410.655481923</v>
      </c>
      <c r="O651" s="435">
        <v>16337700.058101974</v>
      </c>
      <c r="P651" s="435">
        <v>16255025.676248342</v>
      </c>
      <c r="Q651" s="435">
        <v>16889816.513143275</v>
      </c>
      <c r="R651" s="435">
        <v>18906222.882424399</v>
      </c>
      <c r="S651" s="435">
        <v>18161065.300070316</v>
      </c>
      <c r="T651" s="435">
        <v>18314583.369403008</v>
      </c>
      <c r="U651" s="435">
        <v>19787803.017801873</v>
      </c>
      <c r="V651" s="435">
        <v>20795026.804128651</v>
      </c>
      <c r="W651" s="435">
        <v>109255117.26646404</v>
      </c>
    </row>
    <row r="652" spans="1:23" x14ac:dyDescent="0.2">
      <c r="A652" s="9"/>
      <c r="B652" s="6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">
      <c r="B653" s="348"/>
      <c r="C653" s="349"/>
      <c r="D653" s="349"/>
      <c r="E653" s="349"/>
      <c r="F653" s="349"/>
      <c r="G653" s="349"/>
      <c r="H653" s="349"/>
      <c r="I653" s="349"/>
      <c r="J653" s="349"/>
      <c r="K653" s="349"/>
      <c r="L653" s="349"/>
      <c r="M653" s="349"/>
      <c r="N653" s="349"/>
      <c r="O653" s="349"/>
      <c r="P653" s="349"/>
      <c r="Q653" s="349"/>
      <c r="R653" s="349"/>
      <c r="S653" s="349"/>
      <c r="T653" s="349"/>
      <c r="U653" s="349"/>
      <c r="V653" s="349"/>
      <c r="W653" s="294"/>
    </row>
    <row r="654" spans="1:23" x14ac:dyDescent="0.2">
      <c r="B654" s="350"/>
      <c r="C654" s="353"/>
      <c r="D654" s="353"/>
      <c r="E654" s="353"/>
      <c r="F654" s="353"/>
      <c r="G654" s="353"/>
      <c r="H654" s="353"/>
      <c r="I654" s="353"/>
      <c r="J654" s="353"/>
      <c r="K654" s="353"/>
      <c r="L654" s="353"/>
      <c r="M654" s="353"/>
      <c r="N654" s="353"/>
      <c r="O654" s="353"/>
      <c r="P654" s="353"/>
      <c r="Q654" s="353"/>
      <c r="R654" s="353"/>
      <c r="S654" s="353"/>
      <c r="T654" s="353"/>
      <c r="U654" s="353"/>
      <c r="V654" s="353"/>
      <c r="W654" s="294"/>
    </row>
    <row r="655" spans="1:23" x14ac:dyDescent="0.2">
      <c r="B655" s="348"/>
      <c r="C655" s="349"/>
      <c r="D655" s="349"/>
      <c r="E655" s="349"/>
      <c r="F655" s="349"/>
      <c r="G655" s="349"/>
      <c r="H655" s="349"/>
      <c r="I655" s="349"/>
      <c r="J655" s="349"/>
      <c r="K655" s="349"/>
      <c r="L655" s="349"/>
      <c r="M655" s="349"/>
      <c r="N655" s="349"/>
      <c r="O655" s="349"/>
      <c r="P655" s="349"/>
      <c r="Q655" s="349"/>
      <c r="R655" s="349"/>
      <c r="S655" s="349"/>
      <c r="T655" s="349"/>
      <c r="U655" s="349"/>
      <c r="V655" s="349"/>
      <c r="W655" s="294"/>
    </row>
    <row r="656" spans="1:23" x14ac:dyDescent="0.2">
      <c r="B656" s="348"/>
      <c r="C656" s="349"/>
      <c r="D656" s="349"/>
      <c r="E656" s="349"/>
      <c r="F656" s="349"/>
      <c r="G656" s="349"/>
      <c r="H656" s="349"/>
      <c r="I656" s="349"/>
      <c r="J656" s="349"/>
      <c r="K656" s="349"/>
      <c r="L656" s="349"/>
      <c r="M656" s="349"/>
      <c r="N656" s="349"/>
      <c r="O656" s="349"/>
      <c r="P656" s="349"/>
      <c r="Q656" s="349"/>
      <c r="R656" s="349"/>
      <c r="S656" s="349"/>
      <c r="T656" s="349"/>
      <c r="U656" s="349"/>
      <c r="V656" s="349"/>
      <c r="W656" s="294"/>
    </row>
    <row r="657" spans="1:23" x14ac:dyDescent="0.2">
      <c r="B657" s="348"/>
      <c r="C657" s="349"/>
      <c r="D657" s="349"/>
      <c r="E657" s="349"/>
      <c r="F657" s="349"/>
      <c r="G657" s="349"/>
      <c r="H657" s="349"/>
      <c r="I657" s="349"/>
      <c r="J657" s="349"/>
      <c r="K657" s="349"/>
      <c r="L657" s="349"/>
      <c r="M657" s="349"/>
      <c r="N657" s="349"/>
      <c r="O657" s="349"/>
      <c r="P657" s="349"/>
      <c r="Q657" s="349"/>
      <c r="R657" s="349"/>
      <c r="S657" s="349"/>
      <c r="T657" s="349"/>
      <c r="U657" s="349"/>
      <c r="V657" s="349"/>
      <c r="W657" s="294"/>
    </row>
    <row r="658" spans="1:23" x14ac:dyDescent="0.2">
      <c r="B658" s="348"/>
      <c r="C658" s="294"/>
      <c r="D658" s="294"/>
      <c r="E658" s="294"/>
      <c r="F658" s="294"/>
      <c r="G658" s="294"/>
      <c r="H658" s="294"/>
      <c r="I658" s="294"/>
      <c r="J658" s="294"/>
      <c r="K658" s="294"/>
      <c r="L658" s="294"/>
      <c r="M658" s="294"/>
      <c r="N658" s="294"/>
      <c r="O658" s="294"/>
      <c r="P658" s="294"/>
      <c r="Q658" s="294"/>
      <c r="R658" s="294"/>
      <c r="S658" s="294"/>
      <c r="T658" s="294"/>
      <c r="U658" s="294"/>
      <c r="V658" s="294"/>
      <c r="W658" s="294"/>
    </row>
    <row r="659" spans="1:23" x14ac:dyDescent="0.2">
      <c r="B659" s="350"/>
      <c r="C659" s="353"/>
      <c r="D659" s="353"/>
      <c r="E659" s="353"/>
      <c r="F659" s="353"/>
      <c r="G659" s="353"/>
      <c r="H659" s="353"/>
      <c r="I659" s="353"/>
      <c r="J659" s="353"/>
      <c r="K659" s="353"/>
      <c r="L659" s="353"/>
      <c r="M659" s="353"/>
      <c r="N659" s="353"/>
      <c r="O659" s="353"/>
      <c r="P659" s="353"/>
      <c r="Q659" s="353"/>
      <c r="R659" s="353"/>
      <c r="S659" s="353"/>
      <c r="T659" s="353"/>
      <c r="U659" s="353"/>
      <c r="V659" s="353"/>
      <c r="W659" s="352"/>
    </row>
    <row r="660" spans="1:23" ht="15.75" x14ac:dyDescent="0.25">
      <c r="A660" s="302" t="s">
        <v>29</v>
      </c>
      <c r="B660" s="305" t="s">
        <v>64</v>
      </c>
      <c r="C660" s="306">
        <v>2000</v>
      </c>
      <c r="D660" s="306">
        <v>2001</v>
      </c>
      <c r="E660" s="306">
        <v>2002</v>
      </c>
      <c r="F660" s="306">
        <v>2003</v>
      </c>
      <c r="G660" s="306">
        <v>2004</v>
      </c>
      <c r="H660" s="306">
        <v>2005</v>
      </c>
      <c r="I660" s="306">
        <v>2006</v>
      </c>
      <c r="J660" s="306">
        <v>2007</v>
      </c>
      <c r="K660" s="306">
        <v>2008</v>
      </c>
      <c r="L660" s="306">
        <v>2009</v>
      </c>
      <c r="M660" s="306">
        <v>2010</v>
      </c>
      <c r="N660" s="306">
        <v>2011</v>
      </c>
      <c r="O660" s="306">
        <v>2012</v>
      </c>
      <c r="P660" s="306">
        <v>2013</v>
      </c>
      <c r="Q660" s="306">
        <v>2014</v>
      </c>
      <c r="R660" s="306">
        <v>2015</v>
      </c>
      <c r="S660" s="306">
        <v>2016</v>
      </c>
      <c r="T660" s="306">
        <v>2017</v>
      </c>
      <c r="U660" s="306">
        <v>2018</v>
      </c>
      <c r="V660" s="306">
        <v>2019</v>
      </c>
      <c r="W660" s="306" t="s">
        <v>154</v>
      </c>
    </row>
    <row r="661" spans="1:23" x14ac:dyDescent="0.2">
      <c r="A661" s="302" t="s">
        <v>26</v>
      </c>
      <c r="B661" s="303">
        <v>320</v>
      </c>
      <c r="C661" s="308"/>
      <c r="D661" s="308"/>
      <c r="E661" s="308"/>
      <c r="F661" s="308"/>
      <c r="G661" s="308"/>
      <c r="H661" s="308"/>
      <c r="I661" s="308"/>
      <c r="J661" s="308"/>
      <c r="K661" s="308"/>
      <c r="L661" s="308"/>
      <c r="M661" s="308"/>
      <c r="N661" s="308"/>
      <c r="O661" s="308"/>
      <c r="P661" s="308"/>
      <c r="Q661" s="308"/>
      <c r="R661" s="308"/>
      <c r="S661" s="308"/>
      <c r="T661" s="308"/>
      <c r="U661" s="308"/>
      <c r="V661" s="308"/>
      <c r="W661" s="308"/>
    </row>
    <row r="662" spans="1:23" x14ac:dyDescent="0.2">
      <c r="A662" s="9"/>
      <c r="B662" s="309" t="s">
        <v>27</v>
      </c>
      <c r="C662" s="443">
        <v>0</v>
      </c>
      <c r="D662" s="404">
        <v>93747292.307858095</v>
      </c>
      <c r="E662" s="404">
        <v>92447134.283236414</v>
      </c>
      <c r="F662" s="404">
        <v>94226582.982025146</v>
      </c>
      <c r="G662" s="404">
        <v>92891033.060188025</v>
      </c>
      <c r="H662" s="404">
        <v>93590705.567048043</v>
      </c>
      <c r="I662" s="404">
        <v>99910123.891725987</v>
      </c>
      <c r="J662" s="404">
        <v>107129150.7411433</v>
      </c>
      <c r="K662" s="404">
        <v>109901412.95985562</v>
      </c>
      <c r="L662" s="404">
        <v>112201737.58032267</v>
      </c>
      <c r="M662" s="404">
        <v>112602291.58379488</v>
      </c>
      <c r="N662" s="404">
        <v>115035056.6432566</v>
      </c>
      <c r="O662" s="404">
        <v>116326875.83780304</v>
      </c>
      <c r="P662" s="404">
        <v>117695815.775849</v>
      </c>
      <c r="Q662" s="404">
        <v>121838852.17947072</v>
      </c>
      <c r="R662" s="404">
        <v>130483196.50212717</v>
      </c>
      <c r="S662" s="404">
        <v>129731518.52894337</v>
      </c>
      <c r="T662" s="404">
        <v>131384923.26678154</v>
      </c>
      <c r="U662" s="404">
        <v>137698682.40636301</v>
      </c>
      <c r="V662" s="404">
        <v>141881083.58426467</v>
      </c>
      <c r="W662" s="327"/>
    </row>
    <row r="663" spans="1:23" x14ac:dyDescent="0.2">
      <c r="A663" s="9"/>
      <c r="B663" s="309" t="s">
        <v>20</v>
      </c>
      <c r="C663" s="443">
        <v>0</v>
      </c>
      <c r="D663" s="404">
        <v>-29592587.222798433</v>
      </c>
      <c r="E663" s="404">
        <v>-30022614.265571684</v>
      </c>
      <c r="F663" s="404">
        <v>-30543931.96546999</v>
      </c>
      <c r="G663" s="404">
        <v>-31415997.979585581</v>
      </c>
      <c r="H663" s="404">
        <v>-32501876.322230875</v>
      </c>
      <c r="I663" s="404">
        <v>-33746312.121988118</v>
      </c>
      <c r="J663" s="404">
        <v>-34524685.093264841</v>
      </c>
      <c r="K663" s="404">
        <v>-35267022.278834306</v>
      </c>
      <c r="L663" s="404">
        <v>-35850802.007291853</v>
      </c>
      <c r="M663" s="404">
        <v>-36146295.45009134</v>
      </c>
      <c r="N663" s="404">
        <v>-36641186.907137655</v>
      </c>
      <c r="O663" s="404">
        <v>-37438778.964124911</v>
      </c>
      <c r="P663" s="404">
        <v>-38291625.892529972</v>
      </c>
      <c r="Q663" s="404">
        <v>-39108437.035227768</v>
      </c>
      <c r="R663" s="404">
        <v>-39665790.520833321</v>
      </c>
      <c r="S663" s="404">
        <v>-40480199.277817294</v>
      </c>
      <c r="T663" s="404">
        <v>-41405117.777636871</v>
      </c>
      <c r="U663" s="404">
        <v>-42421326.934581481</v>
      </c>
      <c r="V663" s="404">
        <v>-43471169.491519533</v>
      </c>
      <c r="W663" s="327"/>
    </row>
    <row r="664" spans="1:23" x14ac:dyDescent="0.2">
      <c r="A664" s="9"/>
      <c r="B664" s="309" t="s">
        <v>31</v>
      </c>
      <c r="C664" s="443">
        <v>0</v>
      </c>
      <c r="D664" s="404">
        <v>-1870269.8062618221</v>
      </c>
      <c r="E664" s="404">
        <v>-1908019.9972517844</v>
      </c>
      <c r="F664" s="404">
        <v>-3401544.9657430332</v>
      </c>
      <c r="G664" s="404">
        <v>-3477209.7833903497</v>
      </c>
      <c r="H664" s="404">
        <v>-3554577.017234439</v>
      </c>
      <c r="I664" s="404">
        <v>-3633685.4087144542</v>
      </c>
      <c r="J664" s="404">
        <v>-3714574.590722166</v>
      </c>
      <c r="K664" s="404">
        <v>-3797285.1083323946</v>
      </c>
      <c r="L664" s="404">
        <v>-3881858.4400203102</v>
      </c>
      <c r="M664" s="404">
        <v>-3968337.0193771161</v>
      </c>
      <c r="N664" s="404">
        <v>-4056764.2573359469</v>
      </c>
      <c r="O664" s="404">
        <v>-4147184.5649200613</v>
      </c>
      <c r="P664" s="404">
        <v>-4239643.3765257346</v>
      </c>
      <c r="Q664" s="404">
        <v>-4334187.1737525109</v>
      </c>
      <c r="R664" s="404">
        <v>-4430863.5097937956</v>
      </c>
      <c r="S664" s="404">
        <v>-4529721.0344011253</v>
      </c>
      <c r="T664" s="404">
        <v>-4630809.5194356581</v>
      </c>
      <c r="U664" s="404">
        <v>-4734179.8850208875</v>
      </c>
      <c r="V664" s="404">
        <v>-4839884.2263108073</v>
      </c>
      <c r="W664" s="327"/>
    </row>
    <row r="665" spans="1:23" x14ac:dyDescent="0.2">
      <c r="A665" s="9"/>
      <c r="B665" s="309" t="s">
        <v>32</v>
      </c>
      <c r="C665" s="443">
        <v>0</v>
      </c>
      <c r="D665" s="404">
        <v>0</v>
      </c>
      <c r="E665" s="404">
        <v>0</v>
      </c>
      <c r="F665" s="404">
        <v>0</v>
      </c>
      <c r="G665" s="404">
        <v>0</v>
      </c>
      <c r="H665" s="404">
        <v>0</v>
      </c>
      <c r="I665" s="404">
        <v>-1107552.7809649101</v>
      </c>
      <c r="J665" s="404">
        <v>-1227633.7820023671</v>
      </c>
      <c r="K665" s="404">
        <v>-1562246.8123449325</v>
      </c>
      <c r="L665" s="404">
        <v>-1487861.0957584856</v>
      </c>
      <c r="M665" s="404">
        <v>-1654730.2978507653</v>
      </c>
      <c r="N665" s="404">
        <v>-1822810.5600110982</v>
      </c>
      <c r="O665" s="404">
        <v>-2019619.4509791546</v>
      </c>
      <c r="P665" s="404">
        <v>-2264524.6850910299</v>
      </c>
      <c r="Q665" s="404">
        <v>-2520769.3468312006</v>
      </c>
      <c r="R665" s="404">
        <v>-2792242.3857985847</v>
      </c>
      <c r="S665" s="404">
        <v>-3065878.7058172449</v>
      </c>
      <c r="T665" s="404">
        <v>-3012076.3596734349</v>
      </c>
      <c r="U665" s="404">
        <v>-2576994.2414299063</v>
      </c>
      <c r="V665" s="404">
        <v>-2671867.5818486717</v>
      </c>
      <c r="W665" s="327"/>
    </row>
    <row r="666" spans="1:23" ht="13.5" thickBot="1" x14ac:dyDescent="0.25">
      <c r="A666" s="9"/>
      <c r="B666" s="310" t="s">
        <v>33</v>
      </c>
      <c r="C666" s="444">
        <v>0</v>
      </c>
      <c r="D666" s="406">
        <v>0</v>
      </c>
      <c r="E666" s="406">
        <v>0</v>
      </c>
      <c r="F666" s="406">
        <v>-1676501.1970793065</v>
      </c>
      <c r="G666" s="406">
        <v>-1428484.108243797</v>
      </c>
      <c r="H666" s="406">
        <v>-1482961.6642881935</v>
      </c>
      <c r="I666" s="406">
        <v>-1540186.2592185035</v>
      </c>
      <c r="J666" s="406">
        <v>-1934810.325677397</v>
      </c>
      <c r="K666" s="406">
        <v>-1690035.1358503005</v>
      </c>
      <c r="L666" s="406">
        <v>-1788782.7804364716</v>
      </c>
      <c r="M666" s="406">
        <v>-1702095.3241054444</v>
      </c>
      <c r="N666" s="406">
        <v>-1750844.7370173824</v>
      </c>
      <c r="O666" s="406">
        <v>-1796245.6677201497</v>
      </c>
      <c r="P666" s="406">
        <v>-1604424.2461753404</v>
      </c>
      <c r="Q666" s="406">
        <v>-1661789.9193222285</v>
      </c>
      <c r="R666" s="406">
        <v>-1696131.4414820543</v>
      </c>
      <c r="S666" s="406">
        <v>-1801172.4236300793</v>
      </c>
      <c r="T666" s="406">
        <v>-1693288.8897189884</v>
      </c>
      <c r="U666" s="406">
        <v>-1864949.5073128846</v>
      </c>
      <c r="V666" s="406">
        <v>-1015372.7931610681</v>
      </c>
      <c r="W666" s="327"/>
    </row>
    <row r="667" spans="1:23" ht="13.5" thickTop="1" x14ac:dyDescent="0.2">
      <c r="A667" s="9"/>
      <c r="B667" s="311" t="s">
        <v>38</v>
      </c>
      <c r="C667" s="445">
        <v>0</v>
      </c>
      <c r="D667" s="408">
        <v>62284435.278797835</v>
      </c>
      <c r="E667" s="408">
        <v>60516500.020412944</v>
      </c>
      <c r="F667" s="408">
        <v>58604604.853732817</v>
      </c>
      <c r="G667" s="408">
        <v>56569341.188968301</v>
      </c>
      <c r="H667" s="408">
        <v>56051290.563294537</v>
      </c>
      <c r="I667" s="408">
        <v>59882387.320840001</v>
      </c>
      <c r="J667" s="408">
        <v>65727446.94947654</v>
      </c>
      <c r="K667" s="408">
        <v>67584823.624493673</v>
      </c>
      <c r="L667" s="408">
        <v>69192433.256815553</v>
      </c>
      <c r="M667" s="408">
        <v>69130833.492370218</v>
      </c>
      <c r="N667" s="408">
        <v>70763450.181754515</v>
      </c>
      <c r="O667" s="408">
        <v>70925047.190058738</v>
      </c>
      <c r="P667" s="408">
        <v>71295597.575526923</v>
      </c>
      <c r="Q667" s="408">
        <v>74213668.704337001</v>
      </c>
      <c r="R667" s="408">
        <v>81898168.644219428</v>
      </c>
      <c r="S667" s="408">
        <v>79854547.087277636</v>
      </c>
      <c r="T667" s="408">
        <v>80643630.720316574</v>
      </c>
      <c r="U667" s="408">
        <v>86101231.838017851</v>
      </c>
      <c r="V667" s="408">
        <v>89882789.49142459</v>
      </c>
      <c r="W667" s="327"/>
    </row>
    <row r="668" spans="1:23" x14ac:dyDescent="0.2">
      <c r="A668" s="9"/>
      <c r="B668" s="309" t="s">
        <v>34</v>
      </c>
      <c r="C668" s="443">
        <v>0</v>
      </c>
      <c r="D668" s="404">
        <v>-3823941.674911805</v>
      </c>
      <c r="E668" s="404">
        <v>-3900420.5084100412</v>
      </c>
      <c r="F668" s="404">
        <v>-4047349.918578242</v>
      </c>
      <c r="G668" s="404">
        <v>-4128641.5219498067</v>
      </c>
      <c r="H668" s="404">
        <v>-4211567.5725138029</v>
      </c>
      <c r="I668" s="404">
        <v>-4296160.9745922042</v>
      </c>
      <c r="J668" s="404">
        <v>-4382455.2959778765</v>
      </c>
      <c r="K668" s="404">
        <v>-4470484.7813386088</v>
      </c>
      <c r="L668" s="404">
        <v>-4560284.3658925835</v>
      </c>
      <c r="M668" s="404">
        <v>-4651889.6893608188</v>
      </c>
      <c r="N668" s="404">
        <v>-4745337.1102021774</v>
      </c>
      <c r="O668" s="404">
        <v>-4840663.7201367179</v>
      </c>
      <c r="P668" s="404">
        <v>-4937907.3589632111</v>
      </c>
      <c r="Q668" s="404">
        <v>-5037106.6296768291</v>
      </c>
      <c r="R668" s="404">
        <v>-5138300.9138930766</v>
      </c>
      <c r="S668" s="404">
        <v>-5241530.3875842178</v>
      </c>
      <c r="T668" s="404">
        <v>-5346836.0371345133</v>
      </c>
      <c r="U668" s="404">
        <v>-5454259.6757207802</v>
      </c>
      <c r="V668" s="404">
        <v>-5563843.9600248616</v>
      </c>
      <c r="W668" s="327"/>
    </row>
    <row r="669" spans="1:23" x14ac:dyDescent="0.2">
      <c r="A669" s="9"/>
      <c r="B669" s="309" t="s">
        <v>35</v>
      </c>
      <c r="C669" s="443">
        <v>0</v>
      </c>
      <c r="D669" s="404">
        <v>-695592.31143923826</v>
      </c>
      <c r="E669" s="404">
        <v>-709213.75904706703</v>
      </c>
      <c r="F669" s="404">
        <v>-723133.51635750732</v>
      </c>
      <c r="G669" s="404">
        <v>-737367.86018316343</v>
      </c>
      <c r="H669" s="404">
        <v>-751940.98139187018</v>
      </c>
      <c r="I669" s="404">
        <v>-767475.72838574066</v>
      </c>
      <c r="J669" s="404">
        <v>-782784.56555551931</v>
      </c>
      <c r="K669" s="404">
        <v>-799107.37012358126</v>
      </c>
      <c r="L669" s="404">
        <v>-815191.40508521721</v>
      </c>
      <c r="M669" s="404">
        <v>-831685.58293837484</v>
      </c>
      <c r="N669" s="404">
        <v>-848578.91989557899</v>
      </c>
      <c r="O669" s="404">
        <v>-865897.96894410462</v>
      </c>
      <c r="P669" s="404">
        <v>-883656.92183846282</v>
      </c>
      <c r="Q669" s="404">
        <v>-901859.84855517989</v>
      </c>
      <c r="R669" s="404">
        <v>-920519.66873248655</v>
      </c>
      <c r="S669" s="404">
        <v>-939645.98441422591</v>
      </c>
      <c r="T669" s="404">
        <v>-959246.63272487244</v>
      </c>
      <c r="U669" s="404">
        <v>-979339.25730811618</v>
      </c>
      <c r="V669" s="404">
        <v>-999936.20676839934</v>
      </c>
      <c r="W669" s="327"/>
    </row>
    <row r="670" spans="1:23" ht="13.5" thickBot="1" x14ac:dyDescent="0.25">
      <c r="A670" s="9"/>
      <c r="B670" s="310" t="s">
        <v>36</v>
      </c>
      <c r="C670" s="444">
        <v>0</v>
      </c>
      <c r="D670" s="406">
        <v>-657011.69461646595</v>
      </c>
      <c r="E670" s="406">
        <v>-670874.64137287706</v>
      </c>
      <c r="F670" s="406">
        <v>-685566.79601894401</v>
      </c>
      <c r="G670" s="406">
        <v>-701060.60560896702</v>
      </c>
      <c r="H670" s="406">
        <v>-717745.84802246199</v>
      </c>
      <c r="I670" s="406">
        <v>-735732.63113018498</v>
      </c>
      <c r="J670" s="406">
        <v>-753980.85003889306</v>
      </c>
      <c r="K670" s="406">
        <v>-773065.66351075401</v>
      </c>
      <c r="L670" s="406">
        <v>-792160.38539946999</v>
      </c>
      <c r="M670" s="406">
        <v>-812360.47522715398</v>
      </c>
      <c r="N670" s="406">
        <v>-832019.59872765501</v>
      </c>
      <c r="O670" s="406">
        <v>-852986.49261558906</v>
      </c>
      <c r="P670" s="406">
        <v>-874652.34952802304</v>
      </c>
      <c r="Q670" s="406">
        <v>-896518.65826622397</v>
      </c>
      <c r="R670" s="406">
        <v>-919021.27658870595</v>
      </c>
      <c r="S670" s="406">
        <v>-941996.80850342498</v>
      </c>
      <c r="T670" s="406">
        <v>-965358.32935430901</v>
      </c>
      <c r="U670" s="406">
        <v>-989588.823421104</v>
      </c>
      <c r="V670" s="406">
        <v>-1014427.50288897</v>
      </c>
      <c r="W670" s="327"/>
    </row>
    <row r="671" spans="1:23" ht="13.5" thickTop="1" x14ac:dyDescent="0.2">
      <c r="A671" s="9"/>
      <c r="B671" s="311" t="s">
        <v>220</v>
      </c>
      <c r="C671" s="446">
        <v>0</v>
      </c>
      <c r="D671" s="410">
        <v>57107889.597830325</v>
      </c>
      <c r="E671" s="410">
        <v>55235991.111582957</v>
      </c>
      <c r="F671" s="410">
        <v>53148554.622778125</v>
      </c>
      <c r="G671" s="410">
        <v>51002271.201226361</v>
      </c>
      <c r="H671" s="410">
        <v>50370036.161366403</v>
      </c>
      <c r="I671" s="410">
        <v>54083017.986731872</v>
      </c>
      <c r="J671" s="410">
        <v>59808226.237904251</v>
      </c>
      <c r="K671" s="410">
        <v>61542165.809520729</v>
      </c>
      <c r="L671" s="410">
        <v>63024797.100438289</v>
      </c>
      <c r="M671" s="410">
        <v>62834897.74484387</v>
      </c>
      <c r="N671" s="410">
        <v>64337514.552929096</v>
      </c>
      <c r="O671" s="410">
        <v>64365499.00836233</v>
      </c>
      <c r="P671" s="410">
        <v>64599380.945197225</v>
      </c>
      <c r="Q671" s="410">
        <v>67378183.567838758</v>
      </c>
      <c r="R671" s="410">
        <v>74920326.785005167</v>
      </c>
      <c r="S671" s="410">
        <v>72731373.906775773</v>
      </c>
      <c r="T671" s="410">
        <v>73372189.721102878</v>
      </c>
      <c r="U671" s="410">
        <v>78678044.081567854</v>
      </c>
      <c r="V671" s="410">
        <v>82304581.821742371</v>
      </c>
      <c r="W671" s="327"/>
    </row>
    <row r="672" spans="1:23" x14ac:dyDescent="0.2">
      <c r="A672" s="9"/>
      <c r="B672" s="309" t="s">
        <v>37</v>
      </c>
      <c r="C672" s="443">
        <v>0</v>
      </c>
      <c r="D672" s="404">
        <v>-3441938.1990569998</v>
      </c>
      <c r="E672" s="404">
        <v>-5877737.6589121995</v>
      </c>
      <c r="F672" s="404">
        <v>-6266087.4678223999</v>
      </c>
      <c r="G672" s="404">
        <v>-6345796.2965719998</v>
      </c>
      <c r="H672" s="404">
        <v>-6231939.0057114996</v>
      </c>
      <c r="I672" s="404">
        <v>-4498514.4227202805</v>
      </c>
      <c r="J672" s="404">
        <v>-2680917.0459073605</v>
      </c>
      <c r="K672" s="404">
        <v>-2519655.5977036236</v>
      </c>
      <c r="L672" s="404">
        <v>-2620192.4501547031</v>
      </c>
      <c r="M672" s="404">
        <v>-2608450.180386764</v>
      </c>
      <c r="N672" s="404">
        <v>-2606053.8853047974</v>
      </c>
      <c r="O672" s="404">
        <v>-2736589.4111257922</v>
      </c>
      <c r="P672" s="404">
        <v>-2870456.9868748188</v>
      </c>
      <c r="Q672" s="404">
        <v>-2844880.3098963164</v>
      </c>
      <c r="R672" s="404">
        <v>-2823270.4726084592</v>
      </c>
      <c r="S672" s="404">
        <v>-2969737.1852019657</v>
      </c>
      <c r="T672" s="404">
        <v>-3120495.3841732782</v>
      </c>
      <c r="U672" s="404">
        <v>-3152091.8441137294</v>
      </c>
      <c r="V672" s="404">
        <v>-3177925.7928523952</v>
      </c>
      <c r="W672" s="327"/>
    </row>
    <row r="673" spans="1:23" ht="13.5" thickBot="1" x14ac:dyDescent="0.25">
      <c r="A673" s="9"/>
      <c r="B673" s="310" t="s">
        <v>221</v>
      </c>
      <c r="C673" s="444">
        <v>0</v>
      </c>
      <c r="D673" s="406">
        <v>-21466380.559509333</v>
      </c>
      <c r="E673" s="406">
        <v>-19743301.381068304</v>
      </c>
      <c r="F673" s="406">
        <v>-18752986.86198229</v>
      </c>
      <c r="G673" s="406">
        <v>-17862589.961861745</v>
      </c>
      <c r="H673" s="406">
        <v>-17655238.862261962</v>
      </c>
      <c r="I673" s="406">
        <v>-19833801.425604638</v>
      </c>
      <c r="J673" s="406">
        <v>-22850923.676798757</v>
      </c>
      <c r="K673" s="406">
        <v>-23609004.084726844</v>
      </c>
      <c r="L673" s="406">
        <v>-24161841.860113438</v>
      </c>
      <c r="M673" s="406">
        <v>-24090579.025782842</v>
      </c>
      <c r="N673" s="406">
        <v>-24692584.267049719</v>
      </c>
      <c r="O673" s="406">
        <v>-24651563.838894617</v>
      </c>
      <c r="P673" s="406">
        <v>-24691569.583328962</v>
      </c>
      <c r="Q673" s="406">
        <v>-25813321.303176977</v>
      </c>
      <c r="R673" s="406">
        <v>-28838822.524958685</v>
      </c>
      <c r="S673" s="406">
        <v>-27904654.688629523</v>
      </c>
      <c r="T673" s="406">
        <v>-28100677.734771844</v>
      </c>
      <c r="U673" s="406">
        <v>-30210380.894981652</v>
      </c>
      <c r="V673" s="406">
        <v>-31650662.411555991</v>
      </c>
      <c r="W673" s="327"/>
    </row>
    <row r="674" spans="1:23" ht="13.5" thickTop="1" x14ac:dyDescent="0.2">
      <c r="A674" s="9"/>
      <c r="B674" s="311" t="s">
        <v>183</v>
      </c>
      <c r="C674" s="446">
        <v>0</v>
      </c>
      <c r="D674" s="410">
        <v>32199570.839263994</v>
      </c>
      <c r="E674" s="410">
        <v>29614952.071602456</v>
      </c>
      <c r="F674" s="410">
        <v>28129480.292973433</v>
      </c>
      <c r="G674" s="410">
        <v>26793884.942792617</v>
      </c>
      <c r="H674" s="410">
        <v>26482858.293392945</v>
      </c>
      <c r="I674" s="410">
        <v>29750702.138406951</v>
      </c>
      <c r="J674" s="410">
        <v>34276385.515198126</v>
      </c>
      <c r="K674" s="410">
        <v>35413506.12709026</v>
      </c>
      <c r="L674" s="410">
        <v>36242762.790170148</v>
      </c>
      <c r="M674" s="410">
        <v>36135868.538674265</v>
      </c>
      <c r="N674" s="410">
        <v>37038876.40057458</v>
      </c>
      <c r="O674" s="410">
        <v>36977345.758341923</v>
      </c>
      <c r="P674" s="410">
        <v>37037354.374993443</v>
      </c>
      <c r="Q674" s="410">
        <v>38719981.954765461</v>
      </c>
      <c r="R674" s="410">
        <v>43258233.78743802</v>
      </c>
      <c r="S674" s="410">
        <v>41856982.032944277</v>
      </c>
      <c r="T674" s="410">
        <v>42151016.602157757</v>
      </c>
      <c r="U674" s="410">
        <v>45315571.342472479</v>
      </c>
      <c r="V674" s="410">
        <v>47475993.617333978</v>
      </c>
      <c r="W674" s="327"/>
    </row>
    <row r="675" spans="1:23" x14ac:dyDescent="0.2">
      <c r="A675" s="9"/>
      <c r="B675" s="309" t="s">
        <v>37</v>
      </c>
      <c r="C675" s="443">
        <v>0</v>
      </c>
      <c r="D675" s="404">
        <v>3441938.1990569998</v>
      </c>
      <c r="E675" s="404">
        <v>5877737.6589121995</v>
      </c>
      <c r="F675" s="404">
        <v>6266087.4678223999</v>
      </c>
      <c r="G675" s="404">
        <v>6345796.2965719998</v>
      </c>
      <c r="H675" s="404">
        <v>6231939.0057114996</v>
      </c>
      <c r="I675" s="404">
        <v>4498514.4227202805</v>
      </c>
      <c r="J675" s="404">
        <v>2680917.0459073605</v>
      </c>
      <c r="K675" s="404">
        <v>2519655.5977036236</v>
      </c>
      <c r="L675" s="404">
        <v>2620192.4501547031</v>
      </c>
      <c r="M675" s="404">
        <v>2608450.180386764</v>
      </c>
      <c r="N675" s="404">
        <v>2606053.8853047974</v>
      </c>
      <c r="O675" s="404">
        <v>2736589.4111257922</v>
      </c>
      <c r="P675" s="404">
        <v>2870456.9868748188</v>
      </c>
      <c r="Q675" s="404">
        <v>2844880.3098963164</v>
      </c>
      <c r="R675" s="404">
        <v>2823270.4726084592</v>
      </c>
      <c r="S675" s="404">
        <v>2969737.1852019657</v>
      </c>
      <c r="T675" s="404">
        <v>3120495.3841732782</v>
      </c>
      <c r="U675" s="404">
        <v>3152091.8441137294</v>
      </c>
      <c r="V675" s="404">
        <v>3177925.7928523952</v>
      </c>
      <c r="W675" s="327"/>
    </row>
    <row r="676" spans="1:23" x14ac:dyDescent="0.2">
      <c r="A676" s="9"/>
      <c r="B676" s="309" t="s">
        <v>39</v>
      </c>
      <c r="C676" s="443">
        <v>0</v>
      </c>
      <c r="D676" s="404">
        <v>-2140736.38</v>
      </c>
      <c r="E676" s="404">
        <v>-2090891.7</v>
      </c>
      <c r="F676" s="404">
        <v>-3759535.24</v>
      </c>
      <c r="G676" s="404">
        <v>-1669261.97</v>
      </c>
      <c r="H676" s="404">
        <v>-2255300.8720000004</v>
      </c>
      <c r="I676" s="404">
        <v>-2322959.8981600003</v>
      </c>
      <c r="J676" s="404">
        <v>-2392648.6951048006</v>
      </c>
      <c r="K676" s="404">
        <v>-2464428.1559579447</v>
      </c>
      <c r="L676" s="404">
        <v>-2538361.0006366833</v>
      </c>
      <c r="M676" s="404">
        <v>-2614511.8306557839</v>
      </c>
      <c r="N676" s="404">
        <v>-2692947.1855754573</v>
      </c>
      <c r="O676" s="404">
        <v>-2773735.6011427213</v>
      </c>
      <c r="P676" s="404">
        <v>-2856947.6691770027</v>
      </c>
      <c r="Q676" s="404">
        <v>-2942656.0992523129</v>
      </c>
      <c r="R676" s="404">
        <v>-3030935.7822298822</v>
      </c>
      <c r="S676" s="404">
        <v>-3121863.8556967787</v>
      </c>
      <c r="T676" s="404">
        <v>-3215519.7713676821</v>
      </c>
      <c r="U676" s="404">
        <v>-3311985.3645087127</v>
      </c>
      <c r="V676" s="404">
        <v>-3411344.9254439743</v>
      </c>
      <c r="W676" s="327"/>
    </row>
    <row r="677" spans="1:23" ht="13.5" thickBot="1" x14ac:dyDescent="0.25">
      <c r="A677" s="9"/>
      <c r="B677" s="310" t="s">
        <v>40</v>
      </c>
      <c r="C677" s="444">
        <v>0</v>
      </c>
      <c r="D677" s="406">
        <v>-27587393.209999997</v>
      </c>
      <c r="E677" s="406">
        <v>-3755790.25</v>
      </c>
      <c r="F677" s="406">
        <v>0</v>
      </c>
      <c r="G677" s="406">
        <v>0</v>
      </c>
      <c r="H677" s="406">
        <v>0</v>
      </c>
      <c r="I677" s="406">
        <v>0</v>
      </c>
      <c r="J677" s="406">
        <v>0</v>
      </c>
      <c r="K677" s="406">
        <v>0</v>
      </c>
      <c r="L677" s="406">
        <v>0</v>
      </c>
      <c r="M677" s="406">
        <v>0</v>
      </c>
      <c r="N677" s="406">
        <v>0</v>
      </c>
      <c r="O677" s="406">
        <v>0</v>
      </c>
      <c r="P677" s="406">
        <v>0</v>
      </c>
      <c r="Q677" s="406">
        <v>0</v>
      </c>
      <c r="R677" s="406">
        <v>0</v>
      </c>
      <c r="S677" s="406">
        <v>0</v>
      </c>
      <c r="T677" s="406">
        <v>0</v>
      </c>
      <c r="U677" s="406">
        <v>0</v>
      </c>
      <c r="V677" s="406">
        <v>0</v>
      </c>
      <c r="W677" s="327"/>
    </row>
    <row r="678" spans="1:23" ht="13.5" thickTop="1" x14ac:dyDescent="0.2">
      <c r="A678" s="9"/>
      <c r="B678" s="309"/>
      <c r="C678" s="447"/>
      <c r="D678" s="327"/>
      <c r="E678" s="327"/>
      <c r="F678" s="327"/>
      <c r="G678" s="327"/>
      <c r="H678" s="327"/>
      <c r="I678" s="327"/>
      <c r="J678" s="327"/>
      <c r="K678" s="327"/>
      <c r="L678" s="327"/>
      <c r="M678" s="327"/>
      <c r="N678" s="327"/>
      <c r="O678" s="327"/>
      <c r="P678" s="327"/>
      <c r="Q678" s="327"/>
      <c r="R678" s="327"/>
      <c r="S678" s="327"/>
      <c r="T678" s="327"/>
      <c r="U678" s="327"/>
      <c r="V678" s="327"/>
      <c r="W678" s="327"/>
    </row>
    <row r="679" spans="1:23" x14ac:dyDescent="0.2">
      <c r="A679" s="9"/>
      <c r="B679" s="311" t="s">
        <v>233</v>
      </c>
      <c r="C679" s="446">
        <v>0</v>
      </c>
      <c r="D679" s="410">
        <v>5913379.4483209997</v>
      </c>
      <c r="E679" s="410">
        <v>29646007.780514654</v>
      </c>
      <c r="F679" s="410">
        <v>30636032.52079583</v>
      </c>
      <c r="G679" s="410">
        <v>31470419.269364618</v>
      </c>
      <c r="H679" s="410">
        <v>30459496.427104443</v>
      </c>
      <c r="I679" s="410">
        <v>31926256.662967231</v>
      </c>
      <c r="J679" s="410">
        <v>34564653.86600069</v>
      </c>
      <c r="K679" s="410">
        <v>35468733.568835936</v>
      </c>
      <c r="L679" s="410">
        <v>36324594.239688173</v>
      </c>
      <c r="M679" s="410">
        <v>36129806.888405249</v>
      </c>
      <c r="N679" s="410">
        <v>36951983.100303918</v>
      </c>
      <c r="O679" s="410">
        <v>36940199.568324998</v>
      </c>
      <c r="P679" s="410">
        <v>37050863.692691259</v>
      </c>
      <c r="Q679" s="410">
        <v>38622206.165409461</v>
      </c>
      <c r="R679" s="410">
        <v>43050568.477816597</v>
      </c>
      <c r="S679" s="410">
        <v>41704855.362449467</v>
      </c>
      <c r="T679" s="410">
        <v>42055992.214963354</v>
      </c>
      <c r="U679" s="410">
        <v>45155677.822077498</v>
      </c>
      <c r="V679" s="410">
        <v>47242574.484742396</v>
      </c>
      <c r="W679" s="408">
        <v>248796427.12439966</v>
      </c>
    </row>
    <row r="680" spans="1:23" x14ac:dyDescent="0.2">
      <c r="A680" s="9"/>
      <c r="B680" s="286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">
      <c r="A681" s="302" t="s">
        <v>218</v>
      </c>
      <c r="B681" s="300" t="s">
        <v>170</v>
      </c>
      <c r="C681" s="433">
        <v>93301607.676897511</v>
      </c>
      <c r="D681" s="9"/>
      <c r="E681" s="137" t="s">
        <v>219</v>
      </c>
      <c r="F681" s="313" t="s">
        <v>170</v>
      </c>
      <c r="G681" s="437">
        <v>93301607.676897511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">
      <c r="A682" s="9"/>
      <c r="B682" s="300" t="s">
        <v>180</v>
      </c>
      <c r="C682" s="433">
        <v>170813250.17719311</v>
      </c>
      <c r="D682" s="9"/>
      <c r="E682" s="315"/>
      <c r="F682" s="313" t="s">
        <v>180</v>
      </c>
      <c r="G682" s="437">
        <v>170813250.17719311</v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3.5" thickBot="1" x14ac:dyDescent="0.25">
      <c r="A683" s="9"/>
      <c r="B683" s="316" t="s">
        <v>137</v>
      </c>
      <c r="C683" s="434">
        <v>36982003.567215189</v>
      </c>
      <c r="D683" s="317"/>
      <c r="E683" s="315"/>
      <c r="F683" s="313" t="s">
        <v>137</v>
      </c>
      <c r="G683" s="437">
        <v>36982003.567215189</v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4.25" thickTop="1" thickBot="1" x14ac:dyDescent="0.25">
      <c r="A684" s="9"/>
      <c r="B684" s="300" t="s">
        <v>28</v>
      </c>
      <c r="C684" s="432">
        <v>301096861.42130584</v>
      </c>
      <c r="D684" s="299"/>
      <c r="E684" s="315"/>
      <c r="F684" s="318" t="s">
        <v>203</v>
      </c>
      <c r="G684" s="319">
        <v>0</v>
      </c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3.5" thickTop="1" x14ac:dyDescent="0.2">
      <c r="A685" s="9"/>
      <c r="B685" s="286"/>
      <c r="C685" s="320"/>
      <c r="D685" s="9"/>
      <c r="E685" s="321"/>
      <c r="F685" s="313" t="s">
        <v>28</v>
      </c>
      <c r="G685" s="362">
        <v>301096861.42130584</v>
      </c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">
      <c r="A686" s="9"/>
      <c r="B686" s="286"/>
      <c r="C686" s="320"/>
      <c r="D686" s="9"/>
      <c r="E686" s="321"/>
      <c r="F686" s="313"/>
      <c r="G686" s="32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">
      <c r="A687" s="9"/>
      <c r="B687" s="286"/>
      <c r="C687" s="320"/>
      <c r="D687" s="9"/>
      <c r="E687" s="321"/>
      <c r="F687" s="313"/>
      <c r="G687" s="32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">
      <c r="A688" s="9"/>
      <c r="B688" s="323" t="s">
        <v>222</v>
      </c>
      <c r="C688" s="320"/>
      <c r="D688" s="9"/>
      <c r="E688" s="321"/>
      <c r="F688" s="313"/>
      <c r="G688" s="32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">
      <c r="A689" s="324" t="s">
        <v>224</v>
      </c>
      <c r="B689" s="323" t="s">
        <v>223</v>
      </c>
      <c r="C689" s="325"/>
      <c r="D689" s="326">
        <v>32199570.839263994</v>
      </c>
      <c r="E689" s="326">
        <v>29614952.071602456</v>
      </c>
      <c r="F689" s="326">
        <v>28129480.292973433</v>
      </c>
      <c r="G689" s="326">
        <v>26793884.942792617</v>
      </c>
      <c r="H689" s="326">
        <v>26482858.293392945</v>
      </c>
      <c r="I689" s="326">
        <v>29750702.138406951</v>
      </c>
      <c r="J689" s="326">
        <v>34276385.515198126</v>
      </c>
      <c r="K689" s="326">
        <v>35413506.12709026</v>
      </c>
      <c r="L689" s="326">
        <v>36242762.790170148</v>
      </c>
      <c r="M689" s="326">
        <v>36135868.538674265</v>
      </c>
      <c r="N689" s="326">
        <v>37038876.40057458</v>
      </c>
      <c r="O689" s="326">
        <v>36977345.758341923</v>
      </c>
      <c r="P689" s="326">
        <v>37037354.374993443</v>
      </c>
      <c r="Q689" s="326">
        <v>38719981.954765461</v>
      </c>
      <c r="R689" s="326">
        <v>43258233.78743802</v>
      </c>
      <c r="S689" s="326">
        <v>41856982.032944277</v>
      </c>
      <c r="T689" s="326">
        <v>42151016.602157757</v>
      </c>
      <c r="U689" s="326">
        <v>45315571.342472479</v>
      </c>
      <c r="V689" s="326">
        <v>47475993.617333978</v>
      </c>
      <c r="W689" s="9"/>
    </row>
    <row r="690" spans="1:23" x14ac:dyDescent="0.2">
      <c r="A690" s="9"/>
      <c r="B690" s="286" t="s">
        <v>225</v>
      </c>
      <c r="C690" s="320"/>
      <c r="D690" s="327">
        <v>21466380.559509333</v>
      </c>
      <c r="E690" s="327">
        <v>19743301.381068304</v>
      </c>
      <c r="F690" s="327">
        <v>18752986.86198229</v>
      </c>
      <c r="G690" s="327">
        <v>17862589.961861745</v>
      </c>
      <c r="H690" s="327">
        <v>17655238.862261962</v>
      </c>
      <c r="I690" s="327">
        <v>19833801.425604638</v>
      </c>
      <c r="J690" s="327">
        <v>22850923.676798757</v>
      </c>
      <c r="K690" s="327">
        <v>23609004.084726844</v>
      </c>
      <c r="L690" s="327">
        <v>24161841.860113438</v>
      </c>
      <c r="M690" s="327">
        <v>24090579.025782842</v>
      </c>
      <c r="N690" s="327">
        <v>24692584.267049719</v>
      </c>
      <c r="O690" s="327">
        <v>24651563.838894617</v>
      </c>
      <c r="P690" s="327">
        <v>24691569.583328962</v>
      </c>
      <c r="Q690" s="327">
        <v>25813321.303176977</v>
      </c>
      <c r="R690" s="327">
        <v>28838822.524958685</v>
      </c>
      <c r="S690" s="327">
        <v>27904654.688629523</v>
      </c>
      <c r="T690" s="327">
        <v>28100677.734771844</v>
      </c>
      <c r="U690" s="327">
        <v>30210380.894981652</v>
      </c>
      <c r="V690" s="327">
        <v>31650662.411555991</v>
      </c>
      <c r="W690" s="9"/>
    </row>
    <row r="691" spans="1:23" x14ac:dyDescent="0.2">
      <c r="A691" s="9"/>
      <c r="B691" s="328" t="s">
        <v>226</v>
      </c>
      <c r="C691" s="329"/>
      <c r="D691" s="327">
        <v>3441938.1990569998</v>
      </c>
      <c r="E691" s="327">
        <v>5877737.6589121995</v>
      </c>
      <c r="F691" s="327">
        <v>6266087.4678223999</v>
      </c>
      <c r="G691" s="327">
        <v>6345796.2965719998</v>
      </c>
      <c r="H691" s="327">
        <v>6231939.0057114996</v>
      </c>
      <c r="I691" s="327">
        <v>4498514.4227202805</v>
      </c>
      <c r="J691" s="327">
        <v>2680917.0459073605</v>
      </c>
      <c r="K691" s="327">
        <v>2519655.5977036236</v>
      </c>
      <c r="L691" s="327">
        <v>2620192.4501547031</v>
      </c>
      <c r="M691" s="327">
        <v>2608450.180386764</v>
      </c>
      <c r="N691" s="327">
        <v>2606053.8853047974</v>
      </c>
      <c r="O691" s="327">
        <v>2736589.4111257922</v>
      </c>
      <c r="P691" s="327">
        <v>2870456.9868748188</v>
      </c>
      <c r="Q691" s="327">
        <v>2844880.3098963164</v>
      </c>
      <c r="R691" s="327">
        <v>2823270.4726084592</v>
      </c>
      <c r="S691" s="327">
        <v>2969737.1852019657</v>
      </c>
      <c r="T691" s="327">
        <v>3120495.3841732782</v>
      </c>
      <c r="U691" s="327">
        <v>3152091.8441137294</v>
      </c>
      <c r="V691" s="327">
        <v>3177925.7928523952</v>
      </c>
      <c r="W691" s="9"/>
    </row>
    <row r="692" spans="1:23" ht="13.5" thickBot="1" x14ac:dyDescent="0.25">
      <c r="A692" s="9"/>
      <c r="B692" s="330" t="s">
        <v>227</v>
      </c>
      <c r="C692" s="331"/>
      <c r="D692" s="332">
        <v>57107889.597830325</v>
      </c>
      <c r="E692" s="332">
        <v>55235991.111582957</v>
      </c>
      <c r="F692" s="332">
        <v>53148554.622778125</v>
      </c>
      <c r="G692" s="332">
        <v>51002271.201226361</v>
      </c>
      <c r="H692" s="332">
        <v>50370036.161366403</v>
      </c>
      <c r="I692" s="332">
        <v>54083017.986731872</v>
      </c>
      <c r="J692" s="332">
        <v>59808226.237904251</v>
      </c>
      <c r="K692" s="332">
        <v>61542165.809520721</v>
      </c>
      <c r="L692" s="332">
        <v>63024797.100438297</v>
      </c>
      <c r="M692" s="332">
        <v>62834897.74484387</v>
      </c>
      <c r="N692" s="332">
        <v>64337514.552929088</v>
      </c>
      <c r="O692" s="332">
        <v>64365499.008362338</v>
      </c>
      <c r="P692" s="332">
        <v>64599380.945197225</v>
      </c>
      <c r="Q692" s="332">
        <v>67378183.567838758</v>
      </c>
      <c r="R692" s="332">
        <v>74920326.785005167</v>
      </c>
      <c r="S692" s="332">
        <v>72731373.906775773</v>
      </c>
      <c r="T692" s="332">
        <v>73372189.721102878</v>
      </c>
      <c r="U692" s="332">
        <v>78678044.081567854</v>
      </c>
      <c r="V692" s="332">
        <v>82304581.821742371</v>
      </c>
      <c r="W692" s="9"/>
    </row>
    <row r="693" spans="1:23" ht="13.5" thickTop="1" x14ac:dyDescent="0.2">
      <c r="A693" s="324" t="s">
        <v>228</v>
      </c>
      <c r="B693" s="286" t="s">
        <v>229</v>
      </c>
      <c r="C693" s="320"/>
      <c r="D693" s="327">
        <v>-5117325.7095361836</v>
      </c>
      <c r="E693" s="327">
        <v>-5402298.0977363326</v>
      </c>
      <c r="F693" s="327">
        <v>-5563651.4658227339</v>
      </c>
      <c r="G693" s="327">
        <v>-5646743.8811986642</v>
      </c>
      <c r="H693" s="327">
        <v>-5759130.1718725096</v>
      </c>
      <c r="I693" s="327">
        <v>-5875278.16678051</v>
      </c>
      <c r="J693" s="327">
        <v>-5446499.5489713708</v>
      </c>
      <c r="K693" s="327">
        <v>-5155855.6305296468</v>
      </c>
      <c r="L693" s="327">
        <v>-5085898.6960967015</v>
      </c>
      <c r="M693" s="327">
        <v>-5199533.7951842891</v>
      </c>
      <c r="N693" s="327">
        <v>-5334181.1544630621</v>
      </c>
      <c r="O693" s="327">
        <v>-5472867.934520198</v>
      </c>
      <c r="P693" s="327">
        <v>-5144330.8838441288</v>
      </c>
      <c r="Q693" s="327">
        <v>-4647406.8869340029</v>
      </c>
      <c r="R693" s="327">
        <v>-3819977.345762454</v>
      </c>
      <c r="S693" s="327">
        <v>-3914454.4670427209</v>
      </c>
      <c r="T693" s="327">
        <v>-4071025.1251152549</v>
      </c>
      <c r="U693" s="327">
        <v>-4236624.393340691</v>
      </c>
      <c r="V693" s="327">
        <v>-4403595.0275677731</v>
      </c>
      <c r="W693" s="9"/>
    </row>
    <row r="694" spans="1:23" x14ac:dyDescent="0.2">
      <c r="A694" s="9"/>
      <c r="B694" s="286" t="s">
        <v>230</v>
      </c>
      <c r="C694" s="320"/>
      <c r="D694" s="327">
        <v>0</v>
      </c>
      <c r="E694" s="327">
        <v>0</v>
      </c>
      <c r="F694" s="327">
        <v>0</v>
      </c>
      <c r="G694" s="327">
        <v>0</v>
      </c>
      <c r="H694" s="327">
        <v>0</v>
      </c>
      <c r="I694" s="327">
        <v>0</v>
      </c>
      <c r="J694" s="327">
        <v>0</v>
      </c>
      <c r="K694" s="327">
        <v>0</v>
      </c>
      <c r="L694" s="327">
        <v>0</v>
      </c>
      <c r="M694" s="327">
        <v>0</v>
      </c>
      <c r="N694" s="327">
        <v>0</v>
      </c>
      <c r="O694" s="327">
        <v>0</v>
      </c>
      <c r="P694" s="327">
        <v>0</v>
      </c>
      <c r="Q694" s="327">
        <v>0</v>
      </c>
      <c r="R694" s="327">
        <v>0</v>
      </c>
      <c r="S694" s="327">
        <v>0</v>
      </c>
      <c r="T694" s="327">
        <v>0</v>
      </c>
      <c r="U694" s="327">
        <v>0</v>
      </c>
      <c r="V694" s="327">
        <v>0</v>
      </c>
      <c r="W694" s="9"/>
    </row>
    <row r="695" spans="1:23" x14ac:dyDescent="0.2">
      <c r="A695" s="9"/>
      <c r="B695" s="323" t="s">
        <v>231</v>
      </c>
      <c r="C695" s="325"/>
      <c r="D695" s="326">
        <v>51990563.888294145</v>
      </c>
      <c r="E695" s="326">
        <v>49833693.013846621</v>
      </c>
      <c r="F695" s="326">
        <v>47584903.156955391</v>
      </c>
      <c r="G695" s="326">
        <v>45355527.320027694</v>
      </c>
      <c r="H695" s="326">
        <v>44610905.989493892</v>
      </c>
      <c r="I695" s="326">
        <v>48207739.819951363</v>
      </c>
      <c r="J695" s="326">
        <v>54361726.688932881</v>
      </c>
      <c r="K695" s="326">
        <v>56386310.178991072</v>
      </c>
      <c r="L695" s="326">
        <v>57938898.404341593</v>
      </c>
      <c r="M695" s="326">
        <v>57635363.949659579</v>
      </c>
      <c r="N695" s="326">
        <v>59003333.398466028</v>
      </c>
      <c r="O695" s="326">
        <v>58892631.073842138</v>
      </c>
      <c r="P695" s="326">
        <v>59455050.061353095</v>
      </c>
      <c r="Q695" s="326">
        <v>62730776.680904754</v>
      </c>
      <c r="R695" s="326">
        <v>71100349.439242721</v>
      </c>
      <c r="S695" s="326">
        <v>68816919.439733058</v>
      </c>
      <c r="T695" s="326">
        <v>69301164.595987618</v>
      </c>
      <c r="U695" s="326">
        <v>74441419.688227162</v>
      </c>
      <c r="V695" s="326">
        <v>77900986.794174597</v>
      </c>
      <c r="W695" s="9"/>
    </row>
    <row r="696" spans="1:23" ht="13.5" thickBot="1" x14ac:dyDescent="0.25">
      <c r="A696" s="9"/>
      <c r="B696" s="333" t="s">
        <v>237</v>
      </c>
      <c r="C696" s="334"/>
      <c r="D696" s="335">
        <v>-20796225.555317659</v>
      </c>
      <c r="E696" s="335">
        <v>-19933477.205538649</v>
      </c>
      <c r="F696" s="335">
        <v>-19033961.262782156</v>
      </c>
      <c r="G696" s="335">
        <v>-18142210.928011078</v>
      </c>
      <c r="H696" s="335">
        <v>-17844362.395797558</v>
      </c>
      <c r="I696" s="335">
        <v>-19283095.927980546</v>
      </c>
      <c r="J696" s="335">
        <v>-21744690.675573155</v>
      </c>
      <c r="K696" s="335">
        <v>-22554524.071596429</v>
      </c>
      <c r="L696" s="335">
        <v>-23175559.36173664</v>
      </c>
      <c r="M696" s="335">
        <v>-23054145.579863831</v>
      </c>
      <c r="N696" s="335">
        <v>-23601333.359386414</v>
      </c>
      <c r="O696" s="335">
        <v>-23557052.429536857</v>
      </c>
      <c r="P696" s="335">
        <v>-23782020.02454124</v>
      </c>
      <c r="Q696" s="335">
        <v>-25092310.672361903</v>
      </c>
      <c r="R696" s="335">
        <v>-28440139.77569709</v>
      </c>
      <c r="S696" s="335">
        <v>-27526767.775893226</v>
      </c>
      <c r="T696" s="335">
        <v>-27720465.838395048</v>
      </c>
      <c r="U696" s="335">
        <v>-29776567.875290867</v>
      </c>
      <c r="V696" s="335">
        <v>-31160394.717669841</v>
      </c>
      <c r="W696" s="9"/>
    </row>
    <row r="697" spans="1:23" ht="13.5" thickTop="1" x14ac:dyDescent="0.2">
      <c r="A697" s="9"/>
      <c r="B697" s="323" t="s">
        <v>232</v>
      </c>
      <c r="C697" s="325"/>
      <c r="D697" s="326">
        <v>31194338.332976487</v>
      </c>
      <c r="E697" s="326">
        <v>29900215.808307972</v>
      </c>
      <c r="F697" s="326">
        <v>28550941.894173235</v>
      </c>
      <c r="G697" s="326">
        <v>27213316.392016616</v>
      </c>
      <c r="H697" s="326">
        <v>26766543.593696333</v>
      </c>
      <c r="I697" s="326">
        <v>28924643.891970817</v>
      </c>
      <c r="J697" s="326">
        <v>32617036.013359725</v>
      </c>
      <c r="K697" s="326">
        <v>33831786.107394643</v>
      </c>
      <c r="L697" s="326">
        <v>34763339.042604953</v>
      </c>
      <c r="M697" s="326">
        <v>34581218.369795747</v>
      </c>
      <c r="N697" s="326">
        <v>35402000.039079614</v>
      </c>
      <c r="O697" s="326">
        <v>35335578.644305281</v>
      </c>
      <c r="P697" s="326">
        <v>35673030.036811858</v>
      </c>
      <c r="Q697" s="326">
        <v>37638466.008542851</v>
      </c>
      <c r="R697" s="326">
        <v>42660209.663545631</v>
      </c>
      <c r="S697" s="326">
        <v>41290151.663839832</v>
      </c>
      <c r="T697" s="326">
        <v>41580698.757592574</v>
      </c>
      <c r="U697" s="326">
        <v>44664851.812936291</v>
      </c>
      <c r="V697" s="326">
        <v>46740592.076504752</v>
      </c>
      <c r="W697" s="9"/>
    </row>
    <row r="698" spans="1:23" x14ac:dyDescent="0.2">
      <c r="A698" s="9"/>
      <c r="B698" s="9"/>
      <c r="C698" s="320"/>
      <c r="D698" s="9"/>
      <c r="E698" s="321"/>
      <c r="F698" s="313"/>
      <c r="G698" s="32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5.75" x14ac:dyDescent="0.25">
      <c r="A699" s="336" t="s">
        <v>205</v>
      </c>
      <c r="B699" s="33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">
      <c r="A700" s="284" t="s">
        <v>190</v>
      </c>
      <c r="B700" s="303"/>
      <c r="C700" s="338">
        <v>0</v>
      </c>
      <c r="D700" s="277"/>
      <c r="E700" s="277"/>
      <c r="F700" s="277"/>
      <c r="G700" s="277"/>
      <c r="H700" s="277"/>
      <c r="I700" s="277"/>
      <c r="J700" s="277"/>
      <c r="K700" s="277"/>
      <c r="L700" s="277"/>
      <c r="M700" s="277"/>
      <c r="N700" s="277"/>
      <c r="O700" s="277"/>
      <c r="P700" s="277"/>
      <c r="Q700" s="277"/>
      <c r="R700" s="277"/>
      <c r="S700" s="277"/>
      <c r="T700" s="277"/>
      <c r="U700" s="277"/>
      <c r="V700" s="277"/>
      <c r="W700" s="277"/>
    </row>
    <row r="701" spans="1:23" x14ac:dyDescent="0.2">
      <c r="A701" s="284" t="s">
        <v>191</v>
      </c>
      <c r="B701" s="303"/>
      <c r="C701" s="339">
        <v>0</v>
      </c>
      <c r="D701" s="277"/>
      <c r="E701" s="277"/>
      <c r="F701" s="277"/>
      <c r="G701" s="277"/>
      <c r="H701" s="277"/>
      <c r="I701" s="277"/>
      <c r="J701" s="277"/>
      <c r="K701" s="277"/>
      <c r="L701" s="277"/>
      <c r="M701" s="277"/>
      <c r="N701" s="277"/>
      <c r="O701" s="277"/>
      <c r="P701" s="277"/>
      <c r="Q701" s="277"/>
      <c r="R701" s="277"/>
      <c r="S701" s="277"/>
      <c r="T701" s="277"/>
      <c r="U701" s="277"/>
      <c r="V701" s="277"/>
      <c r="W701" s="277"/>
    </row>
    <row r="702" spans="1:23" x14ac:dyDescent="0.2">
      <c r="A702" s="284" t="s">
        <v>201</v>
      </c>
      <c r="B702" s="303"/>
      <c r="C702" s="284">
        <v>15</v>
      </c>
      <c r="D702" s="277"/>
      <c r="E702" s="277"/>
      <c r="F702" s="277"/>
      <c r="G702" s="277"/>
      <c r="H702" s="277"/>
      <c r="I702" s="277"/>
      <c r="J702" s="277"/>
      <c r="K702" s="277"/>
      <c r="L702" s="277"/>
      <c r="M702" s="277"/>
      <c r="N702" s="277"/>
      <c r="O702" s="277"/>
      <c r="P702" s="277"/>
      <c r="Q702" s="277"/>
      <c r="R702" s="277"/>
      <c r="S702" s="277"/>
      <c r="T702" s="277"/>
      <c r="U702" s="277"/>
      <c r="V702" s="277"/>
      <c r="W702" s="277"/>
    </row>
    <row r="703" spans="1:23" x14ac:dyDescent="0.2">
      <c r="A703" s="284" t="s">
        <v>192</v>
      </c>
      <c r="B703" s="303"/>
      <c r="C703" s="339">
        <v>0</v>
      </c>
      <c r="D703" s="277"/>
      <c r="E703" s="277"/>
      <c r="F703" s="277"/>
      <c r="G703" s="277"/>
      <c r="H703" s="277"/>
      <c r="I703" s="277"/>
      <c r="J703" s="277"/>
      <c r="K703" s="277"/>
      <c r="L703" s="277"/>
      <c r="M703" s="277"/>
      <c r="N703" s="277"/>
      <c r="O703" s="277"/>
      <c r="P703" s="277"/>
      <c r="Q703" s="277"/>
      <c r="R703" s="277"/>
      <c r="S703" s="277"/>
      <c r="T703" s="277"/>
      <c r="U703" s="277"/>
      <c r="V703" s="277"/>
      <c r="W703" s="277"/>
    </row>
    <row r="704" spans="1:23" x14ac:dyDescent="0.2">
      <c r="A704" s="284" t="s">
        <v>193</v>
      </c>
      <c r="B704" s="303"/>
      <c r="C704" s="340">
        <v>8.7499999999999994E-2</v>
      </c>
      <c r="D704" s="277"/>
      <c r="E704" s="277"/>
      <c r="F704" s="277"/>
      <c r="G704" s="277"/>
      <c r="H704" s="277"/>
      <c r="I704" s="277"/>
      <c r="J704" s="277"/>
      <c r="K704" s="277"/>
      <c r="L704" s="277"/>
      <c r="M704" s="277"/>
      <c r="N704" s="277"/>
      <c r="O704" s="277"/>
      <c r="P704" s="277"/>
      <c r="Q704" s="277"/>
      <c r="R704" s="277"/>
      <c r="S704" s="277"/>
      <c r="T704" s="277"/>
      <c r="U704" s="277"/>
      <c r="V704" s="277"/>
      <c r="W704" s="277"/>
    </row>
    <row r="705" spans="1:23" x14ac:dyDescent="0.2">
      <c r="A705" s="284"/>
      <c r="B705" s="303"/>
      <c r="C705" s="277"/>
      <c r="D705" s="306">
        <v>2001</v>
      </c>
      <c r="E705" s="306">
        <v>2002</v>
      </c>
      <c r="F705" s="306">
        <v>2003</v>
      </c>
      <c r="G705" s="306">
        <v>2004</v>
      </c>
      <c r="H705" s="306">
        <v>2005</v>
      </c>
      <c r="I705" s="306">
        <v>2006</v>
      </c>
      <c r="J705" s="306">
        <v>2007</v>
      </c>
      <c r="K705" s="306">
        <v>2008</v>
      </c>
      <c r="L705" s="306">
        <v>2009</v>
      </c>
      <c r="M705" s="306">
        <v>2010</v>
      </c>
      <c r="N705" s="306">
        <v>2011</v>
      </c>
      <c r="O705" s="306">
        <v>2012</v>
      </c>
      <c r="P705" s="306">
        <v>2013</v>
      </c>
      <c r="Q705" s="306">
        <v>2014</v>
      </c>
      <c r="R705" s="306">
        <v>2015</v>
      </c>
      <c r="S705" s="306">
        <v>2016</v>
      </c>
      <c r="T705" s="306">
        <v>2017</v>
      </c>
      <c r="U705" s="306">
        <v>2018</v>
      </c>
      <c r="V705" s="306">
        <v>2019</v>
      </c>
      <c r="W705" s="306" t="s">
        <v>154</v>
      </c>
    </row>
    <row r="706" spans="1:23" x14ac:dyDescent="0.2">
      <c r="A706" s="284" t="s">
        <v>194</v>
      </c>
      <c r="B706" s="303"/>
      <c r="C706" s="277"/>
      <c r="D706" s="341">
        <v>0</v>
      </c>
      <c r="E706" s="341">
        <v>0</v>
      </c>
      <c r="F706" s="341">
        <v>0</v>
      </c>
      <c r="G706" s="341">
        <v>0</v>
      </c>
      <c r="H706" s="341">
        <v>0</v>
      </c>
      <c r="I706" s="341">
        <v>0</v>
      </c>
      <c r="J706" s="341">
        <v>0</v>
      </c>
      <c r="K706" s="341">
        <v>0</v>
      </c>
      <c r="L706" s="341">
        <v>0</v>
      </c>
      <c r="M706" s="341">
        <v>0</v>
      </c>
      <c r="N706" s="341">
        <v>0</v>
      </c>
      <c r="O706" s="341">
        <v>0</v>
      </c>
      <c r="P706" s="341">
        <v>0</v>
      </c>
      <c r="Q706" s="341">
        <v>0</v>
      </c>
      <c r="R706" s="341">
        <v>0</v>
      </c>
      <c r="S706" s="341">
        <v>0</v>
      </c>
      <c r="T706" s="341">
        <v>0</v>
      </c>
      <c r="U706" s="341">
        <v>0</v>
      </c>
      <c r="V706" s="341">
        <v>0</v>
      </c>
      <c r="W706" s="341">
        <v>0</v>
      </c>
    </row>
    <row r="707" spans="1:23" x14ac:dyDescent="0.2">
      <c r="A707" s="284" t="s">
        <v>195</v>
      </c>
      <c r="B707" s="303"/>
      <c r="C707" s="277"/>
      <c r="D707" s="341">
        <v>0</v>
      </c>
      <c r="E707" s="341">
        <v>0</v>
      </c>
      <c r="F707" s="341">
        <v>0</v>
      </c>
      <c r="G707" s="341">
        <v>0</v>
      </c>
      <c r="H707" s="341">
        <v>0</v>
      </c>
      <c r="I707" s="341">
        <v>0</v>
      </c>
      <c r="J707" s="341">
        <v>0</v>
      </c>
      <c r="K707" s="341">
        <v>0</v>
      </c>
      <c r="L707" s="341">
        <v>0</v>
      </c>
      <c r="M707" s="341">
        <v>0</v>
      </c>
      <c r="N707" s="341">
        <v>0</v>
      </c>
      <c r="O707" s="341">
        <v>0</v>
      </c>
      <c r="P707" s="341">
        <v>0</v>
      </c>
      <c r="Q707" s="341">
        <v>0</v>
      </c>
      <c r="R707" s="341">
        <v>0</v>
      </c>
      <c r="S707" s="341">
        <v>0</v>
      </c>
      <c r="T707" s="341">
        <v>0</v>
      </c>
      <c r="U707" s="341">
        <v>0</v>
      </c>
      <c r="V707" s="341">
        <v>0</v>
      </c>
      <c r="W707" s="341">
        <v>0</v>
      </c>
    </row>
    <row r="708" spans="1:23" x14ac:dyDescent="0.2">
      <c r="A708" s="284" t="s">
        <v>196</v>
      </c>
      <c r="B708" s="303"/>
      <c r="C708" s="277"/>
      <c r="D708" s="341">
        <v>0</v>
      </c>
      <c r="E708" s="341">
        <v>0</v>
      </c>
      <c r="F708" s="341">
        <v>0</v>
      </c>
      <c r="G708" s="341">
        <v>0</v>
      </c>
      <c r="H708" s="341">
        <v>0</v>
      </c>
      <c r="I708" s="341">
        <v>0</v>
      </c>
      <c r="J708" s="341">
        <v>0</v>
      </c>
      <c r="K708" s="341">
        <v>0</v>
      </c>
      <c r="L708" s="341">
        <v>0</v>
      </c>
      <c r="M708" s="341">
        <v>0</v>
      </c>
      <c r="N708" s="341">
        <v>0</v>
      </c>
      <c r="O708" s="341">
        <v>0</v>
      </c>
      <c r="P708" s="341">
        <v>0</v>
      </c>
      <c r="Q708" s="341">
        <v>0</v>
      </c>
      <c r="R708" s="341">
        <v>0</v>
      </c>
      <c r="S708" s="341">
        <v>0</v>
      </c>
      <c r="T708" s="341">
        <v>0</v>
      </c>
      <c r="U708" s="341">
        <v>0</v>
      </c>
      <c r="V708" s="341">
        <v>0</v>
      </c>
      <c r="W708" s="341">
        <v>0</v>
      </c>
    </row>
    <row r="709" spans="1:23" x14ac:dyDescent="0.2">
      <c r="A709" s="284" t="s">
        <v>197</v>
      </c>
      <c r="B709" s="303"/>
      <c r="C709" s="277"/>
      <c r="D709" s="342">
        <v>0</v>
      </c>
      <c r="E709" s="342">
        <v>0</v>
      </c>
      <c r="F709" s="342">
        <v>0</v>
      </c>
      <c r="G709" s="342">
        <v>0</v>
      </c>
      <c r="H709" s="342">
        <v>0</v>
      </c>
      <c r="I709" s="342">
        <v>0</v>
      </c>
      <c r="J709" s="342">
        <v>0</v>
      </c>
      <c r="K709" s="342">
        <v>0</v>
      </c>
      <c r="L709" s="342">
        <v>0</v>
      </c>
      <c r="M709" s="342">
        <v>0</v>
      </c>
      <c r="N709" s="342">
        <v>0</v>
      </c>
      <c r="O709" s="342">
        <v>0</v>
      </c>
      <c r="P709" s="342">
        <v>0</v>
      </c>
      <c r="Q709" s="342">
        <v>0</v>
      </c>
      <c r="R709" s="342">
        <v>0</v>
      </c>
      <c r="S709" s="342">
        <v>0</v>
      </c>
      <c r="T709" s="342">
        <v>0</v>
      </c>
      <c r="U709" s="342">
        <v>0</v>
      </c>
      <c r="V709" s="342">
        <v>0</v>
      </c>
      <c r="W709" s="342">
        <v>0</v>
      </c>
    </row>
    <row r="710" spans="1:23" ht="13.5" thickBot="1" x14ac:dyDescent="0.25">
      <c r="A710" s="284" t="s">
        <v>198</v>
      </c>
      <c r="B710" s="303"/>
      <c r="C710" s="277"/>
      <c r="D710" s="343">
        <v>0</v>
      </c>
      <c r="E710" s="343">
        <v>0</v>
      </c>
      <c r="F710" s="343">
        <v>0</v>
      </c>
      <c r="G710" s="343">
        <v>0</v>
      </c>
      <c r="H710" s="343">
        <v>0</v>
      </c>
      <c r="I710" s="343">
        <v>0</v>
      </c>
      <c r="J710" s="343">
        <v>0</v>
      </c>
      <c r="K710" s="343">
        <v>0</v>
      </c>
      <c r="L710" s="343">
        <v>0</v>
      </c>
      <c r="M710" s="343">
        <v>0</v>
      </c>
      <c r="N710" s="343">
        <v>0</v>
      </c>
      <c r="O710" s="343">
        <v>0</v>
      </c>
      <c r="P710" s="343">
        <v>0</v>
      </c>
      <c r="Q710" s="343">
        <v>0</v>
      </c>
      <c r="R710" s="343">
        <v>0</v>
      </c>
      <c r="S710" s="343">
        <v>0</v>
      </c>
      <c r="T710" s="343">
        <v>0</v>
      </c>
      <c r="U710" s="343">
        <v>0</v>
      </c>
      <c r="V710" s="343">
        <v>0</v>
      </c>
      <c r="W710" s="343">
        <v>0</v>
      </c>
    </row>
    <row r="711" spans="1:23" ht="13.5" thickTop="1" x14ac:dyDescent="0.2">
      <c r="A711" s="284"/>
      <c r="B711" s="303"/>
      <c r="C711" s="277"/>
      <c r="D711" s="341"/>
      <c r="E711" s="341"/>
      <c r="F711" s="341"/>
      <c r="G711" s="341"/>
      <c r="H711" s="341"/>
      <c r="I711" s="341"/>
      <c r="J711" s="341"/>
      <c r="K711" s="341"/>
      <c r="L711" s="341"/>
      <c r="M711" s="341"/>
      <c r="N711" s="341"/>
      <c r="O711" s="341"/>
      <c r="P711" s="341"/>
      <c r="Q711" s="341"/>
      <c r="R711" s="341"/>
      <c r="S711" s="341"/>
      <c r="T711" s="341"/>
      <c r="U711" s="341"/>
      <c r="V711" s="341"/>
      <c r="W711" s="341"/>
    </row>
    <row r="712" spans="1:23" x14ac:dyDescent="0.2">
      <c r="A712" s="284" t="s">
        <v>199</v>
      </c>
      <c r="B712" s="303"/>
      <c r="C712" s="277"/>
      <c r="D712" s="341">
        <v>0</v>
      </c>
      <c r="E712" s="341">
        <v>0</v>
      </c>
      <c r="F712" s="341">
        <v>0</v>
      </c>
      <c r="G712" s="341">
        <v>0</v>
      </c>
      <c r="H712" s="341">
        <v>0</v>
      </c>
      <c r="I712" s="341">
        <v>0</v>
      </c>
      <c r="J712" s="341">
        <v>0</v>
      </c>
      <c r="K712" s="341">
        <v>0</v>
      </c>
      <c r="L712" s="341">
        <v>0</v>
      </c>
      <c r="M712" s="341">
        <v>0</v>
      </c>
      <c r="N712" s="341">
        <v>0</v>
      </c>
      <c r="O712" s="341">
        <v>0</v>
      </c>
      <c r="P712" s="341">
        <v>0</v>
      </c>
      <c r="Q712" s="341">
        <v>0</v>
      </c>
      <c r="R712" s="341">
        <v>0</v>
      </c>
      <c r="S712" s="341">
        <v>0</v>
      </c>
      <c r="T712" s="341">
        <v>0</v>
      </c>
      <c r="U712" s="341">
        <v>0</v>
      </c>
      <c r="V712" s="341">
        <v>0</v>
      </c>
      <c r="W712" s="341">
        <v>0</v>
      </c>
    </row>
    <row r="713" spans="1:23" x14ac:dyDescent="0.2">
      <c r="A713" s="284"/>
      <c r="B713" s="303"/>
      <c r="C713" s="277"/>
      <c r="D713" s="277"/>
      <c r="E713" s="277"/>
      <c r="F713" s="277"/>
      <c r="G713" s="277"/>
      <c r="H713" s="277"/>
      <c r="I713" s="277"/>
      <c r="J713" s="277"/>
      <c r="K713" s="277"/>
      <c r="L713" s="277"/>
      <c r="M713" s="277"/>
      <c r="N713" s="277"/>
      <c r="O713" s="277"/>
      <c r="P713" s="277"/>
      <c r="Q713" s="277"/>
      <c r="R713" s="277"/>
      <c r="S713" s="277"/>
      <c r="T713" s="277"/>
      <c r="U713" s="277"/>
      <c r="V713" s="277"/>
      <c r="W713" s="277"/>
    </row>
    <row r="714" spans="1:23" x14ac:dyDescent="0.2">
      <c r="A714" s="284" t="s">
        <v>200</v>
      </c>
      <c r="B714" s="303"/>
      <c r="C714" s="277"/>
      <c r="D714" s="341">
        <v>0</v>
      </c>
      <c r="E714" s="341">
        <v>0</v>
      </c>
      <c r="F714" s="341">
        <v>0</v>
      </c>
      <c r="G714" s="341">
        <v>0</v>
      </c>
      <c r="H714" s="341">
        <v>0</v>
      </c>
      <c r="I714" s="341">
        <v>0</v>
      </c>
      <c r="J714" s="341">
        <v>0</v>
      </c>
      <c r="K714" s="341">
        <v>0</v>
      </c>
      <c r="L714" s="341">
        <v>0</v>
      </c>
      <c r="M714" s="341">
        <v>0</v>
      </c>
      <c r="N714" s="341">
        <v>0</v>
      </c>
      <c r="O714" s="341">
        <v>0</v>
      </c>
      <c r="P714" s="341">
        <v>0</v>
      </c>
      <c r="Q714" s="341">
        <v>0</v>
      </c>
      <c r="R714" s="341">
        <v>0</v>
      </c>
      <c r="S714" s="341">
        <v>0</v>
      </c>
      <c r="T714" s="341">
        <v>0</v>
      </c>
      <c r="U714" s="341">
        <v>0</v>
      </c>
      <c r="V714" s="341">
        <v>0</v>
      </c>
      <c r="W714" s="341">
        <v>0</v>
      </c>
    </row>
    <row r="715" spans="1:23" x14ac:dyDescent="0.2">
      <c r="A715" s="277"/>
      <c r="B715" s="303"/>
      <c r="C715" s="277"/>
      <c r="D715" s="277"/>
      <c r="E715" s="277"/>
      <c r="F715" s="277"/>
      <c r="G715" s="277"/>
      <c r="H715" s="277"/>
      <c r="I715" s="277"/>
      <c r="J715" s="277"/>
      <c r="K715" s="277"/>
      <c r="L715" s="277"/>
      <c r="M715" s="277"/>
      <c r="N715" s="277"/>
      <c r="O715" s="277"/>
      <c r="P715" s="277"/>
      <c r="Q715" s="277"/>
      <c r="R715" s="277"/>
      <c r="S715" s="277"/>
      <c r="T715" s="277"/>
      <c r="U715" s="277"/>
      <c r="V715" s="277"/>
      <c r="W715" s="277"/>
    </row>
    <row r="716" spans="1:23" x14ac:dyDescent="0.2">
      <c r="A716" s="277"/>
      <c r="B716" s="303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M716" s="277"/>
      <c r="N716" s="277"/>
      <c r="O716" s="277"/>
      <c r="P716" s="277"/>
      <c r="Q716" s="277"/>
      <c r="R716" s="277"/>
      <c r="S716" s="277"/>
      <c r="T716" s="277"/>
      <c r="U716" s="277"/>
      <c r="V716" s="277"/>
      <c r="W716" s="277"/>
    </row>
    <row r="717" spans="1:23" x14ac:dyDescent="0.2">
      <c r="A717" s="284" t="s">
        <v>202</v>
      </c>
      <c r="B717" s="279"/>
      <c r="C717" s="278"/>
      <c r="D717" s="435">
        <v>5913379.4483209997</v>
      </c>
      <c r="E717" s="435">
        <v>29646007.780514654</v>
      </c>
      <c r="F717" s="435">
        <v>30636032.52079583</v>
      </c>
      <c r="G717" s="435">
        <v>31470419.269364618</v>
      </c>
      <c r="H717" s="435">
        <v>30459496.427104443</v>
      </c>
      <c r="I717" s="435">
        <v>31926256.662967231</v>
      </c>
      <c r="J717" s="435">
        <v>34564653.86600069</v>
      </c>
      <c r="K717" s="435">
        <v>35468733.568835936</v>
      </c>
      <c r="L717" s="435">
        <v>36324594.239688173</v>
      </c>
      <c r="M717" s="435">
        <v>36129806.888405249</v>
      </c>
      <c r="N717" s="435">
        <v>36951983.100303918</v>
      </c>
      <c r="O717" s="435">
        <v>36940199.568324998</v>
      </c>
      <c r="P717" s="435">
        <v>37050863.692691259</v>
      </c>
      <c r="Q717" s="435">
        <v>38622206.165409461</v>
      </c>
      <c r="R717" s="435">
        <v>43050568.477816597</v>
      </c>
      <c r="S717" s="435">
        <v>41704855.362449467</v>
      </c>
      <c r="T717" s="435">
        <v>42055992.214963354</v>
      </c>
      <c r="U717" s="435">
        <v>45155677.822077498</v>
      </c>
      <c r="V717" s="435">
        <v>47242574.484742396</v>
      </c>
      <c r="W717" s="435">
        <v>248796427.12439966</v>
      </c>
    </row>
    <row r="718" spans="1:23" x14ac:dyDescent="0.2">
      <c r="A718" s="9"/>
      <c r="B718" s="6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">
      <c r="B719" s="348"/>
      <c r="C719" s="349"/>
      <c r="D719" s="349"/>
      <c r="E719" s="349"/>
      <c r="F719" s="349"/>
      <c r="G719" s="349"/>
      <c r="H719" s="349"/>
      <c r="I719" s="349"/>
      <c r="J719" s="349"/>
      <c r="K719" s="349"/>
      <c r="L719" s="349"/>
      <c r="M719" s="349"/>
      <c r="N719" s="349"/>
      <c r="O719" s="349"/>
      <c r="P719" s="349"/>
      <c r="Q719" s="349"/>
      <c r="R719" s="349"/>
      <c r="S719" s="349"/>
      <c r="T719" s="349"/>
      <c r="U719" s="349"/>
      <c r="V719" s="349"/>
      <c r="W719" s="294"/>
    </row>
    <row r="720" spans="1:23" x14ac:dyDescent="0.2">
      <c r="B720" s="348"/>
      <c r="C720" s="349"/>
      <c r="D720" s="349"/>
      <c r="E720" s="349"/>
      <c r="F720" s="349"/>
      <c r="G720" s="349"/>
      <c r="H720" s="349"/>
      <c r="I720" s="349"/>
      <c r="J720" s="349"/>
      <c r="K720" s="349"/>
      <c r="L720" s="349"/>
      <c r="M720" s="349"/>
      <c r="N720" s="349"/>
      <c r="O720" s="349"/>
      <c r="P720" s="349"/>
      <c r="Q720" s="349"/>
      <c r="R720" s="349"/>
      <c r="S720" s="349"/>
      <c r="T720" s="349"/>
      <c r="U720" s="349"/>
      <c r="V720" s="349"/>
      <c r="W720" s="294"/>
    </row>
    <row r="721" spans="1:23" x14ac:dyDescent="0.2">
      <c r="B721" s="348"/>
      <c r="C721" s="349"/>
      <c r="D721" s="349"/>
      <c r="E721" s="349"/>
      <c r="F721" s="349"/>
      <c r="G721" s="349"/>
      <c r="H721" s="349"/>
      <c r="I721" s="349"/>
      <c r="J721" s="349"/>
      <c r="K721" s="349"/>
      <c r="L721" s="349"/>
      <c r="M721" s="349"/>
      <c r="N721" s="349"/>
      <c r="O721" s="349"/>
      <c r="P721" s="349"/>
      <c r="Q721" s="349"/>
      <c r="R721" s="349"/>
      <c r="S721" s="349"/>
      <c r="T721" s="349"/>
      <c r="U721" s="349"/>
      <c r="V721" s="349"/>
      <c r="W721" s="294"/>
    </row>
    <row r="722" spans="1:23" x14ac:dyDescent="0.2">
      <c r="B722" s="348"/>
      <c r="C722" s="294"/>
      <c r="D722" s="294"/>
      <c r="E722" s="294"/>
      <c r="F722" s="294"/>
      <c r="G722" s="294"/>
      <c r="H722" s="294"/>
      <c r="I722" s="294"/>
      <c r="J722" s="294"/>
      <c r="K722" s="294"/>
      <c r="L722" s="294"/>
      <c r="M722" s="294"/>
      <c r="N722" s="294"/>
      <c r="O722" s="294"/>
      <c r="P722" s="294"/>
      <c r="Q722" s="294"/>
      <c r="R722" s="294"/>
      <c r="S722" s="294"/>
      <c r="T722" s="294"/>
      <c r="U722" s="294"/>
      <c r="V722" s="294"/>
      <c r="W722" s="294"/>
    </row>
    <row r="723" spans="1:23" x14ac:dyDescent="0.2">
      <c r="B723" s="350"/>
      <c r="C723" s="353"/>
      <c r="D723" s="353"/>
      <c r="E723" s="353"/>
      <c r="F723" s="353"/>
      <c r="G723" s="353"/>
      <c r="H723" s="353"/>
      <c r="I723" s="353"/>
      <c r="J723" s="353"/>
      <c r="K723" s="353"/>
      <c r="L723" s="353"/>
      <c r="M723" s="353"/>
      <c r="N723" s="353"/>
      <c r="O723" s="353"/>
      <c r="P723" s="353"/>
      <c r="Q723" s="353"/>
      <c r="R723" s="353"/>
      <c r="S723" s="353"/>
      <c r="T723" s="353"/>
      <c r="U723" s="353"/>
      <c r="V723" s="353"/>
      <c r="W723" s="352"/>
    </row>
    <row r="724" spans="1:23" x14ac:dyDescent="0.2">
      <c r="B724" s="289"/>
    </row>
    <row r="725" spans="1:23" x14ac:dyDescent="0.2">
      <c r="A725" s="45"/>
      <c r="B725" s="300"/>
      <c r="C725" s="312"/>
      <c r="E725" s="361"/>
      <c r="F725" s="313"/>
      <c r="G725" s="314"/>
    </row>
    <row r="726" spans="1:23" ht="15.75" x14ac:dyDescent="0.25">
      <c r="A726" s="302" t="s">
        <v>29</v>
      </c>
      <c r="B726" s="305" t="s">
        <v>65</v>
      </c>
      <c r="C726" s="306">
        <v>2000</v>
      </c>
      <c r="D726" s="306">
        <v>2001</v>
      </c>
      <c r="E726" s="306">
        <v>2002</v>
      </c>
      <c r="F726" s="306">
        <v>2003</v>
      </c>
      <c r="G726" s="306">
        <v>2004</v>
      </c>
      <c r="H726" s="306">
        <v>2005</v>
      </c>
      <c r="I726" s="306">
        <v>2006</v>
      </c>
      <c r="J726" s="306">
        <v>2007</v>
      </c>
      <c r="K726" s="306">
        <v>2008</v>
      </c>
      <c r="L726" s="306">
        <v>2009</v>
      </c>
      <c r="M726" s="306">
        <v>2010</v>
      </c>
      <c r="N726" s="306">
        <v>2011</v>
      </c>
      <c r="O726" s="306">
        <v>2012</v>
      </c>
      <c r="P726" s="306">
        <v>2013</v>
      </c>
      <c r="Q726" s="306">
        <v>2014</v>
      </c>
      <c r="R726" s="306">
        <v>2015</v>
      </c>
      <c r="S726" s="306">
        <v>2016</v>
      </c>
      <c r="T726" s="306">
        <v>2017</v>
      </c>
      <c r="U726" s="306">
        <v>2018</v>
      </c>
      <c r="V726" s="306">
        <v>2019</v>
      </c>
      <c r="W726" s="306" t="s">
        <v>154</v>
      </c>
    </row>
    <row r="727" spans="1:23" x14ac:dyDescent="0.2">
      <c r="A727" s="302" t="s">
        <v>26</v>
      </c>
      <c r="B727" s="303">
        <v>320</v>
      </c>
      <c r="C727" s="308"/>
      <c r="D727" s="308"/>
      <c r="E727" s="308"/>
      <c r="F727" s="308"/>
      <c r="G727" s="308"/>
      <c r="H727" s="308"/>
      <c r="I727" s="308"/>
      <c r="J727" s="308"/>
      <c r="K727" s="308"/>
      <c r="L727" s="308"/>
      <c r="M727" s="308"/>
      <c r="N727" s="308"/>
      <c r="O727" s="308"/>
      <c r="P727" s="308"/>
      <c r="Q727" s="308"/>
      <c r="R727" s="308"/>
      <c r="S727" s="308"/>
      <c r="T727" s="308"/>
      <c r="U727" s="308"/>
      <c r="V727" s="308"/>
      <c r="W727" s="308"/>
    </row>
    <row r="728" spans="1:23" x14ac:dyDescent="0.2">
      <c r="A728" s="9"/>
      <c r="B728" s="309" t="s">
        <v>27</v>
      </c>
      <c r="C728" s="443">
        <v>0</v>
      </c>
      <c r="D728" s="404">
        <v>100539398.33596453</v>
      </c>
      <c r="E728" s="404">
        <v>99145042.271707475</v>
      </c>
      <c r="F728" s="404">
        <v>101053414.20589015</v>
      </c>
      <c r="G728" s="404">
        <v>99621102.058162183</v>
      </c>
      <c r="H728" s="404">
        <v>100371466.69419792</v>
      </c>
      <c r="I728" s="404">
        <v>107148734.6083468</v>
      </c>
      <c r="J728" s="404">
        <v>114890788.78552915</v>
      </c>
      <c r="K728" s="404">
        <v>117863904.79386745</v>
      </c>
      <c r="L728" s="404">
        <v>120330890.74754901</v>
      </c>
      <c r="M728" s="404">
        <v>120760465.3786532</v>
      </c>
      <c r="N728" s="404">
        <v>123369487.24317622</v>
      </c>
      <c r="O728" s="404">
        <v>124754900.31891641</v>
      </c>
      <c r="P728" s="404">
        <v>126223021.63038056</v>
      </c>
      <c r="Q728" s="404">
        <v>130666226.09047571</v>
      </c>
      <c r="R728" s="404">
        <v>139936863.73571837</v>
      </c>
      <c r="S728" s="404">
        <v>139130725.77369487</v>
      </c>
      <c r="T728" s="404">
        <v>140903921.70774022</v>
      </c>
      <c r="U728" s="404">
        <v>147675120.42190832</v>
      </c>
      <c r="V728" s="404">
        <v>152160541.68234321</v>
      </c>
      <c r="W728" s="327"/>
    </row>
    <row r="729" spans="1:23" x14ac:dyDescent="0.2">
      <c r="A729" s="9"/>
      <c r="B729" s="309" t="s">
        <v>20</v>
      </c>
      <c r="C729" s="443">
        <v>0</v>
      </c>
      <c r="D729" s="404">
        <v>-31121823.32881121</v>
      </c>
      <c r="E729" s="404">
        <v>-31574072.588094961</v>
      </c>
      <c r="F729" s="404">
        <v>-32122330.070019953</v>
      </c>
      <c r="G729" s="404">
        <v>-33039461.249461293</v>
      </c>
      <c r="H729" s="404">
        <v>-34181453.792457134</v>
      </c>
      <c r="I729" s="404">
        <v>-35490197.458987743</v>
      </c>
      <c r="J729" s="404">
        <v>-36308793.88361308</v>
      </c>
      <c r="K729" s="404">
        <v>-37089492.325616866</v>
      </c>
      <c r="L729" s="404">
        <v>-37703439.644085862</v>
      </c>
      <c r="M729" s="404">
        <v>-38014203.101582512</v>
      </c>
      <c r="N729" s="404">
        <v>-38534668.729585044</v>
      </c>
      <c r="O729" s="404">
        <v>-39373477.411608525</v>
      </c>
      <c r="P729" s="404">
        <v>-40270396.333651729</v>
      </c>
      <c r="Q729" s="404">
        <v>-41129417.273073368</v>
      </c>
      <c r="R729" s="404">
        <v>-41715572.737619899</v>
      </c>
      <c r="S729" s="404">
        <v>-42572067.144866779</v>
      </c>
      <c r="T729" s="404">
        <v>-43544782.032153048</v>
      </c>
      <c r="U729" s="404">
        <v>-44613505.142080553</v>
      </c>
      <c r="V729" s="404">
        <v>-45717599.70245485</v>
      </c>
      <c r="W729" s="327"/>
    </row>
    <row r="730" spans="1:23" x14ac:dyDescent="0.2">
      <c r="A730" s="9"/>
      <c r="B730" s="309" t="s">
        <v>31</v>
      </c>
      <c r="C730" s="443">
        <v>0</v>
      </c>
      <c r="D730" s="404">
        <v>-1699007.8379398887</v>
      </c>
      <c r="E730" s="404">
        <v>-1733301.2164465259</v>
      </c>
      <c r="F730" s="404">
        <v>-3210564.3736860021</v>
      </c>
      <c r="G730" s="404">
        <v>-3282313.0428199256</v>
      </c>
      <c r="H730" s="404">
        <v>-3355683.550008249</v>
      </c>
      <c r="I730" s="404">
        <v>-3430712.971942042</v>
      </c>
      <c r="J730" s="404">
        <v>-3507439.242204872</v>
      </c>
      <c r="K730" s="404">
        <v>-3585901.1712817028</v>
      </c>
      <c r="L730" s="404">
        <v>-3666138.467039499</v>
      </c>
      <c r="M730" s="404">
        <v>-3748191.7556907414</v>
      </c>
      <c r="N730" s="404">
        <v>-3832102.6032513287</v>
      </c>
      <c r="O730" s="404">
        <v>-3917913.5375046469</v>
      </c>
      <c r="P730" s="404">
        <v>-4005668.0704838284</v>
      </c>
      <c r="Q730" s="404">
        <v>-4095410.7214845447</v>
      </c>
      <c r="R730" s="404">
        <v>-4187187.0406209631</v>
      </c>
      <c r="S730" s="404">
        <v>-4281043.6329377722</v>
      </c>
      <c r="T730" s="404">
        <v>-4377028.1830915567</v>
      </c>
      <c r="U730" s="404">
        <v>-4475189.4806150366</v>
      </c>
      <c r="V730" s="404">
        <v>-4575577.4457780896</v>
      </c>
      <c r="W730" s="327"/>
    </row>
    <row r="731" spans="1:23" x14ac:dyDescent="0.2">
      <c r="A731" s="9"/>
      <c r="B731" s="309" t="s">
        <v>32</v>
      </c>
      <c r="C731" s="443">
        <v>0</v>
      </c>
      <c r="D731" s="404">
        <v>0</v>
      </c>
      <c r="E731" s="404">
        <v>0</v>
      </c>
      <c r="F731" s="404">
        <v>0</v>
      </c>
      <c r="G731" s="404">
        <v>0</v>
      </c>
      <c r="H731" s="404">
        <v>0</v>
      </c>
      <c r="I731" s="404">
        <v>-1026671.8687821566</v>
      </c>
      <c r="J731" s="404">
        <v>-1137983.7519349856</v>
      </c>
      <c r="K731" s="404">
        <v>-1474049.9383363537</v>
      </c>
      <c r="L731" s="404">
        <v>-1379207.5266515277</v>
      </c>
      <c r="M731" s="404">
        <v>-1533890.8234647159</v>
      </c>
      <c r="N731" s="404">
        <v>-1689696.7406393392</v>
      </c>
      <c r="O731" s="404">
        <v>-1872133.3299882337</v>
      </c>
      <c r="P731" s="404">
        <v>-2099153.9458013382</v>
      </c>
      <c r="Q731" s="404">
        <v>-2336685.908390997</v>
      </c>
      <c r="R731" s="404">
        <v>-2588334.1702443063</v>
      </c>
      <c r="S731" s="404">
        <v>-2841987.7358969301</v>
      </c>
      <c r="T731" s="404">
        <v>-2792114.3969376683</v>
      </c>
      <c r="U731" s="404">
        <v>-2388804.8851132132</v>
      </c>
      <c r="V731" s="404">
        <v>-2476749.9396328554</v>
      </c>
      <c r="W731" s="327"/>
    </row>
    <row r="732" spans="1:23" ht="13.5" thickBot="1" x14ac:dyDescent="0.25">
      <c r="A732" s="9"/>
      <c r="B732" s="310" t="s">
        <v>33</v>
      </c>
      <c r="C732" s="444">
        <v>0</v>
      </c>
      <c r="D732" s="406">
        <v>0</v>
      </c>
      <c r="E732" s="406">
        <v>0</v>
      </c>
      <c r="F732" s="406">
        <v>-1727873.8827313152</v>
      </c>
      <c r="G732" s="406">
        <v>-1472256.8566197269</v>
      </c>
      <c r="H732" s="406">
        <v>-1528403.7573485379</v>
      </c>
      <c r="I732" s="406">
        <v>-1587381.873917866</v>
      </c>
      <c r="J732" s="406">
        <v>-1994098.3254894139</v>
      </c>
      <c r="K732" s="406">
        <v>-1741822.5392390615</v>
      </c>
      <c r="L732" s="406">
        <v>-1843596.087840714</v>
      </c>
      <c r="M732" s="406">
        <v>-1754252.2853932488</v>
      </c>
      <c r="N732" s="406">
        <v>-1804495.5166630899</v>
      </c>
      <c r="O732" s="406">
        <v>-1851287.6588635677</v>
      </c>
      <c r="P732" s="406">
        <v>-1653588.2924610332</v>
      </c>
      <c r="Q732" s="406">
        <v>-1712711.8102780741</v>
      </c>
      <c r="R732" s="406">
        <v>-1748105.6527260104</v>
      </c>
      <c r="S732" s="406">
        <v>-1856365.384354125</v>
      </c>
      <c r="T732" s="406">
        <v>-1745175.9972266471</v>
      </c>
      <c r="U732" s="406">
        <v>-1922096.7762578533</v>
      </c>
      <c r="V732" s="406">
        <v>-1046486.6554198841</v>
      </c>
      <c r="W732" s="327"/>
    </row>
    <row r="733" spans="1:23" ht="13.5" thickTop="1" x14ac:dyDescent="0.2">
      <c r="A733" s="9"/>
      <c r="B733" s="311" t="s">
        <v>38</v>
      </c>
      <c r="C733" s="445">
        <v>0</v>
      </c>
      <c r="D733" s="408">
        <v>67718567.169213429</v>
      </c>
      <c r="E733" s="408">
        <v>65837668.467165984</v>
      </c>
      <c r="F733" s="408">
        <v>63992645.879452869</v>
      </c>
      <c r="G733" s="408">
        <v>61827070.909261242</v>
      </c>
      <c r="H733" s="408">
        <v>61305925.594384</v>
      </c>
      <c r="I733" s="408">
        <v>65613770.434717</v>
      </c>
      <c r="J733" s="408">
        <v>71942473.58228679</v>
      </c>
      <c r="K733" s="408">
        <v>73972638.819393456</v>
      </c>
      <c r="L733" s="408">
        <v>75738509.021931395</v>
      </c>
      <c r="M733" s="408">
        <v>75709927.412521973</v>
      </c>
      <c r="N733" s="408">
        <v>77508523.653037414</v>
      </c>
      <c r="O733" s="408">
        <v>77740088.380951434</v>
      </c>
      <c r="P733" s="408">
        <v>78194214.987982616</v>
      </c>
      <c r="Q733" s="408">
        <v>81392000.377248719</v>
      </c>
      <c r="R733" s="408">
        <v>89697664.134507179</v>
      </c>
      <c r="S733" s="408">
        <v>87579261.87563926</v>
      </c>
      <c r="T733" s="408">
        <v>88444821.098331317</v>
      </c>
      <c r="U733" s="408">
        <v>94275524.137841672</v>
      </c>
      <c r="V733" s="408">
        <v>98344127.939057529</v>
      </c>
      <c r="W733" s="327"/>
    </row>
    <row r="734" spans="1:23" x14ac:dyDescent="0.2">
      <c r="A734" s="9"/>
      <c r="B734" s="309" t="s">
        <v>34</v>
      </c>
      <c r="C734" s="443">
        <v>0</v>
      </c>
      <c r="D734" s="404">
        <v>-4712996.9325145325</v>
      </c>
      <c r="E734" s="404">
        <v>-4807256.871164823</v>
      </c>
      <c r="F734" s="404">
        <v>-4972323.0085881194</v>
      </c>
      <c r="G734" s="404">
        <v>-5072114.0737598827</v>
      </c>
      <c r="H734" s="404">
        <v>-5173909.5753600802</v>
      </c>
      <c r="I734" s="404">
        <v>-5277749.8174954066</v>
      </c>
      <c r="J734" s="404">
        <v>-5383675.9157391423</v>
      </c>
      <c r="K734" s="404">
        <v>-5491729.8134950995</v>
      </c>
      <c r="L734" s="404">
        <v>-5601954.2986922041</v>
      </c>
      <c r="M734" s="404">
        <v>-5714393.0208164323</v>
      </c>
      <c r="N734" s="404">
        <v>-5829090.5082869036</v>
      </c>
      <c r="O734" s="404">
        <v>-5946092.1861831388</v>
      </c>
      <c r="P734" s="404">
        <v>-6065444.3943305602</v>
      </c>
      <c r="Q734" s="404">
        <v>-6187194.4057515245</v>
      </c>
      <c r="R734" s="404">
        <v>-6311390.445489266</v>
      </c>
      <c r="S734" s="404">
        <v>-6438081.709812331</v>
      </c>
      <c r="T734" s="404">
        <v>-6567318.3858071892</v>
      </c>
      <c r="U734" s="404">
        <v>-6699151.6713669095</v>
      </c>
      <c r="V734" s="404">
        <v>-6833633.795583914</v>
      </c>
      <c r="W734" s="327"/>
    </row>
    <row r="735" spans="1:23" x14ac:dyDescent="0.2">
      <c r="A735" s="9"/>
      <c r="B735" s="309" t="s">
        <v>35</v>
      </c>
      <c r="C735" s="443">
        <v>0</v>
      </c>
      <c r="D735" s="404">
        <v>-695592.31143923826</v>
      </c>
      <c r="E735" s="404">
        <v>-709213.75904706703</v>
      </c>
      <c r="F735" s="404">
        <v>-723133.51635750732</v>
      </c>
      <c r="G735" s="404">
        <v>-737367.86018316343</v>
      </c>
      <c r="H735" s="404">
        <v>-751940.98139187018</v>
      </c>
      <c r="I735" s="404">
        <v>-767475.72838574066</v>
      </c>
      <c r="J735" s="404">
        <v>-783396.23767347389</v>
      </c>
      <c r="K735" s="404">
        <v>-799092.57314886758</v>
      </c>
      <c r="L735" s="404">
        <v>-815819.43590521172</v>
      </c>
      <c r="M735" s="404">
        <v>-832313.61375836935</v>
      </c>
      <c r="N735" s="404">
        <v>-849206.9507155735</v>
      </c>
      <c r="O735" s="404">
        <v>-866525.99976409914</v>
      </c>
      <c r="P735" s="404">
        <v>-884284.95265845733</v>
      </c>
      <c r="Q735" s="404">
        <v>-902487.87937517441</v>
      </c>
      <c r="R735" s="404">
        <v>-921147.69955248106</v>
      </c>
      <c r="S735" s="404">
        <v>-940274.01523422042</v>
      </c>
      <c r="T735" s="404">
        <v>-959874.66354486695</v>
      </c>
      <c r="U735" s="404">
        <v>-979967.2881281107</v>
      </c>
      <c r="V735" s="404">
        <v>-1000564.2375883939</v>
      </c>
      <c r="W735" s="327"/>
    </row>
    <row r="736" spans="1:23" ht="13.5" thickBot="1" x14ac:dyDescent="0.25">
      <c r="A736" s="9"/>
      <c r="B736" s="310" t="s">
        <v>36</v>
      </c>
      <c r="C736" s="444">
        <v>0</v>
      </c>
      <c r="D736" s="406">
        <v>-657011.69461646595</v>
      </c>
      <c r="E736" s="406">
        <v>-670874.64137287706</v>
      </c>
      <c r="F736" s="406">
        <v>-685566.79601894401</v>
      </c>
      <c r="G736" s="406">
        <v>-701060.60560896702</v>
      </c>
      <c r="H736" s="406">
        <v>-717745.84802246199</v>
      </c>
      <c r="I736" s="406">
        <v>-735732.63113018498</v>
      </c>
      <c r="J736" s="406">
        <v>-753980.85003889306</v>
      </c>
      <c r="K736" s="406">
        <v>-773065.66351075401</v>
      </c>
      <c r="L736" s="406">
        <v>-792160.38539946999</v>
      </c>
      <c r="M736" s="406">
        <v>-812360.47522715398</v>
      </c>
      <c r="N736" s="406">
        <v>-832019.59872765501</v>
      </c>
      <c r="O736" s="406">
        <v>-852986.49261558906</v>
      </c>
      <c r="P736" s="406">
        <v>-874652.34952802304</v>
      </c>
      <c r="Q736" s="406">
        <v>-896518.65826622397</v>
      </c>
      <c r="R736" s="406">
        <v>-919021.27658870595</v>
      </c>
      <c r="S736" s="406">
        <v>-941996.80850342498</v>
      </c>
      <c r="T736" s="406">
        <v>-965358.32935430901</v>
      </c>
      <c r="U736" s="406">
        <v>-989588.823421104</v>
      </c>
      <c r="V736" s="406">
        <v>-1014427.50288897</v>
      </c>
      <c r="W736" s="327"/>
    </row>
    <row r="737" spans="1:23" ht="13.5" thickTop="1" x14ac:dyDescent="0.2">
      <c r="A737" s="9"/>
      <c r="B737" s="311" t="s">
        <v>220</v>
      </c>
      <c r="C737" s="446">
        <v>0</v>
      </c>
      <c r="D737" s="410">
        <v>61652966.23064319</v>
      </c>
      <c r="E737" s="410">
        <v>59650323.19558122</v>
      </c>
      <c r="F737" s="410">
        <v>57611622.558488302</v>
      </c>
      <c r="G737" s="410">
        <v>55316528.369709224</v>
      </c>
      <c r="H737" s="410">
        <v>54662329.189609587</v>
      </c>
      <c r="I737" s="410">
        <v>58832812.257705674</v>
      </c>
      <c r="J737" s="410">
        <v>65021420.578835279</v>
      </c>
      <c r="K737" s="410">
        <v>66908750.76923874</v>
      </c>
      <c r="L737" s="410">
        <v>68528574.90193449</v>
      </c>
      <c r="M737" s="410">
        <v>68350860.302720025</v>
      </c>
      <c r="N737" s="410">
        <v>69998206.595307276</v>
      </c>
      <c r="O737" s="410">
        <v>70074483.7023886</v>
      </c>
      <c r="P737" s="410">
        <v>70369833.291465566</v>
      </c>
      <c r="Q737" s="410">
        <v>73405799.433855802</v>
      </c>
      <c r="R737" s="410">
        <v>81546104.712876722</v>
      </c>
      <c r="S737" s="410">
        <v>79258909.342089295</v>
      </c>
      <c r="T737" s="410">
        <v>79952269.719624951</v>
      </c>
      <c r="U737" s="410">
        <v>85606816.354925543</v>
      </c>
      <c r="V737" s="410">
        <v>89495502.402996257</v>
      </c>
      <c r="W737" s="327"/>
    </row>
    <row r="738" spans="1:23" x14ac:dyDescent="0.2">
      <c r="A738" s="9"/>
      <c r="B738" s="309" t="s">
        <v>37</v>
      </c>
      <c r="C738" s="443">
        <v>0</v>
      </c>
      <c r="D738" s="404">
        <v>-4804319.869399</v>
      </c>
      <c r="E738" s="404">
        <v>-6492054.9141273992</v>
      </c>
      <c r="F738" s="404">
        <v>-6517620.5654608998</v>
      </c>
      <c r="G738" s="404">
        <v>-6660545.6649592994</v>
      </c>
      <c r="H738" s="404">
        <v>-5999973.8414612003</v>
      </c>
      <c r="I738" s="404">
        <v>-4459776.1983774994</v>
      </c>
      <c r="J738" s="404">
        <v>-3772298.7757747001</v>
      </c>
      <c r="K738" s="404">
        <v>-3952014.4475989994</v>
      </c>
      <c r="L738" s="404">
        <v>-4201247.2218108997</v>
      </c>
      <c r="M738" s="404">
        <v>-4335295.9199423194</v>
      </c>
      <c r="N738" s="404">
        <v>-4471702.103696702</v>
      </c>
      <c r="O738" s="404">
        <v>-4748077.2956081927</v>
      </c>
      <c r="P738" s="404">
        <v>-5033130.1301406845</v>
      </c>
      <c r="Q738" s="404">
        <v>-5163274.2697091503</v>
      </c>
      <c r="R738" s="404">
        <v>-5302056.873464671</v>
      </c>
      <c r="S738" s="404">
        <v>-5613727.8003328582</v>
      </c>
      <c r="T738" s="404">
        <v>-5934646.34000709</v>
      </c>
      <c r="U738" s="404">
        <v>-6141507.9508715486</v>
      </c>
      <c r="V738" s="404">
        <v>-6347865.0050619412</v>
      </c>
      <c r="W738" s="327"/>
    </row>
    <row r="739" spans="1:23" ht="13.5" thickBot="1" x14ac:dyDescent="0.25">
      <c r="A739" s="9"/>
      <c r="B739" s="310" t="s">
        <v>221</v>
      </c>
      <c r="C739" s="444">
        <v>0</v>
      </c>
      <c r="D739" s="406">
        <v>-22739458.544497676</v>
      </c>
      <c r="E739" s="406">
        <v>-21263307.312581528</v>
      </c>
      <c r="F739" s="406">
        <v>-20437600.797210962</v>
      </c>
      <c r="G739" s="406">
        <v>-19462393.081899971</v>
      </c>
      <c r="H739" s="406">
        <v>-19464942.139259357</v>
      </c>
      <c r="I739" s="406">
        <v>-21749214.423731271</v>
      </c>
      <c r="J739" s="406">
        <v>-24499648.721224234</v>
      </c>
      <c r="K739" s="406">
        <v>-25182694.528655898</v>
      </c>
      <c r="L739" s="406">
        <v>-25730931.072049439</v>
      </c>
      <c r="M739" s="406">
        <v>-25606225.753111083</v>
      </c>
      <c r="N739" s="406">
        <v>-26210601.796644229</v>
      </c>
      <c r="O739" s="406">
        <v>-26130562.562712163</v>
      </c>
      <c r="P739" s="406">
        <v>-26134681.264529955</v>
      </c>
      <c r="Q739" s="406">
        <v>-27297010.065658659</v>
      </c>
      <c r="R739" s="406">
        <v>-30497619.135764822</v>
      </c>
      <c r="S739" s="406">
        <v>-29458072.616702575</v>
      </c>
      <c r="T739" s="406">
        <v>-29607049.351847142</v>
      </c>
      <c r="U739" s="406">
        <v>-31786123.361621603</v>
      </c>
      <c r="V739" s="406">
        <v>-33259054.959173728</v>
      </c>
      <c r="W739" s="327"/>
    </row>
    <row r="740" spans="1:23" ht="13.5" thickTop="1" x14ac:dyDescent="0.2">
      <c r="A740" s="9"/>
      <c r="B740" s="311" t="s">
        <v>183</v>
      </c>
      <c r="C740" s="446">
        <v>0</v>
      </c>
      <c r="D740" s="410">
        <v>34109187.816746511</v>
      </c>
      <c r="E740" s="410">
        <v>31894960.96887229</v>
      </c>
      <c r="F740" s="410">
        <v>30656401.195816442</v>
      </c>
      <c r="G740" s="410">
        <v>29193589.622849956</v>
      </c>
      <c r="H740" s="410">
        <v>29197413.208889034</v>
      </c>
      <c r="I740" s="410">
        <v>32623821.635596905</v>
      </c>
      <c r="J740" s="410">
        <v>36749473.081836343</v>
      </c>
      <c r="K740" s="410">
        <v>37774041.792983845</v>
      </c>
      <c r="L740" s="410">
        <v>38596396.608074151</v>
      </c>
      <c r="M740" s="410">
        <v>38409338.629666626</v>
      </c>
      <c r="N740" s="410">
        <v>39315902.694966346</v>
      </c>
      <c r="O740" s="410">
        <v>39195843.844068244</v>
      </c>
      <c r="P740" s="410">
        <v>39202021.89679493</v>
      </c>
      <c r="Q740" s="410">
        <v>40945515.098487988</v>
      </c>
      <c r="R740" s="410">
        <v>45746428.703647226</v>
      </c>
      <c r="S740" s="410">
        <v>44187108.925053865</v>
      </c>
      <c r="T740" s="410">
        <v>44410574.027770713</v>
      </c>
      <c r="U740" s="410">
        <v>47679185.042432398</v>
      </c>
      <c r="V740" s="410">
        <v>49888582.438760594</v>
      </c>
      <c r="W740" s="327"/>
    </row>
    <row r="741" spans="1:23" x14ac:dyDescent="0.2">
      <c r="A741" s="9"/>
      <c r="B741" s="309" t="s">
        <v>37</v>
      </c>
      <c r="C741" s="443">
        <v>0</v>
      </c>
      <c r="D741" s="404">
        <v>4804319.869399</v>
      </c>
      <c r="E741" s="404">
        <v>6492054.9141273992</v>
      </c>
      <c r="F741" s="404">
        <v>6517620.5654608998</v>
      </c>
      <c r="G741" s="404">
        <v>6660545.6649592994</v>
      </c>
      <c r="H741" s="404">
        <v>5999973.8414612003</v>
      </c>
      <c r="I741" s="404">
        <v>4459776.1983774994</v>
      </c>
      <c r="J741" s="404">
        <v>3772298.7757747001</v>
      </c>
      <c r="K741" s="404">
        <v>3952014.4475989994</v>
      </c>
      <c r="L741" s="404">
        <v>4201247.2218108997</v>
      </c>
      <c r="M741" s="404">
        <v>4335295.9199423194</v>
      </c>
      <c r="N741" s="404">
        <v>4471702.103696702</v>
      </c>
      <c r="O741" s="404">
        <v>4748077.2956081927</v>
      </c>
      <c r="P741" s="404">
        <v>5033130.1301406845</v>
      </c>
      <c r="Q741" s="404">
        <v>5163274.2697091503</v>
      </c>
      <c r="R741" s="404">
        <v>5302056.873464671</v>
      </c>
      <c r="S741" s="404">
        <v>5613727.8003328582</v>
      </c>
      <c r="T741" s="404">
        <v>5934646.34000709</v>
      </c>
      <c r="U741" s="404">
        <v>6141507.9508715486</v>
      </c>
      <c r="V741" s="404">
        <v>6347865.0050619412</v>
      </c>
      <c r="W741" s="327"/>
    </row>
    <row r="742" spans="1:23" x14ac:dyDescent="0.2">
      <c r="A742" s="9"/>
      <c r="B742" s="309" t="s">
        <v>39</v>
      </c>
      <c r="C742" s="443">
        <v>0</v>
      </c>
      <c r="D742" s="404">
        <v>-17423162.359999992</v>
      </c>
      <c r="E742" s="404">
        <v>-2384312.89</v>
      </c>
      <c r="F742" s="404">
        <v>-3137634.37</v>
      </c>
      <c r="G742" s="404">
        <v>-5659421.9600000009</v>
      </c>
      <c r="H742" s="404">
        <v>-4800000</v>
      </c>
      <c r="I742" s="404">
        <v>-4944000</v>
      </c>
      <c r="J742" s="404">
        <v>-5092320</v>
      </c>
      <c r="K742" s="404">
        <v>-5245089.5999999996</v>
      </c>
      <c r="L742" s="404">
        <v>-5402442.2880000006</v>
      </c>
      <c r="M742" s="404">
        <v>-5564515.556640001</v>
      </c>
      <c r="N742" s="404">
        <v>-5731451.0233392008</v>
      </c>
      <c r="O742" s="404">
        <v>-5903394.5540393768</v>
      </c>
      <c r="P742" s="404">
        <v>-6080496.3906605579</v>
      </c>
      <c r="Q742" s="404">
        <v>-6262911.2823803751</v>
      </c>
      <c r="R742" s="404">
        <v>-6450798.6208517868</v>
      </c>
      <c r="S742" s="404">
        <v>-6644322.5794773409</v>
      </c>
      <c r="T742" s="404">
        <v>-6843652.2568616616</v>
      </c>
      <c r="U742" s="404">
        <v>-7048961.8245675117</v>
      </c>
      <c r="V742" s="404">
        <v>-7260430.6793045374</v>
      </c>
      <c r="W742" s="327"/>
    </row>
    <row r="743" spans="1:23" ht="13.5" thickBot="1" x14ac:dyDescent="0.25">
      <c r="A743" s="9"/>
      <c r="B743" s="310" t="s">
        <v>40</v>
      </c>
      <c r="C743" s="444">
        <v>0</v>
      </c>
      <c r="D743" s="406">
        <v>-14239251.33</v>
      </c>
      <c r="E743" s="406">
        <v>-71334.62</v>
      </c>
      <c r="F743" s="406">
        <v>0</v>
      </c>
      <c r="G743" s="406">
        <v>0</v>
      </c>
      <c r="H743" s="406">
        <v>0</v>
      </c>
      <c r="I743" s="406">
        <v>0</v>
      </c>
      <c r="J743" s="406">
        <v>0</v>
      </c>
      <c r="K743" s="406">
        <v>0</v>
      </c>
      <c r="L743" s="406">
        <v>0</v>
      </c>
      <c r="M743" s="406">
        <v>0</v>
      </c>
      <c r="N743" s="406">
        <v>0</v>
      </c>
      <c r="O743" s="406">
        <v>0</v>
      </c>
      <c r="P743" s="406">
        <v>0</v>
      </c>
      <c r="Q743" s="406">
        <v>0</v>
      </c>
      <c r="R743" s="406">
        <v>0</v>
      </c>
      <c r="S743" s="406">
        <v>0</v>
      </c>
      <c r="T743" s="406">
        <v>0</v>
      </c>
      <c r="U743" s="406">
        <v>0</v>
      </c>
      <c r="V743" s="406">
        <v>0</v>
      </c>
      <c r="W743" s="327"/>
    </row>
    <row r="744" spans="1:23" ht="13.5" thickTop="1" x14ac:dyDescent="0.2">
      <c r="A744" s="9"/>
      <c r="B744" s="309"/>
      <c r="C744" s="447"/>
      <c r="D744" s="327"/>
      <c r="E744" s="327"/>
      <c r="F744" s="327"/>
      <c r="G744" s="327"/>
      <c r="H744" s="327"/>
      <c r="I744" s="327"/>
      <c r="J744" s="327"/>
      <c r="K744" s="327"/>
      <c r="L744" s="327"/>
      <c r="M744" s="327"/>
      <c r="N744" s="327"/>
      <c r="O744" s="327"/>
      <c r="P744" s="327"/>
      <c r="Q744" s="327"/>
      <c r="R744" s="327"/>
      <c r="S744" s="327"/>
      <c r="T744" s="327"/>
      <c r="U744" s="327"/>
      <c r="V744" s="327"/>
      <c r="W744" s="327"/>
    </row>
    <row r="745" spans="1:23" x14ac:dyDescent="0.2">
      <c r="A745" s="9"/>
      <c r="B745" s="311" t="s">
        <v>233</v>
      </c>
      <c r="C745" s="446">
        <v>0</v>
      </c>
      <c r="D745" s="410">
        <v>7251093.9961455222</v>
      </c>
      <c r="E745" s="410">
        <v>35931368.37299969</v>
      </c>
      <c r="F745" s="410">
        <v>34036387.391277343</v>
      </c>
      <c r="G745" s="410">
        <v>30194713.327809252</v>
      </c>
      <c r="H745" s="410">
        <v>30397387.050350234</v>
      </c>
      <c r="I745" s="410">
        <v>32139597.833974406</v>
      </c>
      <c r="J745" s="410">
        <v>35429451.857611045</v>
      </c>
      <c r="K745" s="410">
        <v>36480966.640582845</v>
      </c>
      <c r="L745" s="410">
        <v>37395201.541885048</v>
      </c>
      <c r="M745" s="410">
        <v>37180118.992968947</v>
      </c>
      <c r="N745" s="410">
        <v>38056153.775323853</v>
      </c>
      <c r="O745" s="410">
        <v>38040526.585637063</v>
      </c>
      <c r="P745" s="410">
        <v>38154655.636275053</v>
      </c>
      <c r="Q745" s="410">
        <v>39845878.085816763</v>
      </c>
      <c r="R745" s="410">
        <v>44597686.956260115</v>
      </c>
      <c r="S745" s="410">
        <v>43156514.145909384</v>
      </c>
      <c r="T745" s="410">
        <v>43501568.110916138</v>
      </c>
      <c r="U745" s="410">
        <v>46771731.168736435</v>
      </c>
      <c r="V745" s="410">
        <v>48976016.764517993</v>
      </c>
      <c r="W745" s="408">
        <v>257015475.32225129</v>
      </c>
    </row>
    <row r="746" spans="1:23" x14ac:dyDescent="0.2">
      <c r="A746" s="9"/>
      <c r="B746" s="286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">
      <c r="A747" s="302" t="s">
        <v>218</v>
      </c>
      <c r="B747" s="300" t="s">
        <v>170</v>
      </c>
      <c r="C747" s="433">
        <v>101357072.28058515</v>
      </c>
      <c r="D747" s="9"/>
      <c r="E747" s="137" t="s">
        <v>219</v>
      </c>
      <c r="F747" s="313" t="s">
        <v>170</v>
      </c>
      <c r="G747" s="437">
        <v>101357072.28058515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">
      <c r="A748" s="9"/>
      <c r="B748" s="300" t="s">
        <v>180</v>
      </c>
      <c r="C748" s="433">
        <v>175634597.9168494</v>
      </c>
      <c r="D748" s="9"/>
      <c r="E748" s="315"/>
      <c r="F748" s="313" t="s">
        <v>180</v>
      </c>
      <c r="G748" s="437">
        <v>175634597.9168494</v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3.5" thickBot="1" x14ac:dyDescent="0.25">
      <c r="A749" s="9"/>
      <c r="B749" s="316" t="s">
        <v>137</v>
      </c>
      <c r="C749" s="434">
        <v>38203712.710249148</v>
      </c>
      <c r="D749" s="317"/>
      <c r="E749" s="315"/>
      <c r="F749" s="313" t="s">
        <v>137</v>
      </c>
      <c r="G749" s="437">
        <v>38203712.710249148</v>
      </c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4.25" thickTop="1" thickBot="1" x14ac:dyDescent="0.25">
      <c r="A750" s="9"/>
      <c r="B750" s="300" t="s">
        <v>28</v>
      </c>
      <c r="C750" s="432">
        <v>315195382.90768361</v>
      </c>
      <c r="D750" s="299"/>
      <c r="E750" s="315"/>
      <c r="F750" s="318" t="s">
        <v>203</v>
      </c>
      <c r="G750" s="319">
        <v>0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3.5" thickTop="1" x14ac:dyDescent="0.2">
      <c r="A751" s="9"/>
      <c r="B751" s="286"/>
      <c r="C751" s="320"/>
      <c r="D751" s="9"/>
      <c r="E751" s="321"/>
      <c r="F751" s="313" t="s">
        <v>28</v>
      </c>
      <c r="G751" s="362">
        <v>315195382.90768361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">
      <c r="A752" s="9"/>
      <c r="B752" s="286"/>
      <c r="C752" s="320"/>
      <c r="D752" s="9"/>
      <c r="E752" s="321"/>
      <c r="F752" s="313"/>
      <c r="G752" s="32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">
      <c r="A753" s="9"/>
      <c r="B753" s="286"/>
      <c r="C753" s="320"/>
      <c r="D753" s="9"/>
      <c r="E753" s="321"/>
      <c r="F753" s="313"/>
      <c r="G753" s="32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">
      <c r="A754" s="9"/>
      <c r="B754" s="323" t="s">
        <v>222</v>
      </c>
      <c r="C754" s="320"/>
      <c r="D754" s="9"/>
      <c r="E754" s="321"/>
      <c r="F754" s="313"/>
      <c r="G754" s="32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">
      <c r="A755" s="324" t="s">
        <v>224</v>
      </c>
      <c r="B755" s="323" t="s">
        <v>223</v>
      </c>
      <c r="C755" s="325"/>
      <c r="D755" s="326">
        <v>34109187.816746511</v>
      </c>
      <c r="E755" s="326">
        <v>31894960.96887229</v>
      </c>
      <c r="F755" s="326">
        <v>30656401.195816442</v>
      </c>
      <c r="G755" s="326">
        <v>29193589.622849956</v>
      </c>
      <c r="H755" s="326">
        <v>29197413.208889034</v>
      </c>
      <c r="I755" s="326">
        <v>32623821.635596905</v>
      </c>
      <c r="J755" s="326">
        <v>36749473.081836343</v>
      </c>
      <c r="K755" s="326">
        <v>37774041.792983845</v>
      </c>
      <c r="L755" s="326">
        <v>38596396.608074151</v>
      </c>
      <c r="M755" s="326">
        <v>38409338.629666626</v>
      </c>
      <c r="N755" s="326">
        <v>39315902.694966346</v>
      </c>
      <c r="O755" s="326">
        <v>39195843.844068244</v>
      </c>
      <c r="P755" s="326">
        <v>39202021.89679493</v>
      </c>
      <c r="Q755" s="326">
        <v>40945515.098487988</v>
      </c>
      <c r="R755" s="326">
        <v>45746428.703647226</v>
      </c>
      <c r="S755" s="326">
        <v>44187108.925053865</v>
      </c>
      <c r="T755" s="326">
        <v>44410574.027770713</v>
      </c>
      <c r="U755" s="326">
        <v>47679185.042432398</v>
      </c>
      <c r="V755" s="326">
        <v>49888582.438760594</v>
      </c>
      <c r="W755" s="9"/>
    </row>
    <row r="756" spans="1:23" x14ac:dyDescent="0.2">
      <c r="A756" s="9"/>
      <c r="B756" s="286" t="s">
        <v>225</v>
      </c>
      <c r="C756" s="320"/>
      <c r="D756" s="327">
        <v>22739458.544497676</v>
      </c>
      <c r="E756" s="327">
        <v>21263307.312581528</v>
      </c>
      <c r="F756" s="327">
        <v>20437600.797210962</v>
      </c>
      <c r="G756" s="327">
        <v>19462393.081899971</v>
      </c>
      <c r="H756" s="327">
        <v>19464942.139259357</v>
      </c>
      <c r="I756" s="327">
        <v>21749214.423731271</v>
      </c>
      <c r="J756" s="327">
        <v>24499648.721224234</v>
      </c>
      <c r="K756" s="327">
        <v>25182694.528655898</v>
      </c>
      <c r="L756" s="327">
        <v>25730931.072049439</v>
      </c>
      <c r="M756" s="327">
        <v>25606225.753111083</v>
      </c>
      <c r="N756" s="327">
        <v>26210601.796644229</v>
      </c>
      <c r="O756" s="327">
        <v>26130562.562712163</v>
      </c>
      <c r="P756" s="327">
        <v>26134681.264529955</v>
      </c>
      <c r="Q756" s="327">
        <v>27297010.065658659</v>
      </c>
      <c r="R756" s="327">
        <v>30497619.135764822</v>
      </c>
      <c r="S756" s="327">
        <v>29458072.616702575</v>
      </c>
      <c r="T756" s="327">
        <v>29607049.351847142</v>
      </c>
      <c r="U756" s="327">
        <v>31786123.361621603</v>
      </c>
      <c r="V756" s="327">
        <v>33259054.959173728</v>
      </c>
      <c r="W756" s="9"/>
    </row>
    <row r="757" spans="1:23" x14ac:dyDescent="0.2">
      <c r="A757" s="9"/>
      <c r="B757" s="328" t="s">
        <v>226</v>
      </c>
      <c r="C757" s="329"/>
      <c r="D757" s="327">
        <v>4804319.869399</v>
      </c>
      <c r="E757" s="327">
        <v>6492054.9141273992</v>
      </c>
      <c r="F757" s="327">
        <v>6517620.5654608998</v>
      </c>
      <c r="G757" s="327">
        <v>6660545.6649592994</v>
      </c>
      <c r="H757" s="327">
        <v>5999973.8414612003</v>
      </c>
      <c r="I757" s="327">
        <v>4459776.1983774994</v>
      </c>
      <c r="J757" s="327">
        <v>3772298.7757747001</v>
      </c>
      <c r="K757" s="327">
        <v>3952014.4475989994</v>
      </c>
      <c r="L757" s="327">
        <v>4201247.2218108997</v>
      </c>
      <c r="M757" s="327">
        <v>4335295.9199423194</v>
      </c>
      <c r="N757" s="327">
        <v>4471702.103696702</v>
      </c>
      <c r="O757" s="327">
        <v>4748077.2956081927</v>
      </c>
      <c r="P757" s="327">
        <v>5033130.1301406845</v>
      </c>
      <c r="Q757" s="327">
        <v>5163274.2697091503</v>
      </c>
      <c r="R757" s="327">
        <v>5302056.873464671</v>
      </c>
      <c r="S757" s="327">
        <v>5613727.8003328582</v>
      </c>
      <c r="T757" s="327">
        <v>5934646.34000709</v>
      </c>
      <c r="U757" s="327">
        <v>6141507.9508715486</v>
      </c>
      <c r="V757" s="327">
        <v>6347865.0050619412</v>
      </c>
      <c r="W757" s="9"/>
    </row>
    <row r="758" spans="1:23" ht="13.5" thickBot="1" x14ac:dyDescent="0.25">
      <c r="A758" s="9"/>
      <c r="B758" s="330" t="s">
        <v>227</v>
      </c>
      <c r="C758" s="331"/>
      <c r="D758" s="332">
        <v>61652966.230643183</v>
      </c>
      <c r="E758" s="332">
        <v>59650323.19558122</v>
      </c>
      <c r="F758" s="332">
        <v>57611622.558488302</v>
      </c>
      <c r="G758" s="332">
        <v>55316528.369709224</v>
      </c>
      <c r="H758" s="332">
        <v>54662329.189609587</v>
      </c>
      <c r="I758" s="332">
        <v>58832812.257705674</v>
      </c>
      <c r="J758" s="332">
        <v>65021420.578835279</v>
      </c>
      <c r="K758" s="332">
        <v>66908750.769238748</v>
      </c>
      <c r="L758" s="332">
        <v>68528574.90193449</v>
      </c>
      <c r="M758" s="332">
        <v>68350860.302720025</v>
      </c>
      <c r="N758" s="332">
        <v>69998206.595307276</v>
      </c>
      <c r="O758" s="332">
        <v>70074483.7023886</v>
      </c>
      <c r="P758" s="332">
        <v>70369833.29146558</v>
      </c>
      <c r="Q758" s="332">
        <v>73405799.433855802</v>
      </c>
      <c r="R758" s="332">
        <v>81546104.712876722</v>
      </c>
      <c r="S758" s="332">
        <v>79258909.342089295</v>
      </c>
      <c r="T758" s="332">
        <v>79952269.719624951</v>
      </c>
      <c r="U758" s="332">
        <v>85606816.354925543</v>
      </c>
      <c r="V758" s="332">
        <v>89495502.402996257</v>
      </c>
      <c r="W758" s="9"/>
    </row>
    <row r="759" spans="1:23" ht="13.5" thickTop="1" x14ac:dyDescent="0.2">
      <c r="A759" s="324" t="s">
        <v>228</v>
      </c>
      <c r="B759" s="286" t="s">
        <v>229</v>
      </c>
      <c r="C759" s="320"/>
      <c r="D759" s="327">
        <v>-5815249.228536183</v>
      </c>
      <c r="E759" s="327">
        <v>-5930669.8947363319</v>
      </c>
      <c r="F759" s="327">
        <v>-6060928.2193227336</v>
      </c>
      <c r="G759" s="327">
        <v>-6343528.6341986647</v>
      </c>
      <c r="H759" s="327">
        <v>-6583149.8812725097</v>
      </c>
      <c r="I759" s="327">
        <v>-6830349.8812725097</v>
      </c>
      <c r="J759" s="327">
        <v>-6536554.8287081309</v>
      </c>
      <c r="K759" s="327">
        <v>-6384943.98246851</v>
      </c>
      <c r="L759" s="327">
        <v>-6458191.1124037299</v>
      </c>
      <c r="M759" s="327">
        <v>-6719326.3977905288</v>
      </c>
      <c r="N759" s="327">
        <v>-7005898.9489574889</v>
      </c>
      <c r="O759" s="327">
        <v>-7301068.6766594583</v>
      </c>
      <c r="P759" s="327">
        <v>-7133709.0620575659</v>
      </c>
      <c r="Q759" s="327">
        <v>-6802797.8243038431</v>
      </c>
      <c r="R759" s="327">
        <v>-6146361.4250633894</v>
      </c>
      <c r="S759" s="327">
        <v>-6416961.4825326847</v>
      </c>
      <c r="T759" s="327">
        <v>-6754938.7648799177</v>
      </c>
      <c r="U759" s="327">
        <v>-7107386.8561082929</v>
      </c>
      <c r="V759" s="327">
        <v>-7466811.7780284043</v>
      </c>
      <c r="W759" s="9"/>
    </row>
    <row r="760" spans="1:23" x14ac:dyDescent="0.2">
      <c r="A760" s="9"/>
      <c r="B760" s="286" t="s">
        <v>230</v>
      </c>
      <c r="C760" s="320"/>
      <c r="D760" s="327">
        <v>0</v>
      </c>
      <c r="E760" s="327">
        <v>0</v>
      </c>
      <c r="F760" s="327">
        <v>0</v>
      </c>
      <c r="G760" s="327">
        <v>0</v>
      </c>
      <c r="H760" s="327">
        <v>0</v>
      </c>
      <c r="I760" s="327">
        <v>0</v>
      </c>
      <c r="J760" s="327">
        <v>0</v>
      </c>
      <c r="K760" s="327">
        <v>0</v>
      </c>
      <c r="L760" s="327">
        <v>0</v>
      </c>
      <c r="M760" s="327">
        <v>0</v>
      </c>
      <c r="N760" s="327">
        <v>0</v>
      </c>
      <c r="O760" s="327">
        <v>0</v>
      </c>
      <c r="P760" s="327">
        <v>0</v>
      </c>
      <c r="Q760" s="327">
        <v>0</v>
      </c>
      <c r="R760" s="327">
        <v>0</v>
      </c>
      <c r="S760" s="327">
        <v>0</v>
      </c>
      <c r="T760" s="327">
        <v>0</v>
      </c>
      <c r="U760" s="327">
        <v>0</v>
      </c>
      <c r="V760" s="327">
        <v>0</v>
      </c>
      <c r="W760" s="9"/>
    </row>
    <row r="761" spans="1:23" x14ac:dyDescent="0.2">
      <c r="A761" s="9"/>
      <c r="B761" s="323" t="s">
        <v>231</v>
      </c>
      <c r="C761" s="325"/>
      <c r="D761" s="326">
        <v>55837717.002107002</v>
      </c>
      <c r="E761" s="326">
        <v>53719653.300844885</v>
      </c>
      <c r="F761" s="326">
        <v>51550694.339165568</v>
      </c>
      <c r="G761" s="326">
        <v>48972999.735510558</v>
      </c>
      <c r="H761" s="326">
        <v>48079179.308337077</v>
      </c>
      <c r="I761" s="326">
        <v>52002462.376433164</v>
      </c>
      <c r="J761" s="326">
        <v>58484865.750127152</v>
      </c>
      <c r="K761" s="326">
        <v>60523806.786770239</v>
      </c>
      <c r="L761" s="326">
        <v>62070383.789530762</v>
      </c>
      <c r="M761" s="326">
        <v>61631533.904929496</v>
      </c>
      <c r="N761" s="326">
        <v>62992307.646349788</v>
      </c>
      <c r="O761" s="326">
        <v>62773415.025729142</v>
      </c>
      <c r="P761" s="326">
        <v>63236124.229408011</v>
      </c>
      <c r="Q761" s="326">
        <v>66603001.609551959</v>
      </c>
      <c r="R761" s="326">
        <v>75399743.287813336</v>
      </c>
      <c r="S761" s="326">
        <v>72841947.859556615</v>
      </c>
      <c r="T761" s="326">
        <v>73197330.954745039</v>
      </c>
      <c r="U761" s="326">
        <v>78499429.49881725</v>
      </c>
      <c r="V761" s="326">
        <v>82028690.624967858</v>
      </c>
      <c r="W761" s="9"/>
    </row>
    <row r="762" spans="1:23" ht="13.5" thickBot="1" x14ac:dyDescent="0.25">
      <c r="A762" s="9"/>
      <c r="B762" s="333" t="s">
        <v>237</v>
      </c>
      <c r="C762" s="334"/>
      <c r="D762" s="335">
        <v>-22335086.800842803</v>
      </c>
      <c r="E762" s="335">
        <v>-21487861.320337955</v>
      </c>
      <c r="F762" s="335">
        <v>-20620277.73566623</v>
      </c>
      <c r="G762" s="335">
        <v>-19589199.894204225</v>
      </c>
      <c r="H762" s="335">
        <v>-19231671.72333483</v>
      </c>
      <c r="I762" s="335">
        <v>-20800984.950573266</v>
      </c>
      <c r="J762" s="335">
        <v>-23393946.300050862</v>
      </c>
      <c r="K762" s="335">
        <v>-24209522.714708097</v>
      </c>
      <c r="L762" s="335">
        <v>-24828153.515812308</v>
      </c>
      <c r="M762" s="335">
        <v>-24652613.561971799</v>
      </c>
      <c r="N762" s="335">
        <v>-25196923.058539916</v>
      </c>
      <c r="O762" s="335">
        <v>-25109366.010291658</v>
      </c>
      <c r="P762" s="335">
        <v>-25294449.691763207</v>
      </c>
      <c r="Q762" s="335">
        <v>-26641200.643820785</v>
      </c>
      <c r="R762" s="335">
        <v>-30159897.315125335</v>
      </c>
      <c r="S762" s="335">
        <v>-29136779.143822648</v>
      </c>
      <c r="T762" s="335">
        <v>-29278932.381898016</v>
      </c>
      <c r="U762" s="335">
        <v>-31399771.7995269</v>
      </c>
      <c r="V762" s="335">
        <v>-32811476.249987144</v>
      </c>
      <c r="W762" s="9"/>
    </row>
    <row r="763" spans="1:23" ht="13.5" thickTop="1" x14ac:dyDescent="0.2">
      <c r="A763" s="9"/>
      <c r="B763" s="323" t="s">
        <v>232</v>
      </c>
      <c r="C763" s="325"/>
      <c r="D763" s="326">
        <v>33502630.201264199</v>
      </c>
      <c r="E763" s="326">
        <v>32231791.980506931</v>
      </c>
      <c r="F763" s="326">
        <v>30930416.603499338</v>
      </c>
      <c r="G763" s="326">
        <v>29383799.841306332</v>
      </c>
      <c r="H763" s="326">
        <v>28847507.585002247</v>
      </c>
      <c r="I763" s="326">
        <v>31201477.425859898</v>
      </c>
      <c r="J763" s="326">
        <v>35090919.450076289</v>
      </c>
      <c r="K763" s="326">
        <v>36314284.072062142</v>
      </c>
      <c r="L763" s="326">
        <v>37242230.273718454</v>
      </c>
      <c r="M763" s="326">
        <v>36978920.342957698</v>
      </c>
      <c r="N763" s="326">
        <v>37795384.587809876</v>
      </c>
      <c r="O763" s="326">
        <v>37664049.015437484</v>
      </c>
      <c r="P763" s="326">
        <v>37941674.537644804</v>
      </c>
      <c r="Q763" s="326">
        <v>39961800.965731174</v>
      </c>
      <c r="R763" s="326">
        <v>45239845.972688004</v>
      </c>
      <c r="S763" s="326">
        <v>43705168.715733968</v>
      </c>
      <c r="T763" s="326">
        <v>43918398.572847024</v>
      </c>
      <c r="U763" s="326">
        <v>47099657.69929035</v>
      </c>
      <c r="V763" s="326">
        <v>49217214.374980718</v>
      </c>
      <c r="W763" s="9"/>
    </row>
    <row r="764" spans="1:23" x14ac:dyDescent="0.2">
      <c r="A764" s="9"/>
      <c r="B764" s="9"/>
      <c r="C764" s="320"/>
      <c r="D764" s="9"/>
      <c r="E764" s="321"/>
      <c r="F764" s="313"/>
      <c r="G764" s="322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5.75" x14ac:dyDescent="0.25">
      <c r="A765" s="336" t="s">
        <v>205</v>
      </c>
      <c r="B765" s="33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">
      <c r="A766" s="284" t="s">
        <v>190</v>
      </c>
      <c r="B766" s="303"/>
      <c r="C766" s="338">
        <v>0</v>
      </c>
      <c r="D766" s="277"/>
      <c r="E766" s="277"/>
      <c r="F766" s="277"/>
      <c r="G766" s="277"/>
      <c r="H766" s="277"/>
      <c r="I766" s="277"/>
      <c r="J766" s="277"/>
      <c r="K766" s="277"/>
      <c r="L766" s="277"/>
      <c r="M766" s="277"/>
      <c r="N766" s="277"/>
      <c r="O766" s="277"/>
      <c r="P766" s="277"/>
      <c r="Q766" s="277"/>
      <c r="R766" s="277"/>
      <c r="S766" s="277"/>
      <c r="T766" s="277"/>
      <c r="U766" s="277"/>
      <c r="V766" s="277"/>
      <c r="W766" s="277"/>
    </row>
    <row r="767" spans="1:23" x14ac:dyDescent="0.2">
      <c r="A767" s="284" t="s">
        <v>191</v>
      </c>
      <c r="B767" s="303"/>
      <c r="C767" s="339">
        <v>0</v>
      </c>
      <c r="D767" s="277"/>
      <c r="E767" s="277"/>
      <c r="F767" s="277"/>
      <c r="G767" s="277"/>
      <c r="H767" s="277"/>
      <c r="I767" s="277"/>
      <c r="J767" s="277"/>
      <c r="K767" s="277"/>
      <c r="L767" s="277"/>
      <c r="M767" s="277"/>
      <c r="N767" s="277"/>
      <c r="O767" s="277"/>
      <c r="P767" s="277"/>
      <c r="Q767" s="277"/>
      <c r="R767" s="277"/>
      <c r="S767" s="277"/>
      <c r="T767" s="277"/>
      <c r="U767" s="277"/>
      <c r="V767" s="277"/>
      <c r="W767" s="277"/>
    </row>
    <row r="768" spans="1:23" x14ac:dyDescent="0.2">
      <c r="A768" s="284" t="s">
        <v>201</v>
      </c>
      <c r="B768" s="303"/>
      <c r="C768" s="284">
        <v>15</v>
      </c>
      <c r="D768" s="277"/>
      <c r="E768" s="277"/>
      <c r="F768" s="277"/>
      <c r="G768" s="277"/>
      <c r="H768" s="277"/>
      <c r="I768" s="277"/>
      <c r="J768" s="277"/>
      <c r="K768" s="277"/>
      <c r="L768" s="277"/>
      <c r="M768" s="277"/>
      <c r="N768" s="277"/>
      <c r="O768" s="277"/>
      <c r="P768" s="277"/>
      <c r="Q768" s="277"/>
      <c r="R768" s="277"/>
      <c r="S768" s="277"/>
      <c r="T768" s="277"/>
      <c r="U768" s="277"/>
      <c r="V768" s="277"/>
      <c r="W768" s="277"/>
    </row>
    <row r="769" spans="1:23" x14ac:dyDescent="0.2">
      <c r="A769" s="284" t="s">
        <v>192</v>
      </c>
      <c r="B769" s="303"/>
      <c r="C769" s="339">
        <v>0</v>
      </c>
      <c r="D769" s="277"/>
      <c r="E769" s="277"/>
      <c r="F769" s="277"/>
      <c r="G769" s="277"/>
      <c r="H769" s="277"/>
      <c r="I769" s="277"/>
      <c r="J769" s="277"/>
      <c r="K769" s="277"/>
      <c r="L769" s="277"/>
      <c r="M769" s="277"/>
      <c r="N769" s="277"/>
      <c r="O769" s="277"/>
      <c r="P769" s="277"/>
      <c r="Q769" s="277"/>
      <c r="R769" s="277"/>
      <c r="S769" s="277"/>
      <c r="T769" s="277"/>
      <c r="U769" s="277"/>
      <c r="V769" s="277"/>
      <c r="W769" s="277"/>
    </row>
    <row r="770" spans="1:23" x14ac:dyDescent="0.2">
      <c r="A770" s="284" t="s">
        <v>193</v>
      </c>
      <c r="B770" s="303"/>
      <c r="C770" s="340">
        <v>8.7499999999999994E-2</v>
      </c>
      <c r="D770" s="277"/>
      <c r="E770" s="277"/>
      <c r="F770" s="277"/>
      <c r="G770" s="277"/>
      <c r="H770" s="277"/>
      <c r="I770" s="277"/>
      <c r="J770" s="277"/>
      <c r="K770" s="277"/>
      <c r="L770" s="277"/>
      <c r="M770" s="277"/>
      <c r="N770" s="277"/>
      <c r="O770" s="277"/>
      <c r="P770" s="277"/>
      <c r="Q770" s="277"/>
      <c r="R770" s="277"/>
      <c r="S770" s="277"/>
      <c r="T770" s="277"/>
      <c r="U770" s="277"/>
      <c r="V770" s="277"/>
      <c r="W770" s="277"/>
    </row>
    <row r="771" spans="1:23" x14ac:dyDescent="0.2">
      <c r="A771" s="284"/>
      <c r="B771" s="303"/>
      <c r="C771" s="277"/>
      <c r="D771" s="306">
        <v>2001</v>
      </c>
      <c r="E771" s="306">
        <v>2002</v>
      </c>
      <c r="F771" s="306">
        <v>2003</v>
      </c>
      <c r="G771" s="306">
        <v>2004</v>
      </c>
      <c r="H771" s="306">
        <v>2005</v>
      </c>
      <c r="I771" s="306">
        <v>2006</v>
      </c>
      <c r="J771" s="306">
        <v>2007</v>
      </c>
      <c r="K771" s="306">
        <v>2008</v>
      </c>
      <c r="L771" s="306">
        <v>2009</v>
      </c>
      <c r="M771" s="306">
        <v>2010</v>
      </c>
      <c r="N771" s="306">
        <v>2011</v>
      </c>
      <c r="O771" s="306">
        <v>2012</v>
      </c>
      <c r="P771" s="306">
        <v>2013</v>
      </c>
      <c r="Q771" s="306">
        <v>2014</v>
      </c>
      <c r="R771" s="306">
        <v>2015</v>
      </c>
      <c r="S771" s="306">
        <v>2016</v>
      </c>
      <c r="T771" s="306">
        <v>2017</v>
      </c>
      <c r="U771" s="306">
        <v>2018</v>
      </c>
      <c r="V771" s="306">
        <v>2019</v>
      </c>
      <c r="W771" s="306" t="s">
        <v>154</v>
      </c>
    </row>
    <row r="772" spans="1:23" x14ac:dyDescent="0.2">
      <c r="A772" s="284" t="s">
        <v>194</v>
      </c>
      <c r="B772" s="303"/>
      <c r="C772" s="277"/>
      <c r="D772" s="341">
        <v>0</v>
      </c>
      <c r="E772" s="341">
        <v>0</v>
      </c>
      <c r="F772" s="341">
        <v>0</v>
      </c>
      <c r="G772" s="341">
        <v>0</v>
      </c>
      <c r="H772" s="341">
        <v>0</v>
      </c>
      <c r="I772" s="341">
        <v>0</v>
      </c>
      <c r="J772" s="341">
        <v>0</v>
      </c>
      <c r="K772" s="341">
        <v>0</v>
      </c>
      <c r="L772" s="341">
        <v>0</v>
      </c>
      <c r="M772" s="341">
        <v>0</v>
      </c>
      <c r="N772" s="341">
        <v>0</v>
      </c>
      <c r="O772" s="341">
        <v>0</v>
      </c>
      <c r="P772" s="341">
        <v>0</v>
      </c>
      <c r="Q772" s="341">
        <v>0</v>
      </c>
      <c r="R772" s="341">
        <v>0</v>
      </c>
      <c r="S772" s="341">
        <v>0</v>
      </c>
      <c r="T772" s="341">
        <v>0</v>
      </c>
      <c r="U772" s="341">
        <v>0</v>
      </c>
      <c r="V772" s="341">
        <v>0</v>
      </c>
      <c r="W772" s="341">
        <v>0</v>
      </c>
    </row>
    <row r="773" spans="1:23" x14ac:dyDescent="0.2">
      <c r="A773" s="284" t="s">
        <v>195</v>
      </c>
      <c r="B773" s="303"/>
      <c r="C773" s="277"/>
      <c r="D773" s="341">
        <v>0</v>
      </c>
      <c r="E773" s="341">
        <v>0</v>
      </c>
      <c r="F773" s="341">
        <v>0</v>
      </c>
      <c r="G773" s="341">
        <v>0</v>
      </c>
      <c r="H773" s="341">
        <v>0</v>
      </c>
      <c r="I773" s="341">
        <v>0</v>
      </c>
      <c r="J773" s="341">
        <v>0</v>
      </c>
      <c r="K773" s="341">
        <v>0</v>
      </c>
      <c r="L773" s="341">
        <v>0</v>
      </c>
      <c r="M773" s="341">
        <v>0</v>
      </c>
      <c r="N773" s="341">
        <v>0</v>
      </c>
      <c r="O773" s="341">
        <v>0</v>
      </c>
      <c r="P773" s="341">
        <v>0</v>
      </c>
      <c r="Q773" s="341">
        <v>0</v>
      </c>
      <c r="R773" s="341">
        <v>0</v>
      </c>
      <c r="S773" s="341">
        <v>0</v>
      </c>
      <c r="T773" s="341">
        <v>0</v>
      </c>
      <c r="U773" s="341">
        <v>0</v>
      </c>
      <c r="V773" s="341">
        <v>0</v>
      </c>
      <c r="W773" s="341">
        <v>0</v>
      </c>
    </row>
    <row r="774" spans="1:23" x14ac:dyDescent="0.2">
      <c r="A774" s="284" t="s">
        <v>196</v>
      </c>
      <c r="B774" s="303"/>
      <c r="C774" s="277"/>
      <c r="D774" s="341">
        <v>0</v>
      </c>
      <c r="E774" s="341">
        <v>0</v>
      </c>
      <c r="F774" s="341">
        <v>0</v>
      </c>
      <c r="G774" s="341">
        <v>0</v>
      </c>
      <c r="H774" s="341">
        <v>0</v>
      </c>
      <c r="I774" s="341">
        <v>0</v>
      </c>
      <c r="J774" s="341">
        <v>0</v>
      </c>
      <c r="K774" s="341">
        <v>0</v>
      </c>
      <c r="L774" s="341">
        <v>0</v>
      </c>
      <c r="M774" s="341">
        <v>0</v>
      </c>
      <c r="N774" s="341">
        <v>0</v>
      </c>
      <c r="O774" s="341">
        <v>0</v>
      </c>
      <c r="P774" s="341">
        <v>0</v>
      </c>
      <c r="Q774" s="341">
        <v>0</v>
      </c>
      <c r="R774" s="341">
        <v>0</v>
      </c>
      <c r="S774" s="341">
        <v>0</v>
      </c>
      <c r="T774" s="341">
        <v>0</v>
      </c>
      <c r="U774" s="341">
        <v>0</v>
      </c>
      <c r="V774" s="341">
        <v>0</v>
      </c>
      <c r="W774" s="341">
        <v>0</v>
      </c>
    </row>
    <row r="775" spans="1:23" x14ac:dyDescent="0.2">
      <c r="A775" s="284" t="s">
        <v>197</v>
      </c>
      <c r="B775" s="303"/>
      <c r="C775" s="277"/>
      <c r="D775" s="342">
        <v>0</v>
      </c>
      <c r="E775" s="342">
        <v>0</v>
      </c>
      <c r="F775" s="342">
        <v>0</v>
      </c>
      <c r="G775" s="342">
        <v>0</v>
      </c>
      <c r="H775" s="342">
        <v>0</v>
      </c>
      <c r="I775" s="342">
        <v>0</v>
      </c>
      <c r="J775" s="342">
        <v>0</v>
      </c>
      <c r="K775" s="342">
        <v>0</v>
      </c>
      <c r="L775" s="342">
        <v>0</v>
      </c>
      <c r="M775" s="342">
        <v>0</v>
      </c>
      <c r="N775" s="342">
        <v>0</v>
      </c>
      <c r="O775" s="342">
        <v>0</v>
      </c>
      <c r="P775" s="342">
        <v>0</v>
      </c>
      <c r="Q775" s="342">
        <v>0</v>
      </c>
      <c r="R775" s="342">
        <v>0</v>
      </c>
      <c r="S775" s="342">
        <v>0</v>
      </c>
      <c r="T775" s="342">
        <v>0</v>
      </c>
      <c r="U775" s="342">
        <v>0</v>
      </c>
      <c r="V775" s="342">
        <v>0</v>
      </c>
      <c r="W775" s="342">
        <v>0</v>
      </c>
    </row>
    <row r="776" spans="1:23" ht="13.5" thickBot="1" x14ac:dyDescent="0.25">
      <c r="A776" s="284" t="s">
        <v>198</v>
      </c>
      <c r="B776" s="303"/>
      <c r="C776" s="277"/>
      <c r="D776" s="343">
        <v>0</v>
      </c>
      <c r="E776" s="343">
        <v>0</v>
      </c>
      <c r="F776" s="343">
        <v>0</v>
      </c>
      <c r="G776" s="343">
        <v>0</v>
      </c>
      <c r="H776" s="343">
        <v>0</v>
      </c>
      <c r="I776" s="343">
        <v>0</v>
      </c>
      <c r="J776" s="343">
        <v>0</v>
      </c>
      <c r="K776" s="343">
        <v>0</v>
      </c>
      <c r="L776" s="343">
        <v>0</v>
      </c>
      <c r="M776" s="343">
        <v>0</v>
      </c>
      <c r="N776" s="343">
        <v>0</v>
      </c>
      <c r="O776" s="343">
        <v>0</v>
      </c>
      <c r="P776" s="343">
        <v>0</v>
      </c>
      <c r="Q776" s="343">
        <v>0</v>
      </c>
      <c r="R776" s="343">
        <v>0</v>
      </c>
      <c r="S776" s="343">
        <v>0</v>
      </c>
      <c r="T776" s="343">
        <v>0</v>
      </c>
      <c r="U776" s="343">
        <v>0</v>
      </c>
      <c r="V776" s="343">
        <v>0</v>
      </c>
      <c r="W776" s="343">
        <v>0</v>
      </c>
    </row>
    <row r="777" spans="1:23" ht="13.5" thickTop="1" x14ac:dyDescent="0.2">
      <c r="A777" s="284"/>
      <c r="B777" s="303"/>
      <c r="C777" s="277"/>
      <c r="D777" s="341"/>
      <c r="E777" s="341"/>
      <c r="F777" s="341"/>
      <c r="G777" s="341"/>
      <c r="H777" s="341"/>
      <c r="I777" s="341"/>
      <c r="J777" s="341"/>
      <c r="K777" s="341"/>
      <c r="L777" s="341"/>
      <c r="M777" s="341"/>
      <c r="N777" s="341"/>
      <c r="O777" s="341"/>
      <c r="P777" s="341"/>
      <c r="Q777" s="341"/>
      <c r="R777" s="341"/>
      <c r="S777" s="341"/>
      <c r="T777" s="341"/>
      <c r="U777" s="341"/>
      <c r="V777" s="341"/>
      <c r="W777" s="341"/>
    </row>
    <row r="778" spans="1:23" x14ac:dyDescent="0.2">
      <c r="A778" s="284" t="s">
        <v>199</v>
      </c>
      <c r="B778" s="303"/>
      <c r="C778" s="277"/>
      <c r="D778" s="341">
        <v>0</v>
      </c>
      <c r="E778" s="341">
        <v>0</v>
      </c>
      <c r="F778" s="341">
        <v>0</v>
      </c>
      <c r="G778" s="341">
        <v>0</v>
      </c>
      <c r="H778" s="341">
        <v>0</v>
      </c>
      <c r="I778" s="341">
        <v>0</v>
      </c>
      <c r="J778" s="341">
        <v>0</v>
      </c>
      <c r="K778" s="341">
        <v>0</v>
      </c>
      <c r="L778" s="341">
        <v>0</v>
      </c>
      <c r="M778" s="341">
        <v>0</v>
      </c>
      <c r="N778" s="341">
        <v>0</v>
      </c>
      <c r="O778" s="341">
        <v>0</v>
      </c>
      <c r="P778" s="341">
        <v>0</v>
      </c>
      <c r="Q778" s="341">
        <v>0</v>
      </c>
      <c r="R778" s="341">
        <v>0</v>
      </c>
      <c r="S778" s="341">
        <v>0</v>
      </c>
      <c r="T778" s="341">
        <v>0</v>
      </c>
      <c r="U778" s="341">
        <v>0</v>
      </c>
      <c r="V778" s="341">
        <v>0</v>
      </c>
      <c r="W778" s="341">
        <v>0</v>
      </c>
    </row>
    <row r="779" spans="1:23" x14ac:dyDescent="0.2">
      <c r="A779" s="284"/>
      <c r="B779" s="303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M779" s="277"/>
      <c r="N779" s="277"/>
      <c r="O779" s="277"/>
      <c r="P779" s="277"/>
      <c r="Q779" s="277"/>
      <c r="R779" s="277"/>
      <c r="S779" s="277"/>
      <c r="T779" s="277"/>
      <c r="U779" s="277"/>
      <c r="V779" s="277"/>
      <c r="W779" s="277"/>
    </row>
    <row r="780" spans="1:23" x14ac:dyDescent="0.2">
      <c r="A780" s="284" t="s">
        <v>200</v>
      </c>
      <c r="B780" s="303"/>
      <c r="C780" s="277"/>
      <c r="D780" s="341">
        <v>0</v>
      </c>
      <c r="E780" s="341">
        <v>0</v>
      </c>
      <c r="F780" s="341">
        <v>0</v>
      </c>
      <c r="G780" s="341">
        <v>0</v>
      </c>
      <c r="H780" s="341">
        <v>0</v>
      </c>
      <c r="I780" s="341">
        <v>0</v>
      </c>
      <c r="J780" s="341">
        <v>0</v>
      </c>
      <c r="K780" s="341">
        <v>0</v>
      </c>
      <c r="L780" s="341">
        <v>0</v>
      </c>
      <c r="M780" s="341">
        <v>0</v>
      </c>
      <c r="N780" s="341">
        <v>0</v>
      </c>
      <c r="O780" s="341">
        <v>0</v>
      </c>
      <c r="P780" s="341">
        <v>0</v>
      </c>
      <c r="Q780" s="341">
        <v>0</v>
      </c>
      <c r="R780" s="341">
        <v>0</v>
      </c>
      <c r="S780" s="341">
        <v>0</v>
      </c>
      <c r="T780" s="341">
        <v>0</v>
      </c>
      <c r="U780" s="341">
        <v>0</v>
      </c>
      <c r="V780" s="341">
        <v>0</v>
      </c>
      <c r="W780" s="341">
        <v>0</v>
      </c>
    </row>
    <row r="781" spans="1:23" x14ac:dyDescent="0.2">
      <c r="A781" s="277"/>
      <c r="B781" s="303"/>
      <c r="C781" s="277"/>
      <c r="D781" s="277"/>
      <c r="E781" s="277"/>
      <c r="F781" s="277"/>
      <c r="G781" s="277"/>
      <c r="H781" s="277"/>
      <c r="I781" s="277"/>
      <c r="J781" s="277"/>
      <c r="K781" s="277"/>
      <c r="L781" s="277"/>
      <c r="M781" s="277"/>
      <c r="N781" s="277"/>
      <c r="O781" s="277"/>
      <c r="P781" s="277"/>
      <c r="Q781" s="277"/>
      <c r="R781" s="277"/>
      <c r="S781" s="277"/>
      <c r="T781" s="277"/>
      <c r="U781" s="277"/>
      <c r="V781" s="277"/>
      <c r="W781" s="277"/>
    </row>
    <row r="782" spans="1:23" x14ac:dyDescent="0.2">
      <c r="A782" s="277"/>
      <c r="B782" s="303"/>
      <c r="C782" s="277"/>
      <c r="D782" s="277"/>
      <c r="E782" s="277"/>
      <c r="F782" s="277"/>
      <c r="G782" s="277"/>
      <c r="H782" s="277"/>
      <c r="I782" s="277"/>
      <c r="J782" s="277"/>
      <c r="K782" s="277"/>
      <c r="L782" s="277"/>
      <c r="M782" s="277"/>
      <c r="N782" s="277"/>
      <c r="O782" s="277"/>
      <c r="P782" s="277"/>
      <c r="Q782" s="277"/>
      <c r="R782" s="277"/>
      <c r="S782" s="277"/>
      <c r="T782" s="277"/>
      <c r="U782" s="277"/>
      <c r="V782" s="277"/>
      <c r="W782" s="277"/>
    </row>
    <row r="783" spans="1:23" x14ac:dyDescent="0.2">
      <c r="A783" s="284" t="s">
        <v>202</v>
      </c>
      <c r="B783" s="279"/>
      <c r="C783" s="278"/>
      <c r="D783" s="435">
        <v>7251093.9961455222</v>
      </c>
      <c r="E783" s="435">
        <v>35931368.37299969</v>
      </c>
      <c r="F783" s="435">
        <v>34036387.391277343</v>
      </c>
      <c r="G783" s="435">
        <v>30194713.327809252</v>
      </c>
      <c r="H783" s="435">
        <v>30397387.050350234</v>
      </c>
      <c r="I783" s="435">
        <v>32139597.833974406</v>
      </c>
      <c r="J783" s="435">
        <v>35429451.857611045</v>
      </c>
      <c r="K783" s="435">
        <v>36480966.640582845</v>
      </c>
      <c r="L783" s="435">
        <v>37395201.541885048</v>
      </c>
      <c r="M783" s="435">
        <v>37180118.992968947</v>
      </c>
      <c r="N783" s="435">
        <v>38056153.775323853</v>
      </c>
      <c r="O783" s="435">
        <v>38040526.585637063</v>
      </c>
      <c r="P783" s="435">
        <v>38154655.636275053</v>
      </c>
      <c r="Q783" s="435">
        <v>39845878.085816763</v>
      </c>
      <c r="R783" s="435">
        <v>44597686.956260115</v>
      </c>
      <c r="S783" s="435">
        <v>43156514.145909384</v>
      </c>
      <c r="T783" s="435">
        <v>43501568.110916138</v>
      </c>
      <c r="U783" s="435">
        <v>46771731.168736435</v>
      </c>
      <c r="V783" s="435">
        <v>48976016.764517993</v>
      </c>
      <c r="W783" s="435">
        <v>257015475.32225129</v>
      </c>
    </row>
    <row r="784" spans="1:23" x14ac:dyDescent="0.2">
      <c r="A784" s="9"/>
      <c r="B784" s="6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">
      <c r="B785" s="348"/>
      <c r="C785" s="349"/>
      <c r="D785" s="349"/>
      <c r="E785" s="349"/>
      <c r="F785" s="349"/>
      <c r="G785" s="349"/>
      <c r="H785" s="349"/>
      <c r="I785" s="349"/>
      <c r="J785" s="349"/>
      <c r="K785" s="349"/>
      <c r="L785" s="349"/>
      <c r="M785" s="349"/>
      <c r="N785" s="349"/>
      <c r="O785" s="349"/>
      <c r="P785" s="349"/>
      <c r="Q785" s="349"/>
      <c r="R785" s="349"/>
      <c r="S785" s="349"/>
      <c r="T785" s="349"/>
      <c r="U785" s="349"/>
      <c r="V785" s="349"/>
      <c r="W785" s="294"/>
    </row>
    <row r="786" spans="1:23" x14ac:dyDescent="0.2">
      <c r="B786" s="348"/>
      <c r="C786" s="294"/>
      <c r="D786" s="294"/>
      <c r="E786" s="294"/>
      <c r="F786" s="294"/>
      <c r="G786" s="294"/>
      <c r="H786" s="294"/>
      <c r="I786" s="294"/>
      <c r="J786" s="294"/>
      <c r="K786" s="294"/>
      <c r="L786" s="294"/>
      <c r="M786" s="294"/>
      <c r="N786" s="294"/>
      <c r="O786" s="294"/>
      <c r="P786" s="294"/>
      <c r="Q786" s="294"/>
      <c r="R786" s="294"/>
      <c r="S786" s="294"/>
      <c r="T786" s="294"/>
      <c r="U786" s="294"/>
      <c r="V786" s="294"/>
      <c r="W786" s="294"/>
    </row>
    <row r="787" spans="1:23" x14ac:dyDescent="0.2">
      <c r="B787" s="350"/>
      <c r="C787" s="353"/>
      <c r="D787" s="353"/>
      <c r="E787" s="353"/>
      <c r="F787" s="353"/>
      <c r="G787" s="353"/>
      <c r="H787" s="353"/>
      <c r="I787" s="353"/>
      <c r="J787" s="353"/>
      <c r="K787" s="353"/>
      <c r="L787" s="353"/>
      <c r="M787" s="353"/>
      <c r="N787" s="353"/>
      <c r="O787" s="353"/>
      <c r="P787" s="353"/>
      <c r="Q787" s="353"/>
      <c r="R787" s="353"/>
      <c r="S787" s="353"/>
      <c r="T787" s="353"/>
      <c r="U787" s="353"/>
      <c r="V787" s="353"/>
      <c r="W787" s="352"/>
    </row>
    <row r="788" spans="1:23" x14ac:dyDescent="0.2">
      <c r="B788" s="289"/>
    </row>
    <row r="789" spans="1:23" x14ac:dyDescent="0.2">
      <c r="A789" s="45"/>
      <c r="B789" s="300"/>
      <c r="C789" s="312"/>
      <c r="E789" s="361"/>
      <c r="F789" s="313"/>
      <c r="G789" s="314"/>
    </row>
    <row r="790" spans="1:23" x14ac:dyDescent="0.2">
      <c r="B790" s="300"/>
      <c r="C790" s="312"/>
      <c r="E790" s="91"/>
      <c r="F790" s="313"/>
      <c r="G790" s="314"/>
    </row>
    <row r="791" spans="1:23" x14ac:dyDescent="0.2">
      <c r="B791" s="300"/>
      <c r="C791" s="312"/>
      <c r="D791" s="317"/>
      <c r="E791" s="91"/>
      <c r="F791" s="313"/>
      <c r="G791" s="314"/>
    </row>
    <row r="792" spans="1:23" ht="15.75" x14ac:dyDescent="0.25">
      <c r="A792" s="302" t="s">
        <v>29</v>
      </c>
      <c r="B792" s="305" t="s">
        <v>66</v>
      </c>
      <c r="C792" s="306">
        <v>2000</v>
      </c>
      <c r="D792" s="306">
        <v>2001</v>
      </c>
      <c r="E792" s="306">
        <v>2002</v>
      </c>
      <c r="F792" s="306">
        <v>2003</v>
      </c>
      <c r="G792" s="306">
        <v>2004</v>
      </c>
      <c r="H792" s="306">
        <v>2005</v>
      </c>
      <c r="I792" s="306">
        <v>2006</v>
      </c>
      <c r="J792" s="306">
        <v>2007</v>
      </c>
      <c r="K792" s="306">
        <v>2008</v>
      </c>
      <c r="L792" s="306">
        <v>2009</v>
      </c>
      <c r="M792" s="306">
        <v>2010</v>
      </c>
      <c r="N792" s="306">
        <v>2011</v>
      </c>
      <c r="O792" s="306">
        <v>2012</v>
      </c>
      <c r="P792" s="306">
        <v>2013</v>
      </c>
      <c r="Q792" s="306">
        <v>2014</v>
      </c>
      <c r="R792" s="306">
        <v>2015</v>
      </c>
      <c r="S792" s="306">
        <v>2016</v>
      </c>
      <c r="T792" s="306">
        <v>2017</v>
      </c>
      <c r="U792" s="306">
        <v>2018</v>
      </c>
      <c r="V792" s="306">
        <v>2019</v>
      </c>
      <c r="W792" s="306" t="s">
        <v>154</v>
      </c>
    </row>
    <row r="793" spans="1:23" x14ac:dyDescent="0.2">
      <c r="A793" s="302" t="s">
        <v>26</v>
      </c>
      <c r="B793" s="303">
        <v>94</v>
      </c>
      <c r="C793" s="308"/>
      <c r="D793" s="308"/>
      <c r="E793" s="308"/>
      <c r="F793" s="308"/>
      <c r="G793" s="308"/>
      <c r="H793" s="308"/>
      <c r="I793" s="308"/>
      <c r="J793" s="308"/>
      <c r="K793" s="308"/>
      <c r="L793" s="308"/>
      <c r="M793" s="308"/>
      <c r="N793" s="308"/>
      <c r="O793" s="308"/>
      <c r="P793" s="308"/>
      <c r="Q793" s="308"/>
      <c r="R793" s="308"/>
      <c r="S793" s="308"/>
      <c r="T793" s="308"/>
      <c r="U793" s="308"/>
      <c r="V793" s="308"/>
      <c r="W793" s="308"/>
    </row>
    <row r="794" spans="1:23" x14ac:dyDescent="0.2">
      <c r="A794" s="9"/>
      <c r="B794" s="309" t="s">
        <v>27</v>
      </c>
      <c r="C794" s="443">
        <v>0</v>
      </c>
      <c r="D794" s="404">
        <v>29030304.420428958</v>
      </c>
      <c r="E794" s="404">
        <v>28627690.304114185</v>
      </c>
      <c r="F794" s="404">
        <v>29178724.218317628</v>
      </c>
      <c r="G794" s="404">
        <v>28765150.451597095</v>
      </c>
      <c r="H794" s="404">
        <v>28981814.905243911</v>
      </c>
      <c r="I794" s="404">
        <v>30938720.893770903</v>
      </c>
      <c r="J794" s="404">
        <v>33174204.62773969</v>
      </c>
      <c r="K794" s="404">
        <v>34032678.661082253</v>
      </c>
      <c r="L794" s="404">
        <v>34745009.890646398</v>
      </c>
      <c r="M794" s="404">
        <v>34869047.656125918</v>
      </c>
      <c r="N794" s="404">
        <v>35384817.839989215</v>
      </c>
      <c r="O794" s="404">
        <v>36022422.991792314</v>
      </c>
      <c r="P794" s="404">
        <v>36446336.495387211</v>
      </c>
      <c r="Q794" s="404">
        <v>37729292.035341233</v>
      </c>
      <c r="R794" s="404">
        <v>40138618.425687023</v>
      </c>
      <c r="S794" s="404">
        <v>40173378.698256642</v>
      </c>
      <c r="T794" s="404">
        <v>40685381.143212602</v>
      </c>
      <c r="U794" s="404">
        <v>42640534.677219748</v>
      </c>
      <c r="V794" s="404">
        <v>43935680.13063854</v>
      </c>
      <c r="W794" s="327"/>
    </row>
    <row r="795" spans="1:23" x14ac:dyDescent="0.2">
      <c r="A795" s="9"/>
      <c r="B795" s="309" t="s">
        <v>20</v>
      </c>
      <c r="C795" s="443">
        <v>0</v>
      </c>
      <c r="D795" s="404">
        <v>-9851572.3830246422</v>
      </c>
      <c r="E795" s="404">
        <v>-9993315.7988784015</v>
      </c>
      <c r="F795" s="404">
        <v>-10167457.709784454</v>
      </c>
      <c r="G795" s="404">
        <v>-10458234.202878743</v>
      </c>
      <c r="H795" s="404">
        <v>-10821907.309840681</v>
      </c>
      <c r="I795" s="404">
        <v>-11237418.008886283</v>
      </c>
      <c r="J795" s="404">
        <v>-11496605.96930459</v>
      </c>
      <c r="K795" s="404">
        <v>-11743644.494078293</v>
      </c>
      <c r="L795" s="404">
        <v>-11937225.502015715</v>
      </c>
      <c r="M795" s="404">
        <v>-12032801.06241997</v>
      </c>
      <c r="N795" s="404">
        <v>-12032765.413516909</v>
      </c>
      <c r="O795" s="404">
        <v>-12461271.15948648</v>
      </c>
      <c r="P795" s="404">
        <v>-12745567.953570317</v>
      </c>
      <c r="Q795" s="404">
        <v>-13016095.387256924</v>
      </c>
      <c r="R795" s="404">
        <v>-13023642.629133917</v>
      </c>
      <c r="S795" s="404">
        <v>-13471294.242741581</v>
      </c>
      <c r="T795" s="404">
        <v>-13779079.945738319</v>
      </c>
      <c r="U795" s="404">
        <v>-14116834.256658429</v>
      </c>
      <c r="V795" s="404">
        <v>-14465928.040846836</v>
      </c>
      <c r="W795" s="327"/>
    </row>
    <row r="796" spans="1:23" x14ac:dyDescent="0.2">
      <c r="A796" s="9"/>
      <c r="B796" s="309" t="s">
        <v>31</v>
      </c>
      <c r="C796" s="443">
        <v>0</v>
      </c>
      <c r="D796" s="404">
        <v>-769939.56526013045</v>
      </c>
      <c r="E796" s="404">
        <v>-785480.29929860204</v>
      </c>
      <c r="F796" s="404">
        <v>-801334.71304045746</v>
      </c>
      <c r="G796" s="404">
        <v>-817509.13790840015</v>
      </c>
      <c r="H796" s="404">
        <v>-834010.03312082111</v>
      </c>
      <c r="I796" s="404">
        <v>-850843.98827127274</v>
      </c>
      <c r="J796" s="404">
        <v>-868017.72596000775</v>
      </c>
      <c r="K796" s="404">
        <v>-885538.10447863291</v>
      </c>
      <c r="L796" s="404">
        <v>-903412.1205489526</v>
      </c>
      <c r="M796" s="404">
        <v>-921646.91211709275</v>
      </c>
      <c r="N796" s="404">
        <v>-927645.36847480934</v>
      </c>
      <c r="O796" s="404">
        <v>-959228.09681361087</v>
      </c>
      <c r="P796" s="404">
        <v>-978589.4978993868</v>
      </c>
      <c r="Q796" s="404">
        <v>-998341.69639117015</v>
      </c>
      <c r="R796" s="404">
        <v>-1004816.5584372922</v>
      </c>
      <c r="S796" s="404">
        <v>-1039050.1967822018</v>
      </c>
      <c r="T796" s="404">
        <v>-1060022.7555249883</v>
      </c>
      <c r="U796" s="404">
        <v>-1081418.6318529902</v>
      </c>
      <c r="V796" s="404">
        <v>-1103246.3701589142</v>
      </c>
      <c r="W796" s="327"/>
    </row>
    <row r="797" spans="1:23" x14ac:dyDescent="0.2">
      <c r="A797" s="9"/>
      <c r="B797" s="309" t="s">
        <v>32</v>
      </c>
      <c r="C797" s="443">
        <v>0</v>
      </c>
      <c r="D797" s="404">
        <v>0</v>
      </c>
      <c r="E797" s="404">
        <v>0</v>
      </c>
      <c r="F797" s="404">
        <v>0</v>
      </c>
      <c r="G797" s="404">
        <v>0</v>
      </c>
      <c r="H797" s="404">
        <v>0</v>
      </c>
      <c r="I797" s="404">
        <v>-926111.90089201741</v>
      </c>
      <c r="J797" s="404">
        <v>-1026521.0606567819</v>
      </c>
      <c r="K797" s="404">
        <v>-1202716.8344799643</v>
      </c>
      <c r="L797" s="404">
        <v>-1244117.5638200394</v>
      </c>
      <c r="M797" s="404">
        <v>-1383650.0146485928</v>
      </c>
      <c r="N797" s="404">
        <v>-1490815.2104290316</v>
      </c>
      <c r="O797" s="404">
        <v>-1688762.5050205691</v>
      </c>
      <c r="P797" s="404">
        <v>-1893547.0135332509</v>
      </c>
      <c r="Q797" s="404">
        <v>-2107813.3084279052</v>
      </c>
      <c r="R797" s="404">
        <v>-2283680.7681912025</v>
      </c>
      <c r="S797" s="404">
        <v>-2563622.0728687113</v>
      </c>
      <c r="T797" s="404">
        <v>-2518633.7039927063</v>
      </c>
      <c r="U797" s="404">
        <v>-2154827.3604073469</v>
      </c>
      <c r="V797" s="404">
        <v>-2234158.4145559836</v>
      </c>
      <c r="W797" s="327"/>
    </row>
    <row r="798" spans="1:23" ht="13.5" thickBot="1" x14ac:dyDescent="0.25">
      <c r="A798" s="9"/>
      <c r="B798" s="310" t="s">
        <v>33</v>
      </c>
      <c r="C798" s="444">
        <v>0</v>
      </c>
      <c r="D798" s="406">
        <v>0</v>
      </c>
      <c r="E798" s="406">
        <v>0</v>
      </c>
      <c r="F798" s="406">
        <v>-2411652.2916404507</v>
      </c>
      <c r="G798" s="406">
        <v>-2054878.9223770252</v>
      </c>
      <c r="H798" s="406">
        <v>-2133245.0596075407</v>
      </c>
      <c r="I798" s="406">
        <v>-2215562.8209919673</v>
      </c>
      <c r="J798" s="406">
        <v>-2783230.7927596271</v>
      </c>
      <c r="K798" s="406">
        <v>-2431120.9055065499</v>
      </c>
      <c r="L798" s="406">
        <v>-2573169.7055761339</v>
      </c>
      <c r="M798" s="406">
        <v>-2448469.5245792973</v>
      </c>
      <c r="N798" s="406">
        <v>-2484801.9001743174</v>
      </c>
      <c r="O798" s="406">
        <v>-2583905.0926139066</v>
      </c>
      <c r="P798" s="406">
        <v>-2307969.3690604782</v>
      </c>
      <c r="Q798" s="406">
        <v>-2390490.0719071017</v>
      </c>
      <c r="R798" s="406">
        <v>-2407152.695857903</v>
      </c>
      <c r="S798" s="406">
        <v>-2590992.2466232413</v>
      </c>
      <c r="T798" s="406">
        <v>-2435801.44077102</v>
      </c>
      <c r="U798" s="406">
        <v>-2682735.7838695841</v>
      </c>
      <c r="V798" s="406">
        <v>-1460616.9848027974</v>
      </c>
      <c r="W798" s="327"/>
    </row>
    <row r="799" spans="1:23" ht="13.5" thickTop="1" x14ac:dyDescent="0.2">
      <c r="A799" s="9"/>
      <c r="B799" s="311" t="s">
        <v>38</v>
      </c>
      <c r="C799" s="445">
        <v>0</v>
      </c>
      <c r="D799" s="408">
        <v>18408792.472144183</v>
      </c>
      <c r="E799" s="408">
        <v>17848894.205937181</v>
      </c>
      <c r="F799" s="408">
        <v>15798279.503852265</v>
      </c>
      <c r="G799" s="408">
        <v>15434528.188432926</v>
      </c>
      <c r="H799" s="408">
        <v>15192652.502674868</v>
      </c>
      <c r="I799" s="408">
        <v>15708784.174729358</v>
      </c>
      <c r="J799" s="408">
        <v>16999829.079058681</v>
      </c>
      <c r="K799" s="408">
        <v>17769658.322538812</v>
      </c>
      <c r="L799" s="408">
        <v>18087084.998685557</v>
      </c>
      <c r="M799" s="408">
        <v>18082480.142360963</v>
      </c>
      <c r="N799" s="408">
        <v>18448789.947394151</v>
      </c>
      <c r="O799" s="408">
        <v>18329256.137857746</v>
      </c>
      <c r="P799" s="408">
        <v>18520662.661323778</v>
      </c>
      <c r="Q799" s="408">
        <v>19216551.571358133</v>
      </c>
      <c r="R799" s="408">
        <v>21419325.774066709</v>
      </c>
      <c r="S799" s="408">
        <v>20508419.939240906</v>
      </c>
      <c r="T799" s="408">
        <v>20891843.297185566</v>
      </c>
      <c r="U799" s="408">
        <v>22604718.644431401</v>
      </c>
      <c r="V799" s="408">
        <v>24671730.32027401</v>
      </c>
      <c r="W799" s="327"/>
    </row>
    <row r="800" spans="1:23" x14ac:dyDescent="0.2">
      <c r="A800" s="9"/>
      <c r="B800" s="309" t="s">
        <v>34</v>
      </c>
      <c r="C800" s="443">
        <v>0</v>
      </c>
      <c r="D800" s="404">
        <v>-2882633.3373826668</v>
      </c>
      <c r="E800" s="404">
        <v>-2940286.0041303202</v>
      </c>
      <c r="F800" s="404">
        <v>-2999091.7242129268</v>
      </c>
      <c r="G800" s="404">
        <v>-3059073.5586971855</v>
      </c>
      <c r="H800" s="404">
        <v>-3120255.0298711294</v>
      </c>
      <c r="I800" s="404">
        <v>-3182660.130468552</v>
      </c>
      <c r="J800" s="404">
        <v>-3246313.3330779229</v>
      </c>
      <c r="K800" s="404">
        <v>-3311239.5997394812</v>
      </c>
      <c r="L800" s="404">
        <v>-3377464.3917342708</v>
      </c>
      <c r="M800" s="404">
        <v>-3445013.6795689561</v>
      </c>
      <c r="N800" s="404">
        <v>-3513913.9531603353</v>
      </c>
      <c r="O800" s="404">
        <v>-3584192.2322235419</v>
      </c>
      <c r="P800" s="404">
        <v>-3655876.076868013</v>
      </c>
      <c r="Q800" s="404">
        <v>-3728993.5984053733</v>
      </c>
      <c r="R800" s="404">
        <v>-3803573.470373481</v>
      </c>
      <c r="S800" s="404">
        <v>-3879644.9397809505</v>
      </c>
      <c r="T800" s="404">
        <v>-3957237.8385765697</v>
      </c>
      <c r="U800" s="404">
        <v>-4036382.5953481011</v>
      </c>
      <c r="V800" s="404">
        <v>-4117110.2472550632</v>
      </c>
      <c r="W800" s="327"/>
    </row>
    <row r="801" spans="1:23" x14ac:dyDescent="0.2">
      <c r="A801" s="9"/>
      <c r="B801" s="309" t="s">
        <v>35</v>
      </c>
      <c r="C801" s="443">
        <v>0</v>
      </c>
      <c r="D801" s="404">
        <v>-246782.10002979756</v>
      </c>
      <c r="E801" s="404">
        <v>-252279.40785605877</v>
      </c>
      <c r="F801" s="404">
        <v>-258194.95159471416</v>
      </c>
      <c r="G801" s="404">
        <v>-269260.24904317735</v>
      </c>
      <c r="H801" s="404">
        <v>-319346.27472927398</v>
      </c>
      <c r="I801" s="404">
        <v>-397860.88812231994</v>
      </c>
      <c r="J801" s="404">
        <v>-444395.53228181263</v>
      </c>
      <c r="K801" s="404">
        <v>-491727.39472005737</v>
      </c>
      <c r="L801" s="404">
        <v>-528611.10408568254</v>
      </c>
      <c r="M801" s="404">
        <v>-547568.39356061188</v>
      </c>
      <c r="N801" s="404">
        <v>-554386.16184341395</v>
      </c>
      <c r="O801" s="404">
        <v>-561746.13690852013</v>
      </c>
      <c r="P801" s="404">
        <v>-568913.2481835545</v>
      </c>
      <c r="Q801" s="404">
        <v>-576259.53724046471</v>
      </c>
      <c r="R801" s="404">
        <v>-583790.21815270325</v>
      </c>
      <c r="S801" s="404">
        <v>-591509.1660877479</v>
      </c>
      <c r="T801" s="404">
        <v>-599419.54393158155</v>
      </c>
      <c r="U801" s="404">
        <v>-607528.47225929552</v>
      </c>
      <c r="V801" s="404">
        <v>-615840.93468803505</v>
      </c>
      <c r="W801" s="327"/>
    </row>
    <row r="802" spans="1:23" ht="13.5" thickBot="1" x14ac:dyDescent="0.25">
      <c r="A802" s="9"/>
      <c r="B802" s="310" t="s">
        <v>36</v>
      </c>
      <c r="C802" s="444">
        <v>0</v>
      </c>
      <c r="D802" s="406">
        <v>-307061.97203451901</v>
      </c>
      <c r="E802" s="406">
        <v>-313540.97964444902</v>
      </c>
      <c r="F802" s="406">
        <v>-320407.52709866298</v>
      </c>
      <c r="G802" s="406">
        <v>-327648.73721109098</v>
      </c>
      <c r="H802" s="406">
        <v>-335446.77715671499</v>
      </c>
      <c r="I802" s="406">
        <v>-343853.10711533</v>
      </c>
      <c r="J802" s="406">
        <v>-352381.62210241298</v>
      </c>
      <c r="K802" s="406">
        <v>-361301.12918059598</v>
      </c>
      <c r="L802" s="406">
        <v>-370225.267071357</v>
      </c>
      <c r="M802" s="406">
        <v>-379666.01138167601</v>
      </c>
      <c r="N802" s="406">
        <v>-388853.92885711399</v>
      </c>
      <c r="O802" s="406">
        <v>-398653.04786431202</v>
      </c>
      <c r="P802" s="406">
        <v>-408778.83528006502</v>
      </c>
      <c r="Q802" s="406">
        <v>-418998.306162066</v>
      </c>
      <c r="R802" s="406">
        <v>-429515.16364673403</v>
      </c>
      <c r="S802" s="406">
        <v>-440253.04273790302</v>
      </c>
      <c r="T802" s="406">
        <v>-451171.318197802</v>
      </c>
      <c r="U802" s="406">
        <v>-462495.71828456799</v>
      </c>
      <c r="V802" s="406">
        <v>-474104.36081351101</v>
      </c>
      <c r="W802" s="327"/>
    </row>
    <row r="803" spans="1:23" ht="13.5" thickTop="1" x14ac:dyDescent="0.2">
      <c r="A803" s="9"/>
      <c r="B803" s="311" t="s">
        <v>220</v>
      </c>
      <c r="C803" s="446">
        <v>0</v>
      </c>
      <c r="D803" s="410">
        <v>14972315.062697198</v>
      </c>
      <c r="E803" s="410">
        <v>14342787.814306352</v>
      </c>
      <c r="F803" s="410">
        <v>12220585.30094596</v>
      </c>
      <c r="G803" s="410">
        <v>11778545.643481473</v>
      </c>
      <c r="H803" s="410">
        <v>11417604.420917749</v>
      </c>
      <c r="I803" s="410">
        <v>11784410.049023157</v>
      </c>
      <c r="J803" s="410">
        <v>12956738.591596533</v>
      </c>
      <c r="K803" s="410">
        <v>13605390.198898679</v>
      </c>
      <c r="L803" s="410">
        <v>13810784.235794248</v>
      </c>
      <c r="M803" s="410">
        <v>13710232.057849718</v>
      </c>
      <c r="N803" s="410">
        <v>13991635.903533289</v>
      </c>
      <c r="O803" s="410">
        <v>13784664.720861372</v>
      </c>
      <c r="P803" s="410">
        <v>13887094.500992147</v>
      </c>
      <c r="Q803" s="410">
        <v>14492300.12955023</v>
      </c>
      <c r="R803" s="410">
        <v>16602446.921893792</v>
      </c>
      <c r="S803" s="410">
        <v>15597012.790634304</v>
      </c>
      <c r="T803" s="410">
        <v>15884014.596479613</v>
      </c>
      <c r="U803" s="410">
        <v>17498311.858539436</v>
      </c>
      <c r="V803" s="410">
        <v>19464674.777517401</v>
      </c>
      <c r="W803" s="327"/>
    </row>
    <row r="804" spans="1:23" x14ac:dyDescent="0.2">
      <c r="A804" s="9"/>
      <c r="B804" s="309" t="s">
        <v>37</v>
      </c>
      <c r="C804" s="443">
        <v>0</v>
      </c>
      <c r="D804" s="404">
        <v>-890142.18401136366</v>
      </c>
      <c r="E804" s="404">
        <v>-1111218.8981599</v>
      </c>
      <c r="F804" s="404">
        <v>-1122040.2795633909</v>
      </c>
      <c r="G804" s="404">
        <v>-1124456.4769947091</v>
      </c>
      <c r="H804" s="404">
        <v>-1180782.1679812819</v>
      </c>
      <c r="I804" s="404">
        <v>-1271626.2023928072</v>
      </c>
      <c r="J804" s="404">
        <v>-1299362.1017424823</v>
      </c>
      <c r="K804" s="404">
        <v>-1258793.7336673783</v>
      </c>
      <c r="L804" s="404">
        <v>-1241521.5279243542</v>
      </c>
      <c r="M804" s="404">
        <v>-1293522.7680581792</v>
      </c>
      <c r="N804" s="404">
        <v>-1360727.683296995</v>
      </c>
      <c r="O804" s="404">
        <v>-1399709.7473519172</v>
      </c>
      <c r="P804" s="404">
        <v>-1474496.9588034637</v>
      </c>
      <c r="Q804" s="404">
        <v>-1528857.7104621932</v>
      </c>
      <c r="R804" s="404">
        <v>-1586338.9483354571</v>
      </c>
      <c r="S804" s="404">
        <v>-1667153.2512142372</v>
      </c>
      <c r="T804" s="404">
        <v>-1751318.2290032443</v>
      </c>
      <c r="U804" s="404">
        <v>-1870089.9008134219</v>
      </c>
      <c r="V804" s="404">
        <v>-1986353.9250506319</v>
      </c>
      <c r="W804" s="327"/>
    </row>
    <row r="805" spans="1:23" ht="13.5" thickBot="1" x14ac:dyDescent="0.25">
      <c r="A805" s="9"/>
      <c r="B805" s="310" t="s">
        <v>221</v>
      </c>
      <c r="C805" s="444">
        <v>0</v>
      </c>
      <c r="D805" s="406">
        <v>-5632869.1514743343</v>
      </c>
      <c r="E805" s="406">
        <v>-5292627.566458581</v>
      </c>
      <c r="F805" s="406">
        <v>-4439418.0085530272</v>
      </c>
      <c r="G805" s="406">
        <v>-4261635.6665947055</v>
      </c>
      <c r="H805" s="406">
        <v>-4094728.9011745872</v>
      </c>
      <c r="I805" s="406">
        <v>-4205113.5386521397</v>
      </c>
      <c r="J805" s="406">
        <v>-4662950.5959416209</v>
      </c>
      <c r="K805" s="406">
        <v>-4938638.5860925196</v>
      </c>
      <c r="L805" s="406">
        <v>-5027705.0831479579</v>
      </c>
      <c r="M805" s="406">
        <v>-4966683.7159166159</v>
      </c>
      <c r="N805" s="406">
        <v>-5052363.2880945178</v>
      </c>
      <c r="O805" s="406">
        <v>-4953981.9894037824</v>
      </c>
      <c r="P805" s="406">
        <v>-4965039.0168754738</v>
      </c>
      <c r="Q805" s="406">
        <v>-5185376.9676352143</v>
      </c>
      <c r="R805" s="406">
        <v>-6006443.1894233339</v>
      </c>
      <c r="S805" s="406">
        <v>-5571943.8157680267</v>
      </c>
      <c r="T805" s="406">
        <v>-5653078.5469905473</v>
      </c>
      <c r="U805" s="406">
        <v>-6251288.7830904061</v>
      </c>
      <c r="V805" s="406">
        <v>-6991328.3409867082</v>
      </c>
      <c r="W805" s="327"/>
    </row>
    <row r="806" spans="1:23" ht="13.5" thickTop="1" x14ac:dyDescent="0.2">
      <c r="A806" s="9"/>
      <c r="B806" s="311" t="s">
        <v>183</v>
      </c>
      <c r="C806" s="446">
        <v>0</v>
      </c>
      <c r="D806" s="410">
        <v>8449303.7272114996</v>
      </c>
      <c r="E806" s="410">
        <v>7938941.3496878706</v>
      </c>
      <c r="F806" s="410">
        <v>6659127.0128295412</v>
      </c>
      <c r="G806" s="410">
        <v>6392453.4998920569</v>
      </c>
      <c r="H806" s="410">
        <v>6142093.3517618803</v>
      </c>
      <c r="I806" s="410">
        <v>6307670.30797821</v>
      </c>
      <c r="J806" s="410">
        <v>6994425.8939124299</v>
      </c>
      <c r="K806" s="410">
        <v>7407957.8791387798</v>
      </c>
      <c r="L806" s="410">
        <v>7541557.6247219369</v>
      </c>
      <c r="M806" s="410">
        <v>7450025.5738749234</v>
      </c>
      <c r="N806" s="410">
        <v>7578544.9321417762</v>
      </c>
      <c r="O806" s="410">
        <v>7430972.9841056727</v>
      </c>
      <c r="P806" s="410">
        <v>7447558.5253132097</v>
      </c>
      <c r="Q806" s="410">
        <v>7778065.4514528215</v>
      </c>
      <c r="R806" s="410">
        <v>9009664.7841350008</v>
      </c>
      <c r="S806" s="410">
        <v>8357915.7236520397</v>
      </c>
      <c r="T806" s="410">
        <v>8479617.820485821</v>
      </c>
      <c r="U806" s="410">
        <v>9376933.1746356077</v>
      </c>
      <c r="V806" s="410">
        <v>10486992.511480061</v>
      </c>
      <c r="W806" s="327"/>
    </row>
    <row r="807" spans="1:23" x14ac:dyDescent="0.2">
      <c r="A807" s="9"/>
      <c r="B807" s="309" t="s">
        <v>37</v>
      </c>
      <c r="C807" s="443">
        <v>0</v>
      </c>
      <c r="D807" s="404">
        <v>890142.18401136366</v>
      </c>
      <c r="E807" s="404">
        <v>1111218.8981599</v>
      </c>
      <c r="F807" s="404">
        <v>1122040.2795633909</v>
      </c>
      <c r="G807" s="404">
        <v>1124456.4769947091</v>
      </c>
      <c r="H807" s="404">
        <v>1180782.1679812819</v>
      </c>
      <c r="I807" s="404">
        <v>1271626.2023928072</v>
      </c>
      <c r="J807" s="404">
        <v>1299362.1017424823</v>
      </c>
      <c r="K807" s="404">
        <v>1258793.7336673783</v>
      </c>
      <c r="L807" s="404">
        <v>1241521.5279243542</v>
      </c>
      <c r="M807" s="404">
        <v>1293522.7680581792</v>
      </c>
      <c r="N807" s="404">
        <v>1360727.683296995</v>
      </c>
      <c r="O807" s="404">
        <v>1399709.7473519172</v>
      </c>
      <c r="P807" s="404">
        <v>1474496.9588034637</v>
      </c>
      <c r="Q807" s="404">
        <v>1528857.7104621932</v>
      </c>
      <c r="R807" s="404">
        <v>1586338.9483354571</v>
      </c>
      <c r="S807" s="404">
        <v>1667153.2512142372</v>
      </c>
      <c r="T807" s="404">
        <v>1751318.2290032443</v>
      </c>
      <c r="U807" s="404">
        <v>1870089.9008134219</v>
      </c>
      <c r="V807" s="404">
        <v>1986353.9250506319</v>
      </c>
      <c r="W807" s="327"/>
    </row>
    <row r="808" spans="1:23" x14ac:dyDescent="0.2">
      <c r="A808" s="9"/>
      <c r="B808" s="309" t="s">
        <v>39</v>
      </c>
      <c r="C808" s="443">
        <v>0</v>
      </c>
      <c r="D808" s="404">
        <v>-5440512.71</v>
      </c>
      <c r="E808" s="404">
        <v>-1207895.95</v>
      </c>
      <c r="F808" s="404">
        <v>-294093.09999999998</v>
      </c>
      <c r="G808" s="404">
        <v>-776726.04</v>
      </c>
      <c r="H808" s="404">
        <v>-1724501.2119999998</v>
      </c>
      <c r="I808" s="404">
        <v>-1776236.2483599999</v>
      </c>
      <c r="J808" s="404">
        <v>-1829523.3358107999</v>
      </c>
      <c r="K808" s="404">
        <v>-1884409.035885124</v>
      </c>
      <c r="L808" s="404">
        <v>-1940941.3069616777</v>
      </c>
      <c r="M808" s="404">
        <v>-1999169.546170528</v>
      </c>
      <c r="N808" s="404">
        <v>-2059144.632555644</v>
      </c>
      <c r="O808" s="404">
        <v>-2120918.9715323136</v>
      </c>
      <c r="P808" s="404">
        <v>-2184546.5406782832</v>
      </c>
      <c r="Q808" s="404">
        <v>-2250082.936898632</v>
      </c>
      <c r="R808" s="404">
        <v>-2317585.425005591</v>
      </c>
      <c r="S808" s="404">
        <v>-2387112.9877557587</v>
      </c>
      <c r="T808" s="404">
        <v>-2458726.3773884317</v>
      </c>
      <c r="U808" s="404">
        <v>-2532488.1687100846</v>
      </c>
      <c r="V808" s="404">
        <v>-2608462.8137713871</v>
      </c>
      <c r="W808" s="327"/>
    </row>
    <row r="809" spans="1:23" ht="13.5" thickBot="1" x14ac:dyDescent="0.25">
      <c r="A809" s="9"/>
      <c r="B809" s="310" t="s">
        <v>40</v>
      </c>
      <c r="C809" s="444">
        <v>0</v>
      </c>
      <c r="D809" s="406">
        <v>0</v>
      </c>
      <c r="E809" s="406">
        <v>0</v>
      </c>
      <c r="F809" s="406">
        <v>0</v>
      </c>
      <c r="G809" s="406">
        <v>0</v>
      </c>
      <c r="H809" s="406">
        <v>0</v>
      </c>
      <c r="I809" s="406">
        <v>0</v>
      </c>
      <c r="J809" s="406">
        <v>0</v>
      </c>
      <c r="K809" s="406">
        <v>0</v>
      </c>
      <c r="L809" s="406">
        <v>0</v>
      </c>
      <c r="M809" s="406">
        <v>0</v>
      </c>
      <c r="N809" s="406">
        <v>0</v>
      </c>
      <c r="O809" s="406">
        <v>0</v>
      </c>
      <c r="P809" s="406">
        <v>0</v>
      </c>
      <c r="Q809" s="406">
        <v>0</v>
      </c>
      <c r="R809" s="406">
        <v>0</v>
      </c>
      <c r="S809" s="406">
        <v>0</v>
      </c>
      <c r="T809" s="406">
        <v>0</v>
      </c>
      <c r="U809" s="406">
        <v>0</v>
      </c>
      <c r="V809" s="406">
        <v>0</v>
      </c>
      <c r="W809" s="327"/>
    </row>
    <row r="810" spans="1:23" ht="13.5" thickTop="1" x14ac:dyDescent="0.2">
      <c r="A810" s="9"/>
      <c r="B810" s="309"/>
      <c r="C810" s="447"/>
      <c r="D810" s="327"/>
      <c r="E810" s="327"/>
      <c r="F810" s="327"/>
      <c r="G810" s="327"/>
      <c r="H810" s="327"/>
      <c r="I810" s="327"/>
      <c r="J810" s="327"/>
      <c r="K810" s="327"/>
      <c r="L810" s="327"/>
      <c r="M810" s="327"/>
      <c r="N810" s="327"/>
      <c r="O810" s="327"/>
      <c r="P810" s="327"/>
      <c r="Q810" s="327"/>
      <c r="R810" s="327"/>
      <c r="S810" s="327"/>
      <c r="T810" s="327"/>
      <c r="U810" s="327"/>
      <c r="V810" s="327"/>
      <c r="W810" s="327"/>
    </row>
    <row r="811" spans="1:23" x14ac:dyDescent="0.2">
      <c r="A811" s="9"/>
      <c r="B811" s="311" t="s">
        <v>233</v>
      </c>
      <c r="C811" s="446">
        <v>0</v>
      </c>
      <c r="D811" s="410">
        <v>3898933.201222864</v>
      </c>
      <c r="E811" s="410">
        <v>7842264.2978477711</v>
      </c>
      <c r="F811" s="410">
        <v>7487074.1923929323</v>
      </c>
      <c r="G811" s="410">
        <v>6740183.936886766</v>
      </c>
      <c r="H811" s="410">
        <v>5598374.3077431619</v>
      </c>
      <c r="I811" s="410">
        <v>5803060.2620110177</v>
      </c>
      <c r="J811" s="410">
        <v>6464264.6598441126</v>
      </c>
      <c r="K811" s="410">
        <v>6782342.5769210346</v>
      </c>
      <c r="L811" s="410">
        <v>6842137.845684614</v>
      </c>
      <c r="M811" s="410">
        <v>6744378.7957625752</v>
      </c>
      <c r="N811" s="410">
        <v>6880127.9828831265</v>
      </c>
      <c r="O811" s="410">
        <v>6709763.759925276</v>
      </c>
      <c r="P811" s="410">
        <v>6737508.9434383903</v>
      </c>
      <c r="Q811" s="410">
        <v>7056840.2250163835</v>
      </c>
      <c r="R811" s="410">
        <v>8278418.3074648678</v>
      </c>
      <c r="S811" s="410">
        <v>7637955.9871105179</v>
      </c>
      <c r="T811" s="410">
        <v>7772209.6721006343</v>
      </c>
      <c r="U811" s="410">
        <v>8714534.9067389444</v>
      </c>
      <c r="V811" s="410">
        <v>9864883.6227593049</v>
      </c>
      <c r="W811" s="408">
        <v>46942417.177673101</v>
      </c>
    </row>
    <row r="812" spans="1:23" x14ac:dyDescent="0.2">
      <c r="A812" s="9"/>
      <c r="B812" s="286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">
      <c r="A813" s="302" t="s">
        <v>218</v>
      </c>
      <c r="B813" s="300" t="s">
        <v>170</v>
      </c>
      <c r="C813" s="433">
        <v>23730630.850761451</v>
      </c>
      <c r="D813" s="9"/>
      <c r="E813" s="137" t="s">
        <v>219</v>
      </c>
      <c r="F813" s="313" t="s">
        <v>170</v>
      </c>
      <c r="G813" s="437">
        <v>23730630.850761451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">
      <c r="A814" s="9"/>
      <c r="B814" s="300" t="s">
        <v>180</v>
      </c>
      <c r="C814" s="433">
        <v>31980239.213241659</v>
      </c>
      <c r="D814" s="9"/>
      <c r="E814" s="315"/>
      <c r="F814" s="313" t="s">
        <v>180</v>
      </c>
      <c r="G814" s="437">
        <v>31980239.213241659</v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3.5" thickBot="1" x14ac:dyDescent="0.25">
      <c r="A815" s="9"/>
      <c r="B815" s="316" t="s">
        <v>137</v>
      </c>
      <c r="C815" s="434">
        <v>6977691.1975122038</v>
      </c>
      <c r="D815" s="317"/>
      <c r="E815" s="315"/>
      <c r="F815" s="313" t="s">
        <v>137</v>
      </c>
      <c r="G815" s="437">
        <v>6977691.1975122038</v>
      </c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4.25" thickTop="1" thickBot="1" x14ac:dyDescent="0.25">
      <c r="A816" s="9"/>
      <c r="B816" s="300" t="s">
        <v>28</v>
      </c>
      <c r="C816" s="432">
        <v>62688561.26151529</v>
      </c>
      <c r="D816" s="299"/>
      <c r="E816" s="315"/>
      <c r="F816" s="318" t="s">
        <v>203</v>
      </c>
      <c r="G816" s="319">
        <v>0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3.5" thickTop="1" x14ac:dyDescent="0.2">
      <c r="A817" s="9"/>
      <c r="B817" s="286"/>
      <c r="C817" s="320"/>
      <c r="D817" s="9"/>
      <c r="E817" s="321"/>
      <c r="F817" s="313" t="s">
        <v>28</v>
      </c>
      <c r="G817" s="362">
        <v>62688561.26151529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">
      <c r="A818" s="9"/>
      <c r="B818" s="286"/>
      <c r="C818" s="320"/>
      <c r="D818" s="9"/>
      <c r="E818" s="321"/>
      <c r="F818" s="313"/>
      <c r="G818" s="322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">
      <c r="A819" s="9"/>
      <c r="B819" s="286"/>
      <c r="C819" s="320"/>
      <c r="D819" s="9"/>
      <c r="E819" s="321"/>
      <c r="F819" s="313"/>
      <c r="G819" s="322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">
      <c r="A820" s="9"/>
      <c r="B820" s="323" t="s">
        <v>222</v>
      </c>
      <c r="C820" s="320"/>
      <c r="D820" s="9"/>
      <c r="E820" s="321"/>
      <c r="F820" s="313"/>
      <c r="G820" s="322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">
      <c r="A821" s="324" t="s">
        <v>224</v>
      </c>
      <c r="B821" s="323" t="s">
        <v>223</v>
      </c>
      <c r="C821" s="325"/>
      <c r="D821" s="326">
        <v>8449303.7272114996</v>
      </c>
      <c r="E821" s="326">
        <v>7938941.3496878706</v>
      </c>
      <c r="F821" s="326">
        <v>6659127.0128295412</v>
      </c>
      <c r="G821" s="326">
        <v>6392453.4998920569</v>
      </c>
      <c r="H821" s="326">
        <v>6142093.3517618803</v>
      </c>
      <c r="I821" s="326">
        <v>6307670.30797821</v>
      </c>
      <c r="J821" s="326">
        <v>6994425.8939124299</v>
      </c>
      <c r="K821" s="326">
        <v>7407957.8791387798</v>
      </c>
      <c r="L821" s="326">
        <v>7541557.6247219369</v>
      </c>
      <c r="M821" s="326">
        <v>7450025.5738749234</v>
      </c>
      <c r="N821" s="326">
        <v>7578544.9321417762</v>
      </c>
      <c r="O821" s="326">
        <v>7430972.9841056727</v>
      </c>
      <c r="P821" s="326">
        <v>7447558.5253132097</v>
      </c>
      <c r="Q821" s="326">
        <v>7778065.4514528215</v>
      </c>
      <c r="R821" s="326">
        <v>9009664.7841350008</v>
      </c>
      <c r="S821" s="326">
        <v>8357915.7236520397</v>
      </c>
      <c r="T821" s="326">
        <v>8479617.820485821</v>
      </c>
      <c r="U821" s="326">
        <v>9376933.1746356077</v>
      </c>
      <c r="V821" s="326">
        <v>10486992.511480061</v>
      </c>
      <c r="W821" s="9"/>
    </row>
    <row r="822" spans="1:23" x14ac:dyDescent="0.2">
      <c r="A822" s="9"/>
      <c r="B822" s="286" t="s">
        <v>225</v>
      </c>
      <c r="C822" s="320"/>
      <c r="D822" s="327">
        <v>5632869.1514743343</v>
      </c>
      <c r="E822" s="327">
        <v>5292627.566458581</v>
      </c>
      <c r="F822" s="327">
        <v>4439418.0085530272</v>
      </c>
      <c r="G822" s="327">
        <v>4261635.6665947055</v>
      </c>
      <c r="H822" s="327">
        <v>4094728.9011745872</v>
      </c>
      <c r="I822" s="327">
        <v>4205113.5386521397</v>
      </c>
      <c r="J822" s="327">
        <v>4662950.5959416209</v>
      </c>
      <c r="K822" s="327">
        <v>4938638.5860925196</v>
      </c>
      <c r="L822" s="327">
        <v>5027705.0831479579</v>
      </c>
      <c r="M822" s="327">
        <v>4966683.7159166159</v>
      </c>
      <c r="N822" s="327">
        <v>5052363.2880945178</v>
      </c>
      <c r="O822" s="327">
        <v>4953981.9894037824</v>
      </c>
      <c r="P822" s="327">
        <v>4965039.0168754738</v>
      </c>
      <c r="Q822" s="327">
        <v>5185376.9676352143</v>
      </c>
      <c r="R822" s="327">
        <v>6006443.1894233339</v>
      </c>
      <c r="S822" s="327">
        <v>5571943.8157680267</v>
      </c>
      <c r="T822" s="327">
        <v>5653078.5469905473</v>
      </c>
      <c r="U822" s="327">
        <v>6251288.7830904061</v>
      </c>
      <c r="V822" s="327">
        <v>6991328.3409867082</v>
      </c>
      <c r="W822" s="9"/>
    </row>
    <row r="823" spans="1:23" x14ac:dyDescent="0.2">
      <c r="A823" s="9"/>
      <c r="B823" s="328" t="s">
        <v>226</v>
      </c>
      <c r="C823" s="329"/>
      <c r="D823" s="327">
        <v>890142.18401136366</v>
      </c>
      <c r="E823" s="327">
        <v>1111218.8981599</v>
      </c>
      <c r="F823" s="327">
        <v>1122040.2795633909</v>
      </c>
      <c r="G823" s="327">
        <v>1124456.4769947091</v>
      </c>
      <c r="H823" s="327">
        <v>1180782.1679812819</v>
      </c>
      <c r="I823" s="327">
        <v>1271626.2023928072</v>
      </c>
      <c r="J823" s="327">
        <v>1299362.1017424823</v>
      </c>
      <c r="K823" s="327">
        <v>1258793.7336673783</v>
      </c>
      <c r="L823" s="327">
        <v>1241521.5279243542</v>
      </c>
      <c r="M823" s="327">
        <v>1293522.7680581792</v>
      </c>
      <c r="N823" s="327">
        <v>1360727.683296995</v>
      </c>
      <c r="O823" s="327">
        <v>1399709.7473519172</v>
      </c>
      <c r="P823" s="327">
        <v>1474496.9588034637</v>
      </c>
      <c r="Q823" s="327">
        <v>1528857.7104621932</v>
      </c>
      <c r="R823" s="327">
        <v>1586338.9483354571</v>
      </c>
      <c r="S823" s="327">
        <v>1667153.2512142372</v>
      </c>
      <c r="T823" s="327">
        <v>1751318.2290032443</v>
      </c>
      <c r="U823" s="327">
        <v>1870089.9008134219</v>
      </c>
      <c r="V823" s="327">
        <v>1986353.9250506319</v>
      </c>
      <c r="W823" s="9"/>
    </row>
    <row r="824" spans="1:23" ht="13.5" thickBot="1" x14ac:dyDescent="0.25">
      <c r="A824" s="9"/>
      <c r="B824" s="330" t="s">
        <v>227</v>
      </c>
      <c r="C824" s="331"/>
      <c r="D824" s="332">
        <v>14972315.062697198</v>
      </c>
      <c r="E824" s="332">
        <v>14342787.814306352</v>
      </c>
      <c r="F824" s="332">
        <v>12220585.30094596</v>
      </c>
      <c r="G824" s="332">
        <v>11778545.643481471</v>
      </c>
      <c r="H824" s="332">
        <v>11417604.420917749</v>
      </c>
      <c r="I824" s="332">
        <v>11784410.049023157</v>
      </c>
      <c r="J824" s="332">
        <v>12956738.591596533</v>
      </c>
      <c r="K824" s="332">
        <v>13605390.198898677</v>
      </c>
      <c r="L824" s="332">
        <v>13810784.23579425</v>
      </c>
      <c r="M824" s="332">
        <v>13710232.057849718</v>
      </c>
      <c r="N824" s="332">
        <v>13991635.903533289</v>
      </c>
      <c r="O824" s="332">
        <v>13784664.720861372</v>
      </c>
      <c r="P824" s="332">
        <v>13887094.500992147</v>
      </c>
      <c r="Q824" s="332">
        <v>14492300.12955023</v>
      </c>
      <c r="R824" s="332">
        <v>16602446.921893792</v>
      </c>
      <c r="S824" s="332">
        <v>15597012.790634304</v>
      </c>
      <c r="T824" s="332">
        <v>15884014.596479613</v>
      </c>
      <c r="U824" s="332">
        <v>17498311.858539436</v>
      </c>
      <c r="V824" s="332">
        <v>19464674.777517401</v>
      </c>
      <c r="W824" s="9"/>
    </row>
    <row r="825" spans="1:23" ht="13.5" thickTop="1" x14ac:dyDescent="0.2">
      <c r="A825" s="324" t="s">
        <v>228</v>
      </c>
      <c r="B825" s="286" t="s">
        <v>229</v>
      </c>
      <c r="C825" s="320"/>
      <c r="D825" s="327">
        <v>-1321672.1290020463</v>
      </c>
      <c r="E825" s="327">
        <v>-1380157.1210422898</v>
      </c>
      <c r="F825" s="327">
        <v>-1387955.0236859489</v>
      </c>
      <c r="G825" s="327">
        <v>-1397144.3678698516</v>
      </c>
      <c r="H825" s="327">
        <v>-1398252.0420111758</v>
      </c>
      <c r="I825" s="327">
        <v>-1487063.8544291756</v>
      </c>
      <c r="J825" s="327">
        <v>-1169901.5243348777</v>
      </c>
      <c r="K825" s="327">
        <v>-909027.65032920009</v>
      </c>
      <c r="L825" s="327">
        <v>-1005717.4388272157</v>
      </c>
      <c r="M825" s="327">
        <v>-1092124.3270552556</v>
      </c>
      <c r="N825" s="327">
        <v>-1093012.4163628761</v>
      </c>
      <c r="O825" s="327">
        <v>-1199058.3649394917</v>
      </c>
      <c r="P825" s="327">
        <v>-1308285.6919734059</v>
      </c>
      <c r="Q825" s="327">
        <v>-1420789.8388183375</v>
      </c>
      <c r="R825" s="327">
        <v>-1536669.1100686172</v>
      </c>
      <c r="S825" s="327">
        <v>-1655381.7840863916</v>
      </c>
      <c r="T825" s="327">
        <v>-1776579.8745481637</v>
      </c>
      <c r="U825" s="327">
        <v>-1903204.2829836679</v>
      </c>
      <c r="V825" s="327">
        <v>-2033627.4236722372</v>
      </c>
      <c r="W825" s="9"/>
    </row>
    <row r="826" spans="1:23" x14ac:dyDescent="0.2">
      <c r="A826" s="9"/>
      <c r="B826" s="286" t="s">
        <v>230</v>
      </c>
      <c r="C826" s="320"/>
      <c r="D826" s="327">
        <v>0</v>
      </c>
      <c r="E826" s="327">
        <v>0</v>
      </c>
      <c r="F826" s="327">
        <v>0</v>
      </c>
      <c r="G826" s="327">
        <v>0</v>
      </c>
      <c r="H826" s="327">
        <v>0</v>
      </c>
      <c r="I826" s="327">
        <v>0</v>
      </c>
      <c r="J826" s="327">
        <v>0</v>
      </c>
      <c r="K826" s="327">
        <v>0</v>
      </c>
      <c r="L826" s="327">
        <v>0</v>
      </c>
      <c r="M826" s="327">
        <v>0</v>
      </c>
      <c r="N826" s="327">
        <v>0</v>
      </c>
      <c r="O826" s="327">
        <v>0</v>
      </c>
      <c r="P826" s="327">
        <v>0</v>
      </c>
      <c r="Q826" s="327">
        <v>0</v>
      </c>
      <c r="R826" s="327">
        <v>0</v>
      </c>
      <c r="S826" s="327">
        <v>0</v>
      </c>
      <c r="T826" s="327">
        <v>0</v>
      </c>
      <c r="U826" s="327">
        <v>0</v>
      </c>
      <c r="V826" s="327">
        <v>0</v>
      </c>
      <c r="W826" s="9"/>
    </row>
    <row r="827" spans="1:23" x14ac:dyDescent="0.2">
      <c r="A827" s="9"/>
      <c r="B827" s="323" t="s">
        <v>231</v>
      </c>
      <c r="C827" s="325"/>
      <c r="D827" s="326">
        <v>13650642.933695152</v>
      </c>
      <c r="E827" s="326">
        <v>12962630.693264063</v>
      </c>
      <c r="F827" s="326">
        <v>10832630.277260011</v>
      </c>
      <c r="G827" s="326">
        <v>10381401.275611619</v>
      </c>
      <c r="H827" s="326">
        <v>10019352.378906574</v>
      </c>
      <c r="I827" s="326">
        <v>10297346.194593981</v>
      </c>
      <c r="J827" s="326">
        <v>11786837.067261655</v>
      </c>
      <c r="K827" s="326">
        <v>12696362.548569476</v>
      </c>
      <c r="L827" s="326">
        <v>12805066.796967033</v>
      </c>
      <c r="M827" s="326">
        <v>12618107.730794463</v>
      </c>
      <c r="N827" s="326">
        <v>12898623.487170413</v>
      </c>
      <c r="O827" s="326">
        <v>12585606.355921879</v>
      </c>
      <c r="P827" s="326">
        <v>12578808.809018742</v>
      </c>
      <c r="Q827" s="326">
        <v>13071510.290731892</v>
      </c>
      <c r="R827" s="326">
        <v>15065777.811825175</v>
      </c>
      <c r="S827" s="326">
        <v>13941631.006547913</v>
      </c>
      <c r="T827" s="326">
        <v>14107434.72193145</v>
      </c>
      <c r="U827" s="326">
        <v>15595107.575555768</v>
      </c>
      <c r="V827" s="326">
        <v>17431047.353845164</v>
      </c>
      <c r="W827" s="9"/>
    </row>
    <row r="828" spans="1:23" ht="13.5" thickBot="1" x14ac:dyDescent="0.25">
      <c r="A828" s="9"/>
      <c r="B828" s="333" t="s">
        <v>237</v>
      </c>
      <c r="C828" s="334"/>
      <c r="D828" s="335">
        <v>-5460257.1734780613</v>
      </c>
      <c r="E828" s="335">
        <v>-5185052.2773056254</v>
      </c>
      <c r="F828" s="335">
        <v>-4333052.1109040044</v>
      </c>
      <c r="G828" s="335">
        <v>-4152560.5102446475</v>
      </c>
      <c r="H828" s="335">
        <v>-4007740.95156263</v>
      </c>
      <c r="I828" s="335">
        <v>-4118938.4778375924</v>
      </c>
      <c r="J828" s="335">
        <v>-4714734.826904662</v>
      </c>
      <c r="K828" s="335">
        <v>-5078545.0194277912</v>
      </c>
      <c r="L828" s="335">
        <v>-5122026.7187868133</v>
      </c>
      <c r="M828" s="335">
        <v>-5047243.0923177861</v>
      </c>
      <c r="N828" s="335">
        <v>-5159449.3948681653</v>
      </c>
      <c r="O828" s="335">
        <v>-5034242.542368752</v>
      </c>
      <c r="P828" s="335">
        <v>-5031523.5236074971</v>
      </c>
      <c r="Q828" s="335">
        <v>-5228604.116292757</v>
      </c>
      <c r="R828" s="335">
        <v>-6026311.1247300701</v>
      </c>
      <c r="S828" s="335">
        <v>-5576652.4026191654</v>
      </c>
      <c r="T828" s="335">
        <v>-5642973.8887725808</v>
      </c>
      <c r="U828" s="335">
        <v>-6238043.0302223079</v>
      </c>
      <c r="V828" s="335">
        <v>-6972418.9415380657</v>
      </c>
      <c r="W828" s="9"/>
    </row>
    <row r="829" spans="1:23" ht="13.5" thickTop="1" x14ac:dyDescent="0.2">
      <c r="A829" s="9"/>
      <c r="B829" s="323" t="s">
        <v>232</v>
      </c>
      <c r="C829" s="325"/>
      <c r="D829" s="326">
        <v>8190385.7602170911</v>
      </c>
      <c r="E829" s="326">
        <v>7777578.4159584381</v>
      </c>
      <c r="F829" s="326">
        <v>6499578.1663560066</v>
      </c>
      <c r="G829" s="326">
        <v>6228840.7653669715</v>
      </c>
      <c r="H829" s="326">
        <v>6011611.4273439441</v>
      </c>
      <c r="I829" s="326">
        <v>6178407.7167563885</v>
      </c>
      <c r="J829" s="326">
        <v>7072102.2403569929</v>
      </c>
      <c r="K829" s="326">
        <v>7617817.529141685</v>
      </c>
      <c r="L829" s="326">
        <v>7683040.07818022</v>
      </c>
      <c r="M829" s="326">
        <v>7570864.6384766772</v>
      </c>
      <c r="N829" s="326">
        <v>7739174.0923022479</v>
      </c>
      <c r="O829" s="326">
        <v>7551363.8135531275</v>
      </c>
      <c r="P829" s="326">
        <v>7547285.2854112452</v>
      </c>
      <c r="Q829" s="326">
        <v>7842906.174439135</v>
      </c>
      <c r="R829" s="326">
        <v>9039466.6870951056</v>
      </c>
      <c r="S829" s="326">
        <v>8364978.6039287476</v>
      </c>
      <c r="T829" s="326">
        <v>8464460.8331588693</v>
      </c>
      <c r="U829" s="326">
        <v>9357064.54533346</v>
      </c>
      <c r="V829" s="326">
        <v>10458628.412307099</v>
      </c>
      <c r="W829" s="9"/>
    </row>
    <row r="830" spans="1:23" x14ac:dyDescent="0.2">
      <c r="A830" s="9"/>
      <c r="B830" s="9"/>
      <c r="C830" s="320"/>
      <c r="D830" s="9"/>
      <c r="E830" s="321"/>
      <c r="F830" s="313"/>
      <c r="G830" s="322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5.75" x14ac:dyDescent="0.25">
      <c r="A831" s="336" t="s">
        <v>205</v>
      </c>
      <c r="B831" s="33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">
      <c r="A832" s="284" t="s">
        <v>190</v>
      </c>
      <c r="B832" s="303"/>
      <c r="C832" s="338">
        <v>0</v>
      </c>
      <c r="D832" s="277"/>
      <c r="E832" s="277"/>
      <c r="F832" s="277"/>
      <c r="G832" s="277"/>
      <c r="H832" s="277"/>
      <c r="I832" s="277"/>
      <c r="J832" s="277"/>
      <c r="K832" s="277"/>
      <c r="L832" s="277"/>
      <c r="M832" s="277"/>
      <c r="N832" s="277"/>
      <c r="O832" s="277"/>
      <c r="P832" s="277"/>
      <c r="Q832" s="277"/>
      <c r="R832" s="277"/>
      <c r="S832" s="277"/>
      <c r="T832" s="277"/>
      <c r="U832" s="277"/>
      <c r="V832" s="277"/>
      <c r="W832" s="277"/>
    </row>
    <row r="833" spans="1:23" x14ac:dyDescent="0.2">
      <c r="A833" s="284" t="s">
        <v>191</v>
      </c>
      <c r="B833" s="303"/>
      <c r="C833" s="339">
        <v>0</v>
      </c>
      <c r="D833" s="277"/>
      <c r="E833" s="277"/>
      <c r="F833" s="277"/>
      <c r="G833" s="277"/>
      <c r="H833" s="277"/>
      <c r="I833" s="277"/>
      <c r="J833" s="277"/>
      <c r="K833" s="277"/>
      <c r="L833" s="277"/>
      <c r="M833" s="277"/>
      <c r="N833" s="277"/>
      <c r="O833" s="277"/>
      <c r="P833" s="277"/>
      <c r="Q833" s="277"/>
      <c r="R833" s="277"/>
      <c r="S833" s="277"/>
      <c r="T833" s="277"/>
      <c r="U833" s="277"/>
      <c r="V833" s="277"/>
      <c r="W833" s="277"/>
    </row>
    <row r="834" spans="1:23" x14ac:dyDescent="0.2">
      <c r="A834" s="284" t="s">
        <v>201</v>
      </c>
      <c r="B834" s="303"/>
      <c r="C834" s="284">
        <v>15</v>
      </c>
      <c r="D834" s="277"/>
      <c r="E834" s="277"/>
      <c r="F834" s="277"/>
      <c r="G834" s="277"/>
      <c r="H834" s="277"/>
      <c r="I834" s="277"/>
      <c r="J834" s="277"/>
      <c r="K834" s="277"/>
      <c r="L834" s="277"/>
      <c r="M834" s="277"/>
      <c r="N834" s="277"/>
      <c r="O834" s="277"/>
      <c r="P834" s="277"/>
      <c r="Q834" s="277"/>
      <c r="R834" s="277"/>
      <c r="S834" s="277"/>
      <c r="T834" s="277"/>
      <c r="U834" s="277"/>
      <c r="V834" s="277"/>
      <c r="W834" s="277"/>
    </row>
    <row r="835" spans="1:23" x14ac:dyDescent="0.2">
      <c r="A835" s="284" t="s">
        <v>192</v>
      </c>
      <c r="B835" s="303"/>
      <c r="C835" s="339">
        <v>0</v>
      </c>
      <c r="D835" s="277"/>
      <c r="E835" s="277"/>
      <c r="F835" s="277"/>
      <c r="G835" s="277"/>
      <c r="H835" s="277"/>
      <c r="I835" s="277"/>
      <c r="J835" s="277"/>
      <c r="K835" s="277"/>
      <c r="L835" s="277"/>
      <c r="M835" s="277"/>
      <c r="N835" s="277"/>
      <c r="O835" s="277"/>
      <c r="P835" s="277"/>
      <c r="Q835" s="277"/>
      <c r="R835" s="277"/>
      <c r="S835" s="277"/>
      <c r="T835" s="277"/>
      <c r="U835" s="277"/>
      <c r="V835" s="277"/>
      <c r="W835" s="277"/>
    </row>
    <row r="836" spans="1:23" x14ac:dyDescent="0.2">
      <c r="A836" s="284" t="s">
        <v>193</v>
      </c>
      <c r="B836" s="303"/>
      <c r="C836" s="340">
        <v>8.7499999999999994E-2</v>
      </c>
      <c r="D836" s="277"/>
      <c r="E836" s="277"/>
      <c r="F836" s="277"/>
      <c r="G836" s="277"/>
      <c r="H836" s="277"/>
      <c r="I836" s="277"/>
      <c r="J836" s="277"/>
      <c r="K836" s="277"/>
      <c r="L836" s="277"/>
      <c r="M836" s="277"/>
      <c r="N836" s="277"/>
      <c r="O836" s="277"/>
      <c r="P836" s="277"/>
      <c r="Q836" s="277"/>
      <c r="R836" s="277"/>
      <c r="S836" s="277"/>
      <c r="T836" s="277"/>
      <c r="U836" s="277"/>
      <c r="V836" s="277"/>
      <c r="W836" s="277"/>
    </row>
    <row r="837" spans="1:23" x14ac:dyDescent="0.2">
      <c r="A837" s="284"/>
      <c r="B837" s="303"/>
      <c r="C837" s="277"/>
      <c r="D837" s="306">
        <v>2001</v>
      </c>
      <c r="E837" s="306">
        <v>2002</v>
      </c>
      <c r="F837" s="306">
        <v>2003</v>
      </c>
      <c r="G837" s="306">
        <v>2004</v>
      </c>
      <c r="H837" s="306">
        <v>2005</v>
      </c>
      <c r="I837" s="306">
        <v>2006</v>
      </c>
      <c r="J837" s="306">
        <v>2007</v>
      </c>
      <c r="K837" s="306">
        <v>2008</v>
      </c>
      <c r="L837" s="306">
        <v>2009</v>
      </c>
      <c r="M837" s="306">
        <v>2010</v>
      </c>
      <c r="N837" s="306">
        <v>2011</v>
      </c>
      <c r="O837" s="306">
        <v>2012</v>
      </c>
      <c r="P837" s="306">
        <v>2013</v>
      </c>
      <c r="Q837" s="306">
        <v>2014</v>
      </c>
      <c r="R837" s="306">
        <v>2015</v>
      </c>
      <c r="S837" s="306">
        <v>2016</v>
      </c>
      <c r="T837" s="306">
        <v>2017</v>
      </c>
      <c r="U837" s="306">
        <v>2018</v>
      </c>
      <c r="V837" s="306">
        <v>2019</v>
      </c>
      <c r="W837" s="306" t="s">
        <v>154</v>
      </c>
    </row>
    <row r="838" spans="1:23" x14ac:dyDescent="0.2">
      <c r="A838" s="284" t="s">
        <v>194</v>
      </c>
      <c r="B838" s="303"/>
      <c r="C838" s="277"/>
      <c r="D838" s="341">
        <v>0</v>
      </c>
      <c r="E838" s="341">
        <v>0</v>
      </c>
      <c r="F838" s="341">
        <v>0</v>
      </c>
      <c r="G838" s="341">
        <v>0</v>
      </c>
      <c r="H838" s="341">
        <v>0</v>
      </c>
      <c r="I838" s="341">
        <v>0</v>
      </c>
      <c r="J838" s="341">
        <v>0</v>
      </c>
      <c r="K838" s="341">
        <v>0</v>
      </c>
      <c r="L838" s="341">
        <v>0</v>
      </c>
      <c r="M838" s="341">
        <v>0</v>
      </c>
      <c r="N838" s="341">
        <v>0</v>
      </c>
      <c r="O838" s="341">
        <v>0</v>
      </c>
      <c r="P838" s="341">
        <v>0</v>
      </c>
      <c r="Q838" s="341">
        <v>0</v>
      </c>
      <c r="R838" s="341">
        <v>0</v>
      </c>
      <c r="S838" s="341">
        <v>0</v>
      </c>
      <c r="T838" s="341">
        <v>0</v>
      </c>
      <c r="U838" s="341">
        <v>0</v>
      </c>
      <c r="V838" s="341">
        <v>0</v>
      </c>
      <c r="W838" s="341">
        <v>0</v>
      </c>
    </row>
    <row r="839" spans="1:23" x14ac:dyDescent="0.2">
      <c r="A839" s="284" t="s">
        <v>195</v>
      </c>
      <c r="B839" s="303"/>
      <c r="C839" s="277"/>
      <c r="D839" s="341">
        <v>0</v>
      </c>
      <c r="E839" s="341">
        <v>0</v>
      </c>
      <c r="F839" s="341">
        <v>0</v>
      </c>
      <c r="G839" s="341">
        <v>0</v>
      </c>
      <c r="H839" s="341">
        <v>0</v>
      </c>
      <c r="I839" s="341">
        <v>0</v>
      </c>
      <c r="J839" s="341">
        <v>0</v>
      </c>
      <c r="K839" s="341">
        <v>0</v>
      </c>
      <c r="L839" s="341">
        <v>0</v>
      </c>
      <c r="M839" s="341">
        <v>0</v>
      </c>
      <c r="N839" s="341">
        <v>0</v>
      </c>
      <c r="O839" s="341">
        <v>0</v>
      </c>
      <c r="P839" s="341">
        <v>0</v>
      </c>
      <c r="Q839" s="341">
        <v>0</v>
      </c>
      <c r="R839" s="341">
        <v>0</v>
      </c>
      <c r="S839" s="341">
        <v>0</v>
      </c>
      <c r="T839" s="341">
        <v>0</v>
      </c>
      <c r="U839" s="341">
        <v>0</v>
      </c>
      <c r="V839" s="341">
        <v>0</v>
      </c>
      <c r="W839" s="341">
        <v>0</v>
      </c>
    </row>
    <row r="840" spans="1:23" x14ac:dyDescent="0.2">
      <c r="A840" s="284" t="s">
        <v>196</v>
      </c>
      <c r="B840" s="303"/>
      <c r="C840" s="277"/>
      <c r="D840" s="341">
        <v>0</v>
      </c>
      <c r="E840" s="341">
        <v>0</v>
      </c>
      <c r="F840" s="341">
        <v>0</v>
      </c>
      <c r="G840" s="341">
        <v>0</v>
      </c>
      <c r="H840" s="341">
        <v>0</v>
      </c>
      <c r="I840" s="341">
        <v>0</v>
      </c>
      <c r="J840" s="341">
        <v>0</v>
      </c>
      <c r="K840" s="341">
        <v>0</v>
      </c>
      <c r="L840" s="341">
        <v>0</v>
      </c>
      <c r="M840" s="341">
        <v>0</v>
      </c>
      <c r="N840" s="341">
        <v>0</v>
      </c>
      <c r="O840" s="341">
        <v>0</v>
      </c>
      <c r="P840" s="341">
        <v>0</v>
      </c>
      <c r="Q840" s="341">
        <v>0</v>
      </c>
      <c r="R840" s="341">
        <v>0</v>
      </c>
      <c r="S840" s="341">
        <v>0</v>
      </c>
      <c r="T840" s="341">
        <v>0</v>
      </c>
      <c r="U840" s="341">
        <v>0</v>
      </c>
      <c r="V840" s="341">
        <v>0</v>
      </c>
      <c r="W840" s="341">
        <v>0</v>
      </c>
    </row>
    <row r="841" spans="1:23" x14ac:dyDescent="0.2">
      <c r="A841" s="284" t="s">
        <v>197</v>
      </c>
      <c r="B841" s="303"/>
      <c r="C841" s="277"/>
      <c r="D841" s="342">
        <v>0</v>
      </c>
      <c r="E841" s="342">
        <v>0</v>
      </c>
      <c r="F841" s="342">
        <v>0</v>
      </c>
      <c r="G841" s="342">
        <v>0</v>
      </c>
      <c r="H841" s="342">
        <v>0</v>
      </c>
      <c r="I841" s="342">
        <v>0</v>
      </c>
      <c r="J841" s="342">
        <v>0</v>
      </c>
      <c r="K841" s="342">
        <v>0</v>
      </c>
      <c r="L841" s="342">
        <v>0</v>
      </c>
      <c r="M841" s="342">
        <v>0</v>
      </c>
      <c r="N841" s="342">
        <v>0</v>
      </c>
      <c r="O841" s="342">
        <v>0</v>
      </c>
      <c r="P841" s="342">
        <v>0</v>
      </c>
      <c r="Q841" s="342">
        <v>0</v>
      </c>
      <c r="R841" s="342">
        <v>0</v>
      </c>
      <c r="S841" s="342">
        <v>0</v>
      </c>
      <c r="T841" s="342">
        <v>0</v>
      </c>
      <c r="U841" s="342">
        <v>0</v>
      </c>
      <c r="V841" s="342">
        <v>0</v>
      </c>
      <c r="W841" s="342">
        <v>0</v>
      </c>
    </row>
    <row r="842" spans="1:23" ht="13.5" thickBot="1" x14ac:dyDescent="0.25">
      <c r="A842" s="284" t="s">
        <v>198</v>
      </c>
      <c r="B842" s="303"/>
      <c r="C842" s="277"/>
      <c r="D842" s="343">
        <v>0</v>
      </c>
      <c r="E842" s="343">
        <v>0</v>
      </c>
      <c r="F842" s="343">
        <v>0</v>
      </c>
      <c r="G842" s="343">
        <v>0</v>
      </c>
      <c r="H842" s="343">
        <v>0</v>
      </c>
      <c r="I842" s="343">
        <v>0</v>
      </c>
      <c r="J842" s="343">
        <v>0</v>
      </c>
      <c r="K842" s="343">
        <v>0</v>
      </c>
      <c r="L842" s="343">
        <v>0</v>
      </c>
      <c r="M842" s="343">
        <v>0</v>
      </c>
      <c r="N842" s="343">
        <v>0</v>
      </c>
      <c r="O842" s="343">
        <v>0</v>
      </c>
      <c r="P842" s="343">
        <v>0</v>
      </c>
      <c r="Q842" s="343">
        <v>0</v>
      </c>
      <c r="R842" s="343">
        <v>0</v>
      </c>
      <c r="S842" s="343">
        <v>0</v>
      </c>
      <c r="T842" s="343">
        <v>0</v>
      </c>
      <c r="U842" s="343">
        <v>0</v>
      </c>
      <c r="V842" s="343">
        <v>0</v>
      </c>
      <c r="W842" s="343">
        <v>0</v>
      </c>
    </row>
    <row r="843" spans="1:23" ht="13.5" thickTop="1" x14ac:dyDescent="0.2">
      <c r="A843" s="284"/>
      <c r="B843" s="303"/>
      <c r="C843" s="277"/>
      <c r="D843" s="341"/>
      <c r="E843" s="341"/>
      <c r="F843" s="341"/>
      <c r="G843" s="341"/>
      <c r="H843" s="341"/>
      <c r="I843" s="341"/>
      <c r="J843" s="341"/>
      <c r="K843" s="341"/>
      <c r="L843" s="341"/>
      <c r="M843" s="341"/>
      <c r="N843" s="341"/>
      <c r="O843" s="341"/>
      <c r="P843" s="341"/>
      <c r="Q843" s="341"/>
      <c r="R843" s="341"/>
      <c r="S843" s="341"/>
      <c r="T843" s="341"/>
      <c r="U843" s="341"/>
      <c r="V843" s="341"/>
      <c r="W843" s="341"/>
    </row>
    <row r="844" spans="1:23" x14ac:dyDescent="0.2">
      <c r="A844" s="284" t="s">
        <v>199</v>
      </c>
      <c r="B844" s="303"/>
      <c r="C844" s="277"/>
      <c r="D844" s="341">
        <v>0</v>
      </c>
      <c r="E844" s="341">
        <v>0</v>
      </c>
      <c r="F844" s="341">
        <v>0</v>
      </c>
      <c r="G844" s="341">
        <v>0</v>
      </c>
      <c r="H844" s="341">
        <v>0</v>
      </c>
      <c r="I844" s="341">
        <v>0</v>
      </c>
      <c r="J844" s="341">
        <v>0</v>
      </c>
      <c r="K844" s="341">
        <v>0</v>
      </c>
      <c r="L844" s="341">
        <v>0</v>
      </c>
      <c r="M844" s="341">
        <v>0</v>
      </c>
      <c r="N844" s="341">
        <v>0</v>
      </c>
      <c r="O844" s="341">
        <v>0</v>
      </c>
      <c r="P844" s="341">
        <v>0</v>
      </c>
      <c r="Q844" s="341">
        <v>0</v>
      </c>
      <c r="R844" s="341">
        <v>0</v>
      </c>
      <c r="S844" s="341">
        <v>0</v>
      </c>
      <c r="T844" s="341">
        <v>0</v>
      </c>
      <c r="U844" s="341">
        <v>0</v>
      </c>
      <c r="V844" s="341">
        <v>0</v>
      </c>
      <c r="W844" s="341">
        <v>0</v>
      </c>
    </row>
    <row r="845" spans="1:23" x14ac:dyDescent="0.2">
      <c r="A845" s="284"/>
      <c r="B845" s="303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M845" s="277"/>
      <c r="N845" s="277"/>
      <c r="O845" s="277"/>
      <c r="P845" s="277"/>
      <c r="Q845" s="277"/>
      <c r="R845" s="277"/>
      <c r="S845" s="277"/>
      <c r="T845" s="277"/>
      <c r="U845" s="277"/>
      <c r="V845" s="277"/>
      <c r="W845" s="277"/>
    </row>
    <row r="846" spans="1:23" x14ac:dyDescent="0.2">
      <c r="A846" s="284" t="s">
        <v>200</v>
      </c>
      <c r="B846" s="303"/>
      <c r="C846" s="277"/>
      <c r="D846" s="341">
        <v>0</v>
      </c>
      <c r="E846" s="341">
        <v>0</v>
      </c>
      <c r="F846" s="341">
        <v>0</v>
      </c>
      <c r="G846" s="341">
        <v>0</v>
      </c>
      <c r="H846" s="341">
        <v>0</v>
      </c>
      <c r="I846" s="341">
        <v>0</v>
      </c>
      <c r="J846" s="341">
        <v>0</v>
      </c>
      <c r="K846" s="341">
        <v>0</v>
      </c>
      <c r="L846" s="341">
        <v>0</v>
      </c>
      <c r="M846" s="341">
        <v>0</v>
      </c>
      <c r="N846" s="341">
        <v>0</v>
      </c>
      <c r="O846" s="341">
        <v>0</v>
      </c>
      <c r="P846" s="341">
        <v>0</v>
      </c>
      <c r="Q846" s="341">
        <v>0</v>
      </c>
      <c r="R846" s="341">
        <v>0</v>
      </c>
      <c r="S846" s="341">
        <v>0</v>
      </c>
      <c r="T846" s="341">
        <v>0</v>
      </c>
      <c r="U846" s="341">
        <v>0</v>
      </c>
      <c r="V846" s="341">
        <v>0</v>
      </c>
      <c r="W846" s="341">
        <v>0</v>
      </c>
    </row>
    <row r="847" spans="1:23" x14ac:dyDescent="0.2">
      <c r="A847" s="277"/>
      <c r="B847" s="303"/>
      <c r="C847" s="277"/>
      <c r="D847" s="277"/>
      <c r="E847" s="277"/>
      <c r="F847" s="277"/>
      <c r="G847" s="277"/>
      <c r="H847" s="277"/>
      <c r="I847" s="277"/>
      <c r="J847" s="277"/>
      <c r="K847" s="277"/>
      <c r="L847" s="277"/>
      <c r="M847" s="277"/>
      <c r="N847" s="277"/>
      <c r="O847" s="277"/>
      <c r="P847" s="277"/>
      <c r="Q847" s="277"/>
      <c r="R847" s="277"/>
      <c r="S847" s="277"/>
      <c r="T847" s="277"/>
      <c r="U847" s="277"/>
      <c r="V847" s="277"/>
      <c r="W847" s="277"/>
    </row>
    <row r="848" spans="1:23" x14ac:dyDescent="0.2">
      <c r="A848" s="277"/>
      <c r="B848" s="303"/>
      <c r="C848" s="277"/>
      <c r="D848" s="277"/>
      <c r="E848" s="277"/>
      <c r="F848" s="277"/>
      <c r="G848" s="277"/>
      <c r="H848" s="277"/>
      <c r="I848" s="277"/>
      <c r="J848" s="277"/>
      <c r="K848" s="277"/>
      <c r="L848" s="277"/>
      <c r="M848" s="277"/>
      <c r="N848" s="277"/>
      <c r="O848" s="277"/>
      <c r="P848" s="277"/>
      <c r="Q848" s="277"/>
      <c r="R848" s="277"/>
      <c r="S848" s="277"/>
      <c r="T848" s="277"/>
      <c r="U848" s="277"/>
      <c r="V848" s="277"/>
      <c r="W848" s="277"/>
    </row>
    <row r="849" spans="1:23" x14ac:dyDescent="0.2">
      <c r="A849" s="284" t="s">
        <v>202</v>
      </c>
      <c r="B849" s="279"/>
      <c r="C849" s="278"/>
      <c r="D849" s="435">
        <v>3898933.201222864</v>
      </c>
      <c r="E849" s="435">
        <v>7842264.2978477711</v>
      </c>
      <c r="F849" s="435">
        <v>7487074.1923929323</v>
      </c>
      <c r="G849" s="435">
        <v>6740183.936886766</v>
      </c>
      <c r="H849" s="435">
        <v>5598374.3077431619</v>
      </c>
      <c r="I849" s="435">
        <v>5803060.2620110177</v>
      </c>
      <c r="J849" s="435">
        <v>6464264.6598441126</v>
      </c>
      <c r="K849" s="435">
        <v>6782342.5769210346</v>
      </c>
      <c r="L849" s="435">
        <v>6842137.845684614</v>
      </c>
      <c r="M849" s="435">
        <v>6744378.7957625752</v>
      </c>
      <c r="N849" s="435">
        <v>6880127.9828831265</v>
      </c>
      <c r="O849" s="435">
        <v>6709763.759925276</v>
      </c>
      <c r="P849" s="435">
        <v>6737508.9434383903</v>
      </c>
      <c r="Q849" s="435">
        <v>7056840.2250163835</v>
      </c>
      <c r="R849" s="435">
        <v>8278418.3074648678</v>
      </c>
      <c r="S849" s="435">
        <v>7637955.9871105179</v>
      </c>
      <c r="T849" s="435">
        <v>7772209.6721006343</v>
      </c>
      <c r="U849" s="435">
        <v>8714534.9067389444</v>
      </c>
      <c r="V849" s="435">
        <v>9864883.6227593049</v>
      </c>
      <c r="W849" s="435">
        <v>46942417.177673101</v>
      </c>
    </row>
    <row r="850" spans="1:23" x14ac:dyDescent="0.2">
      <c r="A850" s="9"/>
      <c r="B850" s="6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">
      <c r="B851" s="350"/>
      <c r="C851" s="353"/>
      <c r="D851" s="353"/>
      <c r="E851" s="353"/>
      <c r="F851" s="353"/>
      <c r="G851" s="353"/>
      <c r="H851" s="353"/>
      <c r="I851" s="353"/>
      <c r="J851" s="353"/>
      <c r="K851" s="353"/>
      <c r="L851" s="353"/>
      <c r="M851" s="353"/>
      <c r="N851" s="353"/>
      <c r="O851" s="353"/>
      <c r="P851" s="353"/>
      <c r="Q851" s="353"/>
      <c r="R851" s="353"/>
      <c r="S851" s="353"/>
      <c r="T851" s="353"/>
      <c r="U851" s="353"/>
      <c r="V851" s="353"/>
      <c r="W851" s="352"/>
    </row>
    <row r="852" spans="1:23" x14ac:dyDescent="0.2">
      <c r="B852" s="289"/>
    </row>
    <row r="853" spans="1:23" x14ac:dyDescent="0.2">
      <c r="A853" s="45"/>
      <c r="B853" s="300"/>
      <c r="C853" s="312"/>
      <c r="E853" s="361"/>
      <c r="F853" s="313"/>
      <c r="G853" s="314"/>
    </row>
    <row r="854" spans="1:23" x14ac:dyDescent="0.2">
      <c r="B854" s="300"/>
      <c r="C854" s="312"/>
      <c r="E854" s="91"/>
      <c r="F854" s="313"/>
      <c r="G854" s="314"/>
    </row>
    <row r="855" spans="1:23" x14ac:dyDescent="0.2">
      <c r="B855" s="300"/>
      <c r="C855" s="312"/>
      <c r="D855" s="317"/>
      <c r="E855" s="91"/>
      <c r="F855" s="313"/>
      <c r="G855" s="314"/>
    </row>
    <row r="856" spans="1:23" x14ac:dyDescent="0.2">
      <c r="B856" s="300"/>
      <c r="C856" s="301"/>
      <c r="D856" s="345"/>
      <c r="E856" s="91"/>
      <c r="F856" s="351"/>
      <c r="G856" s="362"/>
    </row>
    <row r="857" spans="1:23" x14ac:dyDescent="0.2">
      <c r="B857" s="289"/>
      <c r="C857" s="354"/>
      <c r="E857" s="363"/>
      <c r="F857" s="313"/>
      <c r="G857" s="322"/>
    </row>
    <row r="858" spans="1:23" ht="15.75" x14ac:dyDescent="0.25">
      <c r="A858" s="302" t="s">
        <v>29</v>
      </c>
      <c r="B858" s="305" t="s">
        <v>67</v>
      </c>
      <c r="C858" s="306">
        <v>2000</v>
      </c>
      <c r="D858" s="306">
        <v>2001</v>
      </c>
      <c r="E858" s="306">
        <v>2002</v>
      </c>
      <c r="F858" s="306">
        <v>2003</v>
      </c>
      <c r="G858" s="306">
        <v>2004</v>
      </c>
      <c r="H858" s="306">
        <v>2005</v>
      </c>
      <c r="I858" s="306">
        <v>2006</v>
      </c>
      <c r="J858" s="306">
        <v>2007</v>
      </c>
      <c r="K858" s="306">
        <v>2008</v>
      </c>
      <c r="L858" s="306">
        <v>2009</v>
      </c>
      <c r="M858" s="306">
        <v>2010</v>
      </c>
      <c r="N858" s="306">
        <v>2011</v>
      </c>
      <c r="O858" s="306">
        <v>2012</v>
      </c>
      <c r="P858" s="306">
        <v>2013</v>
      </c>
      <c r="Q858" s="306">
        <v>2014</v>
      </c>
      <c r="R858" s="306">
        <v>2015</v>
      </c>
      <c r="S858" s="306">
        <v>2016</v>
      </c>
      <c r="T858" s="306">
        <v>2017</v>
      </c>
      <c r="U858" s="306">
        <v>2018</v>
      </c>
      <c r="V858" s="306">
        <v>2019</v>
      </c>
      <c r="W858" s="306" t="s">
        <v>154</v>
      </c>
    </row>
    <row r="859" spans="1:23" x14ac:dyDescent="0.2">
      <c r="A859" s="302" t="s">
        <v>26</v>
      </c>
      <c r="B859" s="303">
        <v>94</v>
      </c>
      <c r="C859" s="308"/>
      <c r="D859" s="308"/>
      <c r="E859" s="308"/>
      <c r="F859" s="308"/>
      <c r="G859" s="308"/>
      <c r="H859" s="308"/>
      <c r="I859" s="308"/>
      <c r="J859" s="308"/>
      <c r="K859" s="308"/>
      <c r="L859" s="308"/>
      <c r="M859" s="308"/>
      <c r="N859" s="308"/>
      <c r="O859" s="308"/>
      <c r="P859" s="308"/>
      <c r="Q859" s="308"/>
      <c r="R859" s="308"/>
      <c r="S859" s="308"/>
      <c r="T859" s="308"/>
      <c r="U859" s="308"/>
      <c r="V859" s="308"/>
      <c r="W859" s="308"/>
    </row>
    <row r="860" spans="1:23" x14ac:dyDescent="0.2">
      <c r="A860" s="9"/>
      <c r="B860" s="309" t="s">
        <v>27</v>
      </c>
      <c r="C860" s="443">
        <v>0</v>
      </c>
      <c r="D860" s="404">
        <v>28028526.350796737</v>
      </c>
      <c r="E860" s="404">
        <v>27639805.646910828</v>
      </c>
      <c r="F860" s="404">
        <v>28171824.476639852</v>
      </c>
      <c r="G860" s="404">
        <v>27772522.318086959</v>
      </c>
      <c r="H860" s="404">
        <v>27981710.112344034</v>
      </c>
      <c r="I860" s="404">
        <v>29871087.167131733</v>
      </c>
      <c r="J860" s="404">
        <v>32029428.803405747</v>
      </c>
      <c r="K860" s="404">
        <v>32858278.605204072</v>
      </c>
      <c r="L860" s="404">
        <v>33546028.700731311</v>
      </c>
      <c r="M860" s="404">
        <v>33665786.169612311</v>
      </c>
      <c r="N860" s="404">
        <v>34393133.252347246</v>
      </c>
      <c r="O860" s="404">
        <v>34779360.81629549</v>
      </c>
      <c r="P860" s="404">
        <v>35188645.907967046</v>
      </c>
      <c r="Q860" s="404">
        <v>36427329.203799009</v>
      </c>
      <c r="R860" s="404">
        <v>39011811.6637007</v>
      </c>
      <c r="S860" s="404">
        <v>38787075.296814457</v>
      </c>
      <c r="T860" s="404">
        <v>39281409.555673271</v>
      </c>
      <c r="U860" s="404">
        <v>41169094.629661351</v>
      </c>
      <c r="V860" s="404">
        <v>42419547.189287893</v>
      </c>
      <c r="W860" s="327"/>
    </row>
    <row r="861" spans="1:23" x14ac:dyDescent="0.2">
      <c r="A861" s="9"/>
      <c r="B861" s="309" t="s">
        <v>20</v>
      </c>
      <c r="C861" s="443">
        <v>0</v>
      </c>
      <c r="D861" s="404">
        <v>-9174874.0584441479</v>
      </c>
      <c r="E861" s="404">
        <v>-9306881.2080147881</v>
      </c>
      <c r="F861" s="404">
        <v>-9469061.4203444365</v>
      </c>
      <c r="G861" s="404">
        <v>-9739864.6586064957</v>
      </c>
      <c r="H861" s="404">
        <v>-10078557.288076313</v>
      </c>
      <c r="I861" s="404">
        <v>-10465526.817960544</v>
      </c>
      <c r="J861" s="404">
        <v>-10706911.320032576</v>
      </c>
      <c r="K861" s="404">
        <v>-10936980.923569985</v>
      </c>
      <c r="L861" s="404">
        <v>-11117264.973555032</v>
      </c>
      <c r="M861" s="404">
        <v>-11206275.508694094</v>
      </c>
      <c r="N861" s="404">
        <v>-11358649.475627065</v>
      </c>
      <c r="O861" s="404">
        <v>-11605314.263681922</v>
      </c>
      <c r="P861" s="404">
        <v>-11870082.88939218</v>
      </c>
      <c r="Q861" s="404">
        <v>-12122027.963429864</v>
      </c>
      <c r="R861" s="404">
        <v>-12294014.421156187</v>
      </c>
      <c r="S861" s="404">
        <v>-12545959.495193871</v>
      </c>
      <c r="T861" s="404">
        <v>-12832603.59140441</v>
      </c>
      <c r="U861" s="404">
        <v>-13147157.770667024</v>
      </c>
      <c r="V861" s="404">
        <v>-13472272.521895293</v>
      </c>
      <c r="W861" s="327"/>
    </row>
    <row r="862" spans="1:23" x14ac:dyDescent="0.2">
      <c r="A862" s="9"/>
      <c r="B862" s="309" t="s">
        <v>31</v>
      </c>
      <c r="C862" s="443">
        <v>0</v>
      </c>
      <c r="D862" s="404">
        <v>-743370.48213067558</v>
      </c>
      <c r="E862" s="404">
        <v>-758374.93634513055</v>
      </c>
      <c r="F862" s="404">
        <v>-773682.24580025696</v>
      </c>
      <c r="G862" s="404">
        <v>-789298.52343395236</v>
      </c>
      <c r="H862" s="404">
        <v>-805230.00556982751</v>
      </c>
      <c r="I862" s="404">
        <v>-821483.05440766655</v>
      </c>
      <c r="J862" s="404">
        <v>-838064.16056415753</v>
      </c>
      <c r="K862" s="404">
        <v>-854979.94566490361</v>
      </c>
      <c r="L862" s="404">
        <v>-872237.16498875513</v>
      </c>
      <c r="M862" s="404">
        <v>-889842.7101655131</v>
      </c>
      <c r="N862" s="404">
        <v>-907803.6119280851</v>
      </c>
      <c r="O862" s="404">
        <v>-926127.04292019352</v>
      </c>
      <c r="P862" s="404">
        <v>-944820.3205607523</v>
      </c>
      <c r="Q862" s="404">
        <v>-963890.90996606089</v>
      </c>
      <c r="R862" s="404">
        <v>-983346.4269309825</v>
      </c>
      <c r="S862" s="404">
        <v>-1003194.6409702911</v>
      </c>
      <c r="T862" s="404">
        <v>-1023443.4784214119</v>
      </c>
      <c r="U862" s="404">
        <v>-1044101.0256097832</v>
      </c>
      <c r="V862" s="404">
        <v>-1065175.532078112</v>
      </c>
      <c r="W862" s="327"/>
    </row>
    <row r="863" spans="1:23" x14ac:dyDescent="0.2">
      <c r="A863" s="9"/>
      <c r="B863" s="309" t="s">
        <v>32</v>
      </c>
      <c r="C863" s="443">
        <v>0</v>
      </c>
      <c r="D863" s="404">
        <v>0</v>
      </c>
      <c r="E863" s="404">
        <v>0</v>
      </c>
      <c r="F863" s="404">
        <v>0</v>
      </c>
      <c r="G863" s="404">
        <v>0</v>
      </c>
      <c r="H863" s="404">
        <v>0</v>
      </c>
      <c r="I863" s="404">
        <v>-814924.55076521414</v>
      </c>
      <c r="J863" s="404">
        <v>-903278.7651265678</v>
      </c>
      <c r="K863" s="404">
        <v>-1061916.2730307095</v>
      </c>
      <c r="L863" s="404">
        <v>-1094751.0185525338</v>
      </c>
      <c r="M863" s="404">
        <v>-1217531.4511321231</v>
      </c>
      <c r="N863" s="404">
        <v>-1341202.9677294414</v>
      </c>
      <c r="O863" s="404">
        <v>-1486012.6777633212</v>
      </c>
      <c r="P863" s="404">
        <v>-1666211.1218634688</v>
      </c>
      <c r="Q863" s="404">
        <v>-1854752.9859113984</v>
      </c>
      <c r="R863" s="404">
        <v>-2054499.7141283837</v>
      </c>
      <c r="S863" s="404">
        <v>-2255838.1595702157</v>
      </c>
      <c r="T863" s="404">
        <v>-2216251.0143660293</v>
      </c>
      <c r="U863" s="404">
        <v>-1896122.6143030608</v>
      </c>
      <c r="V863" s="404">
        <v>-1965929.3229756742</v>
      </c>
      <c r="W863" s="327"/>
    </row>
    <row r="864" spans="1:23" ht="13.5" thickBot="1" x14ac:dyDescent="0.25">
      <c r="A864" s="9"/>
      <c r="B864" s="310" t="s">
        <v>33</v>
      </c>
      <c r="C864" s="444">
        <v>0</v>
      </c>
      <c r="D864" s="406">
        <v>0</v>
      </c>
      <c r="E864" s="406">
        <v>0</v>
      </c>
      <c r="F864" s="406">
        <v>-2245997.4091735813</v>
      </c>
      <c r="G864" s="406">
        <v>-1913730.5787497328</v>
      </c>
      <c r="H864" s="406">
        <v>-1986713.7951929925</v>
      </c>
      <c r="I864" s="406">
        <v>-2063377.2012068962</v>
      </c>
      <c r="J864" s="406">
        <v>-2592052.4162370525</v>
      </c>
      <c r="K864" s="406">
        <v>-2264128.7361708563</v>
      </c>
      <c r="L864" s="406">
        <v>-2396420.293307181</v>
      </c>
      <c r="M864" s="406">
        <v>-2280285.6894867192</v>
      </c>
      <c r="N864" s="406">
        <v>-2345594.9509949684</v>
      </c>
      <c r="O864" s="406">
        <v>-2406418.2733463813</v>
      </c>
      <c r="P864" s="406">
        <v>-2149436.4014788275</v>
      </c>
      <c r="Q864" s="406">
        <v>-2226288.8090332462</v>
      </c>
      <c r="R864" s="406">
        <v>-2272295.9159368495</v>
      </c>
      <c r="S864" s="406">
        <v>-2413018.6151943984</v>
      </c>
      <c r="T864" s="406">
        <v>-2268487.7684053066</v>
      </c>
      <c r="U864" s="406">
        <v>-2498460.3464414603</v>
      </c>
      <c r="V864" s="406">
        <v>-1360288.1207350688</v>
      </c>
      <c r="W864" s="327"/>
    </row>
    <row r="865" spans="1:23" ht="13.5" thickTop="1" x14ac:dyDescent="0.2">
      <c r="A865" s="9"/>
      <c r="B865" s="311" t="s">
        <v>38</v>
      </c>
      <c r="C865" s="445">
        <v>0</v>
      </c>
      <c r="D865" s="408">
        <v>18110281.81022191</v>
      </c>
      <c r="E865" s="408">
        <v>17574549.502550907</v>
      </c>
      <c r="F865" s="408">
        <v>15683083.401321579</v>
      </c>
      <c r="G865" s="408">
        <v>15329628.557296777</v>
      </c>
      <c r="H865" s="408">
        <v>15111209.023504904</v>
      </c>
      <c r="I865" s="408">
        <v>15705775.542791415</v>
      </c>
      <c r="J865" s="408">
        <v>16989122.141445395</v>
      </c>
      <c r="K865" s="408">
        <v>17740272.726767614</v>
      </c>
      <c r="L865" s="408">
        <v>18065355.250327807</v>
      </c>
      <c r="M865" s="408">
        <v>18071850.810133863</v>
      </c>
      <c r="N865" s="408">
        <v>18439882.246067684</v>
      </c>
      <c r="O865" s="408">
        <v>18355488.558583669</v>
      </c>
      <c r="P865" s="408">
        <v>18558095.174671814</v>
      </c>
      <c r="Q865" s="408">
        <v>19260368.535458438</v>
      </c>
      <c r="R865" s="408">
        <v>21407655.185548298</v>
      </c>
      <c r="S865" s="408">
        <v>20569064.385885682</v>
      </c>
      <c r="T865" s="408">
        <v>20940623.703076113</v>
      </c>
      <c r="U865" s="408">
        <v>22583252.872640025</v>
      </c>
      <c r="V865" s="408">
        <v>24555881.691603746</v>
      </c>
      <c r="W865" s="327"/>
    </row>
    <row r="866" spans="1:23" x14ac:dyDescent="0.2">
      <c r="A866" s="9"/>
      <c r="B866" s="309" t="s">
        <v>34</v>
      </c>
      <c r="C866" s="443">
        <v>0</v>
      </c>
      <c r="D866" s="404">
        <v>-3115421.8129559057</v>
      </c>
      <c r="E866" s="404">
        <v>-3177730.2492150241</v>
      </c>
      <c r="F866" s="404">
        <v>-3241284.8541993247</v>
      </c>
      <c r="G866" s="404">
        <v>-3306110.5512833111</v>
      </c>
      <c r="H866" s="404">
        <v>-3372232.7623089775</v>
      </c>
      <c r="I866" s="404">
        <v>-3439677.4175551571</v>
      </c>
      <c r="J866" s="404">
        <v>-3508470.9659062601</v>
      </c>
      <c r="K866" s="404">
        <v>-3578640.3852243852</v>
      </c>
      <c r="L866" s="404">
        <v>-3650213.192928873</v>
      </c>
      <c r="M866" s="404">
        <v>-3723217.4567874507</v>
      </c>
      <c r="N866" s="404">
        <v>-3797681.8059231997</v>
      </c>
      <c r="O866" s="404">
        <v>-3873635.4420416639</v>
      </c>
      <c r="P866" s="404">
        <v>-3951108.1508824974</v>
      </c>
      <c r="Q866" s="404">
        <v>-4030130.3139001476</v>
      </c>
      <c r="R866" s="404">
        <v>-4110732.9201781508</v>
      </c>
      <c r="S866" s="404">
        <v>-4192947.5785817141</v>
      </c>
      <c r="T866" s="404">
        <v>-4276806.5301533481</v>
      </c>
      <c r="U866" s="404">
        <v>-4362342.6607564148</v>
      </c>
      <c r="V866" s="404">
        <v>-4449589.5139715429</v>
      </c>
      <c r="W866" s="327"/>
    </row>
    <row r="867" spans="1:23" x14ac:dyDescent="0.2">
      <c r="A867" s="9"/>
      <c r="B867" s="309" t="s">
        <v>35</v>
      </c>
      <c r="C867" s="443">
        <v>0</v>
      </c>
      <c r="D867" s="404">
        <v>-246782.10002979756</v>
      </c>
      <c r="E867" s="404">
        <v>-252279.40785605877</v>
      </c>
      <c r="F867" s="404">
        <v>-257897.10672371511</v>
      </c>
      <c r="G867" s="404">
        <v>-268962.4041721783</v>
      </c>
      <c r="H867" s="404">
        <v>-318736.43470004259</v>
      </c>
      <c r="I867" s="404">
        <v>-402826.88221865153</v>
      </c>
      <c r="J867" s="404">
        <v>-443315.6150709971</v>
      </c>
      <c r="K867" s="404">
        <v>-490647.4775092419</v>
      </c>
      <c r="L867" s="404">
        <v>-533196.673363126</v>
      </c>
      <c r="M867" s="404">
        <v>-552153.96283805545</v>
      </c>
      <c r="N867" s="404">
        <v>-558971.73112085753</v>
      </c>
      <c r="O867" s="404">
        <v>-565961.30716438626</v>
      </c>
      <c r="P867" s="404">
        <v>-573128.41843942064</v>
      </c>
      <c r="Q867" s="404">
        <v>-580474.70749633084</v>
      </c>
      <c r="R867" s="404">
        <v>-588005.38840856939</v>
      </c>
      <c r="S867" s="404">
        <v>-595724.33634361404</v>
      </c>
      <c r="T867" s="404">
        <v>-603634.71418744768</v>
      </c>
      <c r="U867" s="404">
        <v>-611743.64251516166</v>
      </c>
      <c r="V867" s="404">
        <v>-620056.10494390118</v>
      </c>
      <c r="W867" s="327"/>
    </row>
    <row r="868" spans="1:23" ht="13.5" thickBot="1" x14ac:dyDescent="0.25">
      <c r="A868" s="9"/>
      <c r="B868" s="310" t="s">
        <v>36</v>
      </c>
      <c r="C868" s="444">
        <v>0</v>
      </c>
      <c r="D868" s="406">
        <v>-307061.97203451901</v>
      </c>
      <c r="E868" s="406">
        <v>-313540.97964444902</v>
      </c>
      <c r="F868" s="406">
        <v>-320407.52709866298</v>
      </c>
      <c r="G868" s="406">
        <v>-327648.73721109098</v>
      </c>
      <c r="H868" s="406">
        <v>-335446.77715671499</v>
      </c>
      <c r="I868" s="406">
        <v>-343853.10711533</v>
      </c>
      <c r="J868" s="406">
        <v>-352381.62210241298</v>
      </c>
      <c r="K868" s="406">
        <v>-361301.12918059598</v>
      </c>
      <c r="L868" s="406">
        <v>-370225.267071357</v>
      </c>
      <c r="M868" s="406">
        <v>-379666.01138167601</v>
      </c>
      <c r="N868" s="406">
        <v>-388853.92885711399</v>
      </c>
      <c r="O868" s="406">
        <v>-398653.04786431202</v>
      </c>
      <c r="P868" s="406">
        <v>-408778.83528006502</v>
      </c>
      <c r="Q868" s="406">
        <v>-418998.306162066</v>
      </c>
      <c r="R868" s="406">
        <v>-429515.16364673403</v>
      </c>
      <c r="S868" s="406">
        <v>-440253.04273790302</v>
      </c>
      <c r="T868" s="406">
        <v>-451171.318197802</v>
      </c>
      <c r="U868" s="406">
        <v>-462495.71828456799</v>
      </c>
      <c r="V868" s="406">
        <v>-474104.36081351101</v>
      </c>
      <c r="W868" s="327"/>
    </row>
    <row r="869" spans="1:23" ht="13.5" thickTop="1" x14ac:dyDescent="0.2">
      <c r="A869" s="9"/>
      <c r="B869" s="311" t="s">
        <v>220</v>
      </c>
      <c r="C869" s="446">
        <v>0</v>
      </c>
      <c r="D869" s="410">
        <v>14441015.925201688</v>
      </c>
      <c r="E869" s="410">
        <v>13830998.865835376</v>
      </c>
      <c r="F869" s="410">
        <v>11863493.913299877</v>
      </c>
      <c r="G869" s="410">
        <v>11426906.864630196</v>
      </c>
      <c r="H869" s="410">
        <v>11084793.04933917</v>
      </c>
      <c r="I869" s="410">
        <v>11519418.135902276</v>
      </c>
      <c r="J869" s="410">
        <v>12684953.938365724</v>
      </c>
      <c r="K869" s="410">
        <v>13309683.734853392</v>
      </c>
      <c r="L869" s="410">
        <v>13511720.11696445</v>
      </c>
      <c r="M869" s="410">
        <v>13416813.379126681</v>
      </c>
      <c r="N869" s="410">
        <v>13694374.780166512</v>
      </c>
      <c r="O869" s="410">
        <v>13517238.761513308</v>
      </c>
      <c r="P869" s="410">
        <v>13625079.770069832</v>
      </c>
      <c r="Q869" s="410">
        <v>14230765.207899895</v>
      </c>
      <c r="R869" s="410">
        <v>16279401.713314842</v>
      </c>
      <c r="S869" s="410">
        <v>15340139.428222451</v>
      </c>
      <c r="T869" s="410">
        <v>15609011.140537515</v>
      </c>
      <c r="U869" s="410">
        <v>17146670.851083882</v>
      </c>
      <c r="V869" s="410">
        <v>19012131.711874794</v>
      </c>
      <c r="W869" s="327"/>
    </row>
    <row r="870" spans="1:23" x14ac:dyDescent="0.2">
      <c r="A870" s="9"/>
      <c r="B870" s="309" t="s">
        <v>37</v>
      </c>
      <c r="C870" s="443">
        <v>0</v>
      </c>
      <c r="D870" s="404">
        <v>-711001.6772613636</v>
      </c>
      <c r="E870" s="404">
        <v>-942429.15271569998</v>
      </c>
      <c r="F870" s="404">
        <v>-1141876.5495315909</v>
      </c>
      <c r="G870" s="404">
        <v>-1142692.0462151091</v>
      </c>
      <c r="H870" s="404">
        <v>-1196917.0704136817</v>
      </c>
      <c r="I870" s="404">
        <v>-1285050.2224619973</v>
      </c>
      <c r="J870" s="404">
        <v>-1310158.9788502064</v>
      </c>
      <c r="K870" s="404">
        <v>-1267185.0875576418</v>
      </c>
      <c r="L870" s="404">
        <v>-1234350.7476310555</v>
      </c>
      <c r="M870" s="404">
        <v>-1282194.9518166699</v>
      </c>
      <c r="N870" s="404">
        <v>-1348188.5074241564</v>
      </c>
      <c r="O870" s="404">
        <v>-1385995.3034249335</v>
      </c>
      <c r="P870" s="404">
        <v>-1459584.4909157904</v>
      </c>
      <c r="Q870" s="404">
        <v>-1512711.2778950096</v>
      </c>
      <c r="R870" s="404">
        <v>-1568921.532148378</v>
      </c>
      <c r="S870" s="404">
        <v>-1648426.7218986659</v>
      </c>
      <c r="T870" s="404">
        <v>-1731243.3131653254</v>
      </c>
      <c r="U870" s="404">
        <v>-1848626.1468574854</v>
      </c>
      <c r="V870" s="404">
        <v>-1963459.6678331373</v>
      </c>
      <c r="W870" s="327"/>
    </row>
    <row r="871" spans="1:23" ht="13.5" thickBot="1" x14ac:dyDescent="0.25">
      <c r="A871" s="9"/>
      <c r="B871" s="310" t="s">
        <v>221</v>
      </c>
      <c r="C871" s="444">
        <v>0</v>
      </c>
      <c r="D871" s="406">
        <v>-5492005.6991761299</v>
      </c>
      <c r="E871" s="406">
        <v>-5155427.8852478713</v>
      </c>
      <c r="F871" s="406">
        <v>-4288646.945507315</v>
      </c>
      <c r="G871" s="406">
        <v>-4113685.9273660351</v>
      </c>
      <c r="H871" s="406">
        <v>-3955150.3915701956</v>
      </c>
      <c r="I871" s="406">
        <v>-4093747.1653761119</v>
      </c>
      <c r="J871" s="406">
        <v>-4549917.9838062068</v>
      </c>
      <c r="K871" s="406">
        <v>-4816999.4589183005</v>
      </c>
      <c r="L871" s="406">
        <v>-4910947.7477333574</v>
      </c>
      <c r="M871" s="406">
        <v>-4853847.3709240044</v>
      </c>
      <c r="N871" s="406">
        <v>-4938474.5090969419</v>
      </c>
      <c r="O871" s="406">
        <v>-4852497.3832353493</v>
      </c>
      <c r="P871" s="406">
        <v>-4866198.1116616167</v>
      </c>
      <c r="Q871" s="406">
        <v>-5087221.5720019545</v>
      </c>
      <c r="R871" s="406">
        <v>-5884192.0724665858</v>
      </c>
      <c r="S871" s="406">
        <v>-5476685.082529515</v>
      </c>
      <c r="T871" s="406">
        <v>-5551107.130948876</v>
      </c>
      <c r="U871" s="406">
        <v>-6119217.881690559</v>
      </c>
      <c r="V871" s="406">
        <v>-6819468.8176166629</v>
      </c>
      <c r="W871" s="327"/>
    </row>
    <row r="872" spans="1:23" ht="13.5" thickTop="1" x14ac:dyDescent="0.2">
      <c r="A872" s="9"/>
      <c r="B872" s="311" t="s">
        <v>183</v>
      </c>
      <c r="C872" s="446">
        <v>0</v>
      </c>
      <c r="D872" s="410">
        <v>8238008.5487641944</v>
      </c>
      <c r="E872" s="410">
        <v>7733141.8278718051</v>
      </c>
      <c r="F872" s="410">
        <v>6432970.418260972</v>
      </c>
      <c r="G872" s="410">
        <v>6170528.8910490517</v>
      </c>
      <c r="H872" s="410">
        <v>5932725.5873552933</v>
      </c>
      <c r="I872" s="410">
        <v>6140620.7480641678</v>
      </c>
      <c r="J872" s="410">
        <v>6824876.9757093107</v>
      </c>
      <c r="K872" s="410">
        <v>7225499.1883774502</v>
      </c>
      <c r="L872" s="410">
        <v>7366421.6216000365</v>
      </c>
      <c r="M872" s="410">
        <v>7280771.0563860061</v>
      </c>
      <c r="N872" s="410">
        <v>7407711.7636454133</v>
      </c>
      <c r="O872" s="410">
        <v>7278746.0748530244</v>
      </c>
      <c r="P872" s="410">
        <v>7299297.1674924251</v>
      </c>
      <c r="Q872" s="410">
        <v>7630832.3580029309</v>
      </c>
      <c r="R872" s="410">
        <v>8826288.1086998787</v>
      </c>
      <c r="S872" s="410">
        <v>8215027.6237942707</v>
      </c>
      <c r="T872" s="410">
        <v>8326660.6964233136</v>
      </c>
      <c r="U872" s="410">
        <v>9178826.8225358389</v>
      </c>
      <c r="V872" s="410">
        <v>10229203.226424992</v>
      </c>
      <c r="W872" s="327"/>
    </row>
    <row r="873" spans="1:23" x14ac:dyDescent="0.2">
      <c r="A873" s="9"/>
      <c r="B873" s="309" t="s">
        <v>37</v>
      </c>
      <c r="C873" s="443">
        <v>0</v>
      </c>
      <c r="D873" s="404">
        <v>711001.6772613636</v>
      </c>
      <c r="E873" s="404">
        <v>942429.15271569998</v>
      </c>
      <c r="F873" s="404">
        <v>1141876.5495315909</v>
      </c>
      <c r="G873" s="404">
        <v>1142692.0462151091</v>
      </c>
      <c r="H873" s="404">
        <v>1196917.0704136817</v>
      </c>
      <c r="I873" s="404">
        <v>1285050.2224619973</v>
      </c>
      <c r="J873" s="404">
        <v>1310158.9788502064</v>
      </c>
      <c r="K873" s="404">
        <v>1267185.0875576418</v>
      </c>
      <c r="L873" s="404">
        <v>1234350.7476310555</v>
      </c>
      <c r="M873" s="404">
        <v>1282194.9518166699</v>
      </c>
      <c r="N873" s="404">
        <v>1348188.5074241564</v>
      </c>
      <c r="O873" s="404">
        <v>1385995.3034249335</v>
      </c>
      <c r="P873" s="404">
        <v>1459584.4909157904</v>
      </c>
      <c r="Q873" s="404">
        <v>1512711.2778950096</v>
      </c>
      <c r="R873" s="404">
        <v>1568921.532148378</v>
      </c>
      <c r="S873" s="404">
        <v>1648426.7218986659</v>
      </c>
      <c r="T873" s="404">
        <v>1731243.3131653254</v>
      </c>
      <c r="U873" s="404">
        <v>1848626.1468574854</v>
      </c>
      <c r="V873" s="404">
        <v>1963459.6678331373</v>
      </c>
      <c r="W873" s="327"/>
    </row>
    <row r="874" spans="1:23" x14ac:dyDescent="0.2">
      <c r="A874" s="9"/>
      <c r="B874" s="309" t="s">
        <v>39</v>
      </c>
      <c r="C874" s="443">
        <v>0</v>
      </c>
      <c r="D874" s="404">
        <v>-663432.53</v>
      </c>
      <c r="E874" s="404">
        <v>-5903033.8899999997</v>
      </c>
      <c r="F874" s="404">
        <v>-291631.14</v>
      </c>
      <c r="G874" s="404">
        <v>-776726.04</v>
      </c>
      <c r="H874" s="404">
        <v>-1704336.4780000001</v>
      </c>
      <c r="I874" s="404">
        <v>-1755466.5723400002</v>
      </c>
      <c r="J874" s="404">
        <v>-1808130.5695102003</v>
      </c>
      <c r="K874" s="404">
        <v>-1862374.4865955063</v>
      </c>
      <c r="L874" s="404">
        <v>-1918245.7211933716</v>
      </c>
      <c r="M874" s="404">
        <v>-1975793.0928291727</v>
      </c>
      <c r="N874" s="404">
        <v>-2035066.885614048</v>
      </c>
      <c r="O874" s="404">
        <v>-2096118.8921824696</v>
      </c>
      <c r="P874" s="404">
        <v>-2159002.4589479435</v>
      </c>
      <c r="Q874" s="404">
        <v>-2223772.5327163818</v>
      </c>
      <c r="R874" s="404">
        <v>-2290485.7086978732</v>
      </c>
      <c r="S874" s="404">
        <v>-2359200.2799588093</v>
      </c>
      <c r="T874" s="404">
        <v>-2429976.2883575736</v>
      </c>
      <c r="U874" s="404">
        <v>-2502875.5770083009</v>
      </c>
      <c r="V874" s="404">
        <v>-2577961.8443185501</v>
      </c>
      <c r="W874" s="327"/>
    </row>
    <row r="875" spans="1:23" ht="13.5" thickBot="1" x14ac:dyDescent="0.25">
      <c r="A875" s="9"/>
      <c r="B875" s="310" t="s">
        <v>40</v>
      </c>
      <c r="C875" s="444">
        <v>0</v>
      </c>
      <c r="D875" s="406">
        <v>0</v>
      </c>
      <c r="E875" s="406">
        <v>0</v>
      </c>
      <c r="F875" s="406">
        <v>0</v>
      </c>
      <c r="G875" s="406">
        <v>0</v>
      </c>
      <c r="H875" s="406">
        <v>0</v>
      </c>
      <c r="I875" s="406">
        <v>0</v>
      </c>
      <c r="J875" s="406">
        <v>0</v>
      </c>
      <c r="K875" s="406">
        <v>0</v>
      </c>
      <c r="L875" s="406">
        <v>0</v>
      </c>
      <c r="M875" s="406">
        <v>0</v>
      </c>
      <c r="N875" s="406">
        <v>0</v>
      </c>
      <c r="O875" s="406">
        <v>0</v>
      </c>
      <c r="P875" s="406">
        <v>0</v>
      </c>
      <c r="Q875" s="406">
        <v>0</v>
      </c>
      <c r="R875" s="406">
        <v>0</v>
      </c>
      <c r="S875" s="406">
        <v>0</v>
      </c>
      <c r="T875" s="406">
        <v>0</v>
      </c>
      <c r="U875" s="406">
        <v>0</v>
      </c>
      <c r="V875" s="406">
        <v>0</v>
      </c>
      <c r="W875" s="327"/>
    </row>
    <row r="876" spans="1:23" ht="13.5" thickTop="1" x14ac:dyDescent="0.2">
      <c r="A876" s="9"/>
      <c r="B876" s="309"/>
      <c r="C876" s="447"/>
      <c r="D876" s="327"/>
      <c r="E876" s="327"/>
      <c r="F876" s="327"/>
      <c r="G876" s="327"/>
      <c r="H876" s="327"/>
      <c r="I876" s="327"/>
      <c r="J876" s="327"/>
      <c r="K876" s="327"/>
      <c r="L876" s="327"/>
      <c r="M876" s="327"/>
      <c r="N876" s="327"/>
      <c r="O876" s="327"/>
      <c r="P876" s="327"/>
      <c r="Q876" s="327"/>
      <c r="R876" s="327"/>
      <c r="S876" s="327"/>
      <c r="T876" s="327"/>
      <c r="U876" s="327"/>
      <c r="V876" s="327"/>
      <c r="W876" s="327"/>
    </row>
    <row r="877" spans="1:23" x14ac:dyDescent="0.2">
      <c r="A877" s="9"/>
      <c r="B877" s="311" t="s">
        <v>233</v>
      </c>
      <c r="C877" s="446">
        <v>0</v>
      </c>
      <c r="D877" s="410">
        <v>8285577.6960255569</v>
      </c>
      <c r="E877" s="410">
        <v>2772537.0905875051</v>
      </c>
      <c r="F877" s="410">
        <v>7283215.8277925635</v>
      </c>
      <c r="G877" s="410">
        <v>6536494.8972641611</v>
      </c>
      <c r="H877" s="410">
        <v>5425306.1797689749</v>
      </c>
      <c r="I877" s="410">
        <v>5670204.3981861649</v>
      </c>
      <c r="J877" s="410">
        <v>6326905.385049317</v>
      </c>
      <c r="K877" s="410">
        <v>6630309.7893395852</v>
      </c>
      <c r="L877" s="410">
        <v>6682526.6480377205</v>
      </c>
      <c r="M877" s="410">
        <v>6587172.9153735032</v>
      </c>
      <c r="N877" s="410">
        <v>6720833.3854555218</v>
      </c>
      <c r="O877" s="410">
        <v>6568622.4860954881</v>
      </c>
      <c r="P877" s="410">
        <v>6599879.1994602717</v>
      </c>
      <c r="Q877" s="410">
        <v>6919771.1031815577</v>
      </c>
      <c r="R877" s="410">
        <v>8104723.9321503835</v>
      </c>
      <c r="S877" s="410">
        <v>7504254.0657341275</v>
      </c>
      <c r="T877" s="410">
        <v>7627927.7212310648</v>
      </c>
      <c r="U877" s="410">
        <v>8524577.3923850227</v>
      </c>
      <c r="V877" s="410">
        <v>9614701.0499395803</v>
      </c>
      <c r="W877" s="408">
        <v>45944441.810464703</v>
      </c>
    </row>
    <row r="878" spans="1:23" x14ac:dyDescent="0.2">
      <c r="A878" s="9"/>
      <c r="B878" s="286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">
      <c r="A879" s="302" t="s">
        <v>218</v>
      </c>
      <c r="B879" s="300" t="s">
        <v>170</v>
      </c>
      <c r="C879" s="433">
        <v>23128886.43393182</v>
      </c>
      <c r="D879" s="9"/>
      <c r="E879" s="137" t="s">
        <v>219</v>
      </c>
      <c r="F879" s="313" t="s">
        <v>170</v>
      </c>
      <c r="G879" s="437">
        <v>23128886.43393182</v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">
      <c r="A880" s="9"/>
      <c r="B880" s="300" t="s">
        <v>180</v>
      </c>
      <c r="C880" s="433">
        <v>31284472.654538948</v>
      </c>
      <c r="D880" s="9"/>
      <c r="E880" s="315"/>
      <c r="F880" s="313" t="s">
        <v>180</v>
      </c>
      <c r="G880" s="437">
        <v>31284472.654538948</v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3.5" thickBot="1" x14ac:dyDescent="0.25">
      <c r="A881" s="9"/>
      <c r="B881" s="316" t="s">
        <v>137</v>
      </c>
      <c r="C881" s="434">
        <v>6829348.5182516212</v>
      </c>
      <c r="D881" s="317"/>
      <c r="E881" s="315"/>
      <c r="F881" s="313" t="s">
        <v>137</v>
      </c>
      <c r="G881" s="437">
        <v>6829348.5182516212</v>
      </c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4.25" thickTop="1" thickBot="1" x14ac:dyDescent="0.25">
      <c r="A882" s="9"/>
      <c r="B882" s="300" t="s">
        <v>28</v>
      </c>
      <c r="C882" s="432">
        <v>61242707.60672237</v>
      </c>
      <c r="D882" s="299"/>
      <c r="E882" s="315"/>
      <c r="F882" s="318" t="s">
        <v>203</v>
      </c>
      <c r="G882" s="319">
        <v>0</v>
      </c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3.5" thickTop="1" x14ac:dyDescent="0.2">
      <c r="A883" s="9"/>
      <c r="B883" s="286"/>
      <c r="C883" s="320"/>
      <c r="D883" s="9"/>
      <c r="E883" s="321"/>
      <c r="F883" s="313" t="s">
        <v>28</v>
      </c>
      <c r="G883" s="362">
        <v>61242707.60672237</v>
      </c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">
      <c r="A884" s="9"/>
      <c r="B884" s="286"/>
      <c r="C884" s="320"/>
      <c r="D884" s="9"/>
      <c r="E884" s="321"/>
      <c r="F884" s="313"/>
      <c r="G884" s="322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">
      <c r="A885" s="9"/>
      <c r="B885" s="286"/>
      <c r="C885" s="320"/>
      <c r="D885" s="9"/>
      <c r="E885" s="321"/>
      <c r="F885" s="313"/>
      <c r="G885" s="322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">
      <c r="A886" s="9"/>
      <c r="B886" s="323" t="s">
        <v>222</v>
      </c>
      <c r="C886" s="320"/>
      <c r="D886" s="9"/>
      <c r="E886" s="321"/>
      <c r="F886" s="313"/>
      <c r="G886" s="322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">
      <c r="A887" s="324" t="s">
        <v>224</v>
      </c>
      <c r="B887" s="323" t="s">
        <v>223</v>
      </c>
      <c r="C887" s="325"/>
      <c r="D887" s="326">
        <v>8238008.5487641944</v>
      </c>
      <c r="E887" s="326">
        <v>7733141.8278718051</v>
      </c>
      <c r="F887" s="326">
        <v>6432970.418260972</v>
      </c>
      <c r="G887" s="326">
        <v>6170528.8910490517</v>
      </c>
      <c r="H887" s="326">
        <v>5932725.5873552933</v>
      </c>
      <c r="I887" s="326">
        <v>6140620.7480641678</v>
      </c>
      <c r="J887" s="326">
        <v>6824876.9757093107</v>
      </c>
      <c r="K887" s="326">
        <v>7225499.1883774502</v>
      </c>
      <c r="L887" s="326">
        <v>7366421.6216000365</v>
      </c>
      <c r="M887" s="326">
        <v>7280771.0563860061</v>
      </c>
      <c r="N887" s="326">
        <v>7407711.7636454133</v>
      </c>
      <c r="O887" s="326">
        <v>7278746.0748530244</v>
      </c>
      <c r="P887" s="326">
        <v>7299297.1674924251</v>
      </c>
      <c r="Q887" s="326">
        <v>7630832.3580029309</v>
      </c>
      <c r="R887" s="326">
        <v>8826288.1086998787</v>
      </c>
      <c r="S887" s="326">
        <v>8215027.6237942707</v>
      </c>
      <c r="T887" s="326">
        <v>8326660.6964233136</v>
      </c>
      <c r="U887" s="326">
        <v>9178826.8225358389</v>
      </c>
      <c r="V887" s="326">
        <v>10229203.226424992</v>
      </c>
      <c r="W887" s="9"/>
    </row>
    <row r="888" spans="1:23" x14ac:dyDescent="0.2">
      <c r="A888" s="9"/>
      <c r="B888" s="286" t="s">
        <v>225</v>
      </c>
      <c r="C888" s="320"/>
      <c r="D888" s="327">
        <v>5492005.6991761299</v>
      </c>
      <c r="E888" s="327">
        <v>5155427.8852478713</v>
      </c>
      <c r="F888" s="327">
        <v>4288646.945507315</v>
      </c>
      <c r="G888" s="327">
        <v>4113685.9273660351</v>
      </c>
      <c r="H888" s="327">
        <v>3955150.3915701956</v>
      </c>
      <c r="I888" s="327">
        <v>4093747.1653761119</v>
      </c>
      <c r="J888" s="327">
        <v>4549917.9838062068</v>
      </c>
      <c r="K888" s="327">
        <v>4816999.4589183005</v>
      </c>
      <c r="L888" s="327">
        <v>4910947.7477333574</v>
      </c>
      <c r="M888" s="327">
        <v>4853847.3709240044</v>
      </c>
      <c r="N888" s="327">
        <v>4938474.5090969419</v>
      </c>
      <c r="O888" s="327">
        <v>4852497.3832353493</v>
      </c>
      <c r="P888" s="327">
        <v>4866198.1116616167</v>
      </c>
      <c r="Q888" s="327">
        <v>5087221.5720019545</v>
      </c>
      <c r="R888" s="327">
        <v>5884192.0724665858</v>
      </c>
      <c r="S888" s="327">
        <v>5476685.082529515</v>
      </c>
      <c r="T888" s="327">
        <v>5551107.130948876</v>
      </c>
      <c r="U888" s="327">
        <v>6119217.881690559</v>
      </c>
      <c r="V888" s="327">
        <v>6819468.8176166629</v>
      </c>
      <c r="W888" s="9"/>
    </row>
    <row r="889" spans="1:23" x14ac:dyDescent="0.2">
      <c r="A889" s="9"/>
      <c r="B889" s="328" t="s">
        <v>226</v>
      </c>
      <c r="C889" s="329"/>
      <c r="D889" s="327">
        <v>711001.6772613636</v>
      </c>
      <c r="E889" s="327">
        <v>942429.15271569998</v>
      </c>
      <c r="F889" s="327">
        <v>1141876.5495315909</v>
      </c>
      <c r="G889" s="327">
        <v>1142692.0462151091</v>
      </c>
      <c r="H889" s="327">
        <v>1196917.0704136817</v>
      </c>
      <c r="I889" s="327">
        <v>1285050.2224619973</v>
      </c>
      <c r="J889" s="327">
        <v>1310158.9788502064</v>
      </c>
      <c r="K889" s="327">
        <v>1267185.0875576418</v>
      </c>
      <c r="L889" s="327">
        <v>1234350.7476310555</v>
      </c>
      <c r="M889" s="327">
        <v>1282194.9518166699</v>
      </c>
      <c r="N889" s="327">
        <v>1348188.5074241564</v>
      </c>
      <c r="O889" s="327">
        <v>1385995.3034249335</v>
      </c>
      <c r="P889" s="327">
        <v>1459584.4909157904</v>
      </c>
      <c r="Q889" s="327">
        <v>1512711.2778950096</v>
      </c>
      <c r="R889" s="327">
        <v>1568921.532148378</v>
      </c>
      <c r="S889" s="327">
        <v>1648426.7218986659</v>
      </c>
      <c r="T889" s="327">
        <v>1731243.3131653254</v>
      </c>
      <c r="U889" s="327">
        <v>1848626.1468574854</v>
      </c>
      <c r="V889" s="327">
        <v>1963459.6678331373</v>
      </c>
      <c r="W889" s="9"/>
    </row>
    <row r="890" spans="1:23" ht="13.5" thickBot="1" x14ac:dyDescent="0.25">
      <c r="A890" s="9"/>
      <c r="B890" s="330" t="s">
        <v>227</v>
      </c>
      <c r="C890" s="331"/>
      <c r="D890" s="332">
        <v>14441015.925201688</v>
      </c>
      <c r="E890" s="332">
        <v>13830998.865835376</v>
      </c>
      <c r="F890" s="332">
        <v>11863493.913299877</v>
      </c>
      <c r="G890" s="332">
        <v>11426906.864630196</v>
      </c>
      <c r="H890" s="332">
        <v>11084793.049339171</v>
      </c>
      <c r="I890" s="332">
        <v>11519418.135902276</v>
      </c>
      <c r="J890" s="332">
        <v>12684953.938365724</v>
      </c>
      <c r="K890" s="332">
        <v>13309683.734853392</v>
      </c>
      <c r="L890" s="332">
        <v>13511720.11696445</v>
      </c>
      <c r="M890" s="332">
        <v>13416813.379126681</v>
      </c>
      <c r="N890" s="332">
        <v>13694374.780166512</v>
      </c>
      <c r="O890" s="332">
        <v>13517238.761513308</v>
      </c>
      <c r="P890" s="332">
        <v>13625079.770069832</v>
      </c>
      <c r="Q890" s="332">
        <v>14230765.207899895</v>
      </c>
      <c r="R890" s="332">
        <v>16279401.713314842</v>
      </c>
      <c r="S890" s="332">
        <v>15340139.428222451</v>
      </c>
      <c r="T890" s="332">
        <v>15609011.140537515</v>
      </c>
      <c r="U890" s="332">
        <v>17146670.851083882</v>
      </c>
      <c r="V890" s="332">
        <v>19012131.711874794</v>
      </c>
      <c r="W890" s="9"/>
    </row>
    <row r="891" spans="1:23" ht="13.5" thickTop="1" x14ac:dyDescent="0.2">
      <c r="A891" s="324" t="s">
        <v>228</v>
      </c>
      <c r="B891" s="286" t="s">
        <v>229</v>
      </c>
      <c r="C891" s="320"/>
      <c r="D891" s="327">
        <v>-1082818.1200020462</v>
      </c>
      <c r="E891" s="327">
        <v>-1376060.0090422896</v>
      </c>
      <c r="F891" s="327">
        <v>-1383734.813685949</v>
      </c>
      <c r="G891" s="327">
        <v>-1392924.1578698517</v>
      </c>
      <c r="H891" s="327">
        <v>-1393023.5953111758</v>
      </c>
      <c r="I891" s="327">
        <v>-1480796.9239281756</v>
      </c>
      <c r="J891" s="327">
        <v>-1162564.9555188478</v>
      </c>
      <c r="K891" s="327">
        <v>-900589.35404868936</v>
      </c>
      <c r="L891" s="327">
        <v>-996144.36325828987</v>
      </c>
      <c r="M891" s="327">
        <v>-1081382.428819262</v>
      </c>
      <c r="N891" s="327">
        <v>-1081066.6307798026</v>
      </c>
      <c r="O891" s="327">
        <v>-1185872.5753889261</v>
      </c>
      <c r="P891" s="327">
        <v>-1293822.6983363233</v>
      </c>
      <c r="Q891" s="327">
        <v>-1405011.3249721422</v>
      </c>
      <c r="R891" s="327">
        <v>-1519535.6104070358</v>
      </c>
      <c r="S891" s="327">
        <v>-1636852.6490349628</v>
      </c>
      <c r="T891" s="327">
        <v>-1756613.2350451921</v>
      </c>
      <c r="U891" s="327">
        <v>-1881757.0138956071</v>
      </c>
      <c r="V891" s="327">
        <v>-2010655.1061115346</v>
      </c>
      <c r="W891" s="9"/>
    </row>
    <row r="892" spans="1:23" x14ac:dyDescent="0.2">
      <c r="A892" s="9"/>
      <c r="B892" s="286" t="s">
        <v>230</v>
      </c>
      <c r="C892" s="320"/>
      <c r="D892" s="327">
        <v>0</v>
      </c>
      <c r="E892" s="327">
        <v>0</v>
      </c>
      <c r="F892" s="327">
        <v>0</v>
      </c>
      <c r="G892" s="327">
        <v>0</v>
      </c>
      <c r="H892" s="327">
        <v>0</v>
      </c>
      <c r="I892" s="327">
        <v>0</v>
      </c>
      <c r="J892" s="327">
        <v>0</v>
      </c>
      <c r="K892" s="327">
        <v>0</v>
      </c>
      <c r="L892" s="327">
        <v>0</v>
      </c>
      <c r="M892" s="327">
        <v>0</v>
      </c>
      <c r="N892" s="327">
        <v>0</v>
      </c>
      <c r="O892" s="327">
        <v>0</v>
      </c>
      <c r="P892" s="327">
        <v>0</v>
      </c>
      <c r="Q892" s="327">
        <v>0</v>
      </c>
      <c r="R892" s="327">
        <v>0</v>
      </c>
      <c r="S892" s="327">
        <v>0</v>
      </c>
      <c r="T892" s="327">
        <v>0</v>
      </c>
      <c r="U892" s="327">
        <v>0</v>
      </c>
      <c r="V892" s="327">
        <v>0</v>
      </c>
      <c r="W892" s="9"/>
    </row>
    <row r="893" spans="1:23" x14ac:dyDescent="0.2">
      <c r="A893" s="9"/>
      <c r="B893" s="323" t="s">
        <v>231</v>
      </c>
      <c r="C893" s="325"/>
      <c r="D893" s="326">
        <v>13358197.805199642</v>
      </c>
      <c r="E893" s="326">
        <v>12454938.856793087</v>
      </c>
      <c r="F893" s="326">
        <v>10479759.099613927</v>
      </c>
      <c r="G893" s="326">
        <v>10033982.706760345</v>
      </c>
      <c r="H893" s="326">
        <v>9691769.4540279955</v>
      </c>
      <c r="I893" s="326">
        <v>10038621.211974101</v>
      </c>
      <c r="J893" s="326">
        <v>11522388.982846877</v>
      </c>
      <c r="K893" s="326">
        <v>12409094.380804703</v>
      </c>
      <c r="L893" s="326">
        <v>12515575.753706161</v>
      </c>
      <c r="M893" s="326">
        <v>12335430.95030742</v>
      </c>
      <c r="N893" s="326">
        <v>12613308.14938671</v>
      </c>
      <c r="O893" s="326">
        <v>12331366.186124381</v>
      </c>
      <c r="P893" s="326">
        <v>12331257.071733508</v>
      </c>
      <c r="Q893" s="326">
        <v>12825753.882927753</v>
      </c>
      <c r="R893" s="326">
        <v>14759866.102907807</v>
      </c>
      <c r="S893" s="326">
        <v>13703286.779187489</v>
      </c>
      <c r="T893" s="326">
        <v>13852397.905492323</v>
      </c>
      <c r="U893" s="326">
        <v>15264913.837188276</v>
      </c>
      <c r="V893" s="326">
        <v>17001476.60576326</v>
      </c>
      <c r="W893" s="9"/>
    </row>
    <row r="894" spans="1:23" ht="13.5" thickBot="1" x14ac:dyDescent="0.25">
      <c r="A894" s="9"/>
      <c r="B894" s="333" t="s">
        <v>237</v>
      </c>
      <c r="C894" s="334"/>
      <c r="D894" s="335">
        <v>-5343279.1220798567</v>
      </c>
      <c r="E894" s="335">
        <v>-4981975.5427172352</v>
      </c>
      <c r="F894" s="335">
        <v>-4191903.639845571</v>
      </c>
      <c r="G894" s="335">
        <v>-4013593.082704138</v>
      </c>
      <c r="H894" s="335">
        <v>-3876707.7816111986</v>
      </c>
      <c r="I894" s="335">
        <v>-4015448.4847896406</v>
      </c>
      <c r="J894" s="335">
        <v>-4608955.5931387506</v>
      </c>
      <c r="K894" s="335">
        <v>-4963637.7523218812</v>
      </c>
      <c r="L894" s="335">
        <v>-5006230.3014824642</v>
      </c>
      <c r="M894" s="335">
        <v>-4934172.380122968</v>
      </c>
      <c r="N894" s="335">
        <v>-5045323.2597546838</v>
      </c>
      <c r="O894" s="335">
        <v>-4932546.4744497528</v>
      </c>
      <c r="P894" s="335">
        <v>-4932502.8286934039</v>
      </c>
      <c r="Q894" s="335">
        <v>-5130301.553171102</v>
      </c>
      <c r="R894" s="335">
        <v>-5903946.4411631227</v>
      </c>
      <c r="S894" s="335">
        <v>-5481314.7116749957</v>
      </c>
      <c r="T894" s="335">
        <v>-5540959.1621969296</v>
      </c>
      <c r="U894" s="335">
        <v>-6105965.534875311</v>
      </c>
      <c r="V894" s="335">
        <v>-6800590.6423053043</v>
      </c>
      <c r="W894" s="9"/>
    </row>
    <row r="895" spans="1:23" ht="13.5" thickTop="1" x14ac:dyDescent="0.2">
      <c r="A895" s="9"/>
      <c r="B895" s="323" t="s">
        <v>232</v>
      </c>
      <c r="C895" s="325"/>
      <c r="D895" s="326">
        <v>8014918.683119785</v>
      </c>
      <c r="E895" s="326">
        <v>7472963.3140758518</v>
      </c>
      <c r="F895" s="326">
        <v>6287855.4597683568</v>
      </c>
      <c r="G895" s="326">
        <v>6020389.624056207</v>
      </c>
      <c r="H895" s="326">
        <v>5815061.6724167969</v>
      </c>
      <c r="I895" s="326">
        <v>6023172.7271844605</v>
      </c>
      <c r="J895" s="326">
        <v>6913433.389708126</v>
      </c>
      <c r="K895" s="326">
        <v>7445456.6284828214</v>
      </c>
      <c r="L895" s="326">
        <v>7509345.4522236967</v>
      </c>
      <c r="M895" s="326">
        <v>7401258.5701844515</v>
      </c>
      <c r="N895" s="326">
        <v>7567984.8896320257</v>
      </c>
      <c r="O895" s="326">
        <v>7398819.7116746278</v>
      </c>
      <c r="P895" s="326">
        <v>7398754.2430401044</v>
      </c>
      <c r="Q895" s="326">
        <v>7695452.3297566511</v>
      </c>
      <c r="R895" s="326">
        <v>8855919.661744684</v>
      </c>
      <c r="S895" s="326">
        <v>8221972.0675124936</v>
      </c>
      <c r="T895" s="326">
        <v>8311438.743295393</v>
      </c>
      <c r="U895" s="326">
        <v>9158948.3023129646</v>
      </c>
      <c r="V895" s="326">
        <v>10200885.963457957</v>
      </c>
      <c r="W895" s="9"/>
    </row>
    <row r="896" spans="1:23" x14ac:dyDescent="0.2">
      <c r="A896" s="9"/>
      <c r="B896" s="9"/>
      <c r="C896" s="320"/>
      <c r="D896" s="9"/>
      <c r="E896" s="321"/>
      <c r="F896" s="313"/>
      <c r="G896" s="322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5.75" x14ac:dyDescent="0.25">
      <c r="A897" s="336" t="s">
        <v>205</v>
      </c>
      <c r="B897" s="33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">
      <c r="A898" s="284" t="s">
        <v>190</v>
      </c>
      <c r="B898" s="303"/>
      <c r="C898" s="338">
        <v>0</v>
      </c>
      <c r="D898" s="277"/>
      <c r="E898" s="277"/>
      <c r="F898" s="277"/>
      <c r="G898" s="277"/>
      <c r="H898" s="277"/>
      <c r="I898" s="277"/>
      <c r="J898" s="277"/>
      <c r="K898" s="277"/>
      <c r="L898" s="277"/>
      <c r="M898" s="277"/>
      <c r="N898" s="277"/>
      <c r="O898" s="277"/>
      <c r="P898" s="277"/>
      <c r="Q898" s="277"/>
      <c r="R898" s="277"/>
      <c r="S898" s="277"/>
      <c r="T898" s="277"/>
      <c r="U898" s="277"/>
      <c r="V898" s="277"/>
      <c r="W898" s="277"/>
    </row>
    <row r="899" spans="1:23" x14ac:dyDescent="0.2">
      <c r="A899" s="284" t="s">
        <v>191</v>
      </c>
      <c r="B899" s="303"/>
      <c r="C899" s="339">
        <v>0</v>
      </c>
      <c r="D899" s="277"/>
      <c r="E899" s="277"/>
      <c r="F899" s="277"/>
      <c r="G899" s="277"/>
      <c r="H899" s="277"/>
      <c r="I899" s="277"/>
      <c r="J899" s="277"/>
      <c r="K899" s="277"/>
      <c r="L899" s="277"/>
      <c r="M899" s="277"/>
      <c r="N899" s="277"/>
      <c r="O899" s="277"/>
      <c r="P899" s="277"/>
      <c r="Q899" s="277"/>
      <c r="R899" s="277"/>
      <c r="S899" s="277"/>
      <c r="T899" s="277"/>
      <c r="U899" s="277"/>
      <c r="V899" s="277"/>
      <c r="W899" s="277"/>
    </row>
    <row r="900" spans="1:23" x14ac:dyDescent="0.2">
      <c r="A900" s="284" t="s">
        <v>201</v>
      </c>
      <c r="B900" s="303"/>
      <c r="C900" s="284">
        <v>15</v>
      </c>
      <c r="D900" s="277"/>
      <c r="E900" s="277"/>
      <c r="F900" s="277"/>
      <c r="G900" s="277"/>
      <c r="H900" s="277"/>
      <c r="I900" s="277"/>
      <c r="J900" s="277"/>
      <c r="K900" s="277"/>
      <c r="L900" s="277"/>
      <c r="M900" s="277"/>
      <c r="N900" s="277"/>
      <c r="O900" s="277"/>
      <c r="P900" s="277"/>
      <c r="Q900" s="277"/>
      <c r="R900" s="277"/>
      <c r="S900" s="277"/>
      <c r="T900" s="277"/>
      <c r="U900" s="277"/>
      <c r="V900" s="277"/>
      <c r="W900" s="277"/>
    </row>
    <row r="901" spans="1:23" x14ac:dyDescent="0.2">
      <c r="A901" s="284" t="s">
        <v>192</v>
      </c>
      <c r="B901" s="303"/>
      <c r="C901" s="339">
        <v>0</v>
      </c>
      <c r="D901" s="277"/>
      <c r="E901" s="277"/>
      <c r="F901" s="277"/>
      <c r="G901" s="277"/>
      <c r="H901" s="277"/>
      <c r="I901" s="277"/>
      <c r="J901" s="277"/>
      <c r="K901" s="277"/>
      <c r="L901" s="277"/>
      <c r="M901" s="277"/>
      <c r="N901" s="277"/>
      <c r="O901" s="277"/>
      <c r="P901" s="277"/>
      <c r="Q901" s="277"/>
      <c r="R901" s="277"/>
      <c r="S901" s="277"/>
      <c r="T901" s="277"/>
      <c r="U901" s="277"/>
      <c r="V901" s="277"/>
      <c r="W901" s="277"/>
    </row>
    <row r="902" spans="1:23" x14ac:dyDescent="0.2">
      <c r="A902" s="284" t="s">
        <v>193</v>
      </c>
      <c r="B902" s="303"/>
      <c r="C902" s="340">
        <v>8.7499999999999994E-2</v>
      </c>
      <c r="D902" s="277"/>
      <c r="E902" s="277"/>
      <c r="F902" s="277"/>
      <c r="G902" s="277"/>
      <c r="H902" s="277"/>
      <c r="I902" s="277"/>
      <c r="J902" s="277"/>
      <c r="K902" s="277"/>
      <c r="L902" s="277"/>
      <c r="M902" s="277"/>
      <c r="N902" s="277"/>
      <c r="O902" s="277"/>
      <c r="P902" s="277"/>
      <c r="Q902" s="277"/>
      <c r="R902" s="277"/>
      <c r="S902" s="277"/>
      <c r="T902" s="277"/>
      <c r="U902" s="277"/>
      <c r="V902" s="277"/>
      <c r="W902" s="277"/>
    </row>
    <row r="903" spans="1:23" x14ac:dyDescent="0.2">
      <c r="A903" s="284"/>
      <c r="B903" s="303"/>
      <c r="C903" s="277"/>
      <c r="D903" s="306">
        <v>2001</v>
      </c>
      <c r="E903" s="306">
        <v>2002</v>
      </c>
      <c r="F903" s="306">
        <v>2003</v>
      </c>
      <c r="G903" s="306">
        <v>2004</v>
      </c>
      <c r="H903" s="306">
        <v>2005</v>
      </c>
      <c r="I903" s="306">
        <v>2006</v>
      </c>
      <c r="J903" s="306">
        <v>2007</v>
      </c>
      <c r="K903" s="306">
        <v>2008</v>
      </c>
      <c r="L903" s="306">
        <v>2009</v>
      </c>
      <c r="M903" s="306">
        <v>2010</v>
      </c>
      <c r="N903" s="306">
        <v>2011</v>
      </c>
      <c r="O903" s="306">
        <v>2012</v>
      </c>
      <c r="P903" s="306">
        <v>2013</v>
      </c>
      <c r="Q903" s="306">
        <v>2014</v>
      </c>
      <c r="R903" s="306">
        <v>2015</v>
      </c>
      <c r="S903" s="306">
        <v>2016</v>
      </c>
      <c r="T903" s="306">
        <v>2017</v>
      </c>
      <c r="U903" s="306">
        <v>2018</v>
      </c>
      <c r="V903" s="306">
        <v>2019</v>
      </c>
      <c r="W903" s="306" t="s">
        <v>154</v>
      </c>
    </row>
    <row r="904" spans="1:23" x14ac:dyDescent="0.2">
      <c r="A904" s="284" t="s">
        <v>194</v>
      </c>
      <c r="B904" s="303"/>
      <c r="C904" s="277"/>
      <c r="D904" s="341">
        <v>0</v>
      </c>
      <c r="E904" s="341">
        <v>0</v>
      </c>
      <c r="F904" s="341">
        <v>0</v>
      </c>
      <c r="G904" s="341">
        <v>0</v>
      </c>
      <c r="H904" s="341">
        <v>0</v>
      </c>
      <c r="I904" s="341">
        <v>0</v>
      </c>
      <c r="J904" s="341">
        <v>0</v>
      </c>
      <c r="K904" s="341">
        <v>0</v>
      </c>
      <c r="L904" s="341">
        <v>0</v>
      </c>
      <c r="M904" s="341">
        <v>0</v>
      </c>
      <c r="N904" s="341">
        <v>0</v>
      </c>
      <c r="O904" s="341">
        <v>0</v>
      </c>
      <c r="P904" s="341">
        <v>0</v>
      </c>
      <c r="Q904" s="341">
        <v>0</v>
      </c>
      <c r="R904" s="341">
        <v>0</v>
      </c>
      <c r="S904" s="341">
        <v>0</v>
      </c>
      <c r="T904" s="341">
        <v>0</v>
      </c>
      <c r="U904" s="341">
        <v>0</v>
      </c>
      <c r="V904" s="341">
        <v>0</v>
      </c>
      <c r="W904" s="341">
        <v>0</v>
      </c>
    </row>
    <row r="905" spans="1:23" x14ac:dyDescent="0.2">
      <c r="A905" s="284" t="s">
        <v>195</v>
      </c>
      <c r="B905" s="303"/>
      <c r="C905" s="277"/>
      <c r="D905" s="341">
        <v>0</v>
      </c>
      <c r="E905" s="341">
        <v>0</v>
      </c>
      <c r="F905" s="341">
        <v>0</v>
      </c>
      <c r="G905" s="341">
        <v>0</v>
      </c>
      <c r="H905" s="341">
        <v>0</v>
      </c>
      <c r="I905" s="341">
        <v>0</v>
      </c>
      <c r="J905" s="341">
        <v>0</v>
      </c>
      <c r="K905" s="341">
        <v>0</v>
      </c>
      <c r="L905" s="341">
        <v>0</v>
      </c>
      <c r="M905" s="341">
        <v>0</v>
      </c>
      <c r="N905" s="341">
        <v>0</v>
      </c>
      <c r="O905" s="341">
        <v>0</v>
      </c>
      <c r="P905" s="341">
        <v>0</v>
      </c>
      <c r="Q905" s="341">
        <v>0</v>
      </c>
      <c r="R905" s="341">
        <v>0</v>
      </c>
      <c r="S905" s="341">
        <v>0</v>
      </c>
      <c r="T905" s="341">
        <v>0</v>
      </c>
      <c r="U905" s="341">
        <v>0</v>
      </c>
      <c r="V905" s="341">
        <v>0</v>
      </c>
      <c r="W905" s="341">
        <v>0</v>
      </c>
    </row>
    <row r="906" spans="1:23" x14ac:dyDescent="0.2">
      <c r="A906" s="284" t="s">
        <v>196</v>
      </c>
      <c r="B906" s="303"/>
      <c r="C906" s="277"/>
      <c r="D906" s="341">
        <v>0</v>
      </c>
      <c r="E906" s="341">
        <v>0</v>
      </c>
      <c r="F906" s="341">
        <v>0</v>
      </c>
      <c r="G906" s="341">
        <v>0</v>
      </c>
      <c r="H906" s="341">
        <v>0</v>
      </c>
      <c r="I906" s="341">
        <v>0</v>
      </c>
      <c r="J906" s="341">
        <v>0</v>
      </c>
      <c r="K906" s="341">
        <v>0</v>
      </c>
      <c r="L906" s="341">
        <v>0</v>
      </c>
      <c r="M906" s="341">
        <v>0</v>
      </c>
      <c r="N906" s="341">
        <v>0</v>
      </c>
      <c r="O906" s="341">
        <v>0</v>
      </c>
      <c r="P906" s="341">
        <v>0</v>
      </c>
      <c r="Q906" s="341">
        <v>0</v>
      </c>
      <c r="R906" s="341">
        <v>0</v>
      </c>
      <c r="S906" s="341">
        <v>0</v>
      </c>
      <c r="T906" s="341">
        <v>0</v>
      </c>
      <c r="U906" s="341">
        <v>0</v>
      </c>
      <c r="V906" s="341">
        <v>0</v>
      </c>
      <c r="W906" s="341">
        <v>0</v>
      </c>
    </row>
    <row r="907" spans="1:23" x14ac:dyDescent="0.2">
      <c r="A907" s="284" t="s">
        <v>197</v>
      </c>
      <c r="B907" s="303"/>
      <c r="C907" s="277"/>
      <c r="D907" s="342">
        <v>0</v>
      </c>
      <c r="E907" s="342">
        <v>0</v>
      </c>
      <c r="F907" s="342">
        <v>0</v>
      </c>
      <c r="G907" s="342">
        <v>0</v>
      </c>
      <c r="H907" s="342">
        <v>0</v>
      </c>
      <c r="I907" s="342">
        <v>0</v>
      </c>
      <c r="J907" s="342">
        <v>0</v>
      </c>
      <c r="K907" s="342">
        <v>0</v>
      </c>
      <c r="L907" s="342">
        <v>0</v>
      </c>
      <c r="M907" s="342">
        <v>0</v>
      </c>
      <c r="N907" s="342">
        <v>0</v>
      </c>
      <c r="O907" s="342">
        <v>0</v>
      </c>
      <c r="P907" s="342">
        <v>0</v>
      </c>
      <c r="Q907" s="342">
        <v>0</v>
      </c>
      <c r="R907" s="342">
        <v>0</v>
      </c>
      <c r="S907" s="342">
        <v>0</v>
      </c>
      <c r="T907" s="342">
        <v>0</v>
      </c>
      <c r="U907" s="342">
        <v>0</v>
      </c>
      <c r="V907" s="342">
        <v>0</v>
      </c>
      <c r="W907" s="342">
        <v>0</v>
      </c>
    </row>
    <row r="908" spans="1:23" ht="13.5" thickBot="1" x14ac:dyDescent="0.25">
      <c r="A908" s="284" t="s">
        <v>198</v>
      </c>
      <c r="B908" s="303"/>
      <c r="C908" s="277"/>
      <c r="D908" s="343">
        <v>0</v>
      </c>
      <c r="E908" s="343">
        <v>0</v>
      </c>
      <c r="F908" s="343">
        <v>0</v>
      </c>
      <c r="G908" s="343">
        <v>0</v>
      </c>
      <c r="H908" s="343">
        <v>0</v>
      </c>
      <c r="I908" s="343">
        <v>0</v>
      </c>
      <c r="J908" s="343">
        <v>0</v>
      </c>
      <c r="K908" s="343">
        <v>0</v>
      </c>
      <c r="L908" s="343">
        <v>0</v>
      </c>
      <c r="M908" s="343">
        <v>0</v>
      </c>
      <c r="N908" s="343">
        <v>0</v>
      </c>
      <c r="O908" s="343">
        <v>0</v>
      </c>
      <c r="P908" s="343">
        <v>0</v>
      </c>
      <c r="Q908" s="343">
        <v>0</v>
      </c>
      <c r="R908" s="343">
        <v>0</v>
      </c>
      <c r="S908" s="343">
        <v>0</v>
      </c>
      <c r="T908" s="343">
        <v>0</v>
      </c>
      <c r="U908" s="343">
        <v>0</v>
      </c>
      <c r="V908" s="343">
        <v>0</v>
      </c>
      <c r="W908" s="343">
        <v>0</v>
      </c>
    </row>
    <row r="909" spans="1:23" ht="13.5" thickTop="1" x14ac:dyDescent="0.2">
      <c r="A909" s="284"/>
      <c r="B909" s="303"/>
      <c r="C909" s="277"/>
      <c r="D909" s="341"/>
      <c r="E909" s="341"/>
      <c r="F909" s="341"/>
      <c r="G909" s="341"/>
      <c r="H909" s="341"/>
      <c r="I909" s="341"/>
      <c r="J909" s="341"/>
      <c r="K909" s="341"/>
      <c r="L909" s="341"/>
      <c r="M909" s="341"/>
      <c r="N909" s="341"/>
      <c r="O909" s="341"/>
      <c r="P909" s="341"/>
      <c r="Q909" s="341"/>
      <c r="R909" s="341"/>
      <c r="S909" s="341"/>
      <c r="T909" s="341"/>
      <c r="U909" s="341"/>
      <c r="V909" s="341"/>
      <c r="W909" s="341"/>
    </row>
    <row r="910" spans="1:23" x14ac:dyDescent="0.2">
      <c r="A910" s="284" t="s">
        <v>199</v>
      </c>
      <c r="B910" s="303"/>
      <c r="C910" s="277"/>
      <c r="D910" s="341">
        <v>0</v>
      </c>
      <c r="E910" s="341">
        <v>0</v>
      </c>
      <c r="F910" s="341">
        <v>0</v>
      </c>
      <c r="G910" s="341">
        <v>0</v>
      </c>
      <c r="H910" s="341">
        <v>0</v>
      </c>
      <c r="I910" s="341">
        <v>0</v>
      </c>
      <c r="J910" s="341">
        <v>0</v>
      </c>
      <c r="K910" s="341">
        <v>0</v>
      </c>
      <c r="L910" s="341">
        <v>0</v>
      </c>
      <c r="M910" s="341">
        <v>0</v>
      </c>
      <c r="N910" s="341">
        <v>0</v>
      </c>
      <c r="O910" s="341">
        <v>0</v>
      </c>
      <c r="P910" s="341">
        <v>0</v>
      </c>
      <c r="Q910" s="341">
        <v>0</v>
      </c>
      <c r="R910" s="341">
        <v>0</v>
      </c>
      <c r="S910" s="341">
        <v>0</v>
      </c>
      <c r="T910" s="341">
        <v>0</v>
      </c>
      <c r="U910" s="341">
        <v>0</v>
      </c>
      <c r="V910" s="341">
        <v>0</v>
      </c>
      <c r="W910" s="341">
        <v>0</v>
      </c>
    </row>
    <row r="911" spans="1:23" x14ac:dyDescent="0.2">
      <c r="A911" s="284"/>
      <c r="B911" s="303"/>
      <c r="C911" s="277"/>
      <c r="D911" s="277"/>
      <c r="E911" s="277"/>
      <c r="F911" s="277"/>
      <c r="G911" s="277"/>
      <c r="H911" s="277"/>
      <c r="I911" s="277"/>
      <c r="J911" s="277"/>
      <c r="K911" s="277"/>
      <c r="L911" s="277"/>
      <c r="M911" s="277"/>
      <c r="N911" s="277"/>
      <c r="O911" s="277"/>
      <c r="P911" s="277"/>
      <c r="Q911" s="277"/>
      <c r="R911" s="277"/>
      <c r="S911" s="277"/>
      <c r="T911" s="277"/>
      <c r="U911" s="277"/>
      <c r="V911" s="277"/>
      <c r="W911" s="277"/>
    </row>
    <row r="912" spans="1:23" x14ac:dyDescent="0.2">
      <c r="A912" s="284" t="s">
        <v>200</v>
      </c>
      <c r="B912" s="303"/>
      <c r="C912" s="277"/>
      <c r="D912" s="341">
        <v>0</v>
      </c>
      <c r="E912" s="341">
        <v>0</v>
      </c>
      <c r="F912" s="341">
        <v>0</v>
      </c>
      <c r="G912" s="341">
        <v>0</v>
      </c>
      <c r="H912" s="341">
        <v>0</v>
      </c>
      <c r="I912" s="341">
        <v>0</v>
      </c>
      <c r="J912" s="341">
        <v>0</v>
      </c>
      <c r="K912" s="341">
        <v>0</v>
      </c>
      <c r="L912" s="341">
        <v>0</v>
      </c>
      <c r="M912" s="341">
        <v>0</v>
      </c>
      <c r="N912" s="341">
        <v>0</v>
      </c>
      <c r="O912" s="341">
        <v>0</v>
      </c>
      <c r="P912" s="341">
        <v>0</v>
      </c>
      <c r="Q912" s="341">
        <v>0</v>
      </c>
      <c r="R912" s="341">
        <v>0</v>
      </c>
      <c r="S912" s="341">
        <v>0</v>
      </c>
      <c r="T912" s="341">
        <v>0</v>
      </c>
      <c r="U912" s="341">
        <v>0</v>
      </c>
      <c r="V912" s="341">
        <v>0</v>
      </c>
      <c r="W912" s="341">
        <v>0</v>
      </c>
    </row>
    <row r="913" spans="1:23" x14ac:dyDescent="0.2">
      <c r="A913" s="277"/>
      <c r="B913" s="303"/>
      <c r="C913" s="277"/>
      <c r="D913" s="277"/>
      <c r="E913" s="277"/>
      <c r="F913" s="277"/>
      <c r="G913" s="277"/>
      <c r="H913" s="277"/>
      <c r="I913" s="277"/>
      <c r="J913" s="277"/>
      <c r="K913" s="277"/>
      <c r="L913" s="277"/>
      <c r="M913" s="277"/>
      <c r="N913" s="277"/>
      <c r="O913" s="277"/>
      <c r="P913" s="277"/>
      <c r="Q913" s="277"/>
      <c r="R913" s="277"/>
      <c r="S913" s="277"/>
      <c r="T913" s="277"/>
      <c r="U913" s="277"/>
      <c r="V913" s="277"/>
      <c r="W913" s="277"/>
    </row>
    <row r="914" spans="1:23" x14ac:dyDescent="0.2">
      <c r="A914" s="277"/>
      <c r="B914" s="303"/>
      <c r="C914" s="277"/>
      <c r="D914" s="277"/>
      <c r="E914" s="277"/>
      <c r="F914" s="277"/>
      <c r="G914" s="277"/>
      <c r="H914" s="277"/>
      <c r="I914" s="277"/>
      <c r="J914" s="277"/>
      <c r="K914" s="277"/>
      <c r="L914" s="277"/>
      <c r="M914" s="277"/>
      <c r="N914" s="277"/>
      <c r="O914" s="277"/>
      <c r="P914" s="277"/>
      <c r="Q914" s="277"/>
      <c r="R914" s="277"/>
      <c r="S914" s="277"/>
      <c r="T914" s="277"/>
      <c r="U914" s="277"/>
      <c r="V914" s="277"/>
      <c r="W914" s="277"/>
    </row>
    <row r="915" spans="1:23" x14ac:dyDescent="0.2">
      <c r="A915" s="284" t="s">
        <v>202</v>
      </c>
      <c r="B915" s="279"/>
      <c r="C915" s="278"/>
      <c r="D915" s="435">
        <v>8285577.6960255569</v>
      </c>
      <c r="E915" s="435">
        <v>2772537.0905875051</v>
      </c>
      <c r="F915" s="435">
        <v>7283215.8277925635</v>
      </c>
      <c r="G915" s="435">
        <v>6536494.8972641611</v>
      </c>
      <c r="H915" s="435">
        <v>5425306.1797689749</v>
      </c>
      <c r="I915" s="435">
        <v>5670204.3981861649</v>
      </c>
      <c r="J915" s="435">
        <v>6326905.385049317</v>
      </c>
      <c r="K915" s="435">
        <v>6630309.7893395852</v>
      </c>
      <c r="L915" s="435">
        <v>6682526.6480377205</v>
      </c>
      <c r="M915" s="435">
        <v>6587172.9153735032</v>
      </c>
      <c r="N915" s="435">
        <v>6720833.3854555218</v>
      </c>
      <c r="O915" s="435">
        <v>6568622.4860954881</v>
      </c>
      <c r="P915" s="435">
        <v>6599879.1994602717</v>
      </c>
      <c r="Q915" s="435">
        <v>6919771.1031815577</v>
      </c>
      <c r="R915" s="435">
        <v>8104723.9321503835</v>
      </c>
      <c r="S915" s="435">
        <v>7504254.0657341275</v>
      </c>
      <c r="T915" s="435">
        <v>7627927.7212310648</v>
      </c>
      <c r="U915" s="435">
        <v>8524577.3923850227</v>
      </c>
      <c r="V915" s="435">
        <v>9614701.0499395803</v>
      </c>
      <c r="W915" s="435">
        <v>45944441.810464703</v>
      </c>
    </row>
    <row r="916" spans="1:23" x14ac:dyDescent="0.2">
      <c r="A916" s="9"/>
      <c r="B916" s="6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">
      <c r="A917" s="45"/>
      <c r="B917" s="300"/>
      <c r="C917" s="312"/>
      <c r="E917" s="361"/>
      <c r="F917" s="313"/>
      <c r="G917" s="314"/>
    </row>
    <row r="918" spans="1:23" x14ac:dyDescent="0.2">
      <c r="B918" s="300"/>
      <c r="C918" s="312"/>
      <c r="E918" s="91"/>
      <c r="F918" s="313"/>
      <c r="G918" s="314"/>
    </row>
    <row r="919" spans="1:23" x14ac:dyDescent="0.2">
      <c r="B919" s="300"/>
      <c r="C919" s="312"/>
      <c r="D919" s="317"/>
      <c r="E919" s="91"/>
      <c r="F919" s="313"/>
      <c r="G919" s="314"/>
    </row>
    <row r="920" spans="1:23" x14ac:dyDescent="0.2">
      <c r="B920" s="300"/>
      <c r="C920" s="301"/>
      <c r="D920" s="345"/>
      <c r="E920" s="91"/>
      <c r="F920" s="351"/>
      <c r="G920" s="362"/>
    </row>
    <row r="921" spans="1:23" x14ac:dyDescent="0.2">
      <c r="B921" s="289"/>
      <c r="C921" s="354"/>
      <c r="E921" s="363"/>
      <c r="F921" s="313"/>
      <c r="G921" s="322"/>
    </row>
    <row r="922" spans="1:23" x14ac:dyDescent="0.2">
      <c r="B922" s="289"/>
      <c r="C922" s="354"/>
      <c r="E922" s="363"/>
      <c r="F922" s="313"/>
      <c r="G922" s="322"/>
    </row>
    <row r="923" spans="1:23" x14ac:dyDescent="0.2">
      <c r="B923" s="289"/>
      <c r="C923" s="354"/>
      <c r="E923" s="363"/>
      <c r="F923" s="313"/>
      <c r="G923" s="322"/>
    </row>
    <row r="924" spans="1:23" ht="15.75" x14ac:dyDescent="0.25">
      <c r="A924" s="302" t="s">
        <v>29</v>
      </c>
      <c r="B924" s="305" t="s">
        <v>70</v>
      </c>
      <c r="C924" s="306">
        <v>2000</v>
      </c>
      <c r="D924" s="306">
        <v>2001</v>
      </c>
      <c r="E924" s="306">
        <v>2002</v>
      </c>
      <c r="F924" s="306">
        <v>2003</v>
      </c>
      <c r="G924" s="306">
        <v>2004</v>
      </c>
      <c r="H924" s="306">
        <v>2005</v>
      </c>
      <c r="I924" s="306">
        <v>2006</v>
      </c>
      <c r="J924" s="306">
        <v>2007</v>
      </c>
      <c r="K924" s="306">
        <v>2008</v>
      </c>
      <c r="L924" s="306">
        <v>2009</v>
      </c>
      <c r="M924" s="306">
        <v>2010</v>
      </c>
      <c r="N924" s="306">
        <v>2011</v>
      </c>
      <c r="O924" s="306">
        <v>2012</v>
      </c>
      <c r="P924" s="306">
        <v>2013</v>
      </c>
      <c r="Q924" s="306">
        <v>2014</v>
      </c>
      <c r="R924" s="306">
        <v>2015</v>
      </c>
      <c r="S924" s="306">
        <v>2016</v>
      </c>
      <c r="T924" s="306">
        <v>2017</v>
      </c>
      <c r="U924" s="306">
        <v>2018</v>
      </c>
      <c r="V924" s="306">
        <v>2019</v>
      </c>
      <c r="W924" s="306" t="s">
        <v>154</v>
      </c>
    </row>
    <row r="925" spans="1:23" x14ac:dyDescent="0.2">
      <c r="A925" s="302" t="s">
        <v>26</v>
      </c>
      <c r="B925" s="303">
        <v>128</v>
      </c>
      <c r="C925" s="308"/>
      <c r="D925" s="308"/>
      <c r="E925" s="308"/>
      <c r="F925" s="308"/>
      <c r="G925" s="308"/>
      <c r="H925" s="308"/>
      <c r="I925" s="308"/>
      <c r="J925" s="308"/>
      <c r="K925" s="308"/>
      <c r="L925" s="308"/>
      <c r="M925" s="308"/>
      <c r="N925" s="308"/>
      <c r="O925" s="308"/>
      <c r="P925" s="308"/>
      <c r="Q925" s="308"/>
      <c r="R925" s="308"/>
      <c r="S925" s="308"/>
      <c r="T925" s="308"/>
      <c r="U925" s="308"/>
      <c r="V925" s="308"/>
      <c r="W925" s="308"/>
    </row>
    <row r="926" spans="1:23" x14ac:dyDescent="0.2">
      <c r="A926" s="9"/>
      <c r="B926" s="309" t="s">
        <v>27</v>
      </c>
      <c r="C926" s="443">
        <v>0</v>
      </c>
      <c r="D926" s="404">
        <v>39255828.818240449</v>
      </c>
      <c r="E926" s="404">
        <v>38711399.431591041</v>
      </c>
      <c r="F926" s="404">
        <v>39456527.443193741</v>
      </c>
      <c r="G926" s="404">
        <v>38897278.020419128</v>
      </c>
      <c r="H926" s="404">
        <v>39190259.540012553</v>
      </c>
      <c r="I926" s="404">
        <v>41836458.676834047</v>
      </c>
      <c r="J926" s="404">
        <v>44859360.72828088</v>
      </c>
      <c r="K926" s="404">
        <v>46020220.401322559</v>
      </c>
      <c r="L926" s="404">
        <v>46983460.483296394</v>
      </c>
      <c r="M926" s="404">
        <v>47151188.841157973</v>
      </c>
      <c r="N926" s="404">
        <v>48169887.156364843</v>
      </c>
      <c r="O926" s="404">
        <v>48710824.733513191</v>
      </c>
      <c r="P926" s="404">
        <v>49284055.92288889</v>
      </c>
      <c r="Q926" s="404">
        <v>51018914.859552614</v>
      </c>
      <c r="R926" s="404">
        <v>54638655.682164989</v>
      </c>
      <c r="S926" s="404">
        <v>54323897.344987236</v>
      </c>
      <c r="T926" s="404">
        <v>55016245.590552472</v>
      </c>
      <c r="U926" s="404">
        <v>57660074.99491635</v>
      </c>
      <c r="V926" s="404">
        <v>59411417.573961191</v>
      </c>
      <c r="W926" s="327"/>
    </row>
    <row r="927" spans="1:23" x14ac:dyDescent="0.2">
      <c r="A927" s="9"/>
      <c r="B927" s="309" t="s">
        <v>20</v>
      </c>
      <c r="C927" s="443">
        <v>0</v>
      </c>
      <c r="D927" s="404">
        <v>-12301003.385500722</v>
      </c>
      <c r="E927" s="404">
        <v>-12477988.964096682</v>
      </c>
      <c r="F927" s="404">
        <v>-12695428.389228858</v>
      </c>
      <c r="G927" s="404">
        <v>-13058501.661891418</v>
      </c>
      <c r="H927" s="404">
        <v>-13512596.089260474</v>
      </c>
      <c r="I927" s="404">
        <v>-14031416.671087481</v>
      </c>
      <c r="J927" s="404">
        <v>-14355047.44337723</v>
      </c>
      <c r="K927" s="404">
        <v>-14663508.023215896</v>
      </c>
      <c r="L927" s="404">
        <v>-14905219.756269807</v>
      </c>
      <c r="M927" s="404">
        <v>-15024558.603551652</v>
      </c>
      <c r="N927" s="404">
        <v>-15228850.528559558</v>
      </c>
      <c r="O927" s="404">
        <v>-15559560.723993143</v>
      </c>
      <c r="P927" s="404">
        <v>-15914543.227348465</v>
      </c>
      <c r="Q927" s="404">
        <v>-16252332.845925892</v>
      </c>
      <c r="R927" s="404">
        <v>-16482919.771182336</v>
      </c>
      <c r="S927" s="404">
        <v>-16820709.389759764</v>
      </c>
      <c r="T927" s="404">
        <v>-17205020.931853846</v>
      </c>
      <c r="U927" s="404">
        <v>-17626752.281993926</v>
      </c>
      <c r="V927" s="404">
        <v>-18062642.478421681</v>
      </c>
      <c r="W927" s="327"/>
    </row>
    <row r="928" spans="1:23" x14ac:dyDescent="0.2">
      <c r="A928" s="9"/>
      <c r="B928" s="309" t="s">
        <v>31</v>
      </c>
      <c r="C928" s="443">
        <v>0</v>
      </c>
      <c r="D928" s="404">
        <v>-1041140.1594870203</v>
      </c>
      <c r="E928" s="404">
        <v>-1062154.902780402</v>
      </c>
      <c r="F928" s="404">
        <v>-1083593.8151269727</v>
      </c>
      <c r="G928" s="404">
        <v>-1105465.4581057706</v>
      </c>
      <c r="H928" s="404">
        <v>-1127778.5661057918</v>
      </c>
      <c r="I928" s="404">
        <v>-1150542.049814045</v>
      </c>
      <c r="J928" s="404">
        <v>-1173764.9997740162</v>
      </c>
      <c r="K928" s="404">
        <v>-1197456.6900159526</v>
      </c>
      <c r="L928" s="404">
        <v>-1221626.5817604284</v>
      </c>
      <c r="M928" s="404">
        <v>-1246284.3271966586</v>
      </c>
      <c r="N928" s="404">
        <v>-1271439.7733370769</v>
      </c>
      <c r="O928" s="404">
        <v>-1297102.9659497202</v>
      </c>
      <c r="P928" s="404">
        <v>-1323284.1535699805</v>
      </c>
      <c r="Q928" s="404">
        <v>-1349993.7915933318</v>
      </c>
      <c r="R928" s="404">
        <v>-1377242.5464506708</v>
      </c>
      <c r="S928" s="404">
        <v>-1405041.2998679283</v>
      </c>
      <c r="T928" s="404">
        <v>-1433401.1532116623</v>
      </c>
      <c r="U928" s="404">
        <v>-1462333.4319223615</v>
      </c>
      <c r="V928" s="404">
        <v>-1491849.6900372335</v>
      </c>
      <c r="W928" s="327"/>
    </row>
    <row r="929" spans="1:23" x14ac:dyDescent="0.2">
      <c r="A929" s="9"/>
      <c r="B929" s="309" t="s">
        <v>32</v>
      </c>
      <c r="C929" s="443">
        <v>0</v>
      </c>
      <c r="D929" s="404">
        <v>0</v>
      </c>
      <c r="E929" s="404">
        <v>0</v>
      </c>
      <c r="F929" s="404">
        <v>0</v>
      </c>
      <c r="G929" s="404">
        <v>0</v>
      </c>
      <c r="H929" s="404">
        <v>0</v>
      </c>
      <c r="I929" s="404">
        <v>-1080871.8961565711</v>
      </c>
      <c r="J929" s="404">
        <v>-1198060.1525669412</v>
      </c>
      <c r="K929" s="404">
        <v>-1409405.8238334516</v>
      </c>
      <c r="L929" s="404">
        <v>-1452018.6048280278</v>
      </c>
      <c r="M929" s="404">
        <v>-1614867.9371356757</v>
      </c>
      <c r="N929" s="404">
        <v>-1778899.1551417888</v>
      </c>
      <c r="O929" s="404">
        <v>-1970966.9308876898</v>
      </c>
      <c r="P929" s="404">
        <v>-2209972.4115497964</v>
      </c>
      <c r="Q929" s="404">
        <v>-2460044.153660181</v>
      </c>
      <c r="R929" s="404">
        <v>-2724977.4222385213</v>
      </c>
      <c r="S929" s="404">
        <v>-2992021.8585480941</v>
      </c>
      <c r="T929" s="404">
        <v>-2939515.607926371</v>
      </c>
      <c r="U929" s="404">
        <v>-2514914.5936794463</v>
      </c>
      <c r="V929" s="404">
        <v>-2607502.4406114928</v>
      </c>
      <c r="W929" s="327"/>
    </row>
    <row r="930" spans="1:23" ht="13.5" thickBot="1" x14ac:dyDescent="0.25">
      <c r="A930" s="9"/>
      <c r="B930" s="310" t="s">
        <v>33</v>
      </c>
      <c r="C930" s="444">
        <v>0</v>
      </c>
      <c r="D930" s="406">
        <v>0</v>
      </c>
      <c r="E930" s="406">
        <v>0</v>
      </c>
      <c r="F930" s="406">
        <v>-2710142.875234155</v>
      </c>
      <c r="G930" s="406">
        <v>-2309211.6099210903</v>
      </c>
      <c r="H930" s="406">
        <v>-2397277.136287014</v>
      </c>
      <c r="I930" s="406">
        <v>-2489783.3799501415</v>
      </c>
      <c r="J930" s="406">
        <v>-3127711.705902244</v>
      </c>
      <c r="K930" s="406">
        <v>-2732021.122501716</v>
      </c>
      <c r="L930" s="406">
        <v>-2891651.3249063422</v>
      </c>
      <c r="M930" s="406">
        <v>-2751516.982886787</v>
      </c>
      <c r="N930" s="406">
        <v>-2830322.6970164883</v>
      </c>
      <c r="O930" s="406">
        <v>-2903715.4324869202</v>
      </c>
      <c r="P930" s="406">
        <v>-2593627.101012643</v>
      </c>
      <c r="Q930" s="406">
        <v>-2686361.4042346738</v>
      </c>
      <c r="R930" s="406">
        <v>-2741876.0866985405</v>
      </c>
      <c r="S930" s="406">
        <v>-2911679.7646631077</v>
      </c>
      <c r="T930" s="406">
        <v>-2737280.9683523215</v>
      </c>
      <c r="U930" s="406">
        <v>-3014778.4139496619</v>
      </c>
      <c r="V930" s="406">
        <v>-1641397.7788301571</v>
      </c>
      <c r="W930" s="327"/>
    </row>
    <row r="931" spans="1:23" ht="13.5" thickTop="1" x14ac:dyDescent="0.2">
      <c r="A931" s="9"/>
      <c r="B931" s="311" t="s">
        <v>38</v>
      </c>
      <c r="C931" s="445">
        <v>0</v>
      </c>
      <c r="D931" s="408">
        <v>25913685.273252707</v>
      </c>
      <c r="E931" s="408">
        <v>25171255.564713959</v>
      </c>
      <c r="F931" s="408">
        <v>22967362.363603756</v>
      </c>
      <c r="G931" s="408">
        <v>22424099.290500853</v>
      </c>
      <c r="H931" s="408">
        <v>22152607.748359274</v>
      </c>
      <c r="I931" s="408">
        <v>23083844.679825805</v>
      </c>
      <c r="J931" s="408">
        <v>25004776.426660448</v>
      </c>
      <c r="K931" s="408">
        <v>26017828.741755541</v>
      </c>
      <c r="L931" s="408">
        <v>26512944.215531792</v>
      </c>
      <c r="M931" s="408">
        <v>26513960.990387201</v>
      </c>
      <c r="N931" s="408">
        <v>27060375.00230993</v>
      </c>
      <c r="O931" s="408">
        <v>26979478.680195712</v>
      </c>
      <c r="P931" s="408">
        <v>27242629.029408004</v>
      </c>
      <c r="Q931" s="408">
        <v>28270182.664138537</v>
      </c>
      <c r="R931" s="408">
        <v>31311639.855594918</v>
      </c>
      <c r="S931" s="408">
        <v>30194445.032148343</v>
      </c>
      <c r="T931" s="408">
        <v>30701026.929208271</v>
      </c>
      <c r="U931" s="408">
        <v>33041296.273370959</v>
      </c>
      <c r="V931" s="408">
        <v>35608025.186060622</v>
      </c>
      <c r="W931" s="327"/>
    </row>
    <row r="932" spans="1:23" x14ac:dyDescent="0.2">
      <c r="A932" s="9"/>
      <c r="B932" s="309" t="s">
        <v>34</v>
      </c>
      <c r="C932" s="443">
        <v>0</v>
      </c>
      <c r="D932" s="404">
        <v>-2889131.1746616764</v>
      </c>
      <c r="E932" s="404">
        <v>-2946913.7981549101</v>
      </c>
      <c r="F932" s="404">
        <v>-3005852.0741180084</v>
      </c>
      <c r="G932" s="404">
        <v>-3065969.1156003685</v>
      </c>
      <c r="H932" s="404">
        <v>-3127288.4979123757</v>
      </c>
      <c r="I932" s="404">
        <v>-3189834.2678706232</v>
      </c>
      <c r="J932" s="404">
        <v>-3253630.9532280355</v>
      </c>
      <c r="K932" s="404">
        <v>-3318703.5722925961</v>
      </c>
      <c r="L932" s="404">
        <v>-3385077.6437384482</v>
      </c>
      <c r="M932" s="404">
        <v>-3452779.1966132172</v>
      </c>
      <c r="N932" s="404">
        <v>-3521834.7805454815</v>
      </c>
      <c r="O932" s="404">
        <v>-3592271.4761563912</v>
      </c>
      <c r="P932" s="404">
        <v>-3664116.9056795193</v>
      </c>
      <c r="Q932" s="404">
        <v>-3737399.2437931099</v>
      </c>
      <c r="R932" s="404">
        <v>-3812147.2286689724</v>
      </c>
      <c r="S932" s="404">
        <v>-3888390.173242352</v>
      </c>
      <c r="T932" s="404">
        <v>-3966157.9767071991</v>
      </c>
      <c r="U932" s="404">
        <v>-4045481.1362413433</v>
      </c>
      <c r="V932" s="404">
        <v>-4126390.7589661703</v>
      </c>
      <c r="W932" s="327"/>
    </row>
    <row r="933" spans="1:23" x14ac:dyDescent="0.2">
      <c r="A933" s="9"/>
      <c r="B933" s="309" t="s">
        <v>35</v>
      </c>
      <c r="C933" s="443">
        <v>0</v>
      </c>
      <c r="D933" s="404">
        <v>-335704.19713303557</v>
      </c>
      <c r="E933" s="404">
        <v>-343014.86407706462</v>
      </c>
      <c r="F933" s="404">
        <v>-351211.64025173546</v>
      </c>
      <c r="G933" s="404">
        <v>-366096.3750998766</v>
      </c>
      <c r="H933" s="404">
        <v>-433641.92523250828</v>
      </c>
      <c r="I933" s="404">
        <v>-540363.49130283296</v>
      </c>
      <c r="J933" s="404">
        <v>-603486.29148456</v>
      </c>
      <c r="K933" s="404">
        <v>-667736.49917744473</v>
      </c>
      <c r="L933" s="404">
        <v>-717705.25558650738</v>
      </c>
      <c r="M933" s="404">
        <v>-743736.79485686333</v>
      </c>
      <c r="N933" s="404">
        <v>-752803.49346504896</v>
      </c>
      <c r="O933" s="404">
        <v>-762550.10212738323</v>
      </c>
      <c r="P933" s="404">
        <v>-772081.37909758824</v>
      </c>
      <c r="Q933" s="404">
        <v>-781850.93799204845</v>
      </c>
      <c r="R933" s="404">
        <v>-791865.71281475946</v>
      </c>
      <c r="S933" s="404">
        <v>-802130.85700803844</v>
      </c>
      <c r="T933" s="404">
        <v>-812650.57677731058</v>
      </c>
      <c r="U933" s="404">
        <v>-823434.34151279158</v>
      </c>
      <c r="V933" s="404">
        <v>-834488.77874313318</v>
      </c>
      <c r="W933" s="327"/>
    </row>
    <row r="934" spans="1:23" ht="13.5" thickBot="1" x14ac:dyDescent="0.25">
      <c r="A934" s="9"/>
      <c r="B934" s="310" t="s">
        <v>36</v>
      </c>
      <c r="C934" s="444">
        <v>0</v>
      </c>
      <c r="D934" s="406">
        <v>-418126.94064275001</v>
      </c>
      <c r="E934" s="406">
        <v>-426949.41909031401</v>
      </c>
      <c r="F934" s="406">
        <v>-436299.611368393</v>
      </c>
      <c r="G934" s="406">
        <v>-446159.98258531501</v>
      </c>
      <c r="H934" s="406">
        <v>-456778.59017084597</v>
      </c>
      <c r="I934" s="406">
        <v>-468225.507561301</v>
      </c>
      <c r="J934" s="406">
        <v>-479838.804564989</v>
      </c>
      <c r="K934" s="406">
        <v>-491984.51633102499</v>
      </c>
      <c r="L934" s="406">
        <v>-504136.53388440202</v>
      </c>
      <c r="M934" s="406">
        <v>-516992.015498452</v>
      </c>
      <c r="N934" s="406">
        <v>-529503.22227351705</v>
      </c>
      <c r="O934" s="406">
        <v>-542846.70347480802</v>
      </c>
      <c r="P934" s="406">
        <v>-556635.00974306697</v>
      </c>
      <c r="Q934" s="406">
        <v>-570550.88498664298</v>
      </c>
      <c r="R934" s="406">
        <v>-584871.71219980798</v>
      </c>
      <c r="S934" s="406">
        <v>-599493.505004804</v>
      </c>
      <c r="T934" s="406">
        <v>-614360.94392892299</v>
      </c>
      <c r="U934" s="406">
        <v>-629781.40362154006</v>
      </c>
      <c r="V934" s="406">
        <v>-645588.91685243999</v>
      </c>
      <c r="W934" s="327"/>
    </row>
    <row r="935" spans="1:23" ht="13.5" thickTop="1" x14ac:dyDescent="0.2">
      <c r="A935" s="9"/>
      <c r="B935" s="311" t="s">
        <v>220</v>
      </c>
      <c r="C935" s="446">
        <v>0</v>
      </c>
      <c r="D935" s="410">
        <v>22270722.960815243</v>
      </c>
      <c r="E935" s="410">
        <v>21454377.483391669</v>
      </c>
      <c r="F935" s="410">
        <v>19173999.03786562</v>
      </c>
      <c r="G935" s="410">
        <v>18545873.817215294</v>
      </c>
      <c r="H935" s="410">
        <v>18134898.735043544</v>
      </c>
      <c r="I935" s="410">
        <v>18885421.413091049</v>
      </c>
      <c r="J935" s="410">
        <v>20667820.377382863</v>
      </c>
      <c r="K935" s="410">
        <v>21539404.153954476</v>
      </c>
      <c r="L935" s="410">
        <v>21906024.782322433</v>
      </c>
      <c r="M935" s="410">
        <v>21800452.983418666</v>
      </c>
      <c r="N935" s="410">
        <v>22256233.506025884</v>
      </c>
      <c r="O935" s="410">
        <v>22081810.398437127</v>
      </c>
      <c r="P935" s="410">
        <v>22249795.734887827</v>
      </c>
      <c r="Q935" s="410">
        <v>23180381.597366735</v>
      </c>
      <c r="R935" s="410">
        <v>26122755.201911379</v>
      </c>
      <c r="S935" s="410">
        <v>24904430.496893145</v>
      </c>
      <c r="T935" s="410">
        <v>25307857.431794841</v>
      </c>
      <c r="U935" s="410">
        <v>27542599.391995285</v>
      </c>
      <c r="V935" s="410">
        <v>30001556.731498878</v>
      </c>
      <c r="W935" s="327"/>
    </row>
    <row r="936" spans="1:23" x14ac:dyDescent="0.2">
      <c r="A936" s="9"/>
      <c r="B936" s="309" t="s">
        <v>37</v>
      </c>
      <c r="C936" s="443">
        <v>0</v>
      </c>
      <c r="D936" s="404">
        <v>-964456.01653409097</v>
      </c>
      <c r="E936" s="404">
        <v>-1335489.6346815</v>
      </c>
      <c r="F936" s="404">
        <v>-1670269.8908603727</v>
      </c>
      <c r="G936" s="404">
        <v>-1670507.2613207274</v>
      </c>
      <c r="H936" s="404">
        <v>-1748116.5908048456</v>
      </c>
      <c r="I936" s="404">
        <v>-1884310.129472472</v>
      </c>
      <c r="J936" s="404">
        <v>-1934208.9610554129</v>
      </c>
      <c r="K936" s="404">
        <v>-1891010.3720688052</v>
      </c>
      <c r="L936" s="404">
        <v>-1860983.9304709493</v>
      </c>
      <c r="M936" s="404">
        <v>-1944868.4877299853</v>
      </c>
      <c r="N936" s="404">
        <v>-2054391.2887589897</v>
      </c>
      <c r="O936" s="404">
        <v>-2125047.3851898606</v>
      </c>
      <c r="P936" s="404">
        <v>-2244799.8289508955</v>
      </c>
      <c r="Q936" s="404">
        <v>-2337274.9551156703</v>
      </c>
      <c r="R936" s="404">
        <v>-2434552.8132472076</v>
      </c>
      <c r="S936" s="404">
        <v>-2564173.521668145</v>
      </c>
      <c r="T936" s="404">
        <v>-2698944.1222508014</v>
      </c>
      <c r="U936" s="404">
        <v>-2881443.6208509379</v>
      </c>
      <c r="V936" s="404">
        <v>-3061151.4862272595</v>
      </c>
      <c r="W936" s="327"/>
    </row>
    <row r="937" spans="1:23" ht="13.5" thickBot="1" x14ac:dyDescent="0.25">
      <c r="A937" s="9"/>
      <c r="B937" s="310" t="s">
        <v>221</v>
      </c>
      <c r="C937" s="444">
        <v>0</v>
      </c>
      <c r="D937" s="406">
        <v>-8522506.7777124625</v>
      </c>
      <c r="E937" s="406">
        <v>-8047555.1394840674</v>
      </c>
      <c r="F937" s="406">
        <v>-7001491.6588020995</v>
      </c>
      <c r="G937" s="406">
        <v>-6750146.6223578267</v>
      </c>
      <c r="H937" s="406">
        <v>-6554712.8576954799</v>
      </c>
      <c r="I937" s="406">
        <v>-6800444.5134474309</v>
      </c>
      <c r="J937" s="406">
        <v>-7493444.5665309802</v>
      </c>
      <c r="K937" s="406">
        <v>-7859357.5127542689</v>
      </c>
      <c r="L937" s="406">
        <v>-8018016.3407405932</v>
      </c>
      <c r="M937" s="406">
        <v>-7942233.7982754726</v>
      </c>
      <c r="N937" s="406">
        <v>-8080736.886906758</v>
      </c>
      <c r="O937" s="406">
        <v>-7982705.2052989071</v>
      </c>
      <c r="P937" s="406">
        <v>-8001998.3623747723</v>
      </c>
      <c r="Q937" s="406">
        <v>-8337242.6569004273</v>
      </c>
      <c r="R937" s="406">
        <v>-9475280.9554656688</v>
      </c>
      <c r="S937" s="406">
        <v>-8936102.7900900003</v>
      </c>
      <c r="T937" s="406">
        <v>-9043565.3238176163</v>
      </c>
      <c r="U937" s="406">
        <v>-9864462.3084577378</v>
      </c>
      <c r="V937" s="406">
        <v>-10776162.098108649</v>
      </c>
      <c r="W937" s="327"/>
    </row>
    <row r="938" spans="1:23" ht="13.5" thickTop="1" x14ac:dyDescent="0.2">
      <c r="A938" s="9"/>
      <c r="B938" s="311" t="s">
        <v>183</v>
      </c>
      <c r="C938" s="446">
        <v>0</v>
      </c>
      <c r="D938" s="410">
        <v>12783760.166568691</v>
      </c>
      <c r="E938" s="410">
        <v>12071332.709226102</v>
      </c>
      <c r="F938" s="410">
        <v>10502237.488203149</v>
      </c>
      <c r="G938" s="410">
        <v>10125219.933536738</v>
      </c>
      <c r="H938" s="410">
        <v>9832069.2865432203</v>
      </c>
      <c r="I938" s="410">
        <v>10200666.770171147</v>
      </c>
      <c r="J938" s="410">
        <v>11240166.84979647</v>
      </c>
      <c r="K938" s="410">
        <v>11789036.269131403</v>
      </c>
      <c r="L938" s="410">
        <v>12027024.511110889</v>
      </c>
      <c r="M938" s="410">
        <v>11913350.697413208</v>
      </c>
      <c r="N938" s="410">
        <v>12121105.330360137</v>
      </c>
      <c r="O938" s="410">
        <v>11974057.807948358</v>
      </c>
      <c r="P938" s="410">
        <v>12002997.543562159</v>
      </c>
      <c r="Q938" s="410">
        <v>12505863.985350639</v>
      </c>
      <c r="R938" s="410">
        <v>14212921.433198502</v>
      </c>
      <c r="S938" s="410">
        <v>13404154.185135001</v>
      </c>
      <c r="T938" s="410">
        <v>13565347.985726422</v>
      </c>
      <c r="U938" s="410">
        <v>14796693.462686608</v>
      </c>
      <c r="V938" s="410">
        <v>16164243.14716297</v>
      </c>
      <c r="W938" s="327"/>
    </row>
    <row r="939" spans="1:23" x14ac:dyDescent="0.2">
      <c r="A939" s="9"/>
      <c r="B939" s="309" t="s">
        <v>37</v>
      </c>
      <c r="C939" s="443">
        <v>0</v>
      </c>
      <c r="D939" s="404">
        <v>964456.01653409097</v>
      </c>
      <c r="E939" s="404">
        <v>1335489.6346815</v>
      </c>
      <c r="F939" s="404">
        <v>1670269.8908603727</v>
      </c>
      <c r="G939" s="404">
        <v>1670507.2613207274</v>
      </c>
      <c r="H939" s="404">
        <v>1748116.5908048456</v>
      </c>
      <c r="I939" s="404">
        <v>1884310.129472472</v>
      </c>
      <c r="J939" s="404">
        <v>1934208.9610554129</v>
      </c>
      <c r="K939" s="404">
        <v>1891010.3720688052</v>
      </c>
      <c r="L939" s="404">
        <v>1860983.9304709493</v>
      </c>
      <c r="M939" s="404">
        <v>1944868.4877299853</v>
      </c>
      <c r="N939" s="404">
        <v>2054391.2887589897</v>
      </c>
      <c r="O939" s="404">
        <v>2125047.3851898606</v>
      </c>
      <c r="P939" s="404">
        <v>2244799.8289508955</v>
      </c>
      <c r="Q939" s="404">
        <v>2337274.9551156703</v>
      </c>
      <c r="R939" s="404">
        <v>2434552.8132472076</v>
      </c>
      <c r="S939" s="404">
        <v>2564173.521668145</v>
      </c>
      <c r="T939" s="404">
        <v>2698944.1222508014</v>
      </c>
      <c r="U939" s="404">
        <v>2881443.6208509379</v>
      </c>
      <c r="V939" s="404">
        <v>3061151.4862272595</v>
      </c>
      <c r="W939" s="327"/>
    </row>
    <row r="940" spans="1:23" x14ac:dyDescent="0.2">
      <c r="A940" s="9"/>
      <c r="B940" s="309" t="s">
        <v>39</v>
      </c>
      <c r="C940" s="443">
        <v>0</v>
      </c>
      <c r="D940" s="404">
        <v>-804291.35</v>
      </c>
      <c r="E940" s="404">
        <v>-9620475.7899999991</v>
      </c>
      <c r="F940" s="404">
        <v>-604210.52</v>
      </c>
      <c r="G940" s="404">
        <v>-1057868.8999999999</v>
      </c>
      <c r="H940" s="404">
        <v>-2649788.426</v>
      </c>
      <c r="I940" s="404">
        <v>-2729282.0787800001</v>
      </c>
      <c r="J940" s="404">
        <v>-2811160.5411434001</v>
      </c>
      <c r="K940" s="404">
        <v>-2895495.3573777024</v>
      </c>
      <c r="L940" s="404">
        <v>-2982360.2180990335</v>
      </c>
      <c r="M940" s="404">
        <v>-3071831.0246420046</v>
      </c>
      <c r="N940" s="404">
        <v>-3163985.9553812649</v>
      </c>
      <c r="O940" s="404">
        <v>-3258905.534042703</v>
      </c>
      <c r="P940" s="404">
        <v>-3356672.7000639844</v>
      </c>
      <c r="Q940" s="404">
        <v>-3457372.8810659042</v>
      </c>
      <c r="R940" s="404">
        <v>-3561094.0674978816</v>
      </c>
      <c r="S940" s="404">
        <v>-3667926.8895228179</v>
      </c>
      <c r="T940" s="404">
        <v>-3777964.6962085026</v>
      </c>
      <c r="U940" s="404">
        <v>-3891303.637094758</v>
      </c>
      <c r="V940" s="404">
        <v>-4008042.7462076009</v>
      </c>
      <c r="W940" s="327"/>
    </row>
    <row r="941" spans="1:23" ht="13.5" thickBot="1" x14ac:dyDescent="0.25">
      <c r="A941" s="9"/>
      <c r="B941" s="310" t="s">
        <v>40</v>
      </c>
      <c r="C941" s="444">
        <v>0</v>
      </c>
      <c r="D941" s="406">
        <v>0</v>
      </c>
      <c r="E941" s="406">
        <v>0</v>
      </c>
      <c r="F941" s="406">
        <v>0</v>
      </c>
      <c r="G941" s="406">
        <v>0</v>
      </c>
      <c r="H941" s="406">
        <v>0</v>
      </c>
      <c r="I941" s="406">
        <v>0</v>
      </c>
      <c r="J941" s="406">
        <v>0</v>
      </c>
      <c r="K941" s="406">
        <v>0</v>
      </c>
      <c r="L941" s="406">
        <v>0</v>
      </c>
      <c r="M941" s="406">
        <v>0</v>
      </c>
      <c r="N941" s="406">
        <v>0</v>
      </c>
      <c r="O941" s="406">
        <v>0</v>
      </c>
      <c r="P941" s="406">
        <v>0</v>
      </c>
      <c r="Q941" s="406">
        <v>0</v>
      </c>
      <c r="R941" s="406">
        <v>0</v>
      </c>
      <c r="S941" s="406">
        <v>0</v>
      </c>
      <c r="T941" s="406">
        <v>0</v>
      </c>
      <c r="U941" s="406">
        <v>0</v>
      </c>
      <c r="V941" s="406">
        <v>0</v>
      </c>
      <c r="W941" s="327"/>
    </row>
    <row r="942" spans="1:23" ht="13.5" thickTop="1" x14ac:dyDescent="0.2">
      <c r="A942" s="9"/>
      <c r="B942" s="309"/>
      <c r="C942" s="447"/>
      <c r="D942" s="327"/>
      <c r="E942" s="327"/>
      <c r="F942" s="327"/>
      <c r="G942" s="327"/>
      <c r="H942" s="327"/>
      <c r="I942" s="327"/>
      <c r="J942" s="327"/>
      <c r="K942" s="327"/>
      <c r="L942" s="327"/>
      <c r="M942" s="327"/>
      <c r="N942" s="327"/>
      <c r="O942" s="327"/>
      <c r="P942" s="327"/>
      <c r="Q942" s="327"/>
      <c r="R942" s="327"/>
      <c r="S942" s="327"/>
      <c r="T942" s="327"/>
      <c r="U942" s="327"/>
      <c r="V942" s="327"/>
      <c r="W942" s="327"/>
    </row>
    <row r="943" spans="1:23" x14ac:dyDescent="0.2">
      <c r="A943" s="9"/>
      <c r="B943" s="311" t="s">
        <v>233</v>
      </c>
      <c r="C943" s="446">
        <v>0</v>
      </c>
      <c r="D943" s="410">
        <v>12943924.833102783</v>
      </c>
      <c r="E943" s="410">
        <v>3786346.553907603</v>
      </c>
      <c r="F943" s="410">
        <v>11568296.859063523</v>
      </c>
      <c r="G943" s="410">
        <v>10737858.294857465</v>
      </c>
      <c r="H943" s="410">
        <v>8930397.4513480663</v>
      </c>
      <c r="I943" s="410">
        <v>9355694.8208636194</v>
      </c>
      <c r="J943" s="410">
        <v>10363215.269708483</v>
      </c>
      <c r="K943" s="410">
        <v>10784551.283822507</v>
      </c>
      <c r="L943" s="410">
        <v>10905648.223482804</v>
      </c>
      <c r="M943" s="410">
        <v>10786388.16050119</v>
      </c>
      <c r="N943" s="410">
        <v>11011510.663737861</v>
      </c>
      <c r="O943" s="410">
        <v>10840199.659095516</v>
      </c>
      <c r="P943" s="410">
        <v>10891124.672449069</v>
      </c>
      <c r="Q943" s="410">
        <v>11385766.059400406</v>
      </c>
      <c r="R943" s="410">
        <v>13086380.178947829</v>
      </c>
      <c r="S943" s="410">
        <v>12300400.81728033</v>
      </c>
      <c r="T943" s="410">
        <v>12486327.41176872</v>
      </c>
      <c r="U943" s="410">
        <v>13786833.446442787</v>
      </c>
      <c r="V943" s="410">
        <v>15217351.887182629</v>
      </c>
      <c r="W943" s="408">
        <v>74836085.558506936</v>
      </c>
    </row>
    <row r="944" spans="1:23" x14ac:dyDescent="0.2">
      <c r="A944" s="9"/>
      <c r="B944" s="286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">
      <c r="A945" s="302" t="s">
        <v>218</v>
      </c>
      <c r="B945" s="300" t="s">
        <v>170</v>
      </c>
      <c r="C945" s="433">
        <v>36467024.971316494</v>
      </c>
      <c r="D945" s="9"/>
      <c r="E945" s="137" t="s">
        <v>219</v>
      </c>
      <c r="F945" s="313" t="s">
        <v>170</v>
      </c>
      <c r="G945" s="437">
        <v>36467024.971316494</v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">
      <c r="A946" s="9"/>
      <c r="B946" s="300" t="s">
        <v>180</v>
      </c>
      <c r="C946" s="433">
        <v>51128149.666607596</v>
      </c>
      <c r="D946" s="9"/>
      <c r="E946" s="315"/>
      <c r="F946" s="313" t="s">
        <v>180</v>
      </c>
      <c r="G946" s="437">
        <v>51128149.666607596</v>
      </c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3.5" thickBot="1" x14ac:dyDescent="0.25">
      <c r="A947" s="9"/>
      <c r="B947" s="316" t="s">
        <v>137</v>
      </c>
      <c r="C947" s="434">
        <v>11123907.264541682</v>
      </c>
      <c r="D947" s="317"/>
      <c r="E947" s="315"/>
      <c r="F947" s="313" t="s">
        <v>137</v>
      </c>
      <c r="G947" s="437">
        <v>11123907.264541682</v>
      </c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4.25" thickTop="1" thickBot="1" x14ac:dyDescent="0.25">
      <c r="A948" s="9"/>
      <c r="B948" s="300" t="s">
        <v>28</v>
      </c>
      <c r="C948" s="432">
        <v>98719081.902465761</v>
      </c>
      <c r="D948" s="299"/>
      <c r="E948" s="315"/>
      <c r="F948" s="318" t="s">
        <v>203</v>
      </c>
      <c r="G948" s="319">
        <v>0</v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3.5" thickTop="1" x14ac:dyDescent="0.2">
      <c r="A949" s="9"/>
      <c r="B949" s="286"/>
      <c r="C949" s="320"/>
      <c r="D949" s="9"/>
      <c r="E949" s="321"/>
      <c r="F949" s="313" t="s">
        <v>28</v>
      </c>
      <c r="G949" s="362">
        <v>98719081.902465761</v>
      </c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x14ac:dyDescent="0.2">
      <c r="A950" s="9"/>
      <c r="B950" s="286"/>
      <c r="C950" s="320"/>
      <c r="D950" s="9"/>
      <c r="E950" s="321"/>
      <c r="F950" s="313"/>
      <c r="G950" s="322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x14ac:dyDescent="0.2">
      <c r="A951" s="9"/>
      <c r="B951" s="286"/>
      <c r="C951" s="320"/>
      <c r="D951" s="9"/>
      <c r="E951" s="321"/>
      <c r="F951" s="313"/>
      <c r="G951" s="322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x14ac:dyDescent="0.2">
      <c r="A952" s="9"/>
      <c r="B952" s="323" t="s">
        <v>222</v>
      </c>
      <c r="C952" s="320"/>
      <c r="D952" s="9"/>
      <c r="E952" s="321"/>
      <c r="F952" s="313"/>
      <c r="G952" s="322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x14ac:dyDescent="0.2">
      <c r="A953" s="324" t="s">
        <v>224</v>
      </c>
      <c r="B953" s="323" t="s">
        <v>223</v>
      </c>
      <c r="C953" s="325"/>
      <c r="D953" s="326">
        <v>12783760.166568691</v>
      </c>
      <c r="E953" s="326">
        <v>12071332.709226102</v>
      </c>
      <c r="F953" s="326">
        <v>10502237.488203149</v>
      </c>
      <c r="G953" s="326">
        <v>10125219.933536738</v>
      </c>
      <c r="H953" s="326">
        <v>9832069.2865432203</v>
      </c>
      <c r="I953" s="326">
        <v>10200666.770171147</v>
      </c>
      <c r="J953" s="326">
        <v>11240166.84979647</v>
      </c>
      <c r="K953" s="326">
        <v>11789036.269131403</v>
      </c>
      <c r="L953" s="326">
        <v>12027024.511110889</v>
      </c>
      <c r="M953" s="326">
        <v>11913350.697413208</v>
      </c>
      <c r="N953" s="326">
        <v>12121105.330360137</v>
      </c>
      <c r="O953" s="326">
        <v>11974057.807948358</v>
      </c>
      <c r="P953" s="326">
        <v>12002997.543562159</v>
      </c>
      <c r="Q953" s="326">
        <v>12505863.985350639</v>
      </c>
      <c r="R953" s="326">
        <v>14212921.433198502</v>
      </c>
      <c r="S953" s="326">
        <v>13404154.185135001</v>
      </c>
      <c r="T953" s="326">
        <v>13565347.985726422</v>
      </c>
      <c r="U953" s="326">
        <v>14796693.462686608</v>
      </c>
      <c r="V953" s="326">
        <v>16164243.14716297</v>
      </c>
      <c r="W953" s="9"/>
    </row>
    <row r="954" spans="1:23" x14ac:dyDescent="0.2">
      <c r="A954" s="9"/>
      <c r="B954" s="286" t="s">
        <v>225</v>
      </c>
      <c r="C954" s="320"/>
      <c r="D954" s="327">
        <v>8522506.7777124625</v>
      </c>
      <c r="E954" s="327">
        <v>8047555.1394840674</v>
      </c>
      <c r="F954" s="327">
        <v>7001491.6588020995</v>
      </c>
      <c r="G954" s="327">
        <v>6750146.6223578267</v>
      </c>
      <c r="H954" s="327">
        <v>6554712.8576954799</v>
      </c>
      <c r="I954" s="327">
        <v>6800444.5134474309</v>
      </c>
      <c r="J954" s="327">
        <v>7493444.5665309802</v>
      </c>
      <c r="K954" s="327">
        <v>7859357.5127542689</v>
      </c>
      <c r="L954" s="327">
        <v>8018016.3407405932</v>
      </c>
      <c r="M954" s="327">
        <v>7942233.7982754726</v>
      </c>
      <c r="N954" s="327">
        <v>8080736.886906758</v>
      </c>
      <c r="O954" s="327">
        <v>7982705.2052989071</v>
      </c>
      <c r="P954" s="327">
        <v>8001998.3623747723</v>
      </c>
      <c r="Q954" s="327">
        <v>8337242.6569004273</v>
      </c>
      <c r="R954" s="327">
        <v>9475280.9554656688</v>
      </c>
      <c r="S954" s="327">
        <v>8936102.7900900003</v>
      </c>
      <c r="T954" s="327">
        <v>9043565.3238176163</v>
      </c>
      <c r="U954" s="327">
        <v>9864462.3084577378</v>
      </c>
      <c r="V954" s="327">
        <v>10776162.098108649</v>
      </c>
      <c r="W954" s="9"/>
    </row>
    <row r="955" spans="1:23" x14ac:dyDescent="0.2">
      <c r="A955" s="9"/>
      <c r="B955" s="328" t="s">
        <v>226</v>
      </c>
      <c r="C955" s="329"/>
      <c r="D955" s="327">
        <v>964456.01653409097</v>
      </c>
      <c r="E955" s="327">
        <v>1335489.6346815</v>
      </c>
      <c r="F955" s="327">
        <v>1670269.8908603727</v>
      </c>
      <c r="G955" s="327">
        <v>1670507.2613207274</v>
      </c>
      <c r="H955" s="327">
        <v>1748116.5908048456</v>
      </c>
      <c r="I955" s="327">
        <v>1884310.129472472</v>
      </c>
      <c r="J955" s="327">
        <v>1934208.9610554129</v>
      </c>
      <c r="K955" s="327">
        <v>1891010.3720688052</v>
      </c>
      <c r="L955" s="327">
        <v>1860983.9304709493</v>
      </c>
      <c r="M955" s="327">
        <v>1944868.4877299853</v>
      </c>
      <c r="N955" s="327">
        <v>2054391.2887589897</v>
      </c>
      <c r="O955" s="327">
        <v>2125047.3851898606</v>
      </c>
      <c r="P955" s="327">
        <v>2244799.8289508955</v>
      </c>
      <c r="Q955" s="327">
        <v>2337274.9551156703</v>
      </c>
      <c r="R955" s="327">
        <v>2434552.8132472076</v>
      </c>
      <c r="S955" s="327">
        <v>2564173.521668145</v>
      </c>
      <c r="T955" s="327">
        <v>2698944.1222508014</v>
      </c>
      <c r="U955" s="327">
        <v>2881443.6208509379</v>
      </c>
      <c r="V955" s="327">
        <v>3061151.4862272595</v>
      </c>
      <c r="W955" s="9"/>
    </row>
    <row r="956" spans="1:23" ht="13.5" thickBot="1" x14ac:dyDescent="0.25">
      <c r="A956" s="9"/>
      <c r="B956" s="330" t="s">
        <v>227</v>
      </c>
      <c r="C956" s="331"/>
      <c r="D956" s="332">
        <v>22270722.960815243</v>
      </c>
      <c r="E956" s="332">
        <v>21454377.483391669</v>
      </c>
      <c r="F956" s="332">
        <v>19173999.03786562</v>
      </c>
      <c r="G956" s="332">
        <v>18545873.817215294</v>
      </c>
      <c r="H956" s="332">
        <v>18134898.735043544</v>
      </c>
      <c r="I956" s="332">
        <v>18885421.413091049</v>
      </c>
      <c r="J956" s="332">
        <v>20667820.377382863</v>
      </c>
      <c r="K956" s="332">
        <v>21539404.153954476</v>
      </c>
      <c r="L956" s="332">
        <v>21906024.782322433</v>
      </c>
      <c r="M956" s="332">
        <v>21800452.983418666</v>
      </c>
      <c r="N956" s="332">
        <v>22256233.506025884</v>
      </c>
      <c r="O956" s="332">
        <v>22081810.398437127</v>
      </c>
      <c r="P956" s="332">
        <v>22249795.734887827</v>
      </c>
      <c r="Q956" s="332">
        <v>23180381.597366735</v>
      </c>
      <c r="R956" s="332">
        <v>26122755.201911379</v>
      </c>
      <c r="S956" s="332">
        <v>24904430.496893145</v>
      </c>
      <c r="T956" s="332">
        <v>25307857.431794841</v>
      </c>
      <c r="U956" s="332">
        <v>27542599.391995285</v>
      </c>
      <c r="V956" s="332">
        <v>30001556.731498878</v>
      </c>
      <c r="W956" s="9"/>
    </row>
    <row r="957" spans="1:23" ht="13.5" thickTop="1" x14ac:dyDescent="0.2">
      <c r="A957" s="324" t="s">
        <v>228</v>
      </c>
      <c r="B957" s="286" t="s">
        <v>229</v>
      </c>
      <c r="C957" s="320"/>
      <c r="D957" s="327">
        <v>-1469520.4309921479</v>
      </c>
      <c r="E957" s="327">
        <v>-1947943.6343341814</v>
      </c>
      <c r="F957" s="327">
        <v>-1968749.2209553346</v>
      </c>
      <c r="G957" s="327">
        <v>-1981272.3404185213</v>
      </c>
      <c r="H957" s="327">
        <v>-1997857.2354769197</v>
      </c>
      <c r="I957" s="327">
        <v>-2134321.33941592</v>
      </c>
      <c r="J957" s="327">
        <v>-1718435.4558213954</v>
      </c>
      <c r="K957" s="327">
        <v>-1379677.5247286686</v>
      </c>
      <c r="L957" s="327">
        <v>-1528309.0309867191</v>
      </c>
      <c r="M957" s="327">
        <v>-1663447.3545347527</v>
      </c>
      <c r="N957" s="327">
        <v>-1682658.8840380635</v>
      </c>
      <c r="O957" s="327">
        <v>-1845604.1607401986</v>
      </c>
      <c r="P957" s="327">
        <v>-2013437.7957433979</v>
      </c>
      <c r="Q957" s="327">
        <v>-2186306.4397966932</v>
      </c>
      <c r="R957" s="327">
        <v>-2364361.143171587</v>
      </c>
      <c r="S957" s="327">
        <v>-2546881.9467183477</v>
      </c>
      <c r="T957" s="327">
        <v>-2733413.2322077183</v>
      </c>
      <c r="U957" s="327">
        <v>-2927978.4140624562</v>
      </c>
      <c r="V957" s="327">
        <v>-3128380.5513728363</v>
      </c>
      <c r="W957" s="9"/>
    </row>
    <row r="958" spans="1:23" x14ac:dyDescent="0.2">
      <c r="A958" s="9"/>
      <c r="B958" s="286" t="s">
        <v>230</v>
      </c>
      <c r="C958" s="320"/>
      <c r="D958" s="327">
        <v>0</v>
      </c>
      <c r="E958" s="327">
        <v>0</v>
      </c>
      <c r="F958" s="327">
        <v>0</v>
      </c>
      <c r="G958" s="327">
        <v>0</v>
      </c>
      <c r="H958" s="327">
        <v>0</v>
      </c>
      <c r="I958" s="327">
        <v>0</v>
      </c>
      <c r="J958" s="327">
        <v>0</v>
      </c>
      <c r="K958" s="327">
        <v>0</v>
      </c>
      <c r="L958" s="327">
        <v>0</v>
      </c>
      <c r="M958" s="327">
        <v>0</v>
      </c>
      <c r="N958" s="327">
        <v>0</v>
      </c>
      <c r="O958" s="327">
        <v>0</v>
      </c>
      <c r="P958" s="327">
        <v>0</v>
      </c>
      <c r="Q958" s="327">
        <v>0</v>
      </c>
      <c r="R958" s="327">
        <v>0</v>
      </c>
      <c r="S958" s="327">
        <v>0</v>
      </c>
      <c r="T958" s="327">
        <v>0</v>
      </c>
      <c r="U958" s="327">
        <v>0</v>
      </c>
      <c r="V958" s="327">
        <v>0</v>
      </c>
      <c r="W958" s="9"/>
    </row>
    <row r="959" spans="1:23" x14ac:dyDescent="0.2">
      <c r="A959" s="9"/>
      <c r="B959" s="323" t="s">
        <v>231</v>
      </c>
      <c r="C959" s="325"/>
      <c r="D959" s="326">
        <v>20801202.529823095</v>
      </c>
      <c r="E959" s="326">
        <v>19506433.849057488</v>
      </c>
      <c r="F959" s="326">
        <v>17205249.816910286</v>
      </c>
      <c r="G959" s="326">
        <v>16564601.476796772</v>
      </c>
      <c r="H959" s="326">
        <v>16137041.499566624</v>
      </c>
      <c r="I959" s="326">
        <v>16751100.07367513</v>
      </c>
      <c r="J959" s="326">
        <v>18949384.921561468</v>
      </c>
      <c r="K959" s="326">
        <v>20159726.629225809</v>
      </c>
      <c r="L959" s="326">
        <v>20377715.751335714</v>
      </c>
      <c r="M959" s="326">
        <v>20137005.628883913</v>
      </c>
      <c r="N959" s="326">
        <v>20573574.62198782</v>
      </c>
      <c r="O959" s="326">
        <v>20236206.237696931</v>
      </c>
      <c r="P959" s="326">
        <v>20236357.939144429</v>
      </c>
      <c r="Q959" s="326">
        <v>20994075.157570042</v>
      </c>
      <c r="R959" s="326">
        <v>23758394.058739793</v>
      </c>
      <c r="S959" s="326">
        <v>22357548.550174799</v>
      </c>
      <c r="T959" s="326">
        <v>22574444.199587122</v>
      </c>
      <c r="U959" s="326">
        <v>24614620.977932829</v>
      </c>
      <c r="V959" s="326">
        <v>26873176.180126041</v>
      </c>
      <c r="W959" s="9"/>
    </row>
    <row r="960" spans="1:23" ht="13.5" thickBot="1" x14ac:dyDescent="0.25">
      <c r="A960" s="9"/>
      <c r="B960" s="333" t="s">
        <v>237</v>
      </c>
      <c r="C960" s="334"/>
      <c r="D960" s="335">
        <v>-8320481.0119292382</v>
      </c>
      <c r="E960" s="335">
        <v>-7802573.539622996</v>
      </c>
      <c r="F960" s="335">
        <v>-6882099.9267641148</v>
      </c>
      <c r="G960" s="335">
        <v>-6625840.5907187089</v>
      </c>
      <c r="H960" s="335">
        <v>-6454816.5998266498</v>
      </c>
      <c r="I960" s="335">
        <v>-6700440.0294700526</v>
      </c>
      <c r="J960" s="335">
        <v>-7579753.9686245881</v>
      </c>
      <c r="K960" s="335">
        <v>-8063890.6516903238</v>
      </c>
      <c r="L960" s="335">
        <v>-8151086.3005342856</v>
      </c>
      <c r="M960" s="335">
        <v>-8054802.2515535653</v>
      </c>
      <c r="N960" s="335">
        <v>-8229429.8487951281</v>
      </c>
      <c r="O960" s="335">
        <v>-8094482.4950787723</v>
      </c>
      <c r="P960" s="335">
        <v>-8094543.1756577715</v>
      </c>
      <c r="Q960" s="335">
        <v>-8397630.0630280171</v>
      </c>
      <c r="R960" s="335">
        <v>-9503357.6234959178</v>
      </c>
      <c r="S960" s="335">
        <v>-8943019.4200699199</v>
      </c>
      <c r="T960" s="335">
        <v>-9029777.6798348483</v>
      </c>
      <c r="U960" s="335">
        <v>-9845848.3911731318</v>
      </c>
      <c r="V960" s="335">
        <v>-10749270.472050417</v>
      </c>
      <c r="W960" s="9"/>
    </row>
    <row r="961" spans="1:23" ht="13.5" thickTop="1" x14ac:dyDescent="0.2">
      <c r="A961" s="9"/>
      <c r="B961" s="323" t="s">
        <v>232</v>
      </c>
      <c r="C961" s="325"/>
      <c r="D961" s="326">
        <v>12480721.517893856</v>
      </c>
      <c r="E961" s="326">
        <v>11703860.309434492</v>
      </c>
      <c r="F961" s="326">
        <v>10323149.89014617</v>
      </c>
      <c r="G961" s="326">
        <v>9938760.8860780634</v>
      </c>
      <c r="H961" s="326">
        <v>9682224.8997399732</v>
      </c>
      <c r="I961" s="326">
        <v>10050660.044205077</v>
      </c>
      <c r="J961" s="326">
        <v>11369630.95293688</v>
      </c>
      <c r="K961" s="326">
        <v>12095835.977535486</v>
      </c>
      <c r="L961" s="326">
        <v>12226629.450801428</v>
      </c>
      <c r="M961" s="326">
        <v>12082203.377330348</v>
      </c>
      <c r="N961" s="326">
        <v>12344144.773192693</v>
      </c>
      <c r="O961" s="326">
        <v>12141723.742618158</v>
      </c>
      <c r="P961" s="326">
        <v>12141814.763486657</v>
      </c>
      <c r="Q961" s="326">
        <v>12596445.094542025</v>
      </c>
      <c r="R961" s="326">
        <v>14255036.435243875</v>
      </c>
      <c r="S961" s="326">
        <v>13414529.130104879</v>
      </c>
      <c r="T961" s="326">
        <v>13544666.519752273</v>
      </c>
      <c r="U961" s="326">
        <v>14768772.586759698</v>
      </c>
      <c r="V961" s="326">
        <v>16123905.708075624</v>
      </c>
      <c r="W961" s="9"/>
    </row>
    <row r="962" spans="1:23" x14ac:dyDescent="0.2">
      <c r="A962" s="9"/>
      <c r="B962" s="9"/>
      <c r="C962" s="320"/>
      <c r="D962" s="9"/>
      <c r="E962" s="321"/>
      <c r="F962" s="313"/>
      <c r="G962" s="322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5.75" x14ac:dyDescent="0.25">
      <c r="A963" s="336" t="s">
        <v>205</v>
      </c>
      <c r="B963" s="33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x14ac:dyDescent="0.2">
      <c r="A964" s="284" t="s">
        <v>190</v>
      </c>
      <c r="B964" s="303"/>
      <c r="C964" s="338">
        <v>0</v>
      </c>
      <c r="D964" s="277"/>
      <c r="E964" s="277"/>
      <c r="F964" s="277"/>
      <c r="G964" s="277"/>
      <c r="H964" s="277"/>
      <c r="I964" s="277"/>
      <c r="J964" s="277"/>
      <c r="K964" s="277"/>
      <c r="L964" s="277"/>
      <c r="M964" s="277"/>
      <c r="N964" s="277"/>
      <c r="O964" s="277"/>
      <c r="P964" s="277"/>
      <c r="Q964" s="277"/>
      <c r="R964" s="277"/>
      <c r="S964" s="277"/>
      <c r="T964" s="277"/>
      <c r="U964" s="277"/>
      <c r="V964" s="277"/>
      <c r="W964" s="277"/>
    </row>
    <row r="965" spans="1:23" x14ac:dyDescent="0.2">
      <c r="A965" s="284" t="s">
        <v>191</v>
      </c>
      <c r="B965" s="303"/>
      <c r="C965" s="339">
        <v>0</v>
      </c>
      <c r="D965" s="277"/>
      <c r="E965" s="277"/>
      <c r="F965" s="277"/>
      <c r="G965" s="277"/>
      <c r="H965" s="277"/>
      <c r="I965" s="277"/>
      <c r="J965" s="277"/>
      <c r="K965" s="277"/>
      <c r="L965" s="277"/>
      <c r="M965" s="277"/>
      <c r="N965" s="277"/>
      <c r="O965" s="277"/>
      <c r="P965" s="277"/>
      <c r="Q965" s="277"/>
      <c r="R965" s="277"/>
      <c r="S965" s="277"/>
      <c r="T965" s="277"/>
      <c r="U965" s="277"/>
      <c r="V965" s="277"/>
      <c r="W965" s="277"/>
    </row>
    <row r="966" spans="1:23" x14ac:dyDescent="0.2">
      <c r="A966" s="284" t="s">
        <v>201</v>
      </c>
      <c r="B966" s="303"/>
      <c r="C966" s="284">
        <v>15</v>
      </c>
      <c r="D966" s="277"/>
      <c r="E966" s="277"/>
      <c r="F966" s="277"/>
      <c r="G966" s="277"/>
      <c r="H966" s="277"/>
      <c r="I966" s="277"/>
      <c r="J966" s="277"/>
      <c r="K966" s="277"/>
      <c r="L966" s="277"/>
      <c r="M966" s="277"/>
      <c r="N966" s="277"/>
      <c r="O966" s="277"/>
      <c r="P966" s="277"/>
      <c r="Q966" s="277"/>
      <c r="R966" s="277"/>
      <c r="S966" s="277"/>
      <c r="T966" s="277"/>
      <c r="U966" s="277"/>
      <c r="V966" s="277"/>
      <c r="W966" s="277"/>
    </row>
    <row r="967" spans="1:23" x14ac:dyDescent="0.2">
      <c r="A967" s="284" t="s">
        <v>192</v>
      </c>
      <c r="B967" s="303"/>
      <c r="C967" s="339">
        <v>0</v>
      </c>
      <c r="D967" s="277"/>
      <c r="E967" s="277"/>
      <c r="F967" s="277"/>
      <c r="G967" s="277"/>
      <c r="H967" s="277"/>
      <c r="I967" s="277"/>
      <c r="J967" s="277"/>
      <c r="K967" s="277"/>
      <c r="L967" s="277"/>
      <c r="M967" s="277"/>
      <c r="N967" s="277"/>
      <c r="O967" s="277"/>
      <c r="P967" s="277"/>
      <c r="Q967" s="277"/>
      <c r="R967" s="277"/>
      <c r="S967" s="277"/>
      <c r="T967" s="277"/>
      <c r="U967" s="277"/>
      <c r="V967" s="277"/>
      <c r="W967" s="277"/>
    </row>
    <row r="968" spans="1:23" x14ac:dyDescent="0.2">
      <c r="A968" s="284" t="s">
        <v>193</v>
      </c>
      <c r="B968" s="303"/>
      <c r="C968" s="340">
        <v>8.7499999999999994E-2</v>
      </c>
      <c r="D968" s="277"/>
      <c r="E968" s="277"/>
      <c r="F968" s="277"/>
      <c r="G968" s="277"/>
      <c r="H968" s="277"/>
      <c r="I968" s="277"/>
      <c r="J968" s="277"/>
      <c r="K968" s="277"/>
      <c r="L968" s="277"/>
      <c r="M968" s="277"/>
      <c r="N968" s="277"/>
      <c r="O968" s="277"/>
      <c r="P968" s="277"/>
      <c r="Q968" s="277"/>
      <c r="R968" s="277"/>
      <c r="S968" s="277"/>
      <c r="T968" s="277"/>
      <c r="U968" s="277"/>
      <c r="V968" s="277"/>
      <c r="W968" s="277"/>
    </row>
    <row r="969" spans="1:23" x14ac:dyDescent="0.2">
      <c r="A969" s="284"/>
      <c r="B969" s="303"/>
      <c r="C969" s="277"/>
      <c r="D969" s="306">
        <v>2001</v>
      </c>
      <c r="E969" s="306">
        <v>2002</v>
      </c>
      <c r="F969" s="306">
        <v>2003</v>
      </c>
      <c r="G969" s="306">
        <v>2004</v>
      </c>
      <c r="H969" s="306">
        <v>2005</v>
      </c>
      <c r="I969" s="306">
        <v>2006</v>
      </c>
      <c r="J969" s="306">
        <v>2007</v>
      </c>
      <c r="K969" s="306">
        <v>2008</v>
      </c>
      <c r="L969" s="306">
        <v>2009</v>
      </c>
      <c r="M969" s="306">
        <v>2010</v>
      </c>
      <c r="N969" s="306">
        <v>2011</v>
      </c>
      <c r="O969" s="306">
        <v>2012</v>
      </c>
      <c r="P969" s="306">
        <v>2013</v>
      </c>
      <c r="Q969" s="306">
        <v>2014</v>
      </c>
      <c r="R969" s="306">
        <v>2015</v>
      </c>
      <c r="S969" s="306">
        <v>2016</v>
      </c>
      <c r="T969" s="306">
        <v>2017</v>
      </c>
      <c r="U969" s="306">
        <v>2018</v>
      </c>
      <c r="V969" s="306">
        <v>2019</v>
      </c>
      <c r="W969" s="306" t="s">
        <v>154</v>
      </c>
    </row>
    <row r="970" spans="1:23" x14ac:dyDescent="0.2">
      <c r="A970" s="284" t="s">
        <v>194</v>
      </c>
      <c r="B970" s="303"/>
      <c r="C970" s="277"/>
      <c r="D970" s="341">
        <v>0</v>
      </c>
      <c r="E970" s="341">
        <v>0</v>
      </c>
      <c r="F970" s="341">
        <v>0</v>
      </c>
      <c r="G970" s="341">
        <v>0</v>
      </c>
      <c r="H970" s="341">
        <v>0</v>
      </c>
      <c r="I970" s="341">
        <v>0</v>
      </c>
      <c r="J970" s="341">
        <v>0</v>
      </c>
      <c r="K970" s="341">
        <v>0</v>
      </c>
      <c r="L970" s="341">
        <v>0</v>
      </c>
      <c r="M970" s="341">
        <v>0</v>
      </c>
      <c r="N970" s="341">
        <v>0</v>
      </c>
      <c r="O970" s="341">
        <v>0</v>
      </c>
      <c r="P970" s="341">
        <v>0</v>
      </c>
      <c r="Q970" s="341">
        <v>0</v>
      </c>
      <c r="R970" s="341">
        <v>0</v>
      </c>
      <c r="S970" s="341">
        <v>0</v>
      </c>
      <c r="T970" s="341">
        <v>0</v>
      </c>
      <c r="U970" s="341">
        <v>0</v>
      </c>
      <c r="V970" s="341">
        <v>0</v>
      </c>
      <c r="W970" s="341">
        <v>0</v>
      </c>
    </row>
    <row r="971" spans="1:23" x14ac:dyDescent="0.2">
      <c r="A971" s="284" t="s">
        <v>195</v>
      </c>
      <c r="B971" s="303"/>
      <c r="C971" s="277"/>
      <c r="D971" s="341">
        <v>0</v>
      </c>
      <c r="E971" s="341">
        <v>0</v>
      </c>
      <c r="F971" s="341">
        <v>0</v>
      </c>
      <c r="G971" s="341">
        <v>0</v>
      </c>
      <c r="H971" s="341">
        <v>0</v>
      </c>
      <c r="I971" s="341">
        <v>0</v>
      </c>
      <c r="J971" s="341">
        <v>0</v>
      </c>
      <c r="K971" s="341">
        <v>0</v>
      </c>
      <c r="L971" s="341">
        <v>0</v>
      </c>
      <c r="M971" s="341">
        <v>0</v>
      </c>
      <c r="N971" s="341">
        <v>0</v>
      </c>
      <c r="O971" s="341">
        <v>0</v>
      </c>
      <c r="P971" s="341">
        <v>0</v>
      </c>
      <c r="Q971" s="341">
        <v>0</v>
      </c>
      <c r="R971" s="341">
        <v>0</v>
      </c>
      <c r="S971" s="341">
        <v>0</v>
      </c>
      <c r="T971" s="341">
        <v>0</v>
      </c>
      <c r="U971" s="341">
        <v>0</v>
      </c>
      <c r="V971" s="341">
        <v>0</v>
      </c>
      <c r="W971" s="341">
        <v>0</v>
      </c>
    </row>
    <row r="972" spans="1:23" x14ac:dyDescent="0.2">
      <c r="A972" s="284" t="s">
        <v>196</v>
      </c>
      <c r="B972" s="303"/>
      <c r="C972" s="277"/>
      <c r="D972" s="341">
        <v>0</v>
      </c>
      <c r="E972" s="341">
        <v>0</v>
      </c>
      <c r="F972" s="341">
        <v>0</v>
      </c>
      <c r="G972" s="341">
        <v>0</v>
      </c>
      <c r="H972" s="341">
        <v>0</v>
      </c>
      <c r="I972" s="341">
        <v>0</v>
      </c>
      <c r="J972" s="341">
        <v>0</v>
      </c>
      <c r="K972" s="341">
        <v>0</v>
      </c>
      <c r="L972" s="341">
        <v>0</v>
      </c>
      <c r="M972" s="341">
        <v>0</v>
      </c>
      <c r="N972" s="341">
        <v>0</v>
      </c>
      <c r="O972" s="341">
        <v>0</v>
      </c>
      <c r="P972" s="341">
        <v>0</v>
      </c>
      <c r="Q972" s="341">
        <v>0</v>
      </c>
      <c r="R972" s="341">
        <v>0</v>
      </c>
      <c r="S972" s="341">
        <v>0</v>
      </c>
      <c r="T972" s="341">
        <v>0</v>
      </c>
      <c r="U972" s="341">
        <v>0</v>
      </c>
      <c r="V972" s="341">
        <v>0</v>
      </c>
      <c r="W972" s="341">
        <v>0</v>
      </c>
    </row>
    <row r="973" spans="1:23" x14ac:dyDescent="0.2">
      <c r="A973" s="284" t="s">
        <v>197</v>
      </c>
      <c r="B973" s="303"/>
      <c r="C973" s="277"/>
      <c r="D973" s="342">
        <v>0</v>
      </c>
      <c r="E973" s="342">
        <v>0</v>
      </c>
      <c r="F973" s="342">
        <v>0</v>
      </c>
      <c r="G973" s="342">
        <v>0</v>
      </c>
      <c r="H973" s="342">
        <v>0</v>
      </c>
      <c r="I973" s="342">
        <v>0</v>
      </c>
      <c r="J973" s="342">
        <v>0</v>
      </c>
      <c r="K973" s="342">
        <v>0</v>
      </c>
      <c r="L973" s="342">
        <v>0</v>
      </c>
      <c r="M973" s="342">
        <v>0</v>
      </c>
      <c r="N973" s="342">
        <v>0</v>
      </c>
      <c r="O973" s="342">
        <v>0</v>
      </c>
      <c r="P973" s="342">
        <v>0</v>
      </c>
      <c r="Q973" s="342">
        <v>0</v>
      </c>
      <c r="R973" s="342">
        <v>0</v>
      </c>
      <c r="S973" s="342">
        <v>0</v>
      </c>
      <c r="T973" s="342">
        <v>0</v>
      </c>
      <c r="U973" s="342">
        <v>0</v>
      </c>
      <c r="V973" s="342">
        <v>0</v>
      </c>
      <c r="W973" s="342">
        <v>0</v>
      </c>
    </row>
    <row r="974" spans="1:23" ht="13.5" thickBot="1" x14ac:dyDescent="0.25">
      <c r="A974" s="284" t="s">
        <v>198</v>
      </c>
      <c r="B974" s="303"/>
      <c r="C974" s="277"/>
      <c r="D974" s="343">
        <v>0</v>
      </c>
      <c r="E974" s="343">
        <v>0</v>
      </c>
      <c r="F974" s="343">
        <v>0</v>
      </c>
      <c r="G974" s="343">
        <v>0</v>
      </c>
      <c r="H974" s="343">
        <v>0</v>
      </c>
      <c r="I974" s="343">
        <v>0</v>
      </c>
      <c r="J974" s="343">
        <v>0</v>
      </c>
      <c r="K974" s="343">
        <v>0</v>
      </c>
      <c r="L974" s="343">
        <v>0</v>
      </c>
      <c r="M974" s="343">
        <v>0</v>
      </c>
      <c r="N974" s="343">
        <v>0</v>
      </c>
      <c r="O974" s="343">
        <v>0</v>
      </c>
      <c r="P974" s="343">
        <v>0</v>
      </c>
      <c r="Q974" s="343">
        <v>0</v>
      </c>
      <c r="R974" s="343">
        <v>0</v>
      </c>
      <c r="S974" s="343">
        <v>0</v>
      </c>
      <c r="T974" s="343">
        <v>0</v>
      </c>
      <c r="U974" s="343">
        <v>0</v>
      </c>
      <c r="V974" s="343">
        <v>0</v>
      </c>
      <c r="W974" s="343">
        <v>0</v>
      </c>
    </row>
    <row r="975" spans="1:23" ht="13.5" thickTop="1" x14ac:dyDescent="0.2">
      <c r="A975" s="284"/>
      <c r="B975" s="303"/>
      <c r="C975" s="277"/>
      <c r="D975" s="341"/>
      <c r="E975" s="341"/>
      <c r="F975" s="341"/>
      <c r="G975" s="341"/>
      <c r="H975" s="341"/>
      <c r="I975" s="341"/>
      <c r="J975" s="341"/>
      <c r="K975" s="341"/>
      <c r="L975" s="341"/>
      <c r="M975" s="341"/>
      <c r="N975" s="341"/>
      <c r="O975" s="341"/>
      <c r="P975" s="341"/>
      <c r="Q975" s="341"/>
      <c r="R975" s="341"/>
      <c r="S975" s="341"/>
      <c r="T975" s="341"/>
      <c r="U975" s="341"/>
      <c r="V975" s="341"/>
      <c r="W975" s="341"/>
    </row>
    <row r="976" spans="1:23" x14ac:dyDescent="0.2">
      <c r="A976" s="284" t="s">
        <v>199</v>
      </c>
      <c r="B976" s="303"/>
      <c r="C976" s="277"/>
      <c r="D976" s="341">
        <v>0</v>
      </c>
      <c r="E976" s="341">
        <v>0</v>
      </c>
      <c r="F976" s="341">
        <v>0</v>
      </c>
      <c r="G976" s="341">
        <v>0</v>
      </c>
      <c r="H976" s="341">
        <v>0</v>
      </c>
      <c r="I976" s="341">
        <v>0</v>
      </c>
      <c r="J976" s="341">
        <v>0</v>
      </c>
      <c r="K976" s="341">
        <v>0</v>
      </c>
      <c r="L976" s="341">
        <v>0</v>
      </c>
      <c r="M976" s="341">
        <v>0</v>
      </c>
      <c r="N976" s="341">
        <v>0</v>
      </c>
      <c r="O976" s="341">
        <v>0</v>
      </c>
      <c r="P976" s="341">
        <v>0</v>
      </c>
      <c r="Q976" s="341">
        <v>0</v>
      </c>
      <c r="R976" s="341">
        <v>0</v>
      </c>
      <c r="S976" s="341">
        <v>0</v>
      </c>
      <c r="T976" s="341">
        <v>0</v>
      </c>
      <c r="U976" s="341">
        <v>0</v>
      </c>
      <c r="V976" s="341">
        <v>0</v>
      </c>
      <c r="W976" s="341">
        <v>0</v>
      </c>
    </row>
    <row r="977" spans="1:23" x14ac:dyDescent="0.2">
      <c r="A977" s="284"/>
      <c r="B977" s="303"/>
      <c r="C977" s="277"/>
      <c r="D977" s="277"/>
      <c r="E977" s="277"/>
      <c r="F977" s="277"/>
      <c r="G977" s="277"/>
      <c r="H977" s="277"/>
      <c r="I977" s="277"/>
      <c r="J977" s="277"/>
      <c r="K977" s="277"/>
      <c r="L977" s="277"/>
      <c r="M977" s="277"/>
      <c r="N977" s="277"/>
      <c r="O977" s="277"/>
      <c r="P977" s="277"/>
      <c r="Q977" s="277"/>
      <c r="R977" s="277"/>
      <c r="S977" s="277"/>
      <c r="T977" s="277"/>
      <c r="U977" s="277"/>
      <c r="V977" s="277"/>
      <c r="W977" s="277"/>
    </row>
    <row r="978" spans="1:23" x14ac:dyDescent="0.2">
      <c r="A978" s="284" t="s">
        <v>200</v>
      </c>
      <c r="B978" s="303"/>
      <c r="C978" s="277"/>
      <c r="D978" s="341">
        <v>0</v>
      </c>
      <c r="E978" s="341">
        <v>0</v>
      </c>
      <c r="F978" s="341">
        <v>0</v>
      </c>
      <c r="G978" s="341">
        <v>0</v>
      </c>
      <c r="H978" s="341">
        <v>0</v>
      </c>
      <c r="I978" s="341">
        <v>0</v>
      </c>
      <c r="J978" s="341">
        <v>0</v>
      </c>
      <c r="K978" s="341">
        <v>0</v>
      </c>
      <c r="L978" s="341">
        <v>0</v>
      </c>
      <c r="M978" s="341">
        <v>0</v>
      </c>
      <c r="N978" s="341">
        <v>0</v>
      </c>
      <c r="O978" s="341">
        <v>0</v>
      </c>
      <c r="P978" s="341">
        <v>0</v>
      </c>
      <c r="Q978" s="341">
        <v>0</v>
      </c>
      <c r="R978" s="341">
        <v>0</v>
      </c>
      <c r="S978" s="341">
        <v>0</v>
      </c>
      <c r="T978" s="341">
        <v>0</v>
      </c>
      <c r="U978" s="341">
        <v>0</v>
      </c>
      <c r="V978" s="341">
        <v>0</v>
      </c>
      <c r="W978" s="341">
        <v>0</v>
      </c>
    </row>
    <row r="979" spans="1:23" x14ac:dyDescent="0.2">
      <c r="A979" s="277"/>
      <c r="B979" s="303"/>
      <c r="C979" s="277"/>
      <c r="D979" s="277"/>
      <c r="E979" s="277"/>
      <c r="F979" s="277"/>
      <c r="G979" s="277"/>
      <c r="H979" s="277"/>
      <c r="I979" s="277"/>
      <c r="J979" s="277"/>
      <c r="K979" s="277"/>
      <c r="L979" s="277"/>
      <c r="M979" s="277"/>
      <c r="N979" s="277"/>
      <c r="O979" s="277"/>
      <c r="P979" s="277"/>
      <c r="Q979" s="277"/>
      <c r="R979" s="277"/>
      <c r="S979" s="277"/>
      <c r="T979" s="277"/>
      <c r="U979" s="277"/>
      <c r="V979" s="277"/>
      <c r="W979" s="277"/>
    </row>
    <row r="980" spans="1:23" x14ac:dyDescent="0.2">
      <c r="A980" s="277"/>
      <c r="B980" s="303"/>
      <c r="C980" s="277"/>
      <c r="D980" s="277"/>
      <c r="E980" s="277"/>
      <c r="F980" s="277"/>
      <c r="G980" s="277"/>
      <c r="H980" s="277"/>
      <c r="I980" s="277"/>
      <c r="J980" s="277"/>
      <c r="K980" s="277"/>
      <c r="L980" s="277"/>
      <c r="M980" s="277"/>
      <c r="N980" s="277"/>
      <c r="O980" s="277"/>
      <c r="P980" s="277"/>
      <c r="Q980" s="277"/>
      <c r="R980" s="277"/>
      <c r="S980" s="277"/>
      <c r="T980" s="277"/>
      <c r="U980" s="277"/>
      <c r="V980" s="277"/>
      <c r="W980" s="277"/>
    </row>
    <row r="981" spans="1:23" x14ac:dyDescent="0.2">
      <c r="A981" s="284" t="s">
        <v>202</v>
      </c>
      <c r="B981" s="279"/>
      <c r="C981" s="278"/>
      <c r="D981" s="435">
        <v>12943924.833102783</v>
      </c>
      <c r="E981" s="435">
        <v>3786346.553907603</v>
      </c>
      <c r="F981" s="435">
        <v>11568296.859063523</v>
      </c>
      <c r="G981" s="435">
        <v>10737858.294857465</v>
      </c>
      <c r="H981" s="435">
        <v>8930397.4513480663</v>
      </c>
      <c r="I981" s="435">
        <v>9355694.8208636194</v>
      </c>
      <c r="J981" s="435">
        <v>10363215.269708483</v>
      </c>
      <c r="K981" s="435">
        <v>10784551.283822507</v>
      </c>
      <c r="L981" s="435">
        <v>10905648.223482804</v>
      </c>
      <c r="M981" s="435">
        <v>10786388.16050119</v>
      </c>
      <c r="N981" s="435">
        <v>11011510.663737861</v>
      </c>
      <c r="O981" s="435">
        <v>10840199.659095516</v>
      </c>
      <c r="P981" s="435">
        <v>10891124.672449069</v>
      </c>
      <c r="Q981" s="435">
        <v>11385766.059400406</v>
      </c>
      <c r="R981" s="435">
        <v>13086380.178947829</v>
      </c>
      <c r="S981" s="435">
        <v>12300400.81728033</v>
      </c>
      <c r="T981" s="435">
        <v>12486327.41176872</v>
      </c>
      <c r="U981" s="435">
        <v>13786833.446442787</v>
      </c>
      <c r="V981" s="435">
        <v>15217351.887182629</v>
      </c>
      <c r="W981" s="435">
        <v>74836085.558506936</v>
      </c>
    </row>
    <row r="982" spans="1:23" x14ac:dyDescent="0.2">
      <c r="A982" s="9"/>
      <c r="B982" s="6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x14ac:dyDescent="0.2">
      <c r="B983" s="300"/>
      <c r="C983" s="312"/>
      <c r="D983" s="317"/>
      <c r="E983" s="91"/>
      <c r="F983" s="313"/>
      <c r="G983" s="314"/>
    </row>
    <row r="984" spans="1:23" x14ac:dyDescent="0.2">
      <c r="B984" s="300"/>
      <c r="C984" s="301"/>
      <c r="D984" s="345"/>
      <c r="E984" s="91"/>
      <c r="F984" s="351"/>
      <c r="G984" s="362"/>
    </row>
    <row r="985" spans="1:23" x14ac:dyDescent="0.2">
      <c r="B985" s="289"/>
      <c r="C985" s="354"/>
      <c r="E985" s="363"/>
      <c r="F985" s="313"/>
      <c r="G985" s="322"/>
    </row>
    <row r="986" spans="1:23" x14ac:dyDescent="0.2">
      <c r="B986" s="289"/>
      <c r="C986" s="354"/>
      <c r="E986" s="363"/>
      <c r="F986" s="313"/>
      <c r="G986" s="322"/>
    </row>
    <row r="987" spans="1:23" x14ac:dyDescent="0.2">
      <c r="B987" s="289"/>
      <c r="C987" s="354"/>
      <c r="E987" s="363"/>
      <c r="F987" s="313"/>
      <c r="G987" s="322"/>
    </row>
    <row r="988" spans="1:23" x14ac:dyDescent="0.2">
      <c r="B988" s="300"/>
      <c r="C988" s="354"/>
      <c r="E988" s="363"/>
      <c r="F988" s="313"/>
      <c r="G988" s="322"/>
    </row>
    <row r="989" spans="1:23" x14ac:dyDescent="0.2">
      <c r="A989" s="364"/>
      <c r="B989" s="300"/>
      <c r="C989" s="301"/>
      <c r="D989" s="365"/>
      <c r="E989" s="365"/>
      <c r="F989" s="365"/>
      <c r="G989" s="365"/>
      <c r="H989" s="365"/>
      <c r="I989" s="365"/>
      <c r="J989" s="365"/>
      <c r="K989" s="365"/>
      <c r="L989" s="365"/>
      <c r="M989" s="365"/>
      <c r="N989" s="365"/>
      <c r="O989" s="365"/>
      <c r="P989" s="365"/>
      <c r="Q989" s="365"/>
      <c r="R989" s="365"/>
      <c r="S989" s="365"/>
      <c r="T989" s="365"/>
      <c r="U989" s="365"/>
      <c r="V989" s="365"/>
    </row>
    <row r="990" spans="1:23" ht="15.75" x14ac:dyDescent="0.25">
      <c r="A990" s="302" t="s">
        <v>29</v>
      </c>
      <c r="B990" s="305" t="s">
        <v>68</v>
      </c>
      <c r="C990" s="306">
        <v>2000</v>
      </c>
      <c r="D990" s="306">
        <v>2001</v>
      </c>
      <c r="E990" s="306">
        <v>2002</v>
      </c>
      <c r="F990" s="306">
        <v>2003</v>
      </c>
      <c r="G990" s="306">
        <v>2004</v>
      </c>
      <c r="H990" s="306">
        <v>2005</v>
      </c>
      <c r="I990" s="306">
        <v>2006</v>
      </c>
      <c r="J990" s="306">
        <v>2007</v>
      </c>
      <c r="K990" s="306">
        <v>2008</v>
      </c>
      <c r="L990" s="306">
        <v>2009</v>
      </c>
      <c r="M990" s="306">
        <v>2010</v>
      </c>
      <c r="N990" s="306">
        <v>2011</v>
      </c>
      <c r="O990" s="306">
        <v>2012</v>
      </c>
      <c r="P990" s="306">
        <v>2013</v>
      </c>
      <c r="Q990" s="306">
        <v>2014</v>
      </c>
      <c r="R990" s="306">
        <v>2015</v>
      </c>
      <c r="S990" s="306">
        <v>2016</v>
      </c>
      <c r="T990" s="306">
        <v>2017</v>
      </c>
      <c r="U990" s="306">
        <v>2018</v>
      </c>
      <c r="V990" s="306">
        <v>2019</v>
      </c>
      <c r="W990" s="306" t="s">
        <v>154</v>
      </c>
    </row>
    <row r="991" spans="1:23" x14ac:dyDescent="0.2">
      <c r="A991" s="302" t="s">
        <v>26</v>
      </c>
      <c r="B991" s="303">
        <v>150</v>
      </c>
      <c r="C991" s="308"/>
      <c r="D991" s="308"/>
      <c r="E991" s="308"/>
      <c r="F991" s="308"/>
      <c r="G991" s="308"/>
      <c r="H991" s="308"/>
      <c r="I991" s="308"/>
      <c r="J991" s="308"/>
      <c r="K991" s="308"/>
      <c r="L991" s="308"/>
      <c r="M991" s="308"/>
      <c r="N991" s="308"/>
      <c r="O991" s="308"/>
      <c r="P991" s="308"/>
      <c r="Q991" s="308"/>
      <c r="R991" s="308"/>
      <c r="S991" s="308"/>
      <c r="T991" s="308"/>
      <c r="U991" s="308"/>
      <c r="V991" s="308"/>
      <c r="W991" s="308"/>
    </row>
    <row r="992" spans="1:23" x14ac:dyDescent="0.2">
      <c r="A992" s="9"/>
      <c r="B992" s="309" t="s">
        <v>27</v>
      </c>
      <c r="C992" s="443">
        <v>0</v>
      </c>
      <c r="D992" s="404">
        <v>43908062.323385455</v>
      </c>
      <c r="E992" s="404">
        <v>43299112.260189302</v>
      </c>
      <c r="F992" s="404">
        <v>44132545.87138208</v>
      </c>
      <c r="G992" s="404">
        <v>43507019.440053865</v>
      </c>
      <c r="H992" s="404">
        <v>43834722.387849763</v>
      </c>
      <c r="I992" s="404">
        <v>46794524.285234764</v>
      </c>
      <c r="J992" s="404">
        <v>50175672.401785061</v>
      </c>
      <c r="K992" s="404">
        <v>51474106.300827712</v>
      </c>
      <c r="L992" s="404">
        <v>52551500.584044009</v>
      </c>
      <c r="M992" s="404">
        <v>52739106.537404053</v>
      </c>
      <c r="N992" s="404">
        <v>53878531.444719993</v>
      </c>
      <c r="O992" s="404">
        <v>54483575.881826691</v>
      </c>
      <c r="P992" s="404">
        <v>55124741.067902729</v>
      </c>
      <c r="Q992" s="404">
        <v>57065199.252240397</v>
      </c>
      <c r="R992" s="404">
        <v>61113917.886348464</v>
      </c>
      <c r="S992" s="404">
        <v>60761857.336319163</v>
      </c>
      <c r="T992" s="404">
        <v>61536256.217476949</v>
      </c>
      <c r="U992" s="404">
        <v>64493407.543887526</v>
      </c>
      <c r="V992" s="404">
        <v>66452302.857659817</v>
      </c>
      <c r="W992" s="327"/>
    </row>
    <row r="993" spans="1:23" x14ac:dyDescent="0.2">
      <c r="A993" s="9"/>
      <c r="B993" s="309" t="s">
        <v>20</v>
      </c>
      <c r="C993" s="443">
        <v>0</v>
      </c>
      <c r="D993" s="404">
        <v>-13439585.983829878</v>
      </c>
      <c r="E993" s="404">
        <v>-13632953.372399328</v>
      </c>
      <c r="F993" s="404">
        <v>-13870519.021213226</v>
      </c>
      <c r="G993" s="404">
        <v>-14267198.40690713</v>
      </c>
      <c r="H993" s="404">
        <v>-14763323.878151037</v>
      </c>
      <c r="I993" s="404">
        <v>-15330166.565786049</v>
      </c>
      <c r="J993" s="404">
        <v>-15683752.647741616</v>
      </c>
      <c r="K993" s="404">
        <v>-16020764.382105516</v>
      </c>
      <c r="L993" s="404">
        <v>-16284848.987066085</v>
      </c>
      <c r="M993" s="404">
        <v>-16415233.854787193</v>
      </c>
      <c r="N993" s="404">
        <v>-16638435.069021652</v>
      </c>
      <c r="O993" s="404">
        <v>-16999755.846519995</v>
      </c>
      <c r="P993" s="404">
        <v>-17387595.580165006</v>
      </c>
      <c r="Q993" s="404">
        <v>-17756651.053206131</v>
      </c>
      <c r="R993" s="404">
        <v>-18008581.13659947</v>
      </c>
      <c r="S993" s="404">
        <v>-18377636.609640595</v>
      </c>
      <c r="T993" s="404">
        <v>-18797520.081962831</v>
      </c>
      <c r="U993" s="404">
        <v>-19258286.945011176</v>
      </c>
      <c r="V993" s="404">
        <v>-19734523.199145082</v>
      </c>
      <c r="W993" s="327"/>
    </row>
    <row r="994" spans="1:23" x14ac:dyDescent="0.2">
      <c r="A994" s="9"/>
      <c r="B994" s="309" t="s">
        <v>31</v>
      </c>
      <c r="C994" s="443">
        <v>0</v>
      </c>
      <c r="D994" s="404">
        <v>-1164526.3489862701</v>
      </c>
      <c r="E994" s="404">
        <v>-1188031.5630146903</v>
      </c>
      <c r="F994" s="404">
        <v>-1212011.2146434293</v>
      </c>
      <c r="G994" s="404">
        <v>-1236474.8800897608</v>
      </c>
      <c r="H994" s="404">
        <v>-1261432.3288607346</v>
      </c>
      <c r="I994" s="404">
        <v>-1286893.5276546048</v>
      </c>
      <c r="J994" s="404">
        <v>-1312868.644341008</v>
      </c>
      <c r="K994" s="404">
        <v>-1339368.0520214778</v>
      </c>
      <c r="L994" s="404">
        <v>-1366402.3331719197</v>
      </c>
      <c r="M994" s="404">
        <v>-1393982.2838686963</v>
      </c>
      <c r="N994" s="404">
        <v>-1422118.9181000139</v>
      </c>
      <c r="O994" s="404">
        <v>-1450823.4721643366</v>
      </c>
      <c r="P994" s="404">
        <v>-1480107.4091575735</v>
      </c>
      <c r="Q994" s="404">
        <v>-1509982.4235508358</v>
      </c>
      <c r="R994" s="404">
        <v>-1540460.4458606017</v>
      </c>
      <c r="S994" s="404">
        <v>-1571553.6474131367</v>
      </c>
      <c r="T994" s="404">
        <v>-1603274.445205085</v>
      </c>
      <c r="U994" s="404">
        <v>-1635635.5068621673</v>
      </c>
      <c r="V994" s="404">
        <v>-1668649.7556979663</v>
      </c>
      <c r="W994" s="327"/>
    </row>
    <row r="995" spans="1:23" x14ac:dyDescent="0.2">
      <c r="A995" s="9"/>
      <c r="B995" s="309" t="s">
        <v>32</v>
      </c>
      <c r="C995" s="443">
        <v>0</v>
      </c>
      <c r="D995" s="404">
        <v>0</v>
      </c>
      <c r="E995" s="404">
        <v>0</v>
      </c>
      <c r="F995" s="404">
        <v>0</v>
      </c>
      <c r="G995" s="404">
        <v>0</v>
      </c>
      <c r="H995" s="404">
        <v>0</v>
      </c>
      <c r="I995" s="404">
        <v>-1023944.5947886072</v>
      </c>
      <c r="J995" s="404">
        <v>-1134960.7865785714</v>
      </c>
      <c r="K995" s="404">
        <v>-1347867.7029518413</v>
      </c>
      <c r="L995" s="404">
        <v>-1375543.7690932278</v>
      </c>
      <c r="M995" s="404">
        <v>-1529816.1617553791</v>
      </c>
      <c r="N995" s="404">
        <v>-1685208.1926252616</v>
      </c>
      <c r="O995" s="404">
        <v>-1867160.1533593747</v>
      </c>
      <c r="P995" s="404">
        <v>-2093577.7065578946</v>
      </c>
      <c r="Q995" s="404">
        <v>-2330478.6839575409</v>
      </c>
      <c r="R995" s="404">
        <v>-2581458.4617694076</v>
      </c>
      <c r="S995" s="404">
        <v>-2834438.2164469678</v>
      </c>
      <c r="T995" s="404">
        <v>-2784697.3621349009</v>
      </c>
      <c r="U995" s="404">
        <v>-2382459.2106704493</v>
      </c>
      <c r="V995" s="404">
        <v>-2470170.6459906725</v>
      </c>
      <c r="W995" s="327"/>
    </row>
    <row r="996" spans="1:23" ht="13.5" thickBot="1" x14ac:dyDescent="0.25">
      <c r="A996" s="9"/>
      <c r="B996" s="310" t="s">
        <v>33</v>
      </c>
      <c r="C996" s="444">
        <v>0</v>
      </c>
      <c r="D996" s="406">
        <v>0</v>
      </c>
      <c r="E996" s="406">
        <v>0</v>
      </c>
      <c r="F996" s="406">
        <v>-1710796.5794449765</v>
      </c>
      <c r="G996" s="406">
        <v>-1457705.9237610491</v>
      </c>
      <c r="H996" s="406">
        <v>-1513297.90108838</v>
      </c>
      <c r="I996" s="406">
        <v>-1571693.1121609723</v>
      </c>
      <c r="J996" s="406">
        <v>-1974389.8142216057</v>
      </c>
      <c r="K996" s="406">
        <v>-1724607.3755220515</v>
      </c>
      <c r="L996" s="406">
        <v>-1825375.0533982033</v>
      </c>
      <c r="M996" s="406">
        <v>-1736914.2732745302</v>
      </c>
      <c r="N996" s="406">
        <v>-1786660.9295876829</v>
      </c>
      <c r="O996" s="406">
        <v>-1832990.6053941946</v>
      </c>
      <c r="P996" s="406">
        <v>-1637245.184863124</v>
      </c>
      <c r="Q996" s="406">
        <v>-1695784.3601218292</v>
      </c>
      <c r="R996" s="406">
        <v>-1730828.3903595156</v>
      </c>
      <c r="S996" s="406">
        <v>-1838018.1455910951</v>
      </c>
      <c r="T996" s="406">
        <v>-1727927.689875901</v>
      </c>
      <c r="U996" s="406">
        <v>-1903099.8865415961</v>
      </c>
      <c r="V996" s="406">
        <v>-1036143.788282231</v>
      </c>
      <c r="W996" s="327"/>
    </row>
    <row r="997" spans="1:23" ht="13.5" thickTop="1" x14ac:dyDescent="0.2">
      <c r="A997" s="9"/>
      <c r="B997" s="311" t="s">
        <v>38</v>
      </c>
      <c r="C997" s="445">
        <v>0</v>
      </c>
      <c r="D997" s="408">
        <v>29303949.990569305</v>
      </c>
      <c r="E997" s="408">
        <v>28478127.324775282</v>
      </c>
      <c r="F997" s="408">
        <v>27339219.056080446</v>
      </c>
      <c r="G997" s="408">
        <v>26545640.229295928</v>
      </c>
      <c r="H997" s="408">
        <v>26296668.279749613</v>
      </c>
      <c r="I997" s="408">
        <v>27581826.484844532</v>
      </c>
      <c r="J997" s="408">
        <v>30069700.508902259</v>
      </c>
      <c r="K997" s="408">
        <v>31041498.788226824</v>
      </c>
      <c r="L997" s="408">
        <v>31699330.441314578</v>
      </c>
      <c r="M997" s="408">
        <v>31663159.963718258</v>
      </c>
      <c r="N997" s="408">
        <v>32346108.335385382</v>
      </c>
      <c r="O997" s="408">
        <v>32332845.804388788</v>
      </c>
      <c r="P997" s="408">
        <v>32526215.187159132</v>
      </c>
      <c r="Q997" s="408">
        <v>33772302.731404059</v>
      </c>
      <c r="R997" s="408">
        <v>37252589.451759465</v>
      </c>
      <c r="S997" s="408">
        <v>36140210.71722737</v>
      </c>
      <c r="T997" s="408">
        <v>36622836.638298228</v>
      </c>
      <c r="U997" s="408">
        <v>39313925.994802132</v>
      </c>
      <c r="V997" s="408">
        <v>41542815.468543872</v>
      </c>
      <c r="W997" s="327"/>
    </row>
    <row r="998" spans="1:23" x14ac:dyDescent="0.2">
      <c r="A998" s="9"/>
      <c r="B998" s="309" t="s">
        <v>34</v>
      </c>
      <c r="C998" s="443">
        <v>0</v>
      </c>
      <c r="D998" s="404">
        <v>-3664228.1632590098</v>
      </c>
      <c r="E998" s="404">
        <v>-3737512.72652419</v>
      </c>
      <c r="F998" s="404">
        <v>-3812262.9810546739</v>
      </c>
      <c r="G998" s="404">
        <v>-3888508.2406757674</v>
      </c>
      <c r="H998" s="404">
        <v>-3966278.4054892827</v>
      </c>
      <c r="I998" s="404">
        <v>-4045603.9735990684</v>
      </c>
      <c r="J998" s="404">
        <v>-4126516.05307105</v>
      </c>
      <c r="K998" s="404">
        <v>-4209046.3741324712</v>
      </c>
      <c r="L998" s="404">
        <v>-4293227.3016151208</v>
      </c>
      <c r="M998" s="404">
        <v>-4379091.8476474229</v>
      </c>
      <c r="N998" s="404">
        <v>-4466673.6846003719</v>
      </c>
      <c r="O998" s="404">
        <v>-4556007.1582923792</v>
      </c>
      <c r="P998" s="404">
        <v>-4647127.3014582265</v>
      </c>
      <c r="Q998" s="404">
        <v>-4740069.847487391</v>
      </c>
      <c r="R998" s="404">
        <v>-4834871.2444371385</v>
      </c>
      <c r="S998" s="404">
        <v>-4931568.6693258816</v>
      </c>
      <c r="T998" s="404">
        <v>-5030200.0427123997</v>
      </c>
      <c r="U998" s="404">
        <v>-5130804.0435666479</v>
      </c>
      <c r="V998" s="404">
        <v>-5233420.1244379813</v>
      </c>
      <c r="W998" s="327"/>
    </row>
    <row r="999" spans="1:23" x14ac:dyDescent="0.2">
      <c r="A999" s="9"/>
      <c r="B999" s="309" t="s">
        <v>35</v>
      </c>
      <c r="C999" s="443">
        <v>0</v>
      </c>
      <c r="D999" s="404">
        <v>-393146.92768722383</v>
      </c>
      <c r="E999" s="404">
        <v>-401581.91946863168</v>
      </c>
      <c r="F999" s="404">
        <v>-410201.63757005235</v>
      </c>
      <c r="G999" s="404">
        <v>-427506.54202354047</v>
      </c>
      <c r="H999" s="404">
        <v>-480416.52607496188</v>
      </c>
      <c r="I999" s="404">
        <v>-605335.88498421118</v>
      </c>
      <c r="J999" s="404">
        <v>-670008.32549128286</v>
      </c>
      <c r="K999" s="404">
        <v>-735803.34383301751</v>
      </c>
      <c r="L999" s="404">
        <v>-803302.70779316197</v>
      </c>
      <c r="M999" s="404">
        <v>-842959.57496671076</v>
      </c>
      <c r="N999" s="404">
        <v>-854544.48888906196</v>
      </c>
      <c r="O999" s="404">
        <v>-865269.19602680788</v>
      </c>
      <c r="P999" s="404">
        <v>-876266.31072585238</v>
      </c>
      <c r="Q999" s="404">
        <v>-887538.35329237324</v>
      </c>
      <c r="R999" s="404">
        <v>-899093.32412731368</v>
      </c>
      <c r="S999" s="404">
        <v>-910937.1692331275</v>
      </c>
      <c r="T999" s="404">
        <v>-923074.74169756565</v>
      </c>
      <c r="U999" s="404">
        <v>-935516.96723086108</v>
      </c>
      <c r="V999" s="404">
        <v>-948271.49262504233</v>
      </c>
      <c r="W999" s="327"/>
    </row>
    <row r="1000" spans="1:23" ht="13.5" thickBot="1" x14ac:dyDescent="0.25">
      <c r="A1000" s="9"/>
      <c r="B1000" s="310" t="s">
        <v>36</v>
      </c>
      <c r="C1000" s="444">
        <v>0</v>
      </c>
      <c r="D1000" s="406">
        <v>-489992.50856572198</v>
      </c>
      <c r="E1000" s="406">
        <v>-500331.35049646202</v>
      </c>
      <c r="F1000" s="406">
        <v>-511288.60707233503</v>
      </c>
      <c r="G1000" s="406">
        <v>-522843.72959216603</v>
      </c>
      <c r="H1000" s="406">
        <v>-535287.41035646095</v>
      </c>
      <c r="I1000" s="406">
        <v>-548701.76667339902</v>
      </c>
      <c r="J1000" s="406">
        <v>-562311.09909959603</v>
      </c>
      <c r="K1000" s="406">
        <v>-576544.35507542</v>
      </c>
      <c r="L1000" s="406">
        <v>-590785.00064578303</v>
      </c>
      <c r="M1000" s="406">
        <v>-605850.01816224796</v>
      </c>
      <c r="N1000" s="406">
        <v>-620511.58860177803</v>
      </c>
      <c r="O1000" s="406">
        <v>-636148.48063454102</v>
      </c>
      <c r="P1000" s="406">
        <v>-652306.65204265702</v>
      </c>
      <c r="Q1000" s="406">
        <v>-668614.31834372296</v>
      </c>
      <c r="R1000" s="406">
        <v>-685396.53773414996</v>
      </c>
      <c r="S1000" s="406">
        <v>-702531.45117750496</v>
      </c>
      <c r="T1000" s="406">
        <v>-719954.23116670595</v>
      </c>
      <c r="U1000" s="406">
        <v>-738025.08236899204</v>
      </c>
      <c r="V1000" s="406">
        <v>-756549.51193645305</v>
      </c>
      <c r="W1000" s="327"/>
    </row>
    <row r="1001" spans="1:23" ht="13.5" thickTop="1" x14ac:dyDescent="0.2">
      <c r="A1001" s="9"/>
      <c r="B1001" s="311" t="s">
        <v>220</v>
      </c>
      <c r="C1001" s="446">
        <v>0</v>
      </c>
      <c r="D1001" s="410">
        <v>24756582.39105735</v>
      </c>
      <c r="E1001" s="410">
        <v>23838701.328286</v>
      </c>
      <c r="F1001" s="410">
        <v>22605465.830383383</v>
      </c>
      <c r="G1001" s="410">
        <v>21706781.717004456</v>
      </c>
      <c r="H1001" s="410">
        <v>21314685.937828906</v>
      </c>
      <c r="I1001" s="410">
        <v>22382184.859587856</v>
      </c>
      <c r="J1001" s="410">
        <v>24710865.031240329</v>
      </c>
      <c r="K1001" s="410">
        <v>25520104.715185914</v>
      </c>
      <c r="L1001" s="410">
        <v>26012015.431260515</v>
      </c>
      <c r="M1001" s="410">
        <v>25835258.52294188</v>
      </c>
      <c r="N1001" s="410">
        <v>26404378.57329417</v>
      </c>
      <c r="O1001" s="410">
        <v>26275420.969435059</v>
      </c>
      <c r="P1001" s="410">
        <v>26350514.922932394</v>
      </c>
      <c r="Q1001" s="410">
        <v>27476080.212280575</v>
      </c>
      <c r="R1001" s="410">
        <v>30833228.345460862</v>
      </c>
      <c r="S1001" s="410">
        <v>29595173.427490856</v>
      </c>
      <c r="T1001" s="410">
        <v>29949607.62272156</v>
      </c>
      <c r="U1001" s="410">
        <v>32509579.901635636</v>
      </c>
      <c r="V1001" s="410">
        <v>34604574.339544393</v>
      </c>
      <c r="W1001" s="327"/>
    </row>
    <row r="1002" spans="1:23" x14ac:dyDescent="0.2">
      <c r="A1002" s="9"/>
      <c r="B1002" s="309" t="s">
        <v>37</v>
      </c>
      <c r="C1002" s="443">
        <v>0</v>
      </c>
      <c r="D1002" s="404">
        <v>-1157067.6135340908</v>
      </c>
      <c r="E1002" s="404">
        <v>-1248571.8319963</v>
      </c>
      <c r="F1002" s="404">
        <v>-1533828.3569362727</v>
      </c>
      <c r="G1002" s="404">
        <v>-1803208.4399928274</v>
      </c>
      <c r="H1002" s="404">
        <v>-1882871.1756237457</v>
      </c>
      <c r="I1002" s="404">
        <v>-2008606.3991595118</v>
      </c>
      <c r="J1002" s="404">
        <v>-2034408.520124529</v>
      </c>
      <c r="K1002" s="404">
        <v>-1951994.4315905841</v>
      </c>
      <c r="L1002" s="404">
        <v>-1888031.7943113502</v>
      </c>
      <c r="M1002" s="404">
        <v>-1931327.3053943694</v>
      </c>
      <c r="N1002" s="404">
        <v>-2019159.3592173888</v>
      </c>
      <c r="O1002" s="404">
        <v>-2066503.6551928069</v>
      </c>
      <c r="P1002" s="404">
        <v>-2170696.220311055</v>
      </c>
      <c r="Q1002" s="404">
        <v>-2241838.90897376</v>
      </c>
      <c r="R1002" s="404">
        <v>-2317493.0011656652</v>
      </c>
      <c r="S1002" s="404">
        <v>-2429898.5691062808</v>
      </c>
      <c r="T1002" s="404">
        <v>-2547154.3559317067</v>
      </c>
      <c r="U1002" s="404">
        <v>-2719122.0897993953</v>
      </c>
      <c r="V1002" s="404">
        <v>-2886561.4125012951</v>
      </c>
      <c r="W1002" s="327"/>
    </row>
    <row r="1003" spans="1:23" ht="13.5" thickBot="1" x14ac:dyDescent="0.25">
      <c r="A1003" s="9"/>
      <c r="B1003" s="310" t="s">
        <v>221</v>
      </c>
      <c r="C1003" s="444">
        <v>0</v>
      </c>
      <c r="D1003" s="406">
        <v>-9439805.9110093042</v>
      </c>
      <c r="E1003" s="406">
        <v>-9036051.7985158805</v>
      </c>
      <c r="F1003" s="406">
        <v>-8428654.9893788453</v>
      </c>
      <c r="G1003" s="406">
        <v>-7961429.3108046521</v>
      </c>
      <c r="H1003" s="406">
        <v>-7772725.904882065</v>
      </c>
      <c r="I1003" s="406">
        <v>-8149431.3841713369</v>
      </c>
      <c r="J1003" s="406">
        <v>-9070582.6044463199</v>
      </c>
      <c r="K1003" s="406">
        <v>-9427244.1134381332</v>
      </c>
      <c r="L1003" s="406">
        <v>-9649593.4547796678</v>
      </c>
      <c r="M1003" s="406">
        <v>-9561572.4870190043</v>
      </c>
      <c r="N1003" s="406">
        <v>-9754087.6856307127</v>
      </c>
      <c r="O1003" s="406">
        <v>-9683566.9256969001</v>
      </c>
      <c r="P1003" s="406">
        <v>-9671927.4810485374</v>
      </c>
      <c r="Q1003" s="406">
        <v>-10093696.521322727</v>
      </c>
      <c r="R1003" s="406">
        <v>-11406294.13771808</v>
      </c>
      <c r="S1003" s="406">
        <v>-10866109.943353832</v>
      </c>
      <c r="T1003" s="406">
        <v>-10960981.306715943</v>
      </c>
      <c r="U1003" s="406">
        <v>-11916183.124734497</v>
      </c>
      <c r="V1003" s="406">
        <v>-12687205.170817241</v>
      </c>
      <c r="W1003" s="327"/>
    </row>
    <row r="1004" spans="1:23" ht="13.5" thickTop="1" x14ac:dyDescent="0.2">
      <c r="A1004" s="9"/>
      <c r="B1004" s="311" t="s">
        <v>183</v>
      </c>
      <c r="C1004" s="446">
        <v>0</v>
      </c>
      <c r="D1004" s="410">
        <v>14159708.866513956</v>
      </c>
      <c r="E1004" s="410">
        <v>13554077.69777382</v>
      </c>
      <c r="F1004" s="410">
        <v>12642982.484068265</v>
      </c>
      <c r="G1004" s="410">
        <v>11942143.966206977</v>
      </c>
      <c r="H1004" s="410">
        <v>11659088.857323095</v>
      </c>
      <c r="I1004" s="410">
        <v>12224147.076257005</v>
      </c>
      <c r="J1004" s="410">
        <v>13605873.906669481</v>
      </c>
      <c r="K1004" s="410">
        <v>14140866.170157198</v>
      </c>
      <c r="L1004" s="410">
        <v>14474390.182169499</v>
      </c>
      <c r="M1004" s="410">
        <v>14342358.730528506</v>
      </c>
      <c r="N1004" s="410">
        <v>14631131.528446067</v>
      </c>
      <c r="O1004" s="410">
        <v>14525350.388545351</v>
      </c>
      <c r="P1004" s="410">
        <v>14507891.221572803</v>
      </c>
      <c r="Q1004" s="410">
        <v>15140544.781984087</v>
      </c>
      <c r="R1004" s="410">
        <v>17109441.206577115</v>
      </c>
      <c r="S1004" s="410">
        <v>16299164.915030744</v>
      </c>
      <c r="T1004" s="410">
        <v>16441471.960073911</v>
      </c>
      <c r="U1004" s="410">
        <v>17874274.687101744</v>
      </c>
      <c r="V1004" s="410">
        <v>19030807.756225858</v>
      </c>
      <c r="W1004" s="327"/>
    </row>
    <row r="1005" spans="1:23" x14ac:dyDescent="0.2">
      <c r="A1005" s="9"/>
      <c r="B1005" s="309" t="s">
        <v>37</v>
      </c>
      <c r="C1005" s="443">
        <v>0</v>
      </c>
      <c r="D1005" s="404">
        <v>1157067.6135340908</v>
      </c>
      <c r="E1005" s="404">
        <v>1248571.8319963</v>
      </c>
      <c r="F1005" s="404">
        <v>1533828.3569362727</v>
      </c>
      <c r="G1005" s="404">
        <v>1803208.4399928274</v>
      </c>
      <c r="H1005" s="404">
        <v>1882871.1756237457</v>
      </c>
      <c r="I1005" s="404">
        <v>2008606.3991595118</v>
      </c>
      <c r="J1005" s="404">
        <v>2034408.520124529</v>
      </c>
      <c r="K1005" s="404">
        <v>1951994.4315905841</v>
      </c>
      <c r="L1005" s="404">
        <v>1888031.7943113502</v>
      </c>
      <c r="M1005" s="404">
        <v>1931327.3053943694</v>
      </c>
      <c r="N1005" s="404">
        <v>2019159.3592173888</v>
      </c>
      <c r="O1005" s="404">
        <v>2066503.6551928069</v>
      </c>
      <c r="P1005" s="404">
        <v>2170696.220311055</v>
      </c>
      <c r="Q1005" s="404">
        <v>2241838.90897376</v>
      </c>
      <c r="R1005" s="404">
        <v>2317493.0011656652</v>
      </c>
      <c r="S1005" s="404">
        <v>2429898.5691062808</v>
      </c>
      <c r="T1005" s="404">
        <v>2547154.3559317067</v>
      </c>
      <c r="U1005" s="404">
        <v>2719122.0897993953</v>
      </c>
      <c r="V1005" s="404">
        <v>2886561.4125012951</v>
      </c>
      <c r="W1005" s="327"/>
    </row>
    <row r="1006" spans="1:23" x14ac:dyDescent="0.2">
      <c r="A1006" s="9"/>
      <c r="B1006" s="309" t="s">
        <v>39</v>
      </c>
      <c r="C1006" s="443">
        <v>0</v>
      </c>
      <c r="D1006" s="404">
        <v>-1658414.77</v>
      </c>
      <c r="E1006" s="404">
        <v>-1457064.86</v>
      </c>
      <c r="F1006" s="404">
        <v>-7037610.2299999995</v>
      </c>
      <c r="G1006" s="404">
        <v>-1239680.1499999999</v>
      </c>
      <c r="H1006" s="404">
        <v>-2496885.3419999997</v>
      </c>
      <c r="I1006" s="404">
        <v>-2571791.9022599999</v>
      </c>
      <c r="J1006" s="404">
        <v>-2648945.6593277999</v>
      </c>
      <c r="K1006" s="404">
        <v>-2728414.029107634</v>
      </c>
      <c r="L1006" s="404">
        <v>-2810266.4499808629</v>
      </c>
      <c r="M1006" s="404">
        <v>-2894574.4434802891</v>
      </c>
      <c r="N1006" s="404">
        <v>-2981411.6767846979</v>
      </c>
      <c r="O1006" s="404">
        <v>-3070854.0270882389</v>
      </c>
      <c r="P1006" s="404">
        <v>-3162979.6479008859</v>
      </c>
      <c r="Q1006" s="404">
        <v>-3257869.0373379127</v>
      </c>
      <c r="R1006" s="404">
        <v>-3355605.1084580501</v>
      </c>
      <c r="S1006" s="404">
        <v>-3456273.2617117916</v>
      </c>
      <c r="T1006" s="404">
        <v>-3559961.4595631454</v>
      </c>
      <c r="U1006" s="404">
        <v>-3666760.3033500398</v>
      </c>
      <c r="V1006" s="404">
        <v>-3776763.112450541</v>
      </c>
      <c r="W1006" s="327"/>
    </row>
    <row r="1007" spans="1:23" ht="13.5" thickBot="1" x14ac:dyDescent="0.25">
      <c r="A1007" s="9"/>
      <c r="B1007" s="310" t="s">
        <v>40</v>
      </c>
      <c r="C1007" s="444">
        <v>0</v>
      </c>
      <c r="D1007" s="406">
        <v>0</v>
      </c>
      <c r="E1007" s="406">
        <v>0</v>
      </c>
      <c r="F1007" s="406">
        <v>0</v>
      </c>
      <c r="G1007" s="406">
        <v>0</v>
      </c>
      <c r="H1007" s="406">
        <v>0</v>
      </c>
      <c r="I1007" s="406">
        <v>0</v>
      </c>
      <c r="J1007" s="406">
        <v>0</v>
      </c>
      <c r="K1007" s="406">
        <v>0</v>
      </c>
      <c r="L1007" s="406">
        <v>0</v>
      </c>
      <c r="M1007" s="406">
        <v>0</v>
      </c>
      <c r="N1007" s="406">
        <v>0</v>
      </c>
      <c r="O1007" s="406">
        <v>0</v>
      </c>
      <c r="P1007" s="406">
        <v>0</v>
      </c>
      <c r="Q1007" s="406">
        <v>0</v>
      </c>
      <c r="R1007" s="406">
        <v>0</v>
      </c>
      <c r="S1007" s="406">
        <v>0</v>
      </c>
      <c r="T1007" s="406">
        <v>0</v>
      </c>
      <c r="U1007" s="406">
        <v>0</v>
      </c>
      <c r="V1007" s="406">
        <v>0</v>
      </c>
      <c r="W1007" s="327"/>
    </row>
    <row r="1008" spans="1:23" ht="13.5" thickTop="1" x14ac:dyDescent="0.2">
      <c r="A1008" s="9"/>
      <c r="B1008" s="309"/>
      <c r="C1008" s="447"/>
      <c r="D1008" s="327"/>
      <c r="E1008" s="327"/>
      <c r="F1008" s="327"/>
      <c r="G1008" s="327"/>
      <c r="H1008" s="327"/>
      <c r="I1008" s="327"/>
      <c r="J1008" s="327"/>
      <c r="K1008" s="327"/>
      <c r="L1008" s="327"/>
      <c r="M1008" s="327"/>
      <c r="N1008" s="327"/>
      <c r="O1008" s="327"/>
      <c r="P1008" s="327"/>
      <c r="Q1008" s="327"/>
      <c r="R1008" s="327"/>
      <c r="S1008" s="327"/>
      <c r="T1008" s="327"/>
      <c r="U1008" s="327"/>
      <c r="V1008" s="327"/>
      <c r="W1008" s="327"/>
    </row>
    <row r="1009" spans="1:23" x14ac:dyDescent="0.2">
      <c r="A1009" s="9"/>
      <c r="B1009" s="311" t="s">
        <v>233</v>
      </c>
      <c r="C1009" s="446">
        <v>0</v>
      </c>
      <c r="D1009" s="410">
        <v>13658361.710048048</v>
      </c>
      <c r="E1009" s="410">
        <v>13345584.66977012</v>
      </c>
      <c r="F1009" s="410">
        <v>7139200.6110045379</v>
      </c>
      <c r="G1009" s="410">
        <v>12505672.256199805</v>
      </c>
      <c r="H1009" s="410">
        <v>11045074.69094684</v>
      </c>
      <c r="I1009" s="410">
        <v>11660961.573156517</v>
      </c>
      <c r="J1009" s="410">
        <v>12991336.76746621</v>
      </c>
      <c r="K1009" s="410">
        <v>13364446.572640147</v>
      </c>
      <c r="L1009" s="410">
        <v>13552155.526499987</v>
      </c>
      <c r="M1009" s="410">
        <v>13379111.592442587</v>
      </c>
      <c r="N1009" s="410">
        <v>13668879.210878758</v>
      </c>
      <c r="O1009" s="410">
        <v>13521000.01664992</v>
      </c>
      <c r="P1009" s="410">
        <v>13515607.793982971</v>
      </c>
      <c r="Q1009" s="410">
        <v>14124514.653619936</v>
      </c>
      <c r="R1009" s="410">
        <v>16071329.099284731</v>
      </c>
      <c r="S1009" s="410">
        <v>15272790.222425234</v>
      </c>
      <c r="T1009" s="410">
        <v>15428664.856442472</v>
      </c>
      <c r="U1009" s="410">
        <v>16926636.473551102</v>
      </c>
      <c r="V1009" s="410">
        <v>18140606.056276612</v>
      </c>
      <c r="W1009" s="408">
        <v>92198700.973306894</v>
      </c>
    </row>
    <row r="1010" spans="1:23" x14ac:dyDescent="0.2">
      <c r="A1010" s="9"/>
      <c r="B1010" s="286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</row>
    <row r="1011" spans="1:23" x14ac:dyDescent="0.2">
      <c r="A1011" s="302" t="s">
        <v>218</v>
      </c>
      <c r="B1011" s="300" t="s">
        <v>170</v>
      </c>
      <c r="C1011" s="433">
        <v>44209553.177085191</v>
      </c>
      <c r="D1011" s="9"/>
      <c r="E1011" s="137" t="s">
        <v>219</v>
      </c>
      <c r="F1011" s="313" t="s">
        <v>170</v>
      </c>
      <c r="G1011" s="437">
        <v>44209553.177085191</v>
      </c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</row>
    <row r="1012" spans="1:23" x14ac:dyDescent="0.2">
      <c r="A1012" s="9"/>
      <c r="B1012" s="300" t="s">
        <v>180</v>
      </c>
      <c r="C1012" s="433">
        <v>63356847.685263939</v>
      </c>
      <c r="D1012" s="9"/>
      <c r="E1012" s="315"/>
      <c r="F1012" s="313" t="s">
        <v>180</v>
      </c>
      <c r="G1012" s="437">
        <v>63356847.685263939</v>
      </c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</row>
    <row r="1013" spans="1:23" ht="13.5" thickBot="1" x14ac:dyDescent="0.25">
      <c r="A1013" s="9"/>
      <c r="B1013" s="316" t="s">
        <v>137</v>
      </c>
      <c r="C1013" s="434">
        <v>13704749.411785467</v>
      </c>
      <c r="D1013" s="317"/>
      <c r="E1013" s="315"/>
      <c r="F1013" s="313" t="s">
        <v>137</v>
      </c>
      <c r="G1013" s="437">
        <v>13704749.411785467</v>
      </c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</row>
    <row r="1014" spans="1:23" ht="14.25" thickTop="1" thickBot="1" x14ac:dyDescent="0.25">
      <c r="A1014" s="9"/>
      <c r="B1014" s="300" t="s">
        <v>28</v>
      </c>
      <c r="C1014" s="432">
        <v>121271150.27413458</v>
      </c>
      <c r="D1014" s="299"/>
      <c r="E1014" s="315"/>
      <c r="F1014" s="318" t="s">
        <v>203</v>
      </c>
      <c r="G1014" s="319">
        <v>0</v>
      </c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</row>
    <row r="1015" spans="1:23" ht="13.5" thickTop="1" x14ac:dyDescent="0.2">
      <c r="A1015" s="9"/>
      <c r="B1015" s="286"/>
      <c r="C1015" s="320"/>
      <c r="D1015" s="9"/>
      <c r="E1015" s="321"/>
      <c r="F1015" s="313" t="s">
        <v>28</v>
      </c>
      <c r="G1015" s="362">
        <v>121271150.27413458</v>
      </c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</row>
    <row r="1016" spans="1:23" x14ac:dyDescent="0.2">
      <c r="A1016" s="9"/>
      <c r="B1016" s="286"/>
      <c r="C1016" s="320"/>
      <c r="D1016" s="9"/>
      <c r="E1016" s="321"/>
      <c r="F1016" s="313"/>
      <c r="G1016" s="322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</row>
    <row r="1017" spans="1:23" x14ac:dyDescent="0.2">
      <c r="A1017" s="9"/>
      <c r="B1017" s="286"/>
      <c r="C1017" s="320"/>
      <c r="D1017" s="9"/>
      <c r="E1017" s="321"/>
      <c r="F1017" s="313"/>
      <c r="G1017" s="322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</row>
    <row r="1018" spans="1:23" x14ac:dyDescent="0.2">
      <c r="A1018" s="9"/>
      <c r="B1018" s="323" t="s">
        <v>222</v>
      </c>
      <c r="C1018" s="320"/>
      <c r="D1018" s="9"/>
      <c r="E1018" s="321"/>
      <c r="F1018" s="313"/>
      <c r="G1018" s="322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</row>
    <row r="1019" spans="1:23" x14ac:dyDescent="0.2">
      <c r="A1019" s="324" t="s">
        <v>224</v>
      </c>
      <c r="B1019" s="323" t="s">
        <v>223</v>
      </c>
      <c r="C1019" s="325"/>
      <c r="D1019" s="326">
        <v>14159708.866513956</v>
      </c>
      <c r="E1019" s="326">
        <v>13554077.69777382</v>
      </c>
      <c r="F1019" s="326">
        <v>12642982.484068265</v>
      </c>
      <c r="G1019" s="326">
        <v>11942143.966206977</v>
      </c>
      <c r="H1019" s="326">
        <v>11659088.857323095</v>
      </c>
      <c r="I1019" s="326">
        <v>12224147.076257005</v>
      </c>
      <c r="J1019" s="326">
        <v>13605873.906669481</v>
      </c>
      <c r="K1019" s="326">
        <v>14140866.170157198</v>
      </c>
      <c r="L1019" s="326">
        <v>14474390.182169499</v>
      </c>
      <c r="M1019" s="326">
        <v>14342358.730528506</v>
      </c>
      <c r="N1019" s="326">
        <v>14631131.528446067</v>
      </c>
      <c r="O1019" s="326">
        <v>14525350.388545351</v>
      </c>
      <c r="P1019" s="326">
        <v>14507891.221572803</v>
      </c>
      <c r="Q1019" s="326">
        <v>15140544.781984087</v>
      </c>
      <c r="R1019" s="326">
        <v>17109441.206577115</v>
      </c>
      <c r="S1019" s="326">
        <v>16299164.915030744</v>
      </c>
      <c r="T1019" s="326">
        <v>16441471.960073911</v>
      </c>
      <c r="U1019" s="326">
        <v>17874274.687101744</v>
      </c>
      <c r="V1019" s="326">
        <v>19030807.756225858</v>
      </c>
      <c r="W1019" s="9"/>
    </row>
    <row r="1020" spans="1:23" x14ac:dyDescent="0.2">
      <c r="A1020" s="9"/>
      <c r="B1020" s="286" t="s">
        <v>225</v>
      </c>
      <c r="C1020" s="320"/>
      <c r="D1020" s="327">
        <v>9439805.9110093042</v>
      </c>
      <c r="E1020" s="327">
        <v>9036051.7985158805</v>
      </c>
      <c r="F1020" s="327">
        <v>8428654.9893788453</v>
      </c>
      <c r="G1020" s="327">
        <v>7961429.3108046521</v>
      </c>
      <c r="H1020" s="327">
        <v>7772725.904882065</v>
      </c>
      <c r="I1020" s="327">
        <v>8149431.3841713369</v>
      </c>
      <c r="J1020" s="327">
        <v>9070582.6044463199</v>
      </c>
      <c r="K1020" s="327">
        <v>9427244.1134381332</v>
      </c>
      <c r="L1020" s="327">
        <v>9649593.4547796678</v>
      </c>
      <c r="M1020" s="327">
        <v>9561572.4870190043</v>
      </c>
      <c r="N1020" s="327">
        <v>9754087.6856307127</v>
      </c>
      <c r="O1020" s="327">
        <v>9683566.9256969001</v>
      </c>
      <c r="P1020" s="327">
        <v>9671927.4810485374</v>
      </c>
      <c r="Q1020" s="327">
        <v>10093696.521322727</v>
      </c>
      <c r="R1020" s="327">
        <v>11406294.13771808</v>
      </c>
      <c r="S1020" s="327">
        <v>10866109.943353832</v>
      </c>
      <c r="T1020" s="327">
        <v>10960981.306715943</v>
      </c>
      <c r="U1020" s="327">
        <v>11916183.124734497</v>
      </c>
      <c r="V1020" s="327">
        <v>12687205.170817241</v>
      </c>
      <c r="W1020" s="9"/>
    </row>
    <row r="1021" spans="1:23" x14ac:dyDescent="0.2">
      <c r="A1021" s="9"/>
      <c r="B1021" s="328" t="s">
        <v>226</v>
      </c>
      <c r="C1021" s="329"/>
      <c r="D1021" s="327">
        <v>1157067.6135340908</v>
      </c>
      <c r="E1021" s="327">
        <v>1248571.8319963</v>
      </c>
      <c r="F1021" s="327">
        <v>1533828.3569362727</v>
      </c>
      <c r="G1021" s="327">
        <v>1803208.4399928274</v>
      </c>
      <c r="H1021" s="327">
        <v>1882871.1756237457</v>
      </c>
      <c r="I1021" s="327">
        <v>2008606.3991595118</v>
      </c>
      <c r="J1021" s="327">
        <v>2034408.520124529</v>
      </c>
      <c r="K1021" s="327">
        <v>1951994.4315905841</v>
      </c>
      <c r="L1021" s="327">
        <v>1888031.7943113502</v>
      </c>
      <c r="M1021" s="327">
        <v>1931327.3053943694</v>
      </c>
      <c r="N1021" s="327">
        <v>2019159.3592173888</v>
      </c>
      <c r="O1021" s="327">
        <v>2066503.6551928069</v>
      </c>
      <c r="P1021" s="327">
        <v>2170696.220311055</v>
      </c>
      <c r="Q1021" s="327">
        <v>2241838.90897376</v>
      </c>
      <c r="R1021" s="327">
        <v>2317493.0011656652</v>
      </c>
      <c r="S1021" s="327">
        <v>2429898.5691062808</v>
      </c>
      <c r="T1021" s="327">
        <v>2547154.3559317067</v>
      </c>
      <c r="U1021" s="327">
        <v>2719122.0897993953</v>
      </c>
      <c r="V1021" s="327">
        <v>2886561.4125012951</v>
      </c>
      <c r="W1021" s="9"/>
    </row>
    <row r="1022" spans="1:23" ht="13.5" thickBot="1" x14ac:dyDescent="0.25">
      <c r="A1022" s="9"/>
      <c r="B1022" s="330" t="s">
        <v>227</v>
      </c>
      <c r="C1022" s="331"/>
      <c r="D1022" s="332">
        <v>24756582.39105735</v>
      </c>
      <c r="E1022" s="332">
        <v>23838701.328286</v>
      </c>
      <c r="F1022" s="332">
        <v>22605465.830383383</v>
      </c>
      <c r="G1022" s="332">
        <v>21706781.717004456</v>
      </c>
      <c r="H1022" s="332">
        <v>21314685.937828906</v>
      </c>
      <c r="I1022" s="332">
        <v>22382184.859587856</v>
      </c>
      <c r="J1022" s="332">
        <v>24710865.031240329</v>
      </c>
      <c r="K1022" s="332">
        <v>25520104.715185914</v>
      </c>
      <c r="L1022" s="332">
        <v>26012015.431260519</v>
      </c>
      <c r="M1022" s="332">
        <v>25835258.52294188</v>
      </c>
      <c r="N1022" s="332">
        <v>26404378.57329417</v>
      </c>
      <c r="O1022" s="332">
        <v>26275420.969435059</v>
      </c>
      <c r="P1022" s="332">
        <v>26350514.922932394</v>
      </c>
      <c r="Q1022" s="332">
        <v>27476080.212280575</v>
      </c>
      <c r="R1022" s="332">
        <v>30833228.345460862</v>
      </c>
      <c r="S1022" s="332">
        <v>29595173.427490856</v>
      </c>
      <c r="T1022" s="332">
        <v>29949607.62272156</v>
      </c>
      <c r="U1022" s="332">
        <v>32509579.901635639</v>
      </c>
      <c r="V1022" s="332">
        <v>34604574.339544393</v>
      </c>
      <c r="W1022" s="9"/>
    </row>
    <row r="1023" spans="1:23" ht="13.5" thickTop="1" x14ac:dyDescent="0.2">
      <c r="A1023" s="324" t="s">
        <v>228</v>
      </c>
      <c r="B1023" s="286" t="s">
        <v>229</v>
      </c>
      <c r="C1023" s="320"/>
      <c r="D1023" s="327">
        <v>-1757888.5472798611</v>
      </c>
      <c r="E1023" s="327">
        <v>-1827694.2283759944</v>
      </c>
      <c r="F1023" s="327">
        <v>-2168553.326541408</v>
      </c>
      <c r="G1023" s="327">
        <v>-2183228.3588029547</v>
      </c>
      <c r="H1023" s="327">
        <v>-2172247.009213578</v>
      </c>
      <c r="I1023" s="327">
        <v>-2300836.6043265783</v>
      </c>
      <c r="J1023" s="327">
        <v>-1781201.179498014</v>
      </c>
      <c r="K1023" s="327">
        <v>-1350981.9993577567</v>
      </c>
      <c r="L1023" s="327">
        <v>-1490925.1992237123</v>
      </c>
      <c r="M1023" s="327">
        <v>-1614029.0452054611</v>
      </c>
      <c r="N1023" s="327">
        <v>-1600223.3381082674</v>
      </c>
      <c r="O1023" s="327">
        <v>-1753766.0394626793</v>
      </c>
      <c r="P1023" s="327">
        <v>-1911915.0218577236</v>
      </c>
      <c r="Q1023" s="327">
        <v>-2074808.4737246193</v>
      </c>
      <c r="R1023" s="327">
        <v>-2242588.7291475218</v>
      </c>
      <c r="S1023" s="327">
        <v>-2414376.3677064939</v>
      </c>
      <c r="T1023" s="327">
        <v>-2589600.6719490406</v>
      </c>
      <c r="U1023" s="327">
        <v>-2772938.6871165428</v>
      </c>
      <c r="V1023" s="327">
        <v>-2961776.8427390698</v>
      </c>
      <c r="W1023" s="9"/>
    </row>
    <row r="1024" spans="1:23" x14ac:dyDescent="0.2">
      <c r="A1024" s="9"/>
      <c r="B1024" s="286" t="s">
        <v>230</v>
      </c>
      <c r="C1024" s="320"/>
      <c r="D1024" s="327">
        <v>0</v>
      </c>
      <c r="E1024" s="327">
        <v>0</v>
      </c>
      <c r="F1024" s="327">
        <v>0</v>
      </c>
      <c r="G1024" s="327">
        <v>0</v>
      </c>
      <c r="H1024" s="327">
        <v>0</v>
      </c>
      <c r="I1024" s="327">
        <v>0</v>
      </c>
      <c r="J1024" s="327">
        <v>0</v>
      </c>
      <c r="K1024" s="327">
        <v>0</v>
      </c>
      <c r="L1024" s="327">
        <v>0</v>
      </c>
      <c r="M1024" s="327">
        <v>0</v>
      </c>
      <c r="N1024" s="327">
        <v>0</v>
      </c>
      <c r="O1024" s="327">
        <v>0</v>
      </c>
      <c r="P1024" s="327">
        <v>0</v>
      </c>
      <c r="Q1024" s="327">
        <v>0</v>
      </c>
      <c r="R1024" s="327">
        <v>0</v>
      </c>
      <c r="S1024" s="327">
        <v>0</v>
      </c>
      <c r="T1024" s="327">
        <v>0</v>
      </c>
      <c r="U1024" s="327">
        <v>0</v>
      </c>
      <c r="V1024" s="327">
        <v>0</v>
      </c>
      <c r="W1024" s="9"/>
    </row>
    <row r="1025" spans="1:23" x14ac:dyDescent="0.2">
      <c r="A1025" s="9"/>
      <c r="B1025" s="323" t="s">
        <v>231</v>
      </c>
      <c r="C1025" s="325"/>
      <c r="D1025" s="326">
        <v>22998693.843777489</v>
      </c>
      <c r="E1025" s="326">
        <v>22011007.099910006</v>
      </c>
      <c r="F1025" s="326">
        <v>20436912.503841974</v>
      </c>
      <c r="G1025" s="326">
        <v>19523553.3582015</v>
      </c>
      <c r="H1025" s="326">
        <v>19142438.928615328</v>
      </c>
      <c r="I1025" s="326">
        <v>20081348.255261276</v>
      </c>
      <c r="J1025" s="326">
        <v>22929663.851742316</v>
      </c>
      <c r="K1025" s="326">
        <v>24169122.715828158</v>
      </c>
      <c r="L1025" s="326">
        <v>24521090.232036807</v>
      </c>
      <c r="M1025" s="326">
        <v>24221229.477736417</v>
      </c>
      <c r="N1025" s="326">
        <v>24804155.235185903</v>
      </c>
      <c r="O1025" s="326">
        <v>24521654.92997238</v>
      </c>
      <c r="P1025" s="326">
        <v>24438599.90107467</v>
      </c>
      <c r="Q1025" s="326">
        <v>25401271.738555957</v>
      </c>
      <c r="R1025" s="326">
        <v>28590639.616313338</v>
      </c>
      <c r="S1025" s="326">
        <v>27180797.059784364</v>
      </c>
      <c r="T1025" s="326">
        <v>27360006.95077252</v>
      </c>
      <c r="U1025" s="326">
        <v>29736641.214519098</v>
      </c>
      <c r="V1025" s="326">
        <v>31642797.496805325</v>
      </c>
      <c r="W1025" s="9"/>
    </row>
    <row r="1026" spans="1:23" ht="13.5" thickBot="1" x14ac:dyDescent="0.25">
      <c r="A1026" s="9"/>
      <c r="B1026" s="333" t="s">
        <v>237</v>
      </c>
      <c r="C1026" s="334"/>
      <c r="D1026" s="335">
        <v>-9199477.5375109967</v>
      </c>
      <c r="E1026" s="335">
        <v>-8804402.8399640024</v>
      </c>
      <c r="F1026" s="335">
        <v>-8174765.0015367903</v>
      </c>
      <c r="G1026" s="335">
        <v>-7809421.3432806004</v>
      </c>
      <c r="H1026" s="335">
        <v>-7656975.5714461319</v>
      </c>
      <c r="I1026" s="335">
        <v>-8032539.3021045104</v>
      </c>
      <c r="J1026" s="335">
        <v>-9171865.5406969264</v>
      </c>
      <c r="K1026" s="335">
        <v>-9667649.0863312632</v>
      </c>
      <c r="L1026" s="335">
        <v>-9808436.092814723</v>
      </c>
      <c r="M1026" s="335">
        <v>-9688491.7910945676</v>
      </c>
      <c r="N1026" s="335">
        <v>-9921662.094074361</v>
      </c>
      <c r="O1026" s="335">
        <v>-9808661.9719889518</v>
      </c>
      <c r="P1026" s="335">
        <v>-9775439.9604298677</v>
      </c>
      <c r="Q1026" s="335">
        <v>-10160508.695422383</v>
      </c>
      <c r="R1026" s="335">
        <v>-11436255.846525336</v>
      </c>
      <c r="S1026" s="335">
        <v>-10872318.823913746</v>
      </c>
      <c r="T1026" s="335">
        <v>-10944002.780309008</v>
      </c>
      <c r="U1026" s="335">
        <v>-11894656.48580764</v>
      </c>
      <c r="V1026" s="335">
        <v>-12657118.99872213</v>
      </c>
      <c r="W1026" s="9"/>
    </row>
    <row r="1027" spans="1:23" ht="13.5" thickTop="1" x14ac:dyDescent="0.2">
      <c r="A1027" s="9"/>
      <c r="B1027" s="323" t="s">
        <v>232</v>
      </c>
      <c r="C1027" s="325"/>
      <c r="D1027" s="326">
        <v>13799216.306266492</v>
      </c>
      <c r="E1027" s="326">
        <v>13206604.259946004</v>
      </c>
      <c r="F1027" s="326">
        <v>12262147.502305184</v>
      </c>
      <c r="G1027" s="326">
        <v>11714132.0149209</v>
      </c>
      <c r="H1027" s="326">
        <v>11485463.357169196</v>
      </c>
      <c r="I1027" s="326">
        <v>12048808.953156766</v>
      </c>
      <c r="J1027" s="326">
        <v>13757798.31104539</v>
      </c>
      <c r="K1027" s="326">
        <v>14501473.629496895</v>
      </c>
      <c r="L1027" s="326">
        <v>14712654.139222084</v>
      </c>
      <c r="M1027" s="326">
        <v>14532737.68664185</v>
      </c>
      <c r="N1027" s="326">
        <v>14882493.141111542</v>
      </c>
      <c r="O1027" s="326">
        <v>14712992.957983429</v>
      </c>
      <c r="P1027" s="326">
        <v>14663159.940644803</v>
      </c>
      <c r="Q1027" s="326">
        <v>15240763.043133574</v>
      </c>
      <c r="R1027" s="326">
        <v>17154383.769788004</v>
      </c>
      <c r="S1027" s="326">
        <v>16308478.235870618</v>
      </c>
      <c r="T1027" s="326">
        <v>16416004.170463512</v>
      </c>
      <c r="U1027" s="326">
        <v>17841984.728711456</v>
      </c>
      <c r="V1027" s="326">
        <v>18985678.498083197</v>
      </c>
      <c r="W1027" s="9"/>
    </row>
    <row r="1028" spans="1:23" x14ac:dyDescent="0.2">
      <c r="A1028" s="9"/>
      <c r="B1028" s="9"/>
      <c r="C1028" s="320"/>
      <c r="D1028" s="9"/>
      <c r="E1028" s="321"/>
      <c r="F1028" s="313"/>
      <c r="G1028" s="322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</row>
    <row r="1029" spans="1:23" ht="15.75" x14ac:dyDescent="0.25">
      <c r="A1029" s="336" t="s">
        <v>205</v>
      </c>
      <c r="B1029" s="337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</row>
    <row r="1030" spans="1:23" x14ac:dyDescent="0.2">
      <c r="A1030" s="284" t="s">
        <v>190</v>
      </c>
      <c r="B1030" s="303"/>
      <c r="C1030" s="338">
        <v>0</v>
      </c>
      <c r="D1030" s="277"/>
      <c r="E1030" s="277"/>
      <c r="F1030" s="277"/>
      <c r="G1030" s="277"/>
      <c r="H1030" s="277"/>
      <c r="I1030" s="277"/>
      <c r="J1030" s="277"/>
      <c r="K1030" s="277"/>
      <c r="L1030" s="277"/>
      <c r="M1030" s="277"/>
      <c r="N1030" s="277"/>
      <c r="O1030" s="277"/>
      <c r="P1030" s="277"/>
      <c r="Q1030" s="277"/>
      <c r="R1030" s="277"/>
      <c r="S1030" s="277"/>
      <c r="T1030" s="277"/>
      <c r="U1030" s="277"/>
      <c r="V1030" s="277"/>
      <c r="W1030" s="277"/>
    </row>
    <row r="1031" spans="1:23" x14ac:dyDescent="0.2">
      <c r="A1031" s="284" t="s">
        <v>191</v>
      </c>
      <c r="B1031" s="303"/>
      <c r="C1031" s="339">
        <v>0</v>
      </c>
      <c r="D1031" s="277"/>
      <c r="E1031" s="277"/>
      <c r="F1031" s="277"/>
      <c r="G1031" s="277"/>
      <c r="H1031" s="277"/>
      <c r="I1031" s="277"/>
      <c r="J1031" s="277"/>
      <c r="K1031" s="277"/>
      <c r="L1031" s="277"/>
      <c r="M1031" s="277"/>
      <c r="N1031" s="277"/>
      <c r="O1031" s="277"/>
      <c r="P1031" s="277"/>
      <c r="Q1031" s="277"/>
      <c r="R1031" s="277"/>
      <c r="S1031" s="277"/>
      <c r="T1031" s="277"/>
      <c r="U1031" s="277"/>
      <c r="V1031" s="277"/>
      <c r="W1031" s="277"/>
    </row>
    <row r="1032" spans="1:23" x14ac:dyDescent="0.2">
      <c r="A1032" s="284" t="s">
        <v>201</v>
      </c>
      <c r="B1032" s="303"/>
      <c r="C1032" s="284">
        <v>15</v>
      </c>
      <c r="D1032" s="277"/>
      <c r="E1032" s="277"/>
      <c r="F1032" s="277"/>
      <c r="G1032" s="277"/>
      <c r="H1032" s="277"/>
      <c r="I1032" s="277"/>
      <c r="J1032" s="277"/>
      <c r="K1032" s="277"/>
      <c r="L1032" s="277"/>
      <c r="M1032" s="277"/>
      <c r="N1032" s="277"/>
      <c r="O1032" s="277"/>
      <c r="P1032" s="277"/>
      <c r="Q1032" s="277"/>
      <c r="R1032" s="277"/>
      <c r="S1032" s="277"/>
      <c r="T1032" s="277"/>
      <c r="U1032" s="277"/>
      <c r="V1032" s="277"/>
      <c r="W1032" s="277"/>
    </row>
    <row r="1033" spans="1:23" x14ac:dyDescent="0.2">
      <c r="A1033" s="284" t="s">
        <v>192</v>
      </c>
      <c r="B1033" s="303"/>
      <c r="C1033" s="339">
        <v>0</v>
      </c>
      <c r="D1033" s="277"/>
      <c r="E1033" s="277"/>
      <c r="F1033" s="277"/>
      <c r="G1033" s="277"/>
      <c r="H1033" s="277"/>
      <c r="I1033" s="277"/>
      <c r="J1033" s="277"/>
      <c r="K1033" s="277"/>
      <c r="L1033" s="277"/>
      <c r="M1033" s="277"/>
      <c r="N1033" s="277"/>
      <c r="O1033" s="277"/>
      <c r="P1033" s="277"/>
      <c r="Q1033" s="277"/>
      <c r="R1033" s="277"/>
      <c r="S1033" s="277"/>
      <c r="T1033" s="277"/>
      <c r="U1033" s="277"/>
      <c r="V1033" s="277"/>
      <c r="W1033" s="277"/>
    </row>
    <row r="1034" spans="1:23" x14ac:dyDescent="0.2">
      <c r="A1034" s="284" t="s">
        <v>193</v>
      </c>
      <c r="B1034" s="303"/>
      <c r="C1034" s="340">
        <v>8.7499999999999994E-2</v>
      </c>
      <c r="D1034" s="277"/>
      <c r="E1034" s="277"/>
      <c r="F1034" s="277"/>
      <c r="G1034" s="277"/>
      <c r="H1034" s="277"/>
      <c r="I1034" s="277"/>
      <c r="J1034" s="277"/>
      <c r="K1034" s="277"/>
      <c r="L1034" s="277"/>
      <c r="M1034" s="277"/>
      <c r="N1034" s="277"/>
      <c r="O1034" s="277"/>
      <c r="P1034" s="277"/>
      <c r="Q1034" s="277"/>
      <c r="R1034" s="277"/>
      <c r="S1034" s="277"/>
      <c r="T1034" s="277"/>
      <c r="U1034" s="277"/>
      <c r="V1034" s="277"/>
      <c r="W1034" s="277"/>
    </row>
    <row r="1035" spans="1:23" x14ac:dyDescent="0.2">
      <c r="A1035" s="284"/>
      <c r="B1035" s="303"/>
      <c r="C1035" s="277"/>
      <c r="D1035" s="306">
        <v>2001</v>
      </c>
      <c r="E1035" s="306">
        <v>2002</v>
      </c>
      <c r="F1035" s="306">
        <v>2003</v>
      </c>
      <c r="G1035" s="306">
        <v>2004</v>
      </c>
      <c r="H1035" s="306">
        <v>2005</v>
      </c>
      <c r="I1035" s="306">
        <v>2006</v>
      </c>
      <c r="J1035" s="306">
        <v>2007</v>
      </c>
      <c r="K1035" s="306">
        <v>2008</v>
      </c>
      <c r="L1035" s="306">
        <v>2009</v>
      </c>
      <c r="M1035" s="306">
        <v>2010</v>
      </c>
      <c r="N1035" s="306">
        <v>2011</v>
      </c>
      <c r="O1035" s="306">
        <v>2012</v>
      </c>
      <c r="P1035" s="306">
        <v>2013</v>
      </c>
      <c r="Q1035" s="306">
        <v>2014</v>
      </c>
      <c r="R1035" s="306">
        <v>2015</v>
      </c>
      <c r="S1035" s="306">
        <v>2016</v>
      </c>
      <c r="T1035" s="306">
        <v>2017</v>
      </c>
      <c r="U1035" s="306">
        <v>2018</v>
      </c>
      <c r="V1035" s="306">
        <v>2019</v>
      </c>
      <c r="W1035" s="306" t="s">
        <v>154</v>
      </c>
    </row>
    <row r="1036" spans="1:23" x14ac:dyDescent="0.2">
      <c r="A1036" s="284" t="s">
        <v>194</v>
      </c>
      <c r="B1036" s="303"/>
      <c r="C1036" s="277"/>
      <c r="D1036" s="341">
        <v>0</v>
      </c>
      <c r="E1036" s="341">
        <v>0</v>
      </c>
      <c r="F1036" s="341">
        <v>0</v>
      </c>
      <c r="G1036" s="341">
        <v>0</v>
      </c>
      <c r="H1036" s="341">
        <v>0</v>
      </c>
      <c r="I1036" s="341">
        <v>0</v>
      </c>
      <c r="J1036" s="341">
        <v>0</v>
      </c>
      <c r="K1036" s="341">
        <v>0</v>
      </c>
      <c r="L1036" s="341">
        <v>0</v>
      </c>
      <c r="M1036" s="341">
        <v>0</v>
      </c>
      <c r="N1036" s="341">
        <v>0</v>
      </c>
      <c r="O1036" s="341">
        <v>0</v>
      </c>
      <c r="P1036" s="341">
        <v>0</v>
      </c>
      <c r="Q1036" s="341">
        <v>0</v>
      </c>
      <c r="R1036" s="341">
        <v>0</v>
      </c>
      <c r="S1036" s="341">
        <v>0</v>
      </c>
      <c r="T1036" s="341">
        <v>0</v>
      </c>
      <c r="U1036" s="341">
        <v>0</v>
      </c>
      <c r="V1036" s="341">
        <v>0</v>
      </c>
      <c r="W1036" s="341">
        <v>0</v>
      </c>
    </row>
    <row r="1037" spans="1:23" x14ac:dyDescent="0.2">
      <c r="A1037" s="284" t="s">
        <v>195</v>
      </c>
      <c r="B1037" s="303"/>
      <c r="C1037" s="277"/>
      <c r="D1037" s="341">
        <v>0</v>
      </c>
      <c r="E1037" s="341">
        <v>0</v>
      </c>
      <c r="F1037" s="341">
        <v>0</v>
      </c>
      <c r="G1037" s="341">
        <v>0</v>
      </c>
      <c r="H1037" s="341">
        <v>0</v>
      </c>
      <c r="I1037" s="341">
        <v>0</v>
      </c>
      <c r="J1037" s="341">
        <v>0</v>
      </c>
      <c r="K1037" s="341">
        <v>0</v>
      </c>
      <c r="L1037" s="341">
        <v>0</v>
      </c>
      <c r="M1037" s="341">
        <v>0</v>
      </c>
      <c r="N1037" s="341">
        <v>0</v>
      </c>
      <c r="O1037" s="341">
        <v>0</v>
      </c>
      <c r="P1037" s="341">
        <v>0</v>
      </c>
      <c r="Q1037" s="341">
        <v>0</v>
      </c>
      <c r="R1037" s="341">
        <v>0</v>
      </c>
      <c r="S1037" s="341">
        <v>0</v>
      </c>
      <c r="T1037" s="341">
        <v>0</v>
      </c>
      <c r="U1037" s="341">
        <v>0</v>
      </c>
      <c r="V1037" s="341">
        <v>0</v>
      </c>
      <c r="W1037" s="341">
        <v>0</v>
      </c>
    </row>
    <row r="1038" spans="1:23" x14ac:dyDescent="0.2">
      <c r="A1038" s="284" t="s">
        <v>196</v>
      </c>
      <c r="B1038" s="303"/>
      <c r="C1038" s="277"/>
      <c r="D1038" s="341">
        <v>0</v>
      </c>
      <c r="E1038" s="341">
        <v>0</v>
      </c>
      <c r="F1038" s="341">
        <v>0</v>
      </c>
      <c r="G1038" s="341">
        <v>0</v>
      </c>
      <c r="H1038" s="341">
        <v>0</v>
      </c>
      <c r="I1038" s="341">
        <v>0</v>
      </c>
      <c r="J1038" s="341">
        <v>0</v>
      </c>
      <c r="K1038" s="341">
        <v>0</v>
      </c>
      <c r="L1038" s="341">
        <v>0</v>
      </c>
      <c r="M1038" s="341">
        <v>0</v>
      </c>
      <c r="N1038" s="341">
        <v>0</v>
      </c>
      <c r="O1038" s="341">
        <v>0</v>
      </c>
      <c r="P1038" s="341">
        <v>0</v>
      </c>
      <c r="Q1038" s="341">
        <v>0</v>
      </c>
      <c r="R1038" s="341">
        <v>0</v>
      </c>
      <c r="S1038" s="341">
        <v>0</v>
      </c>
      <c r="T1038" s="341">
        <v>0</v>
      </c>
      <c r="U1038" s="341">
        <v>0</v>
      </c>
      <c r="V1038" s="341">
        <v>0</v>
      </c>
      <c r="W1038" s="341">
        <v>0</v>
      </c>
    </row>
    <row r="1039" spans="1:23" x14ac:dyDescent="0.2">
      <c r="A1039" s="284" t="s">
        <v>197</v>
      </c>
      <c r="B1039" s="303"/>
      <c r="C1039" s="277"/>
      <c r="D1039" s="342">
        <v>0</v>
      </c>
      <c r="E1039" s="342">
        <v>0</v>
      </c>
      <c r="F1039" s="342">
        <v>0</v>
      </c>
      <c r="G1039" s="342">
        <v>0</v>
      </c>
      <c r="H1039" s="342">
        <v>0</v>
      </c>
      <c r="I1039" s="342">
        <v>0</v>
      </c>
      <c r="J1039" s="342">
        <v>0</v>
      </c>
      <c r="K1039" s="342">
        <v>0</v>
      </c>
      <c r="L1039" s="342">
        <v>0</v>
      </c>
      <c r="M1039" s="342">
        <v>0</v>
      </c>
      <c r="N1039" s="342">
        <v>0</v>
      </c>
      <c r="O1039" s="342">
        <v>0</v>
      </c>
      <c r="P1039" s="342">
        <v>0</v>
      </c>
      <c r="Q1039" s="342">
        <v>0</v>
      </c>
      <c r="R1039" s="342">
        <v>0</v>
      </c>
      <c r="S1039" s="342">
        <v>0</v>
      </c>
      <c r="T1039" s="342">
        <v>0</v>
      </c>
      <c r="U1039" s="342">
        <v>0</v>
      </c>
      <c r="V1039" s="342">
        <v>0</v>
      </c>
      <c r="W1039" s="342">
        <v>0</v>
      </c>
    </row>
    <row r="1040" spans="1:23" ht="13.5" thickBot="1" x14ac:dyDescent="0.25">
      <c r="A1040" s="284" t="s">
        <v>198</v>
      </c>
      <c r="B1040" s="303"/>
      <c r="C1040" s="277"/>
      <c r="D1040" s="343">
        <v>0</v>
      </c>
      <c r="E1040" s="343">
        <v>0</v>
      </c>
      <c r="F1040" s="343">
        <v>0</v>
      </c>
      <c r="G1040" s="343">
        <v>0</v>
      </c>
      <c r="H1040" s="343">
        <v>0</v>
      </c>
      <c r="I1040" s="343">
        <v>0</v>
      </c>
      <c r="J1040" s="343">
        <v>0</v>
      </c>
      <c r="K1040" s="343">
        <v>0</v>
      </c>
      <c r="L1040" s="343">
        <v>0</v>
      </c>
      <c r="M1040" s="343">
        <v>0</v>
      </c>
      <c r="N1040" s="343">
        <v>0</v>
      </c>
      <c r="O1040" s="343">
        <v>0</v>
      </c>
      <c r="P1040" s="343">
        <v>0</v>
      </c>
      <c r="Q1040" s="343">
        <v>0</v>
      </c>
      <c r="R1040" s="343">
        <v>0</v>
      </c>
      <c r="S1040" s="343">
        <v>0</v>
      </c>
      <c r="T1040" s="343">
        <v>0</v>
      </c>
      <c r="U1040" s="343">
        <v>0</v>
      </c>
      <c r="V1040" s="343">
        <v>0</v>
      </c>
      <c r="W1040" s="343">
        <v>0</v>
      </c>
    </row>
    <row r="1041" spans="1:23" ht="13.5" thickTop="1" x14ac:dyDescent="0.2">
      <c r="A1041" s="284"/>
      <c r="B1041" s="303"/>
      <c r="C1041" s="277"/>
      <c r="D1041" s="341"/>
      <c r="E1041" s="341"/>
      <c r="F1041" s="341"/>
      <c r="G1041" s="341"/>
      <c r="H1041" s="341"/>
      <c r="I1041" s="341"/>
      <c r="J1041" s="341"/>
      <c r="K1041" s="341"/>
      <c r="L1041" s="341"/>
      <c r="M1041" s="341"/>
      <c r="N1041" s="341"/>
      <c r="O1041" s="341"/>
      <c r="P1041" s="341"/>
      <c r="Q1041" s="341"/>
      <c r="R1041" s="341"/>
      <c r="S1041" s="341"/>
      <c r="T1041" s="341"/>
      <c r="U1041" s="341"/>
      <c r="V1041" s="341"/>
      <c r="W1041" s="341"/>
    </row>
    <row r="1042" spans="1:23" x14ac:dyDescent="0.2">
      <c r="A1042" s="284" t="s">
        <v>199</v>
      </c>
      <c r="B1042" s="303"/>
      <c r="C1042" s="277"/>
      <c r="D1042" s="341">
        <v>0</v>
      </c>
      <c r="E1042" s="341">
        <v>0</v>
      </c>
      <c r="F1042" s="341">
        <v>0</v>
      </c>
      <c r="G1042" s="341">
        <v>0</v>
      </c>
      <c r="H1042" s="341">
        <v>0</v>
      </c>
      <c r="I1042" s="341">
        <v>0</v>
      </c>
      <c r="J1042" s="341">
        <v>0</v>
      </c>
      <c r="K1042" s="341">
        <v>0</v>
      </c>
      <c r="L1042" s="341">
        <v>0</v>
      </c>
      <c r="M1042" s="341">
        <v>0</v>
      </c>
      <c r="N1042" s="341">
        <v>0</v>
      </c>
      <c r="O1042" s="341">
        <v>0</v>
      </c>
      <c r="P1042" s="341">
        <v>0</v>
      </c>
      <c r="Q1042" s="341">
        <v>0</v>
      </c>
      <c r="R1042" s="341">
        <v>0</v>
      </c>
      <c r="S1042" s="341">
        <v>0</v>
      </c>
      <c r="T1042" s="341">
        <v>0</v>
      </c>
      <c r="U1042" s="341">
        <v>0</v>
      </c>
      <c r="V1042" s="341">
        <v>0</v>
      </c>
      <c r="W1042" s="341">
        <v>0</v>
      </c>
    </row>
    <row r="1043" spans="1:23" x14ac:dyDescent="0.2">
      <c r="A1043" s="284"/>
      <c r="B1043" s="303"/>
      <c r="C1043" s="277"/>
      <c r="D1043" s="277"/>
      <c r="E1043" s="277"/>
      <c r="F1043" s="277"/>
      <c r="G1043" s="277"/>
      <c r="H1043" s="277"/>
      <c r="I1043" s="277"/>
      <c r="J1043" s="277"/>
      <c r="K1043" s="277"/>
      <c r="L1043" s="277"/>
      <c r="M1043" s="277"/>
      <c r="N1043" s="277"/>
      <c r="O1043" s="277"/>
      <c r="P1043" s="277"/>
      <c r="Q1043" s="277"/>
      <c r="R1043" s="277"/>
      <c r="S1043" s="277"/>
      <c r="T1043" s="277"/>
      <c r="U1043" s="277"/>
      <c r="V1043" s="277"/>
      <c r="W1043" s="277"/>
    </row>
    <row r="1044" spans="1:23" x14ac:dyDescent="0.2">
      <c r="A1044" s="284" t="s">
        <v>200</v>
      </c>
      <c r="B1044" s="303"/>
      <c r="C1044" s="277"/>
      <c r="D1044" s="341">
        <v>0</v>
      </c>
      <c r="E1044" s="341">
        <v>0</v>
      </c>
      <c r="F1044" s="341">
        <v>0</v>
      </c>
      <c r="G1044" s="341">
        <v>0</v>
      </c>
      <c r="H1044" s="341">
        <v>0</v>
      </c>
      <c r="I1044" s="341">
        <v>0</v>
      </c>
      <c r="J1044" s="341">
        <v>0</v>
      </c>
      <c r="K1044" s="341">
        <v>0</v>
      </c>
      <c r="L1044" s="341">
        <v>0</v>
      </c>
      <c r="M1044" s="341">
        <v>0</v>
      </c>
      <c r="N1044" s="341">
        <v>0</v>
      </c>
      <c r="O1044" s="341">
        <v>0</v>
      </c>
      <c r="P1044" s="341">
        <v>0</v>
      </c>
      <c r="Q1044" s="341">
        <v>0</v>
      </c>
      <c r="R1044" s="341">
        <v>0</v>
      </c>
      <c r="S1044" s="341">
        <v>0</v>
      </c>
      <c r="T1044" s="341">
        <v>0</v>
      </c>
      <c r="U1044" s="341">
        <v>0</v>
      </c>
      <c r="V1044" s="341">
        <v>0</v>
      </c>
      <c r="W1044" s="341">
        <v>0</v>
      </c>
    </row>
    <row r="1045" spans="1:23" x14ac:dyDescent="0.2">
      <c r="A1045" s="277"/>
      <c r="B1045" s="303"/>
      <c r="C1045" s="277"/>
      <c r="D1045" s="277"/>
      <c r="E1045" s="277"/>
      <c r="F1045" s="277"/>
      <c r="G1045" s="277"/>
      <c r="H1045" s="277"/>
      <c r="I1045" s="277"/>
      <c r="J1045" s="277"/>
      <c r="K1045" s="277"/>
      <c r="L1045" s="277"/>
      <c r="M1045" s="277"/>
      <c r="N1045" s="277"/>
      <c r="O1045" s="277"/>
      <c r="P1045" s="277"/>
      <c r="Q1045" s="277"/>
      <c r="R1045" s="277"/>
      <c r="S1045" s="277"/>
      <c r="T1045" s="277"/>
      <c r="U1045" s="277"/>
      <c r="V1045" s="277"/>
      <c r="W1045" s="277"/>
    </row>
    <row r="1046" spans="1:23" x14ac:dyDescent="0.2">
      <c r="A1046" s="277"/>
      <c r="B1046" s="303"/>
      <c r="C1046" s="277"/>
      <c r="D1046" s="277"/>
      <c r="E1046" s="277"/>
      <c r="F1046" s="277"/>
      <c r="G1046" s="277"/>
      <c r="H1046" s="277"/>
      <c r="I1046" s="277"/>
      <c r="J1046" s="277"/>
      <c r="K1046" s="277"/>
      <c r="L1046" s="277"/>
      <c r="M1046" s="277"/>
      <c r="N1046" s="277"/>
      <c r="O1046" s="277"/>
      <c r="P1046" s="277"/>
      <c r="Q1046" s="277"/>
      <c r="R1046" s="277"/>
      <c r="S1046" s="277"/>
      <c r="T1046" s="277"/>
      <c r="U1046" s="277"/>
      <c r="V1046" s="277"/>
      <c r="W1046" s="277"/>
    </row>
    <row r="1047" spans="1:23" x14ac:dyDescent="0.2">
      <c r="A1047" s="284" t="s">
        <v>202</v>
      </c>
      <c r="B1047" s="279"/>
      <c r="C1047" s="278"/>
      <c r="D1047" s="435">
        <v>13658361.710048048</v>
      </c>
      <c r="E1047" s="435">
        <v>13345584.66977012</v>
      </c>
      <c r="F1047" s="435">
        <v>7139200.6110045379</v>
      </c>
      <c r="G1047" s="435">
        <v>12505672.256199805</v>
      </c>
      <c r="H1047" s="435">
        <v>11045074.69094684</v>
      </c>
      <c r="I1047" s="435">
        <v>11660961.573156517</v>
      </c>
      <c r="J1047" s="435">
        <v>12991336.76746621</v>
      </c>
      <c r="K1047" s="435">
        <v>13364446.572640147</v>
      </c>
      <c r="L1047" s="435">
        <v>13552155.526499987</v>
      </c>
      <c r="M1047" s="435">
        <v>13379111.592442587</v>
      </c>
      <c r="N1047" s="435">
        <v>13668879.210878758</v>
      </c>
      <c r="O1047" s="435">
        <v>13521000.01664992</v>
      </c>
      <c r="P1047" s="435">
        <v>13515607.793982971</v>
      </c>
      <c r="Q1047" s="435">
        <v>14124514.653619936</v>
      </c>
      <c r="R1047" s="435">
        <v>16071329.099284731</v>
      </c>
      <c r="S1047" s="435">
        <v>15272790.222425234</v>
      </c>
      <c r="T1047" s="435">
        <v>15428664.856442472</v>
      </c>
      <c r="U1047" s="435">
        <v>16926636.473551102</v>
      </c>
      <c r="V1047" s="435">
        <v>18140606.056276612</v>
      </c>
      <c r="W1047" s="435">
        <v>92198700.973306894</v>
      </c>
    </row>
    <row r="1048" spans="1:23" x14ac:dyDescent="0.2">
      <c r="A1048" s="9"/>
      <c r="B1048" s="6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</row>
    <row r="1049" spans="1:23" x14ac:dyDescent="0.2">
      <c r="B1049" s="289"/>
      <c r="C1049" s="354"/>
      <c r="E1049" s="363"/>
      <c r="F1049" s="313"/>
      <c r="G1049" s="322"/>
    </row>
    <row r="1050" spans="1:23" x14ac:dyDescent="0.2">
      <c r="B1050" s="289"/>
      <c r="C1050" s="354"/>
      <c r="E1050" s="363"/>
      <c r="F1050" s="313"/>
      <c r="G1050" s="322"/>
    </row>
    <row r="1051" spans="1:23" x14ac:dyDescent="0.2">
      <c r="B1051" s="289"/>
      <c r="C1051" s="354"/>
      <c r="E1051" s="363"/>
      <c r="F1051" s="313"/>
      <c r="G1051" s="322"/>
    </row>
    <row r="1052" spans="1:23" x14ac:dyDescent="0.2">
      <c r="B1052" s="300"/>
      <c r="C1052" s="354"/>
      <c r="E1052" s="363"/>
      <c r="F1052" s="313"/>
      <c r="G1052" s="322"/>
    </row>
    <row r="1053" spans="1:23" x14ac:dyDescent="0.2">
      <c r="A1053" s="364"/>
      <c r="B1053" s="300"/>
      <c r="C1053" s="301"/>
      <c r="D1053" s="365"/>
      <c r="E1053" s="365"/>
      <c r="F1053" s="365"/>
      <c r="G1053" s="365"/>
      <c r="H1053" s="365"/>
      <c r="I1053" s="365"/>
      <c r="J1053" s="365"/>
      <c r="K1053" s="365"/>
      <c r="L1053" s="365"/>
      <c r="M1053" s="365"/>
      <c r="N1053" s="365"/>
      <c r="O1053" s="365"/>
      <c r="P1053" s="365"/>
      <c r="Q1053" s="365"/>
      <c r="R1053" s="365"/>
      <c r="S1053" s="365"/>
      <c r="T1053" s="365"/>
      <c r="U1053" s="365"/>
      <c r="V1053" s="365"/>
    </row>
    <row r="1054" spans="1:23" x14ac:dyDescent="0.2">
      <c r="B1054" s="289"/>
      <c r="C1054" s="354"/>
      <c r="D1054" s="366"/>
      <c r="E1054" s="366"/>
      <c r="F1054" s="366"/>
      <c r="G1054" s="366"/>
      <c r="H1054" s="366"/>
      <c r="I1054" s="366"/>
      <c r="J1054" s="366"/>
      <c r="K1054" s="366"/>
      <c r="L1054" s="366"/>
      <c r="M1054" s="366"/>
      <c r="N1054" s="366"/>
      <c r="O1054" s="366"/>
      <c r="P1054" s="366"/>
      <c r="Q1054" s="366"/>
      <c r="R1054" s="366"/>
      <c r="S1054" s="366"/>
      <c r="T1054" s="366"/>
      <c r="U1054" s="366"/>
      <c r="V1054" s="366"/>
    </row>
    <row r="1055" spans="1:23" x14ac:dyDescent="0.2">
      <c r="B1055" s="289"/>
      <c r="C1055" s="354"/>
      <c r="D1055" s="366"/>
      <c r="E1055" s="366"/>
      <c r="F1055" s="366"/>
      <c r="G1055" s="366"/>
      <c r="H1055" s="366"/>
      <c r="I1055" s="366"/>
      <c r="J1055" s="366"/>
      <c r="K1055" s="366"/>
      <c r="L1055" s="366"/>
      <c r="M1055" s="366"/>
      <c r="N1055" s="366"/>
      <c r="O1055" s="366"/>
      <c r="P1055" s="366"/>
      <c r="Q1055" s="366"/>
      <c r="R1055" s="366"/>
      <c r="S1055" s="366"/>
      <c r="T1055" s="366"/>
      <c r="U1055" s="366"/>
      <c r="V1055" s="366"/>
    </row>
    <row r="1056" spans="1:23" ht="15.75" x14ac:dyDescent="0.25">
      <c r="A1056" s="302" t="s">
        <v>29</v>
      </c>
      <c r="B1056" s="305" t="s">
        <v>69</v>
      </c>
      <c r="C1056" s="306">
        <v>2000</v>
      </c>
      <c r="D1056" s="306">
        <v>2001</v>
      </c>
      <c r="E1056" s="306">
        <v>2002</v>
      </c>
      <c r="F1056" s="306">
        <v>2003</v>
      </c>
      <c r="G1056" s="306">
        <v>2004</v>
      </c>
      <c r="H1056" s="306">
        <v>2005</v>
      </c>
      <c r="I1056" s="306">
        <v>2006</v>
      </c>
      <c r="J1056" s="306">
        <v>2007</v>
      </c>
      <c r="K1056" s="306">
        <v>2008</v>
      </c>
      <c r="L1056" s="306">
        <v>2009</v>
      </c>
      <c r="M1056" s="306">
        <v>2010</v>
      </c>
      <c r="N1056" s="306">
        <v>2011</v>
      </c>
      <c r="O1056" s="306">
        <v>2012</v>
      </c>
      <c r="P1056" s="306">
        <v>2013</v>
      </c>
      <c r="Q1056" s="306">
        <v>2014</v>
      </c>
      <c r="R1056" s="306">
        <v>2015</v>
      </c>
      <c r="S1056" s="306">
        <v>2016</v>
      </c>
      <c r="T1056" s="306">
        <v>2017</v>
      </c>
      <c r="U1056" s="306">
        <v>2018</v>
      </c>
      <c r="V1056" s="306">
        <v>2019</v>
      </c>
      <c r="W1056" s="306" t="s">
        <v>154</v>
      </c>
    </row>
    <row r="1057" spans="1:23" x14ac:dyDescent="0.2">
      <c r="A1057" s="302" t="s">
        <v>26</v>
      </c>
      <c r="B1057" s="303">
        <v>238</v>
      </c>
      <c r="C1057" s="308"/>
      <c r="D1057" s="308"/>
      <c r="E1057" s="308"/>
      <c r="F1057" s="308"/>
      <c r="G1057" s="308"/>
      <c r="H1057" s="308"/>
      <c r="I1057" s="308"/>
      <c r="J1057" s="308"/>
      <c r="K1057" s="308"/>
      <c r="L1057" s="308"/>
      <c r="M1057" s="308"/>
      <c r="N1057" s="308"/>
      <c r="O1057" s="308"/>
      <c r="P1057" s="308"/>
      <c r="Q1057" s="308"/>
      <c r="R1057" s="308"/>
      <c r="S1057" s="308"/>
      <c r="T1057" s="308"/>
      <c r="U1057" s="308"/>
      <c r="V1057" s="308"/>
      <c r="W1057" s="308"/>
    </row>
    <row r="1058" spans="1:23" x14ac:dyDescent="0.2">
      <c r="A1058" s="9"/>
      <c r="B1058" s="309" t="s">
        <v>27</v>
      </c>
      <c r="C1058" s="443">
        <v>0</v>
      </c>
      <c r="D1058" s="404">
        <v>68993799.629570037</v>
      </c>
      <c r="E1058" s="404">
        <v>68036941.676350966</v>
      </c>
      <c r="F1058" s="404">
        <v>69346536.054524153</v>
      </c>
      <c r="G1058" s="404">
        <v>68363631.25339216</v>
      </c>
      <c r="H1058" s="404">
        <v>68878558.816164792</v>
      </c>
      <c r="I1058" s="404">
        <v>73529367.078834087</v>
      </c>
      <c r="J1058" s="404">
        <v>78842246.840028375</v>
      </c>
      <c r="K1058" s="404">
        <v>80882507.410012141</v>
      </c>
      <c r="L1058" s="404">
        <v>82575443.088904008</v>
      </c>
      <c r="M1058" s="404">
        <v>82870232.858038068</v>
      </c>
      <c r="N1058" s="404">
        <v>84660638.755918577</v>
      </c>
      <c r="O1058" s="404">
        <v>85611359.704460531</v>
      </c>
      <c r="P1058" s="404">
        <v>86618838.058931887</v>
      </c>
      <c r="Q1058" s="404">
        <v>89667926.906754851</v>
      </c>
      <c r="R1058" s="404">
        <v>96029776.358020365</v>
      </c>
      <c r="S1058" s="404">
        <v>95476575.106111273</v>
      </c>
      <c r="T1058" s="404">
        <v>96693406.786053166</v>
      </c>
      <c r="U1058" s="404">
        <v>101340050.14248361</v>
      </c>
      <c r="V1058" s="404">
        <v>104418109.6974308</v>
      </c>
      <c r="W1058" s="327"/>
    </row>
    <row r="1059" spans="1:23" x14ac:dyDescent="0.2">
      <c r="A1059" s="9"/>
      <c r="B1059" s="309" t="s">
        <v>20</v>
      </c>
      <c r="C1059" s="443">
        <v>0</v>
      </c>
      <c r="D1059" s="404">
        <v>-21428254.291498151</v>
      </c>
      <c r="E1059" s="404">
        <v>-21736561.822618119</v>
      </c>
      <c r="F1059" s="404">
        <v>-22115339.646565512</v>
      </c>
      <c r="G1059" s="404">
        <v>-22747810.524691619</v>
      </c>
      <c r="H1059" s="404">
        <v>-23538839.561679423</v>
      </c>
      <c r="I1059" s="404">
        <v>-24442621.067191094</v>
      </c>
      <c r="J1059" s="404">
        <v>-25006383.409810461</v>
      </c>
      <c r="K1059" s="404">
        <v>-25543719.392619554</v>
      </c>
      <c r="L1059" s="404">
        <v>-25964779.392263398</v>
      </c>
      <c r="M1059" s="404">
        <v>-26172666.75610429</v>
      </c>
      <c r="N1059" s="404">
        <v>-26528541.734882761</v>
      </c>
      <c r="O1059" s="404">
        <v>-27104636.378746938</v>
      </c>
      <c r="P1059" s="404">
        <v>-27723013.198307555</v>
      </c>
      <c r="Q1059" s="404">
        <v>-28311440.143416524</v>
      </c>
      <c r="R1059" s="404">
        <v>-28713120.812532824</v>
      </c>
      <c r="S1059" s="404">
        <v>-29301547.7576418</v>
      </c>
      <c r="T1059" s="404">
        <v>-29971015.539502297</v>
      </c>
      <c r="U1059" s="404">
        <v>-30705668.342228163</v>
      </c>
      <c r="V1059" s="404">
        <v>-31464985.747443631</v>
      </c>
      <c r="W1059" s="327"/>
    </row>
    <row r="1060" spans="1:23" x14ac:dyDescent="0.2">
      <c r="A1060" s="9"/>
      <c r="B1060" s="309" t="s">
        <v>31</v>
      </c>
      <c r="C1060" s="443">
        <v>0</v>
      </c>
      <c r="D1060" s="404">
        <v>-1781268.3538884395</v>
      </c>
      <c r="E1060" s="404">
        <v>-1817222.1079075274</v>
      </c>
      <c r="F1060" s="404">
        <v>-1853901.5652858207</v>
      </c>
      <c r="G1060" s="404">
        <v>-1891321.3738780427</v>
      </c>
      <c r="H1060" s="404">
        <v>-1929496.4771964243</v>
      </c>
      <c r="I1060" s="404">
        <v>-1968442.1203783615</v>
      </c>
      <c r="J1060" s="404">
        <v>-2008173.8562745284</v>
      </c>
      <c r="K1060" s="404">
        <v>-2048707.5516598667</v>
      </c>
      <c r="L1060" s="404">
        <v>-2090059.3935699482</v>
      </c>
      <c r="M1060" s="404">
        <v>-2132245.8957652277</v>
      </c>
      <c r="N1060" s="404">
        <v>-2175283.905325776</v>
      </c>
      <c r="O1060" s="404">
        <v>-2219190.6093791178</v>
      </c>
      <c r="P1060" s="404">
        <v>-2263983.5419638753</v>
      </c>
      <c r="Q1060" s="404">
        <v>-2309680.5910319407</v>
      </c>
      <c r="R1060" s="404">
        <v>-2356300.0055919904</v>
      </c>
      <c r="S1060" s="404">
        <v>-2403860.4029971831</v>
      </c>
      <c r="T1060" s="404">
        <v>-2452380.7763799564</v>
      </c>
      <c r="U1060" s="404">
        <v>-2501880.5022368864</v>
      </c>
      <c r="V1060" s="404">
        <v>-2552379.3481666497</v>
      </c>
      <c r="W1060" s="327"/>
    </row>
    <row r="1061" spans="1:23" x14ac:dyDescent="0.2">
      <c r="A1061" s="9"/>
      <c r="B1061" s="309" t="s">
        <v>32</v>
      </c>
      <c r="C1061" s="443">
        <v>0</v>
      </c>
      <c r="D1061" s="404">
        <v>0</v>
      </c>
      <c r="E1061" s="404">
        <v>0</v>
      </c>
      <c r="F1061" s="404">
        <v>0</v>
      </c>
      <c r="G1061" s="404">
        <v>0</v>
      </c>
      <c r="H1061" s="404">
        <v>0</v>
      </c>
      <c r="I1061" s="404">
        <v>-1669340.9522784275</v>
      </c>
      <c r="J1061" s="404">
        <v>-1850331.0920420373</v>
      </c>
      <c r="K1061" s="404">
        <v>-2194007.0386856156</v>
      </c>
      <c r="L1061" s="404">
        <v>-2242554.4869181192</v>
      </c>
      <c r="M1061" s="404">
        <v>-2494065.3832963305</v>
      </c>
      <c r="N1061" s="404">
        <v>-2747401.6303052451</v>
      </c>
      <c r="O1061" s="404">
        <v>-3044038.6367865559</v>
      </c>
      <c r="P1061" s="404">
        <v>-3413168.0758134788</v>
      </c>
      <c r="Q1061" s="404">
        <v>-3799388.6830814523</v>
      </c>
      <c r="R1061" s="404">
        <v>-4208562.0147514027</v>
      </c>
      <c r="S1061" s="404">
        <v>-4620995.9166733986</v>
      </c>
      <c r="T1061" s="404">
        <v>-4539903.2037209095</v>
      </c>
      <c r="U1061" s="404">
        <v>-3884132.7428718884</v>
      </c>
      <c r="V1061" s="404">
        <v>-4027129.0453167469</v>
      </c>
      <c r="W1061" s="327"/>
    </row>
    <row r="1062" spans="1:23" ht="13.5" thickBot="1" x14ac:dyDescent="0.25">
      <c r="A1062" s="9"/>
      <c r="B1062" s="310" t="s">
        <v>33</v>
      </c>
      <c r="C1062" s="444">
        <v>0</v>
      </c>
      <c r="D1062" s="406">
        <v>0</v>
      </c>
      <c r="E1062" s="406">
        <v>0</v>
      </c>
      <c r="F1062" s="406">
        <v>-5901310.3318528067</v>
      </c>
      <c r="G1062" s="406">
        <v>-5028286.3153051985</v>
      </c>
      <c r="H1062" s="406">
        <v>-5220048.1612847699</v>
      </c>
      <c r="I1062" s="406">
        <v>-5421479.6269387454</v>
      </c>
      <c r="J1062" s="406">
        <v>-6810562.4887039037</v>
      </c>
      <c r="K1062" s="406">
        <v>-5948950.0071713012</v>
      </c>
      <c r="L1062" s="406">
        <v>-6296543.2544995565</v>
      </c>
      <c r="M1062" s="406">
        <v>-5991402.0577145182</v>
      </c>
      <c r="N1062" s="406">
        <v>-6163000.750629358</v>
      </c>
      <c r="O1062" s="406">
        <v>-6322812.7340020733</v>
      </c>
      <c r="P1062" s="406">
        <v>-5647598.3417873997</v>
      </c>
      <c r="Q1062" s="406">
        <v>-5849526.4049615823</v>
      </c>
      <c r="R1062" s="406">
        <v>-5970409.0979691362</v>
      </c>
      <c r="S1062" s="406">
        <v>-6340154.991558725</v>
      </c>
      <c r="T1062" s="406">
        <v>-5960403.2714791652</v>
      </c>
      <c r="U1062" s="406">
        <v>-6564651.3197024008</v>
      </c>
      <c r="V1062" s="406">
        <v>-3574128.0503721596</v>
      </c>
      <c r="W1062" s="327"/>
    </row>
    <row r="1063" spans="1:23" ht="13.5" thickTop="1" x14ac:dyDescent="0.2">
      <c r="A1063" s="9"/>
      <c r="B1063" s="311" t="s">
        <v>38</v>
      </c>
      <c r="C1063" s="445">
        <v>0</v>
      </c>
      <c r="D1063" s="408">
        <v>45784276.984183446</v>
      </c>
      <c r="E1063" s="408">
        <v>44483157.74582532</v>
      </c>
      <c r="F1063" s="408">
        <v>39475984.510820009</v>
      </c>
      <c r="G1063" s="408">
        <v>38696213.039517306</v>
      </c>
      <c r="H1063" s="408">
        <v>38190174.616004176</v>
      </c>
      <c r="I1063" s="408">
        <v>40027483.312047459</v>
      </c>
      <c r="J1063" s="408">
        <v>43166795.993197441</v>
      </c>
      <c r="K1063" s="408">
        <v>45147123.419875808</v>
      </c>
      <c r="L1063" s="408">
        <v>45981506.561652988</v>
      </c>
      <c r="M1063" s="408">
        <v>46079852.7651577</v>
      </c>
      <c r="N1063" s="408">
        <v>47046410.734775439</v>
      </c>
      <c r="O1063" s="408">
        <v>46920681.345545836</v>
      </c>
      <c r="P1063" s="408">
        <v>47571074.901059575</v>
      </c>
      <c r="Q1063" s="408">
        <v>49397891.084263355</v>
      </c>
      <c r="R1063" s="408">
        <v>54781384.427175008</v>
      </c>
      <c r="S1063" s="408">
        <v>52810016.03724017</v>
      </c>
      <c r="T1063" s="408">
        <v>53769703.994970836</v>
      </c>
      <c r="U1063" s="408">
        <v>57683717.23544427</v>
      </c>
      <c r="V1063" s="408">
        <v>62799487.506131619</v>
      </c>
      <c r="W1063" s="327"/>
    </row>
    <row r="1064" spans="1:23" x14ac:dyDescent="0.2">
      <c r="A1064" s="9"/>
      <c r="B1064" s="309" t="s">
        <v>34</v>
      </c>
      <c r="C1064" s="443">
        <v>0</v>
      </c>
      <c r="D1064" s="404">
        <v>-4760452.2375842994</v>
      </c>
      <c r="E1064" s="404">
        <v>-4855661.2823359855</v>
      </c>
      <c r="F1064" s="404">
        <v>-4952774.5079827048</v>
      </c>
      <c r="G1064" s="404">
        <v>-5051829.9981423588</v>
      </c>
      <c r="H1064" s="404">
        <v>-5152866.5981052062</v>
      </c>
      <c r="I1064" s="404">
        <v>-5255923.9300673101</v>
      </c>
      <c r="J1064" s="404">
        <v>-5361042.4086686568</v>
      </c>
      <c r="K1064" s="404">
        <v>-5468263.2568420302</v>
      </c>
      <c r="L1064" s="404">
        <v>-5577628.521978871</v>
      </c>
      <c r="M1064" s="404">
        <v>-5689181.0924184481</v>
      </c>
      <c r="N1064" s="404">
        <v>-5802964.7142668171</v>
      </c>
      <c r="O1064" s="404">
        <v>-5919024.0085521536</v>
      </c>
      <c r="P1064" s="404">
        <v>-6037404.488723197</v>
      </c>
      <c r="Q1064" s="404">
        <v>-6158152.5784976613</v>
      </c>
      <c r="R1064" s="404">
        <v>-6281315.6300676148</v>
      </c>
      <c r="S1064" s="404">
        <v>-6406941.9426689669</v>
      </c>
      <c r="T1064" s="404">
        <v>-6535080.7815223467</v>
      </c>
      <c r="U1064" s="404">
        <v>-6665782.3971527936</v>
      </c>
      <c r="V1064" s="404">
        <v>-6799098.0450958498</v>
      </c>
      <c r="W1064" s="327"/>
    </row>
    <row r="1065" spans="1:23" x14ac:dyDescent="0.2">
      <c r="A1065" s="9"/>
      <c r="B1065" s="309" t="s">
        <v>35</v>
      </c>
      <c r="C1065" s="443">
        <v>0</v>
      </c>
      <c r="D1065" s="404">
        <v>-622178.02254541276</v>
      </c>
      <c r="E1065" s="404">
        <v>-634728.91178321629</v>
      </c>
      <c r="F1065" s="404">
        <v>-647554.66549532767</v>
      </c>
      <c r="G1065" s="404">
        <v>-674141.68532178691</v>
      </c>
      <c r="H1065" s="404">
        <v>-757099.3386478126</v>
      </c>
      <c r="I1065" s="404">
        <v>-954391.59431861481</v>
      </c>
      <c r="J1065" s="404">
        <v>-1070440.8160466931</v>
      </c>
      <c r="K1065" s="404">
        <v>-1188704.8829434384</v>
      </c>
      <c r="L1065" s="404">
        <v>-1294820.7134243704</v>
      </c>
      <c r="M1065" s="404">
        <v>-1356734.7117486731</v>
      </c>
      <c r="N1065" s="404">
        <v>-1373610.2474642694</v>
      </c>
      <c r="O1065" s="404">
        <v>-1389568.1303978865</v>
      </c>
      <c r="P1065" s="404">
        <v>-1405931.3435580172</v>
      </c>
      <c r="Q1065" s="404">
        <v>-1422703.6370471516</v>
      </c>
      <c r="R1065" s="404">
        <v>-1439896.9151028628</v>
      </c>
      <c r="S1065" s="404">
        <v>-1457520.0251099672</v>
      </c>
      <c r="T1065" s="404">
        <v>-1475580.1882452476</v>
      </c>
      <c r="U1065" s="404">
        <v>-1494093.6614752237</v>
      </c>
      <c r="V1065" s="404">
        <v>-1513071.8228832721</v>
      </c>
      <c r="W1065" s="327"/>
    </row>
    <row r="1066" spans="1:23" ht="13.5" thickBot="1" x14ac:dyDescent="0.25">
      <c r="A1066" s="9"/>
      <c r="B1066" s="310" t="s">
        <v>36</v>
      </c>
      <c r="C1066" s="444">
        <v>0</v>
      </c>
      <c r="D1066" s="406">
        <v>-777454.78025761305</v>
      </c>
      <c r="E1066" s="406">
        <v>-793859.07612105296</v>
      </c>
      <c r="F1066" s="406">
        <v>-811244.58988810505</v>
      </c>
      <c r="G1066" s="406">
        <v>-829578.71761956997</v>
      </c>
      <c r="H1066" s="406">
        <v>-849322.69109891704</v>
      </c>
      <c r="I1066" s="406">
        <v>-870606.80312179297</v>
      </c>
      <c r="J1066" s="406">
        <v>-892200.27723802498</v>
      </c>
      <c r="K1066" s="406">
        <v>-914783.71005299897</v>
      </c>
      <c r="L1066" s="406">
        <v>-937378.86769130896</v>
      </c>
      <c r="M1066" s="406">
        <v>-961282.02881743398</v>
      </c>
      <c r="N1066" s="406">
        <v>-984545.05391482101</v>
      </c>
      <c r="O1066" s="406">
        <v>-1009355.58927347</v>
      </c>
      <c r="P1066" s="406">
        <v>-1034993.22124101</v>
      </c>
      <c r="Q1066" s="406">
        <v>-1060868.0517720401</v>
      </c>
      <c r="R1066" s="406">
        <v>-1087495.8398715199</v>
      </c>
      <c r="S1066" s="406">
        <v>-1114683.2358683101</v>
      </c>
      <c r="T1066" s="406">
        <v>-1142327.3801178399</v>
      </c>
      <c r="U1066" s="406">
        <v>-1170999.7973588</v>
      </c>
      <c r="V1066" s="406">
        <v>-1200391.8922725101</v>
      </c>
      <c r="W1066" s="327"/>
    </row>
    <row r="1067" spans="1:23" ht="13.5" thickTop="1" x14ac:dyDescent="0.2">
      <c r="A1067" s="9"/>
      <c r="B1067" s="311" t="s">
        <v>220</v>
      </c>
      <c r="C1067" s="446">
        <v>0</v>
      </c>
      <c r="D1067" s="410">
        <v>39624191.943796121</v>
      </c>
      <c r="E1067" s="410">
        <v>38198908.475585066</v>
      </c>
      <c r="F1067" s="410">
        <v>33064410.747453868</v>
      </c>
      <c r="G1067" s="410">
        <v>32140662.638433591</v>
      </c>
      <c r="H1067" s="410">
        <v>31430885.988152239</v>
      </c>
      <c r="I1067" s="410">
        <v>32946560.984539744</v>
      </c>
      <c r="J1067" s="410">
        <v>35843112.491244063</v>
      </c>
      <c r="K1067" s="410">
        <v>37575371.570037343</v>
      </c>
      <c r="L1067" s="410">
        <v>38171678.45855844</v>
      </c>
      <c r="M1067" s="410">
        <v>38072654.93217314</v>
      </c>
      <c r="N1067" s="410">
        <v>38885290.719129533</v>
      </c>
      <c r="O1067" s="410">
        <v>38602733.617322326</v>
      </c>
      <c r="P1067" s="410">
        <v>39092745.847537354</v>
      </c>
      <c r="Q1067" s="410">
        <v>40756166.816946499</v>
      </c>
      <c r="R1067" s="410">
        <v>45972676.042133011</v>
      </c>
      <c r="S1067" s="410">
        <v>43830870.833592921</v>
      </c>
      <c r="T1067" s="410">
        <v>44616715.645085402</v>
      </c>
      <c r="U1067" s="410">
        <v>48352841.379457444</v>
      </c>
      <c r="V1067" s="410">
        <v>53286925.745879993</v>
      </c>
      <c r="W1067" s="327"/>
    </row>
    <row r="1068" spans="1:23" x14ac:dyDescent="0.2">
      <c r="A1068" s="9"/>
      <c r="B1068" s="309" t="s">
        <v>37</v>
      </c>
      <c r="C1068" s="443">
        <v>0</v>
      </c>
      <c r="D1068" s="404">
        <v>-1861976.1207840908</v>
      </c>
      <c r="E1068" s="404">
        <v>-2024526.6287447</v>
      </c>
      <c r="F1068" s="404">
        <v>-2173411.4184273728</v>
      </c>
      <c r="G1068" s="404">
        <v>-2276338.5633471273</v>
      </c>
      <c r="H1068" s="404">
        <v>-2332789.3111268454</v>
      </c>
      <c r="I1068" s="404">
        <v>-2452482.8276916118</v>
      </c>
      <c r="J1068" s="404">
        <v>-2415769.6153673129</v>
      </c>
      <c r="K1068" s="404">
        <v>-2209238.8687615786</v>
      </c>
      <c r="L1068" s="404">
        <v>-2035437.2715289977</v>
      </c>
      <c r="M1068" s="404">
        <v>-2032965.7176692411</v>
      </c>
      <c r="N1068" s="404">
        <v>-2080312.6800517892</v>
      </c>
      <c r="O1068" s="404">
        <v>-2057629.0029222695</v>
      </c>
      <c r="P1068" s="404">
        <v>-2122403.0596854305</v>
      </c>
      <c r="Q1068" s="404">
        <v>-2131721.6347423964</v>
      </c>
      <c r="R1068" s="404">
        <v>-2145091.4686703887</v>
      </c>
      <c r="S1068" s="404">
        <v>-2213573.6043491755</v>
      </c>
      <c r="T1068" s="404">
        <v>-2286455.3796949163</v>
      </c>
      <c r="U1068" s="404">
        <v>-2442751.8554885304</v>
      </c>
      <c r="V1068" s="404">
        <v>-2588366.482374134</v>
      </c>
      <c r="W1068" s="327"/>
    </row>
    <row r="1069" spans="1:23" ht="13.5" thickBot="1" x14ac:dyDescent="0.25">
      <c r="A1069" s="9"/>
      <c r="B1069" s="310" t="s">
        <v>221</v>
      </c>
      <c r="C1069" s="444">
        <v>0</v>
      </c>
      <c r="D1069" s="406">
        <v>-15104886.329204813</v>
      </c>
      <c r="E1069" s="406">
        <v>-14469752.738736147</v>
      </c>
      <c r="F1069" s="406">
        <v>-12356399.731610598</v>
      </c>
      <c r="G1069" s="406">
        <v>-11945729.630034586</v>
      </c>
      <c r="H1069" s="406">
        <v>-11639238.670810157</v>
      </c>
      <c r="I1069" s="406">
        <v>-12197631.262739254</v>
      </c>
      <c r="J1069" s="406">
        <v>-13370937.150350701</v>
      </c>
      <c r="K1069" s="406">
        <v>-14146453.080510307</v>
      </c>
      <c r="L1069" s="406">
        <v>-14454496.474811777</v>
      </c>
      <c r="M1069" s="406">
        <v>-14415875.68580156</v>
      </c>
      <c r="N1069" s="406">
        <v>-14721991.215631098</v>
      </c>
      <c r="O1069" s="406">
        <v>-14618041.845760025</v>
      </c>
      <c r="P1069" s="406">
        <v>-14788137.11514077</v>
      </c>
      <c r="Q1069" s="406">
        <v>-15449778.072881643</v>
      </c>
      <c r="R1069" s="406">
        <v>-17531033.82938505</v>
      </c>
      <c r="S1069" s="406">
        <v>-16646918.8916975</v>
      </c>
      <c r="T1069" s="406">
        <v>-16932104.106156196</v>
      </c>
      <c r="U1069" s="406">
        <v>-18364035.809587564</v>
      </c>
      <c r="V1069" s="406">
        <v>-20279423.705402344</v>
      </c>
      <c r="W1069" s="327"/>
    </row>
    <row r="1070" spans="1:23" ht="13.5" thickTop="1" x14ac:dyDescent="0.2">
      <c r="A1070" s="9"/>
      <c r="B1070" s="311" t="s">
        <v>183</v>
      </c>
      <c r="C1070" s="446">
        <v>0</v>
      </c>
      <c r="D1070" s="410">
        <v>22657329.493807219</v>
      </c>
      <c r="E1070" s="410">
        <v>21704629.108104222</v>
      </c>
      <c r="F1070" s="410">
        <v>18534599.597415894</v>
      </c>
      <c r="G1070" s="410">
        <v>17918594.445051879</v>
      </c>
      <c r="H1070" s="410">
        <v>17458858.006215237</v>
      </c>
      <c r="I1070" s="410">
        <v>18296446.894108877</v>
      </c>
      <c r="J1070" s="410">
        <v>20056405.72552605</v>
      </c>
      <c r="K1070" s="410">
        <v>21219679.620765459</v>
      </c>
      <c r="L1070" s="410">
        <v>21681744.712217666</v>
      </c>
      <c r="M1070" s="410">
        <v>21623813.528702341</v>
      </c>
      <c r="N1070" s="410">
        <v>22082986.823446646</v>
      </c>
      <c r="O1070" s="410">
        <v>21927062.768640034</v>
      </c>
      <c r="P1070" s="410">
        <v>22182205.672711153</v>
      </c>
      <c r="Q1070" s="410">
        <v>23174667.109322462</v>
      </c>
      <c r="R1070" s="410">
        <v>26296550.744077571</v>
      </c>
      <c r="S1070" s="410">
        <v>24970378.337546248</v>
      </c>
      <c r="T1070" s="410">
        <v>25398156.159234289</v>
      </c>
      <c r="U1070" s="410">
        <v>27546053.714381348</v>
      </c>
      <c r="V1070" s="410">
        <v>30419135.558103517</v>
      </c>
      <c r="W1070" s="327"/>
    </row>
    <row r="1071" spans="1:23" x14ac:dyDescent="0.2">
      <c r="A1071" s="9"/>
      <c r="B1071" s="309" t="s">
        <v>37</v>
      </c>
      <c r="C1071" s="443">
        <v>0</v>
      </c>
      <c r="D1071" s="404">
        <v>1861976.1207840908</v>
      </c>
      <c r="E1071" s="404">
        <v>2024526.6287447</v>
      </c>
      <c r="F1071" s="404">
        <v>2173411.4184273728</v>
      </c>
      <c r="G1071" s="404">
        <v>2276338.5633471273</v>
      </c>
      <c r="H1071" s="404">
        <v>2332789.3111268454</v>
      </c>
      <c r="I1071" s="404">
        <v>2452482.8276916118</v>
      </c>
      <c r="J1071" s="404">
        <v>2415769.6153673129</v>
      </c>
      <c r="K1071" s="404">
        <v>2209238.8687615786</v>
      </c>
      <c r="L1071" s="404">
        <v>2035437.2715289977</v>
      </c>
      <c r="M1071" s="404">
        <v>2032965.7176692411</v>
      </c>
      <c r="N1071" s="404">
        <v>2080312.6800517892</v>
      </c>
      <c r="O1071" s="404">
        <v>2057629.0029222695</v>
      </c>
      <c r="P1071" s="404">
        <v>2122403.0596854305</v>
      </c>
      <c r="Q1071" s="404">
        <v>2131721.6347423964</v>
      </c>
      <c r="R1071" s="404">
        <v>2145091.4686703887</v>
      </c>
      <c r="S1071" s="404">
        <v>2213573.6043491755</v>
      </c>
      <c r="T1071" s="404">
        <v>2286455.3796949163</v>
      </c>
      <c r="U1071" s="404">
        <v>2442751.8554885304</v>
      </c>
      <c r="V1071" s="404">
        <v>2588366.482374134</v>
      </c>
      <c r="W1071" s="327"/>
    </row>
    <row r="1072" spans="1:23" x14ac:dyDescent="0.2">
      <c r="A1072" s="9"/>
      <c r="B1072" s="309" t="s">
        <v>39</v>
      </c>
      <c r="C1072" s="443">
        <v>0</v>
      </c>
      <c r="D1072" s="404">
        <v>-3327231.63</v>
      </c>
      <c r="E1072" s="404">
        <v>-2131175.73</v>
      </c>
      <c r="F1072" s="404">
        <v>-3334634.44</v>
      </c>
      <c r="G1072" s="404">
        <v>-625478.57999999996</v>
      </c>
      <c r="H1072" s="404">
        <v>-2269388.4619999998</v>
      </c>
      <c r="I1072" s="404">
        <v>-2337470.1158599998</v>
      </c>
      <c r="J1072" s="404">
        <v>-2407594.2193358</v>
      </c>
      <c r="K1072" s="404">
        <v>-2479822.0459158742</v>
      </c>
      <c r="L1072" s="404">
        <v>-2554216.7072933502</v>
      </c>
      <c r="M1072" s="404">
        <v>-2630843.2085121507</v>
      </c>
      <c r="N1072" s="404">
        <v>-2709768.5047675152</v>
      </c>
      <c r="O1072" s="404">
        <v>-2791061.5599105409</v>
      </c>
      <c r="P1072" s="404">
        <v>-2874793.4067078573</v>
      </c>
      <c r="Q1072" s="404">
        <v>-2961037.2089090929</v>
      </c>
      <c r="R1072" s="404">
        <v>-3049868.3251763657</v>
      </c>
      <c r="S1072" s="404">
        <v>-3141364.3749316568</v>
      </c>
      <c r="T1072" s="404">
        <v>-3235605.3061796064</v>
      </c>
      <c r="U1072" s="404">
        <v>-3332673.4653649945</v>
      </c>
      <c r="V1072" s="404">
        <v>-3432653.6693259445</v>
      </c>
      <c r="W1072" s="327"/>
    </row>
    <row r="1073" spans="1:23" ht="13.5" thickBot="1" x14ac:dyDescent="0.25">
      <c r="A1073" s="9"/>
      <c r="B1073" s="310" t="s">
        <v>40</v>
      </c>
      <c r="C1073" s="444">
        <v>0</v>
      </c>
      <c r="D1073" s="406">
        <v>0</v>
      </c>
      <c r="E1073" s="406">
        <v>0</v>
      </c>
      <c r="F1073" s="406">
        <v>0</v>
      </c>
      <c r="G1073" s="406">
        <v>0</v>
      </c>
      <c r="H1073" s="406">
        <v>0</v>
      </c>
      <c r="I1073" s="406">
        <v>0</v>
      </c>
      <c r="J1073" s="406">
        <v>0</v>
      </c>
      <c r="K1073" s="406">
        <v>0</v>
      </c>
      <c r="L1073" s="406">
        <v>0</v>
      </c>
      <c r="M1073" s="406">
        <v>0</v>
      </c>
      <c r="N1073" s="406">
        <v>0</v>
      </c>
      <c r="O1073" s="406">
        <v>0</v>
      </c>
      <c r="P1073" s="406">
        <v>0</v>
      </c>
      <c r="Q1073" s="406">
        <v>0</v>
      </c>
      <c r="R1073" s="406">
        <v>0</v>
      </c>
      <c r="S1073" s="406">
        <v>0</v>
      </c>
      <c r="T1073" s="406">
        <v>0</v>
      </c>
      <c r="U1073" s="406">
        <v>0</v>
      </c>
      <c r="V1073" s="406">
        <v>0</v>
      </c>
      <c r="W1073" s="327"/>
    </row>
    <row r="1074" spans="1:23" ht="13.5" thickTop="1" x14ac:dyDescent="0.2">
      <c r="A1074" s="9"/>
      <c r="B1074" s="309"/>
      <c r="C1074" s="447"/>
      <c r="D1074" s="327"/>
      <c r="E1074" s="327"/>
      <c r="F1074" s="327"/>
      <c r="G1074" s="327"/>
      <c r="H1074" s="327"/>
      <c r="I1074" s="327"/>
      <c r="J1074" s="327"/>
      <c r="K1074" s="327"/>
      <c r="L1074" s="327"/>
      <c r="M1074" s="327"/>
      <c r="N1074" s="327"/>
      <c r="O1074" s="327"/>
      <c r="P1074" s="327"/>
      <c r="Q1074" s="327"/>
      <c r="R1074" s="327"/>
      <c r="S1074" s="327"/>
      <c r="T1074" s="327"/>
      <c r="U1074" s="327"/>
      <c r="V1074" s="327"/>
      <c r="W1074" s="327"/>
    </row>
    <row r="1075" spans="1:23" x14ac:dyDescent="0.2">
      <c r="A1075" s="9"/>
      <c r="B1075" s="311" t="s">
        <v>233</v>
      </c>
      <c r="C1075" s="446">
        <v>0</v>
      </c>
      <c r="D1075" s="410">
        <v>21192073.984591309</v>
      </c>
      <c r="E1075" s="410">
        <v>21597980.00684892</v>
      </c>
      <c r="F1075" s="410">
        <v>17373376.575843267</v>
      </c>
      <c r="G1075" s="410">
        <v>19569454.428399008</v>
      </c>
      <c r="H1075" s="410">
        <v>17522258.855342083</v>
      </c>
      <c r="I1075" s="410">
        <v>18411459.605940487</v>
      </c>
      <c r="J1075" s="410">
        <v>20064581.121557564</v>
      </c>
      <c r="K1075" s="410">
        <v>20949096.443611164</v>
      </c>
      <c r="L1075" s="410">
        <v>21162965.276453312</v>
      </c>
      <c r="M1075" s="410">
        <v>21025936.037859432</v>
      </c>
      <c r="N1075" s="410">
        <v>21453530.99873092</v>
      </c>
      <c r="O1075" s="410">
        <v>21193630.211651765</v>
      </c>
      <c r="P1075" s="410">
        <v>21429815.325688727</v>
      </c>
      <c r="Q1075" s="410">
        <v>22345351.535155766</v>
      </c>
      <c r="R1075" s="410">
        <v>25391773.887571596</v>
      </c>
      <c r="S1075" s="410">
        <v>24042587.566963769</v>
      </c>
      <c r="T1075" s="410">
        <v>24449006.2327496</v>
      </c>
      <c r="U1075" s="410">
        <v>26656132.104504883</v>
      </c>
      <c r="V1075" s="410">
        <v>29574848.371151708</v>
      </c>
      <c r="W1075" s="408">
        <v>145971941.29119805</v>
      </c>
    </row>
    <row r="1076" spans="1:23" x14ac:dyDescent="0.2">
      <c r="A1076" s="9"/>
      <c r="B1076" s="286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</row>
    <row r="1077" spans="1:23" x14ac:dyDescent="0.2">
      <c r="A1077" s="302" t="s">
        <v>218</v>
      </c>
      <c r="B1077" s="300" t="s">
        <v>170</v>
      </c>
      <c r="C1077" s="433">
        <v>74414111.861029968</v>
      </c>
      <c r="D1077" s="9"/>
      <c r="E1077" s="137" t="s">
        <v>219</v>
      </c>
      <c r="F1077" s="313" t="s">
        <v>170</v>
      </c>
      <c r="G1077" s="437">
        <v>74414111.861029968</v>
      </c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</row>
    <row r="1078" spans="1:23" x14ac:dyDescent="0.2">
      <c r="A1078" s="9"/>
      <c r="B1078" s="300" t="s">
        <v>180</v>
      </c>
      <c r="C1078" s="433">
        <v>99685656.127152741</v>
      </c>
      <c r="D1078" s="9"/>
      <c r="E1078" s="315"/>
      <c r="F1078" s="313" t="s">
        <v>180</v>
      </c>
      <c r="G1078" s="437">
        <v>99685656.127152741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</row>
    <row r="1079" spans="1:23" ht="13.5" thickBot="1" x14ac:dyDescent="0.25">
      <c r="A1079" s="9"/>
      <c r="B1079" s="316" t="s">
        <v>137</v>
      </c>
      <c r="C1079" s="434">
        <v>21697798.943250954</v>
      </c>
      <c r="D1079" s="317"/>
      <c r="E1079" s="315"/>
      <c r="F1079" s="313" t="s">
        <v>137</v>
      </c>
      <c r="G1079" s="437">
        <v>21697798.943250954</v>
      </c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</row>
    <row r="1080" spans="1:23" ht="14.25" thickTop="1" thickBot="1" x14ac:dyDescent="0.25">
      <c r="A1080" s="9"/>
      <c r="B1080" s="300" t="s">
        <v>28</v>
      </c>
      <c r="C1080" s="432">
        <v>195797566.93143362</v>
      </c>
      <c r="D1080" s="299"/>
      <c r="E1080" s="315"/>
      <c r="F1080" s="318" t="s">
        <v>203</v>
      </c>
      <c r="G1080" s="319">
        <v>0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</row>
    <row r="1081" spans="1:23" ht="13.5" thickTop="1" x14ac:dyDescent="0.2">
      <c r="A1081" s="9"/>
      <c r="B1081" s="286"/>
      <c r="C1081" s="320"/>
      <c r="D1081" s="9"/>
      <c r="E1081" s="321"/>
      <c r="F1081" s="313" t="s">
        <v>28</v>
      </c>
      <c r="G1081" s="362">
        <v>195797566.93143362</v>
      </c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</row>
    <row r="1082" spans="1:23" x14ac:dyDescent="0.2">
      <c r="A1082" s="9"/>
      <c r="B1082" s="286"/>
      <c r="C1082" s="320"/>
      <c r="D1082" s="9"/>
      <c r="E1082" s="321"/>
      <c r="F1082" s="313"/>
      <c r="G1082" s="322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</row>
    <row r="1083" spans="1:23" x14ac:dyDescent="0.2">
      <c r="A1083" s="9"/>
      <c r="B1083" s="286"/>
      <c r="C1083" s="320"/>
      <c r="D1083" s="9"/>
      <c r="E1083" s="321"/>
      <c r="F1083" s="313"/>
      <c r="G1083" s="322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</row>
    <row r="1084" spans="1:23" x14ac:dyDescent="0.2">
      <c r="A1084" s="9"/>
      <c r="B1084" s="323" t="s">
        <v>222</v>
      </c>
      <c r="C1084" s="320"/>
      <c r="D1084" s="9"/>
      <c r="E1084" s="321"/>
      <c r="F1084" s="313"/>
      <c r="G1084" s="322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</row>
    <row r="1085" spans="1:23" x14ac:dyDescent="0.2">
      <c r="A1085" s="324" t="s">
        <v>224</v>
      </c>
      <c r="B1085" s="323" t="s">
        <v>223</v>
      </c>
      <c r="C1085" s="325"/>
      <c r="D1085" s="326">
        <v>22657329.493807219</v>
      </c>
      <c r="E1085" s="326">
        <v>21704629.108104222</v>
      </c>
      <c r="F1085" s="326">
        <v>18534599.597415894</v>
      </c>
      <c r="G1085" s="326">
        <v>17918594.445051879</v>
      </c>
      <c r="H1085" s="326">
        <v>17458858.006215237</v>
      </c>
      <c r="I1085" s="326">
        <v>18296446.894108877</v>
      </c>
      <c r="J1085" s="326">
        <v>20056405.72552605</v>
      </c>
      <c r="K1085" s="326">
        <v>21219679.620765459</v>
      </c>
      <c r="L1085" s="326">
        <v>21681744.712217666</v>
      </c>
      <c r="M1085" s="326">
        <v>21623813.528702341</v>
      </c>
      <c r="N1085" s="326">
        <v>22082986.823446646</v>
      </c>
      <c r="O1085" s="326">
        <v>21927062.768640034</v>
      </c>
      <c r="P1085" s="326">
        <v>22182205.672711153</v>
      </c>
      <c r="Q1085" s="326">
        <v>23174667.109322462</v>
      </c>
      <c r="R1085" s="326">
        <v>26296550.744077571</v>
      </c>
      <c r="S1085" s="326">
        <v>24970378.337546248</v>
      </c>
      <c r="T1085" s="326">
        <v>25398156.159234289</v>
      </c>
      <c r="U1085" s="326">
        <v>27546053.714381348</v>
      </c>
      <c r="V1085" s="326">
        <v>30419135.558103517</v>
      </c>
      <c r="W1085" s="9"/>
    </row>
    <row r="1086" spans="1:23" x14ac:dyDescent="0.2">
      <c r="A1086" s="9"/>
      <c r="B1086" s="286" t="s">
        <v>225</v>
      </c>
      <c r="C1086" s="320"/>
      <c r="D1086" s="327">
        <v>15104886.329204813</v>
      </c>
      <c r="E1086" s="327">
        <v>14469752.738736147</v>
      </c>
      <c r="F1086" s="327">
        <v>12356399.731610598</v>
      </c>
      <c r="G1086" s="327">
        <v>11945729.630034586</v>
      </c>
      <c r="H1086" s="327">
        <v>11639238.670810157</v>
      </c>
      <c r="I1086" s="327">
        <v>12197631.262739254</v>
      </c>
      <c r="J1086" s="327">
        <v>13370937.150350701</v>
      </c>
      <c r="K1086" s="327">
        <v>14146453.080510307</v>
      </c>
      <c r="L1086" s="327">
        <v>14454496.474811777</v>
      </c>
      <c r="M1086" s="327">
        <v>14415875.68580156</v>
      </c>
      <c r="N1086" s="327">
        <v>14721991.215631098</v>
      </c>
      <c r="O1086" s="327">
        <v>14618041.845760025</v>
      </c>
      <c r="P1086" s="327">
        <v>14788137.11514077</v>
      </c>
      <c r="Q1086" s="327">
        <v>15449778.072881643</v>
      </c>
      <c r="R1086" s="327">
        <v>17531033.82938505</v>
      </c>
      <c r="S1086" s="327">
        <v>16646918.8916975</v>
      </c>
      <c r="T1086" s="327">
        <v>16932104.106156196</v>
      </c>
      <c r="U1086" s="327">
        <v>18364035.809587564</v>
      </c>
      <c r="V1086" s="327">
        <v>20279423.705402344</v>
      </c>
      <c r="W1086" s="9"/>
    </row>
    <row r="1087" spans="1:23" x14ac:dyDescent="0.2">
      <c r="A1087" s="9"/>
      <c r="B1087" s="328" t="s">
        <v>226</v>
      </c>
      <c r="C1087" s="329"/>
      <c r="D1087" s="327">
        <v>1861976.1207840908</v>
      </c>
      <c r="E1087" s="327">
        <v>2024526.6287447</v>
      </c>
      <c r="F1087" s="327">
        <v>2173411.4184273728</v>
      </c>
      <c r="G1087" s="327">
        <v>2276338.5633471273</v>
      </c>
      <c r="H1087" s="327">
        <v>2332789.3111268454</v>
      </c>
      <c r="I1087" s="327">
        <v>2452482.8276916118</v>
      </c>
      <c r="J1087" s="327">
        <v>2415769.6153673129</v>
      </c>
      <c r="K1087" s="327">
        <v>2209238.8687615786</v>
      </c>
      <c r="L1087" s="327">
        <v>2035437.2715289977</v>
      </c>
      <c r="M1087" s="327">
        <v>2032965.7176692411</v>
      </c>
      <c r="N1087" s="327">
        <v>2080312.6800517892</v>
      </c>
      <c r="O1087" s="327">
        <v>2057629.0029222695</v>
      </c>
      <c r="P1087" s="327">
        <v>2122403.0596854305</v>
      </c>
      <c r="Q1087" s="327">
        <v>2131721.6347423964</v>
      </c>
      <c r="R1087" s="327">
        <v>2145091.4686703887</v>
      </c>
      <c r="S1087" s="327">
        <v>2213573.6043491755</v>
      </c>
      <c r="T1087" s="327">
        <v>2286455.3796949163</v>
      </c>
      <c r="U1087" s="327">
        <v>2442751.8554885304</v>
      </c>
      <c r="V1087" s="327">
        <v>2588366.482374134</v>
      </c>
      <c r="W1087" s="9"/>
    </row>
    <row r="1088" spans="1:23" ht="13.5" thickBot="1" x14ac:dyDescent="0.25">
      <c r="A1088" s="9"/>
      <c r="B1088" s="330" t="s">
        <v>227</v>
      </c>
      <c r="C1088" s="331"/>
      <c r="D1088" s="332">
        <v>39624191.943796121</v>
      </c>
      <c r="E1088" s="332">
        <v>38198908.475585066</v>
      </c>
      <c r="F1088" s="332">
        <v>33064410.747453865</v>
      </c>
      <c r="G1088" s="332">
        <v>32140662.638433594</v>
      </c>
      <c r="H1088" s="332">
        <v>31430885.988152239</v>
      </c>
      <c r="I1088" s="332">
        <v>32946560.984539744</v>
      </c>
      <c r="J1088" s="332">
        <v>35843112.491244063</v>
      </c>
      <c r="K1088" s="332">
        <v>37575371.570037343</v>
      </c>
      <c r="L1088" s="332">
        <v>38171678.45855844</v>
      </c>
      <c r="M1088" s="332">
        <v>38072654.93217314</v>
      </c>
      <c r="N1088" s="332">
        <v>38885290.719129533</v>
      </c>
      <c r="O1088" s="332">
        <v>38602733.617322326</v>
      </c>
      <c r="P1088" s="332">
        <v>39092745.847537354</v>
      </c>
      <c r="Q1088" s="332">
        <v>40756166.816946499</v>
      </c>
      <c r="R1088" s="332">
        <v>45972676.042133011</v>
      </c>
      <c r="S1088" s="332">
        <v>43830870.833592921</v>
      </c>
      <c r="T1088" s="332">
        <v>44616715.645085402</v>
      </c>
      <c r="U1088" s="332">
        <v>48352841.379457444</v>
      </c>
      <c r="V1088" s="332">
        <v>53286925.745879993</v>
      </c>
      <c r="W1088" s="9"/>
    </row>
    <row r="1089" spans="1:23" ht="13.5" thickTop="1" x14ac:dyDescent="0.2">
      <c r="A1089" s="324" t="s">
        <v>228</v>
      </c>
      <c r="B1089" s="286" t="s">
        <v>229</v>
      </c>
      <c r="C1089" s="320"/>
      <c r="D1089" s="327">
        <v>-2823977.1714307126</v>
      </c>
      <c r="E1089" s="327">
        <v>-2925700.4930432439</v>
      </c>
      <c r="F1089" s="327">
        <v>-3074944.9058857001</v>
      </c>
      <c r="G1089" s="327">
        <v>-3031155.2608406879</v>
      </c>
      <c r="H1089" s="327">
        <v>-2929114.7054602108</v>
      </c>
      <c r="I1089" s="327">
        <v>-3045988.2112532109</v>
      </c>
      <c r="J1089" s="327">
        <v>-2131730.0258520064</v>
      </c>
      <c r="K1089" s="327">
        <v>-1356652.516016053</v>
      </c>
      <c r="L1089" s="327">
        <v>-1483458.7568028886</v>
      </c>
      <c r="M1089" s="327">
        <v>-1580689.4470034344</v>
      </c>
      <c r="N1089" s="327">
        <v>-1457747.4906226769</v>
      </c>
      <c r="O1089" s="327">
        <v>-1597300.568618204</v>
      </c>
      <c r="P1089" s="327">
        <v>-1741040.2389535969</v>
      </c>
      <c r="Q1089" s="327">
        <v>-1889092.0993990516</v>
      </c>
      <c r="R1089" s="327">
        <v>-2041585.5156578699</v>
      </c>
      <c r="S1089" s="327">
        <v>-2197025.7754888861</v>
      </c>
      <c r="T1089" s="327">
        <v>-2354404.994404031</v>
      </c>
      <c r="U1089" s="327">
        <v>-2521038.6676722807</v>
      </c>
      <c r="V1089" s="327">
        <v>-2692671.3511385778</v>
      </c>
      <c r="W1089" s="9"/>
    </row>
    <row r="1090" spans="1:23" x14ac:dyDescent="0.2">
      <c r="A1090" s="9"/>
      <c r="B1090" s="286" t="s">
        <v>230</v>
      </c>
      <c r="C1090" s="320"/>
      <c r="D1090" s="327">
        <v>0</v>
      </c>
      <c r="E1090" s="327">
        <v>0</v>
      </c>
      <c r="F1090" s="327">
        <v>0</v>
      </c>
      <c r="G1090" s="327">
        <v>0</v>
      </c>
      <c r="H1090" s="327">
        <v>0</v>
      </c>
      <c r="I1090" s="327">
        <v>0</v>
      </c>
      <c r="J1090" s="327">
        <v>0</v>
      </c>
      <c r="K1090" s="327">
        <v>0</v>
      </c>
      <c r="L1090" s="327">
        <v>0</v>
      </c>
      <c r="M1090" s="327">
        <v>0</v>
      </c>
      <c r="N1090" s="327">
        <v>0</v>
      </c>
      <c r="O1090" s="327">
        <v>0</v>
      </c>
      <c r="P1090" s="327">
        <v>0</v>
      </c>
      <c r="Q1090" s="327">
        <v>0</v>
      </c>
      <c r="R1090" s="327">
        <v>0</v>
      </c>
      <c r="S1090" s="327">
        <v>0</v>
      </c>
      <c r="T1090" s="327">
        <v>0</v>
      </c>
      <c r="U1090" s="327">
        <v>0</v>
      </c>
      <c r="V1090" s="327">
        <v>0</v>
      </c>
      <c r="W1090" s="9"/>
    </row>
    <row r="1091" spans="1:23" x14ac:dyDescent="0.2">
      <c r="A1091" s="9"/>
      <c r="B1091" s="323" t="s">
        <v>231</v>
      </c>
      <c r="C1091" s="325"/>
      <c r="D1091" s="326">
        <v>36800214.772365406</v>
      </c>
      <c r="E1091" s="326">
        <v>35273207.982541822</v>
      </c>
      <c r="F1091" s="326">
        <v>29989465.841568165</v>
      </c>
      <c r="G1091" s="326">
        <v>29109507.377592906</v>
      </c>
      <c r="H1091" s="326">
        <v>28501771.28269203</v>
      </c>
      <c r="I1091" s="326">
        <v>29900572.773286533</v>
      </c>
      <c r="J1091" s="326">
        <v>33711382.465392053</v>
      </c>
      <c r="K1091" s="326">
        <v>36218719.054021291</v>
      </c>
      <c r="L1091" s="326">
        <v>36688219.701755553</v>
      </c>
      <c r="M1091" s="326">
        <v>36491965.485169709</v>
      </c>
      <c r="N1091" s="326">
        <v>37427543.228506856</v>
      </c>
      <c r="O1091" s="326">
        <v>37005433.048704125</v>
      </c>
      <c r="P1091" s="326">
        <v>37351705.608583756</v>
      </c>
      <c r="Q1091" s="326">
        <v>38867074.717547446</v>
      </c>
      <c r="R1091" s="326">
        <v>43931090.526475139</v>
      </c>
      <c r="S1091" s="326">
        <v>41633845.058104038</v>
      </c>
      <c r="T1091" s="326">
        <v>42262310.650681369</v>
      </c>
      <c r="U1091" s="326">
        <v>45831802.71178516</v>
      </c>
      <c r="V1091" s="326">
        <v>50594254.394741416</v>
      </c>
      <c r="W1091" s="9"/>
    </row>
    <row r="1092" spans="1:23" ht="13.5" thickBot="1" x14ac:dyDescent="0.25">
      <c r="A1092" s="9"/>
      <c r="B1092" s="333" t="s">
        <v>237</v>
      </c>
      <c r="C1092" s="334"/>
      <c r="D1092" s="335">
        <v>-14720085.908946164</v>
      </c>
      <c r="E1092" s="335">
        <v>-14109283.19301673</v>
      </c>
      <c r="F1092" s="335">
        <v>-11995786.336627267</v>
      </c>
      <c r="G1092" s="335">
        <v>-11643802.951037163</v>
      </c>
      <c r="H1092" s="335">
        <v>-11400708.513076812</v>
      </c>
      <c r="I1092" s="335">
        <v>-11960229.109314613</v>
      </c>
      <c r="J1092" s="335">
        <v>-13484552.986156821</v>
      </c>
      <c r="K1092" s="335">
        <v>-14487487.621608518</v>
      </c>
      <c r="L1092" s="335">
        <v>-14675287.880702222</v>
      </c>
      <c r="M1092" s="335">
        <v>-14596786.194067884</v>
      </c>
      <c r="N1092" s="335">
        <v>-14971017.291402742</v>
      </c>
      <c r="O1092" s="335">
        <v>-14802173.219481651</v>
      </c>
      <c r="P1092" s="335">
        <v>-14940682.243433503</v>
      </c>
      <c r="Q1092" s="335">
        <v>-15546829.887018979</v>
      </c>
      <c r="R1092" s="335">
        <v>-17572436.210590057</v>
      </c>
      <c r="S1092" s="335">
        <v>-16653538.023241617</v>
      </c>
      <c r="T1092" s="335">
        <v>-16904924.260272548</v>
      </c>
      <c r="U1092" s="335">
        <v>-18332721.084714066</v>
      </c>
      <c r="V1092" s="335">
        <v>-20237701.757896569</v>
      </c>
      <c r="W1092" s="9"/>
    </row>
    <row r="1093" spans="1:23" ht="13.5" thickTop="1" x14ac:dyDescent="0.2">
      <c r="A1093" s="9"/>
      <c r="B1093" s="323" t="s">
        <v>232</v>
      </c>
      <c r="C1093" s="325"/>
      <c r="D1093" s="326">
        <v>22080128.863419242</v>
      </c>
      <c r="E1093" s="326">
        <v>21163924.789525092</v>
      </c>
      <c r="F1093" s="326">
        <v>17993679.504940897</v>
      </c>
      <c r="G1093" s="326">
        <v>17465704.426555745</v>
      </c>
      <c r="H1093" s="326">
        <v>17101062.769615218</v>
      </c>
      <c r="I1093" s="326">
        <v>17940343.66397192</v>
      </c>
      <c r="J1093" s="326">
        <v>20226829.479235232</v>
      </c>
      <c r="K1093" s="326">
        <v>21731231.432412773</v>
      </c>
      <c r="L1093" s="326">
        <v>22012931.821053334</v>
      </c>
      <c r="M1093" s="326">
        <v>21895179.291101824</v>
      </c>
      <c r="N1093" s="326">
        <v>22456525.937104113</v>
      </c>
      <c r="O1093" s="326">
        <v>22203259.829222474</v>
      </c>
      <c r="P1093" s="326">
        <v>22411023.36515025</v>
      </c>
      <c r="Q1093" s="326">
        <v>23320244.830528468</v>
      </c>
      <c r="R1093" s="326">
        <v>26358654.315885082</v>
      </c>
      <c r="S1093" s="326">
        <v>24980307.034862421</v>
      </c>
      <c r="T1093" s="326">
        <v>25357386.390408821</v>
      </c>
      <c r="U1093" s="326">
        <v>27499081.627071094</v>
      </c>
      <c r="V1093" s="326">
        <v>30356552.636844847</v>
      </c>
      <c r="W1093" s="9"/>
    </row>
    <row r="1094" spans="1:23" x14ac:dyDescent="0.2">
      <c r="A1094" s="9"/>
      <c r="B1094" s="9"/>
      <c r="C1094" s="320"/>
      <c r="D1094" s="9"/>
      <c r="E1094" s="321"/>
      <c r="F1094" s="313"/>
      <c r="G1094" s="322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</row>
    <row r="1095" spans="1:23" ht="15.75" x14ac:dyDescent="0.25">
      <c r="A1095" s="336" t="s">
        <v>205</v>
      </c>
      <c r="B1095" s="337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</row>
    <row r="1096" spans="1:23" x14ac:dyDescent="0.2">
      <c r="A1096" s="284" t="s">
        <v>190</v>
      </c>
      <c r="B1096" s="303"/>
      <c r="C1096" s="338">
        <v>0</v>
      </c>
      <c r="D1096" s="277"/>
      <c r="E1096" s="277"/>
      <c r="F1096" s="277"/>
      <c r="G1096" s="277"/>
      <c r="H1096" s="277"/>
      <c r="I1096" s="277"/>
      <c r="J1096" s="277"/>
      <c r="K1096" s="277"/>
      <c r="L1096" s="277"/>
      <c r="M1096" s="277"/>
      <c r="N1096" s="277"/>
      <c r="O1096" s="277"/>
      <c r="P1096" s="277"/>
      <c r="Q1096" s="277"/>
      <c r="R1096" s="277"/>
      <c r="S1096" s="277"/>
      <c r="T1096" s="277"/>
      <c r="U1096" s="277"/>
      <c r="V1096" s="277"/>
      <c r="W1096" s="277"/>
    </row>
    <row r="1097" spans="1:23" x14ac:dyDescent="0.2">
      <c r="A1097" s="284" t="s">
        <v>191</v>
      </c>
      <c r="B1097" s="303"/>
      <c r="C1097" s="339">
        <v>0</v>
      </c>
      <c r="D1097" s="277"/>
      <c r="E1097" s="277"/>
      <c r="F1097" s="277"/>
      <c r="G1097" s="277"/>
      <c r="H1097" s="277"/>
      <c r="I1097" s="277"/>
      <c r="J1097" s="277"/>
      <c r="K1097" s="277"/>
      <c r="L1097" s="277"/>
      <c r="M1097" s="277"/>
      <c r="N1097" s="277"/>
      <c r="O1097" s="277"/>
      <c r="P1097" s="277"/>
      <c r="Q1097" s="277"/>
      <c r="R1097" s="277"/>
      <c r="S1097" s="277"/>
      <c r="T1097" s="277"/>
      <c r="U1097" s="277"/>
      <c r="V1097" s="277"/>
      <c r="W1097" s="277"/>
    </row>
    <row r="1098" spans="1:23" x14ac:dyDescent="0.2">
      <c r="A1098" s="284" t="s">
        <v>201</v>
      </c>
      <c r="B1098" s="303"/>
      <c r="C1098" s="284">
        <v>15</v>
      </c>
      <c r="D1098" s="277"/>
      <c r="E1098" s="277"/>
      <c r="F1098" s="277"/>
      <c r="G1098" s="277"/>
      <c r="H1098" s="277"/>
      <c r="I1098" s="277"/>
      <c r="J1098" s="277"/>
      <c r="K1098" s="277"/>
      <c r="L1098" s="277"/>
      <c r="M1098" s="277"/>
      <c r="N1098" s="277"/>
      <c r="O1098" s="277"/>
      <c r="P1098" s="277"/>
      <c r="Q1098" s="277"/>
      <c r="R1098" s="277"/>
      <c r="S1098" s="277"/>
      <c r="T1098" s="277"/>
      <c r="U1098" s="277"/>
      <c r="V1098" s="277"/>
      <c r="W1098" s="277"/>
    </row>
    <row r="1099" spans="1:23" x14ac:dyDescent="0.2">
      <c r="A1099" s="284" t="s">
        <v>192</v>
      </c>
      <c r="B1099" s="303"/>
      <c r="C1099" s="339">
        <v>0</v>
      </c>
      <c r="D1099" s="277"/>
      <c r="E1099" s="277"/>
      <c r="F1099" s="277"/>
      <c r="G1099" s="277"/>
      <c r="H1099" s="277"/>
      <c r="I1099" s="277"/>
      <c r="J1099" s="277"/>
      <c r="K1099" s="277"/>
      <c r="L1099" s="277"/>
      <c r="M1099" s="277"/>
      <c r="N1099" s="277"/>
      <c r="O1099" s="277"/>
      <c r="P1099" s="277"/>
      <c r="Q1099" s="277"/>
      <c r="R1099" s="277"/>
      <c r="S1099" s="277"/>
      <c r="T1099" s="277"/>
      <c r="U1099" s="277"/>
      <c r="V1099" s="277"/>
      <c r="W1099" s="277"/>
    </row>
    <row r="1100" spans="1:23" x14ac:dyDescent="0.2">
      <c r="A1100" s="284" t="s">
        <v>193</v>
      </c>
      <c r="B1100" s="303"/>
      <c r="C1100" s="340">
        <v>8.7499999999999994E-2</v>
      </c>
      <c r="D1100" s="277"/>
      <c r="E1100" s="277"/>
      <c r="F1100" s="277"/>
      <c r="G1100" s="277"/>
      <c r="H1100" s="277"/>
      <c r="I1100" s="277"/>
      <c r="J1100" s="277"/>
      <c r="K1100" s="277"/>
      <c r="L1100" s="277"/>
      <c r="M1100" s="277"/>
      <c r="N1100" s="277"/>
      <c r="O1100" s="277"/>
      <c r="P1100" s="277"/>
      <c r="Q1100" s="277"/>
      <c r="R1100" s="277"/>
      <c r="S1100" s="277"/>
      <c r="T1100" s="277"/>
      <c r="U1100" s="277"/>
      <c r="V1100" s="277"/>
      <c r="W1100" s="277"/>
    </row>
    <row r="1101" spans="1:23" x14ac:dyDescent="0.2">
      <c r="A1101" s="284"/>
      <c r="B1101" s="303"/>
      <c r="C1101" s="277"/>
      <c r="D1101" s="306">
        <v>2001</v>
      </c>
      <c r="E1101" s="306">
        <v>2002</v>
      </c>
      <c r="F1101" s="306">
        <v>2003</v>
      </c>
      <c r="G1101" s="306">
        <v>2004</v>
      </c>
      <c r="H1101" s="306">
        <v>2005</v>
      </c>
      <c r="I1101" s="306">
        <v>2006</v>
      </c>
      <c r="J1101" s="306">
        <v>2007</v>
      </c>
      <c r="K1101" s="306">
        <v>2008</v>
      </c>
      <c r="L1101" s="306">
        <v>2009</v>
      </c>
      <c r="M1101" s="306">
        <v>2010</v>
      </c>
      <c r="N1101" s="306">
        <v>2011</v>
      </c>
      <c r="O1101" s="306">
        <v>2012</v>
      </c>
      <c r="P1101" s="306">
        <v>2013</v>
      </c>
      <c r="Q1101" s="306">
        <v>2014</v>
      </c>
      <c r="R1101" s="306">
        <v>2015</v>
      </c>
      <c r="S1101" s="306">
        <v>2016</v>
      </c>
      <c r="T1101" s="306">
        <v>2017</v>
      </c>
      <c r="U1101" s="306">
        <v>2018</v>
      </c>
      <c r="V1101" s="306">
        <v>2019</v>
      </c>
      <c r="W1101" s="306" t="s">
        <v>154</v>
      </c>
    </row>
    <row r="1102" spans="1:23" x14ac:dyDescent="0.2">
      <c r="A1102" s="284" t="s">
        <v>194</v>
      </c>
      <c r="B1102" s="303"/>
      <c r="C1102" s="277"/>
      <c r="D1102" s="341">
        <v>0</v>
      </c>
      <c r="E1102" s="341">
        <v>0</v>
      </c>
      <c r="F1102" s="341">
        <v>0</v>
      </c>
      <c r="G1102" s="341">
        <v>0</v>
      </c>
      <c r="H1102" s="341">
        <v>0</v>
      </c>
      <c r="I1102" s="341">
        <v>0</v>
      </c>
      <c r="J1102" s="341">
        <v>0</v>
      </c>
      <c r="K1102" s="341">
        <v>0</v>
      </c>
      <c r="L1102" s="341">
        <v>0</v>
      </c>
      <c r="M1102" s="341">
        <v>0</v>
      </c>
      <c r="N1102" s="341">
        <v>0</v>
      </c>
      <c r="O1102" s="341">
        <v>0</v>
      </c>
      <c r="P1102" s="341">
        <v>0</v>
      </c>
      <c r="Q1102" s="341">
        <v>0</v>
      </c>
      <c r="R1102" s="341">
        <v>0</v>
      </c>
      <c r="S1102" s="341">
        <v>0</v>
      </c>
      <c r="T1102" s="341">
        <v>0</v>
      </c>
      <c r="U1102" s="341">
        <v>0</v>
      </c>
      <c r="V1102" s="341">
        <v>0</v>
      </c>
      <c r="W1102" s="341">
        <v>0</v>
      </c>
    </row>
    <row r="1103" spans="1:23" x14ac:dyDescent="0.2">
      <c r="A1103" s="284" t="s">
        <v>195</v>
      </c>
      <c r="B1103" s="303"/>
      <c r="C1103" s="277"/>
      <c r="D1103" s="341">
        <v>0</v>
      </c>
      <c r="E1103" s="341">
        <v>0</v>
      </c>
      <c r="F1103" s="341">
        <v>0</v>
      </c>
      <c r="G1103" s="341">
        <v>0</v>
      </c>
      <c r="H1103" s="341">
        <v>0</v>
      </c>
      <c r="I1103" s="341">
        <v>0</v>
      </c>
      <c r="J1103" s="341">
        <v>0</v>
      </c>
      <c r="K1103" s="341">
        <v>0</v>
      </c>
      <c r="L1103" s="341">
        <v>0</v>
      </c>
      <c r="M1103" s="341">
        <v>0</v>
      </c>
      <c r="N1103" s="341">
        <v>0</v>
      </c>
      <c r="O1103" s="341">
        <v>0</v>
      </c>
      <c r="P1103" s="341">
        <v>0</v>
      </c>
      <c r="Q1103" s="341">
        <v>0</v>
      </c>
      <c r="R1103" s="341">
        <v>0</v>
      </c>
      <c r="S1103" s="341">
        <v>0</v>
      </c>
      <c r="T1103" s="341">
        <v>0</v>
      </c>
      <c r="U1103" s="341">
        <v>0</v>
      </c>
      <c r="V1103" s="341">
        <v>0</v>
      </c>
      <c r="W1103" s="341">
        <v>0</v>
      </c>
    </row>
    <row r="1104" spans="1:23" x14ac:dyDescent="0.2">
      <c r="A1104" s="284" t="s">
        <v>196</v>
      </c>
      <c r="B1104" s="303"/>
      <c r="C1104" s="277"/>
      <c r="D1104" s="341">
        <v>0</v>
      </c>
      <c r="E1104" s="341">
        <v>0</v>
      </c>
      <c r="F1104" s="341">
        <v>0</v>
      </c>
      <c r="G1104" s="341">
        <v>0</v>
      </c>
      <c r="H1104" s="341">
        <v>0</v>
      </c>
      <c r="I1104" s="341">
        <v>0</v>
      </c>
      <c r="J1104" s="341">
        <v>0</v>
      </c>
      <c r="K1104" s="341">
        <v>0</v>
      </c>
      <c r="L1104" s="341">
        <v>0</v>
      </c>
      <c r="M1104" s="341">
        <v>0</v>
      </c>
      <c r="N1104" s="341">
        <v>0</v>
      </c>
      <c r="O1104" s="341">
        <v>0</v>
      </c>
      <c r="P1104" s="341">
        <v>0</v>
      </c>
      <c r="Q1104" s="341">
        <v>0</v>
      </c>
      <c r="R1104" s="341">
        <v>0</v>
      </c>
      <c r="S1104" s="341">
        <v>0</v>
      </c>
      <c r="T1104" s="341">
        <v>0</v>
      </c>
      <c r="U1104" s="341">
        <v>0</v>
      </c>
      <c r="V1104" s="341">
        <v>0</v>
      </c>
      <c r="W1104" s="341">
        <v>0</v>
      </c>
    </row>
    <row r="1105" spans="1:23" x14ac:dyDescent="0.2">
      <c r="A1105" s="284" t="s">
        <v>197</v>
      </c>
      <c r="B1105" s="303"/>
      <c r="C1105" s="277"/>
      <c r="D1105" s="342">
        <v>0</v>
      </c>
      <c r="E1105" s="342">
        <v>0</v>
      </c>
      <c r="F1105" s="342">
        <v>0</v>
      </c>
      <c r="G1105" s="342">
        <v>0</v>
      </c>
      <c r="H1105" s="342">
        <v>0</v>
      </c>
      <c r="I1105" s="342">
        <v>0</v>
      </c>
      <c r="J1105" s="342">
        <v>0</v>
      </c>
      <c r="K1105" s="342">
        <v>0</v>
      </c>
      <c r="L1105" s="342">
        <v>0</v>
      </c>
      <c r="M1105" s="342">
        <v>0</v>
      </c>
      <c r="N1105" s="342">
        <v>0</v>
      </c>
      <c r="O1105" s="342">
        <v>0</v>
      </c>
      <c r="P1105" s="342">
        <v>0</v>
      </c>
      <c r="Q1105" s="342">
        <v>0</v>
      </c>
      <c r="R1105" s="342">
        <v>0</v>
      </c>
      <c r="S1105" s="342">
        <v>0</v>
      </c>
      <c r="T1105" s="342">
        <v>0</v>
      </c>
      <c r="U1105" s="342">
        <v>0</v>
      </c>
      <c r="V1105" s="342">
        <v>0</v>
      </c>
      <c r="W1105" s="342">
        <v>0</v>
      </c>
    </row>
    <row r="1106" spans="1:23" ht="13.5" thickBot="1" x14ac:dyDescent="0.25">
      <c r="A1106" s="284" t="s">
        <v>198</v>
      </c>
      <c r="B1106" s="303"/>
      <c r="C1106" s="277"/>
      <c r="D1106" s="343">
        <v>0</v>
      </c>
      <c r="E1106" s="343">
        <v>0</v>
      </c>
      <c r="F1106" s="343">
        <v>0</v>
      </c>
      <c r="G1106" s="343">
        <v>0</v>
      </c>
      <c r="H1106" s="343">
        <v>0</v>
      </c>
      <c r="I1106" s="343">
        <v>0</v>
      </c>
      <c r="J1106" s="343">
        <v>0</v>
      </c>
      <c r="K1106" s="343">
        <v>0</v>
      </c>
      <c r="L1106" s="343">
        <v>0</v>
      </c>
      <c r="M1106" s="343">
        <v>0</v>
      </c>
      <c r="N1106" s="343">
        <v>0</v>
      </c>
      <c r="O1106" s="343">
        <v>0</v>
      </c>
      <c r="P1106" s="343">
        <v>0</v>
      </c>
      <c r="Q1106" s="343">
        <v>0</v>
      </c>
      <c r="R1106" s="343">
        <v>0</v>
      </c>
      <c r="S1106" s="343">
        <v>0</v>
      </c>
      <c r="T1106" s="343">
        <v>0</v>
      </c>
      <c r="U1106" s="343">
        <v>0</v>
      </c>
      <c r="V1106" s="343">
        <v>0</v>
      </c>
      <c r="W1106" s="343">
        <v>0</v>
      </c>
    </row>
    <row r="1107" spans="1:23" ht="13.5" thickTop="1" x14ac:dyDescent="0.2">
      <c r="A1107" s="284"/>
      <c r="B1107" s="303"/>
      <c r="C1107" s="277"/>
      <c r="D1107" s="341"/>
      <c r="E1107" s="341"/>
      <c r="F1107" s="341"/>
      <c r="G1107" s="341"/>
      <c r="H1107" s="341"/>
      <c r="I1107" s="341"/>
      <c r="J1107" s="341"/>
      <c r="K1107" s="341"/>
      <c r="L1107" s="341"/>
      <c r="M1107" s="341"/>
      <c r="N1107" s="341"/>
      <c r="O1107" s="341"/>
      <c r="P1107" s="341"/>
      <c r="Q1107" s="341"/>
      <c r="R1107" s="341"/>
      <c r="S1107" s="341"/>
      <c r="T1107" s="341"/>
      <c r="U1107" s="341"/>
      <c r="V1107" s="341"/>
      <c r="W1107" s="341"/>
    </row>
    <row r="1108" spans="1:23" x14ac:dyDescent="0.2">
      <c r="A1108" s="284" t="s">
        <v>199</v>
      </c>
      <c r="B1108" s="303"/>
      <c r="C1108" s="277"/>
      <c r="D1108" s="341">
        <v>0</v>
      </c>
      <c r="E1108" s="341">
        <v>0</v>
      </c>
      <c r="F1108" s="341">
        <v>0</v>
      </c>
      <c r="G1108" s="341">
        <v>0</v>
      </c>
      <c r="H1108" s="341">
        <v>0</v>
      </c>
      <c r="I1108" s="341">
        <v>0</v>
      </c>
      <c r="J1108" s="341">
        <v>0</v>
      </c>
      <c r="K1108" s="341">
        <v>0</v>
      </c>
      <c r="L1108" s="341">
        <v>0</v>
      </c>
      <c r="M1108" s="341">
        <v>0</v>
      </c>
      <c r="N1108" s="341">
        <v>0</v>
      </c>
      <c r="O1108" s="341">
        <v>0</v>
      </c>
      <c r="P1108" s="341">
        <v>0</v>
      </c>
      <c r="Q1108" s="341">
        <v>0</v>
      </c>
      <c r="R1108" s="341">
        <v>0</v>
      </c>
      <c r="S1108" s="341">
        <v>0</v>
      </c>
      <c r="T1108" s="341">
        <v>0</v>
      </c>
      <c r="U1108" s="341">
        <v>0</v>
      </c>
      <c r="V1108" s="341">
        <v>0</v>
      </c>
      <c r="W1108" s="341">
        <v>0</v>
      </c>
    </row>
    <row r="1109" spans="1:23" x14ac:dyDescent="0.2">
      <c r="A1109" s="284"/>
      <c r="B1109" s="303"/>
      <c r="C1109" s="277"/>
      <c r="D1109" s="277"/>
      <c r="E1109" s="277"/>
      <c r="F1109" s="277"/>
      <c r="G1109" s="277"/>
      <c r="H1109" s="277"/>
      <c r="I1109" s="277"/>
      <c r="J1109" s="277"/>
      <c r="K1109" s="277"/>
      <c r="L1109" s="277"/>
      <c r="M1109" s="277"/>
      <c r="N1109" s="277"/>
      <c r="O1109" s="277"/>
      <c r="P1109" s="277"/>
      <c r="Q1109" s="277"/>
      <c r="R1109" s="277"/>
      <c r="S1109" s="277"/>
      <c r="T1109" s="277"/>
      <c r="U1109" s="277"/>
      <c r="V1109" s="277"/>
      <c r="W1109" s="277"/>
    </row>
    <row r="1110" spans="1:23" x14ac:dyDescent="0.2">
      <c r="A1110" s="284" t="s">
        <v>200</v>
      </c>
      <c r="B1110" s="303"/>
      <c r="C1110" s="277"/>
      <c r="D1110" s="341">
        <v>0</v>
      </c>
      <c r="E1110" s="341">
        <v>0</v>
      </c>
      <c r="F1110" s="341">
        <v>0</v>
      </c>
      <c r="G1110" s="341">
        <v>0</v>
      </c>
      <c r="H1110" s="341">
        <v>0</v>
      </c>
      <c r="I1110" s="341">
        <v>0</v>
      </c>
      <c r="J1110" s="341">
        <v>0</v>
      </c>
      <c r="K1110" s="341">
        <v>0</v>
      </c>
      <c r="L1110" s="341">
        <v>0</v>
      </c>
      <c r="M1110" s="341">
        <v>0</v>
      </c>
      <c r="N1110" s="341">
        <v>0</v>
      </c>
      <c r="O1110" s="341">
        <v>0</v>
      </c>
      <c r="P1110" s="341">
        <v>0</v>
      </c>
      <c r="Q1110" s="341">
        <v>0</v>
      </c>
      <c r="R1110" s="341">
        <v>0</v>
      </c>
      <c r="S1110" s="341">
        <v>0</v>
      </c>
      <c r="T1110" s="341">
        <v>0</v>
      </c>
      <c r="U1110" s="341">
        <v>0</v>
      </c>
      <c r="V1110" s="341">
        <v>0</v>
      </c>
      <c r="W1110" s="341">
        <v>0</v>
      </c>
    </row>
    <row r="1111" spans="1:23" x14ac:dyDescent="0.2">
      <c r="A1111" s="277"/>
      <c r="B1111" s="303"/>
      <c r="C1111" s="277"/>
      <c r="D1111" s="277"/>
      <c r="E1111" s="277"/>
      <c r="F1111" s="277"/>
      <c r="G1111" s="277"/>
      <c r="H1111" s="277"/>
      <c r="I1111" s="277"/>
      <c r="J1111" s="277"/>
      <c r="K1111" s="277"/>
      <c r="L1111" s="277"/>
      <c r="M1111" s="277"/>
      <c r="N1111" s="277"/>
      <c r="O1111" s="277"/>
      <c r="P1111" s="277"/>
      <c r="Q1111" s="277"/>
      <c r="R1111" s="277"/>
      <c r="S1111" s="277"/>
      <c r="T1111" s="277"/>
      <c r="U1111" s="277"/>
      <c r="V1111" s="277"/>
      <c r="W1111" s="277"/>
    </row>
    <row r="1112" spans="1:23" x14ac:dyDescent="0.2">
      <c r="A1112" s="277"/>
      <c r="B1112" s="303"/>
      <c r="C1112" s="277"/>
      <c r="D1112" s="277"/>
      <c r="E1112" s="277"/>
      <c r="F1112" s="277"/>
      <c r="G1112" s="277"/>
      <c r="H1112" s="277"/>
      <c r="I1112" s="277"/>
      <c r="J1112" s="277"/>
      <c r="K1112" s="277"/>
      <c r="L1112" s="277"/>
      <c r="M1112" s="277"/>
      <c r="N1112" s="277"/>
      <c r="O1112" s="277"/>
      <c r="P1112" s="277"/>
      <c r="Q1112" s="277"/>
      <c r="R1112" s="277"/>
      <c r="S1112" s="277"/>
      <c r="T1112" s="277"/>
      <c r="U1112" s="277"/>
      <c r="V1112" s="277"/>
      <c r="W1112" s="277"/>
    </row>
    <row r="1113" spans="1:23" x14ac:dyDescent="0.2">
      <c r="A1113" s="284" t="s">
        <v>202</v>
      </c>
      <c r="B1113" s="279"/>
      <c r="C1113" s="278"/>
      <c r="D1113" s="435">
        <v>21192073.984591309</v>
      </c>
      <c r="E1113" s="435">
        <v>21597980.00684892</v>
      </c>
      <c r="F1113" s="435">
        <v>17373376.575843267</v>
      </c>
      <c r="G1113" s="435">
        <v>19569454.428399008</v>
      </c>
      <c r="H1113" s="435">
        <v>17522258.855342083</v>
      </c>
      <c r="I1113" s="435">
        <v>18411459.605940487</v>
      </c>
      <c r="J1113" s="435">
        <v>20064581.121557564</v>
      </c>
      <c r="K1113" s="435">
        <v>20949096.443611164</v>
      </c>
      <c r="L1113" s="435">
        <v>21162965.276453312</v>
      </c>
      <c r="M1113" s="435">
        <v>21025936.037859432</v>
      </c>
      <c r="N1113" s="435">
        <v>21453530.99873092</v>
      </c>
      <c r="O1113" s="435">
        <v>21193630.211651765</v>
      </c>
      <c r="P1113" s="435">
        <v>21429815.325688727</v>
      </c>
      <c r="Q1113" s="435">
        <v>22345351.535155766</v>
      </c>
      <c r="R1113" s="435">
        <v>25391773.887571596</v>
      </c>
      <c r="S1113" s="435">
        <v>24042587.566963769</v>
      </c>
      <c r="T1113" s="435">
        <v>24449006.2327496</v>
      </c>
      <c r="U1113" s="435">
        <v>26656132.104504883</v>
      </c>
      <c r="V1113" s="435">
        <v>29574848.371151708</v>
      </c>
      <c r="W1113" s="435">
        <v>145971941.29119805</v>
      </c>
    </row>
    <row r="1114" spans="1:23" x14ac:dyDescent="0.2">
      <c r="A1114" s="9"/>
      <c r="B1114" s="6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</row>
    <row r="1115" spans="1:23" x14ac:dyDescent="0.2">
      <c r="B1115" s="289"/>
      <c r="C1115" s="354"/>
      <c r="E1115" s="363"/>
      <c r="F1115" s="313"/>
      <c r="G1115" s="322"/>
    </row>
    <row r="1116" spans="1:23" x14ac:dyDescent="0.2">
      <c r="B1116" s="300"/>
      <c r="C1116" s="354"/>
      <c r="E1116" s="363"/>
      <c r="F1116" s="313"/>
      <c r="G1116" s="322"/>
    </row>
    <row r="1117" spans="1:23" x14ac:dyDescent="0.2">
      <c r="A1117" s="364"/>
      <c r="B1117" s="300"/>
      <c r="C1117" s="301"/>
      <c r="D1117" s="365"/>
      <c r="E1117" s="365"/>
      <c r="F1117" s="365"/>
      <c r="G1117" s="365"/>
      <c r="H1117" s="365"/>
      <c r="I1117" s="365"/>
      <c r="J1117" s="365"/>
      <c r="K1117" s="365"/>
      <c r="L1117" s="365"/>
      <c r="M1117" s="365"/>
      <c r="N1117" s="365"/>
      <c r="O1117" s="365"/>
      <c r="P1117" s="365"/>
      <c r="Q1117" s="365"/>
      <c r="R1117" s="365"/>
      <c r="S1117" s="365"/>
      <c r="T1117" s="365"/>
      <c r="U1117" s="365"/>
      <c r="V1117" s="365"/>
    </row>
    <row r="1118" spans="1:23" x14ac:dyDescent="0.2">
      <c r="B1118" s="289"/>
      <c r="C1118" s="354"/>
      <c r="D1118" s="366"/>
      <c r="E1118" s="366"/>
      <c r="F1118" s="366"/>
      <c r="G1118" s="366"/>
      <c r="H1118" s="366"/>
      <c r="I1118" s="366"/>
      <c r="J1118" s="366"/>
      <c r="K1118" s="366"/>
      <c r="L1118" s="366"/>
      <c r="M1118" s="366"/>
      <c r="N1118" s="366"/>
      <c r="O1118" s="366"/>
      <c r="P1118" s="366"/>
      <c r="Q1118" s="366"/>
      <c r="R1118" s="366"/>
      <c r="S1118" s="366"/>
      <c r="T1118" s="366"/>
      <c r="U1118" s="366"/>
      <c r="V1118" s="366"/>
    </row>
    <row r="1119" spans="1:23" x14ac:dyDescent="0.2">
      <c r="B1119" s="289"/>
      <c r="C1119" s="354"/>
      <c r="D1119" s="366"/>
      <c r="E1119" s="366"/>
      <c r="F1119" s="366"/>
      <c r="G1119" s="366"/>
      <c r="H1119" s="366"/>
      <c r="I1119" s="366"/>
      <c r="J1119" s="366"/>
      <c r="K1119" s="366"/>
      <c r="L1119" s="366"/>
      <c r="M1119" s="366"/>
      <c r="N1119" s="366"/>
      <c r="O1119" s="366"/>
      <c r="P1119" s="366"/>
      <c r="Q1119" s="366"/>
      <c r="R1119" s="366"/>
      <c r="S1119" s="366"/>
      <c r="T1119" s="366"/>
      <c r="U1119" s="366"/>
      <c r="V1119" s="366"/>
    </row>
    <row r="1120" spans="1:23" x14ac:dyDescent="0.2">
      <c r="B1120" s="300"/>
      <c r="C1120" s="301"/>
      <c r="D1120" s="365"/>
      <c r="E1120" s="365"/>
      <c r="F1120" s="365"/>
      <c r="G1120" s="365"/>
      <c r="H1120" s="365"/>
      <c r="I1120" s="365"/>
      <c r="J1120" s="365"/>
      <c r="K1120" s="365"/>
      <c r="L1120" s="365"/>
      <c r="M1120" s="365"/>
      <c r="N1120" s="365"/>
      <c r="O1120" s="365"/>
      <c r="P1120" s="365"/>
      <c r="Q1120" s="365"/>
      <c r="R1120" s="365"/>
      <c r="S1120" s="365"/>
      <c r="T1120" s="365"/>
      <c r="U1120" s="365"/>
      <c r="V1120" s="365"/>
    </row>
    <row r="1121" spans="1:23" x14ac:dyDescent="0.2">
      <c r="A1121" s="364"/>
      <c r="B1121" s="289"/>
      <c r="C1121" s="354"/>
      <c r="D1121" s="366"/>
      <c r="E1121" s="366"/>
      <c r="F1121" s="366"/>
      <c r="G1121" s="366"/>
      <c r="H1121" s="366"/>
      <c r="I1121" s="366"/>
      <c r="J1121" s="366"/>
      <c r="K1121" s="366"/>
      <c r="L1121" s="366"/>
      <c r="M1121" s="366"/>
      <c r="N1121" s="366"/>
      <c r="O1121" s="366"/>
      <c r="P1121" s="366"/>
      <c r="Q1121" s="366"/>
      <c r="R1121" s="366"/>
      <c r="S1121" s="366"/>
      <c r="T1121" s="366"/>
      <c r="U1121" s="366"/>
      <c r="V1121" s="366"/>
    </row>
    <row r="1122" spans="1:23" ht="15.75" x14ac:dyDescent="0.25">
      <c r="A1122" s="302" t="s">
        <v>29</v>
      </c>
      <c r="B1122" s="305" t="s">
        <v>71</v>
      </c>
      <c r="C1122" s="306">
        <v>2000</v>
      </c>
      <c r="D1122" s="306">
        <v>2001</v>
      </c>
      <c r="E1122" s="306">
        <v>2002</v>
      </c>
      <c r="F1122" s="306">
        <v>2003</v>
      </c>
      <c r="G1122" s="306">
        <v>2004</v>
      </c>
      <c r="H1122" s="306">
        <v>2005</v>
      </c>
      <c r="I1122" s="306">
        <v>2006</v>
      </c>
      <c r="J1122" s="306">
        <v>2007</v>
      </c>
      <c r="K1122" s="306">
        <v>2008</v>
      </c>
      <c r="L1122" s="306">
        <v>2009</v>
      </c>
      <c r="M1122" s="306">
        <v>2010</v>
      </c>
      <c r="N1122" s="306">
        <v>2011</v>
      </c>
      <c r="O1122" s="306">
        <v>2012</v>
      </c>
      <c r="P1122" s="306">
        <v>2013</v>
      </c>
      <c r="Q1122" s="306">
        <v>2014</v>
      </c>
      <c r="R1122" s="306">
        <v>2015</v>
      </c>
      <c r="S1122" s="306">
        <v>2016</v>
      </c>
      <c r="T1122" s="306">
        <v>2017</v>
      </c>
      <c r="U1122" s="306">
        <v>2018</v>
      </c>
      <c r="V1122" s="306">
        <v>2019</v>
      </c>
      <c r="W1122" s="306" t="s">
        <v>154</v>
      </c>
    </row>
    <row r="1123" spans="1:23" x14ac:dyDescent="0.2">
      <c r="A1123" s="302" t="s">
        <v>26</v>
      </c>
      <c r="B1123" s="303">
        <v>155.25</v>
      </c>
      <c r="C1123" s="308"/>
      <c r="D1123" s="308"/>
      <c r="E1123" s="308"/>
      <c r="F1123" s="308"/>
      <c r="G1123" s="308"/>
      <c r="H1123" s="308"/>
      <c r="I1123" s="308"/>
      <c r="J1123" s="308"/>
      <c r="K1123" s="308"/>
      <c r="L1123" s="308"/>
      <c r="M1123" s="308"/>
      <c r="N1123" s="308"/>
      <c r="O1123" s="308"/>
      <c r="P1123" s="308"/>
      <c r="Q1123" s="308"/>
      <c r="R1123" s="308"/>
      <c r="S1123" s="308"/>
      <c r="T1123" s="308"/>
      <c r="U1123" s="308"/>
      <c r="V1123" s="308"/>
      <c r="W1123" s="308"/>
    </row>
    <row r="1124" spans="1:23" x14ac:dyDescent="0.2">
      <c r="A1124" s="9"/>
      <c r="B1124" s="309" t="s">
        <v>27</v>
      </c>
      <c r="C1124" s="443">
        <v>0</v>
      </c>
      <c r="D1124" s="404">
        <v>43639020.563105337</v>
      </c>
      <c r="E1124" s="404">
        <v>43041184.154391818</v>
      </c>
      <c r="F1124" s="404">
        <v>43867259.858432971</v>
      </c>
      <c r="G1124" s="404">
        <v>43250085.995798431</v>
      </c>
      <c r="H1124" s="404">
        <v>43577282.075743333</v>
      </c>
      <c r="I1124" s="404">
        <v>46480501.534410462</v>
      </c>
      <c r="J1124" s="404">
        <v>49856831.102801315</v>
      </c>
      <c r="K1124" s="404">
        <v>51149511.671998188</v>
      </c>
      <c r="L1124" s="404">
        <v>52219770.237120211</v>
      </c>
      <c r="M1124" s="404">
        <v>52404296.440680757</v>
      </c>
      <c r="N1124" s="404">
        <v>53536843.692995027</v>
      </c>
      <c r="O1124" s="404">
        <v>54138234.444661498</v>
      </c>
      <c r="P1124" s="404">
        <v>54776331.948351882</v>
      </c>
      <c r="Q1124" s="404">
        <v>56702391.050073467</v>
      </c>
      <c r="R1124" s="404">
        <v>60730659.6054134</v>
      </c>
      <c r="S1124" s="404">
        <v>60382588.230275273</v>
      </c>
      <c r="T1124" s="404">
        <v>61154141.680626124</v>
      </c>
      <c r="U1124" s="404">
        <v>64087785.329766445</v>
      </c>
      <c r="V1124" s="404">
        <v>66034465.836061165</v>
      </c>
      <c r="W1124" s="327"/>
    </row>
    <row r="1125" spans="1:23" x14ac:dyDescent="0.2">
      <c r="A1125" s="9"/>
      <c r="B1125" s="309" t="s">
        <v>20</v>
      </c>
      <c r="C1125" s="443">
        <v>0</v>
      </c>
      <c r="D1125" s="404">
        <v>-13613732.53826132</v>
      </c>
      <c r="E1125" s="404">
        <v>-13809605.529644676</v>
      </c>
      <c r="F1125" s="404">
        <v>-14050249.490487084</v>
      </c>
      <c r="G1125" s="404">
        <v>-14452068.941382077</v>
      </c>
      <c r="H1125" s="404">
        <v>-14954623.073559942</v>
      </c>
      <c r="I1125" s="404">
        <v>-15528810.756872285</v>
      </c>
      <c r="J1125" s="404">
        <v>-15886978.512544701</v>
      </c>
      <c r="K1125" s="404">
        <v>-16228357.154669976</v>
      </c>
      <c r="L1125" s="404">
        <v>-16495863.697187815</v>
      </c>
      <c r="M1125" s="404">
        <v>-16627938.057092022</v>
      </c>
      <c r="N1125" s="404">
        <v>-16854031.452860236</v>
      </c>
      <c r="O1125" s="404">
        <v>-17220034.128187988</v>
      </c>
      <c r="P1125" s="404">
        <v>-17612899.385191172</v>
      </c>
      <c r="Q1125" s="404">
        <v>-17986736.980174255</v>
      </c>
      <c r="R1125" s="404">
        <v>-18241931.506090853</v>
      </c>
      <c r="S1125" s="404">
        <v>-18615769.101073943</v>
      </c>
      <c r="T1125" s="404">
        <v>-19041093.310934935</v>
      </c>
      <c r="U1125" s="404">
        <v>-19507830.667545557</v>
      </c>
      <c r="V1125" s="404">
        <v>-19990237.863466848</v>
      </c>
      <c r="W1125" s="327"/>
    </row>
    <row r="1126" spans="1:23" x14ac:dyDescent="0.2">
      <c r="A1126" s="9"/>
      <c r="B1126" s="309" t="s">
        <v>31</v>
      </c>
      <c r="C1126" s="443">
        <v>0</v>
      </c>
      <c r="D1126" s="404">
        <v>-1127083.2373860644</v>
      </c>
      <c r="E1126" s="404">
        <v>-1149832.6863321229</v>
      </c>
      <c r="F1126" s="404">
        <v>-1173041.318247267</v>
      </c>
      <c r="G1126" s="404">
        <v>-1196718.4014438679</v>
      </c>
      <c r="H1126" s="404">
        <v>-1220873.3913092094</v>
      </c>
      <c r="I1126" s="404">
        <v>-1245515.9340814764</v>
      </c>
      <c r="J1126" s="404">
        <v>-1270655.8707019547</v>
      </c>
      <c r="K1126" s="404">
        <v>-1296303.2407449915</v>
      </c>
      <c r="L1126" s="404">
        <v>-1322468.2864272723</v>
      </c>
      <c r="M1126" s="404">
        <v>-1349161.4566980263</v>
      </c>
      <c r="N1126" s="404">
        <v>-1376393.4114117925</v>
      </c>
      <c r="O1126" s="404">
        <v>-1404175.0255854037</v>
      </c>
      <c r="P1126" s="404">
        <v>-1432517.3937409017</v>
      </c>
      <c r="Q1126" s="404">
        <v>-1461431.8343361064</v>
      </c>
      <c r="R1126" s="404">
        <v>-1490929.894284616</v>
      </c>
      <c r="S1126" s="404">
        <v>-1521023.3535670403</v>
      </c>
      <c r="T1126" s="404">
        <v>-1551724.2299353075</v>
      </c>
      <c r="U1126" s="404">
        <v>-1583044.7837119261</v>
      </c>
      <c r="V1126" s="404">
        <v>-1614997.5226861136</v>
      </c>
      <c r="W1126" s="327"/>
    </row>
    <row r="1127" spans="1:23" x14ac:dyDescent="0.2">
      <c r="A1127" s="9"/>
      <c r="B1127" s="309" t="s">
        <v>32</v>
      </c>
      <c r="C1127" s="443">
        <v>0</v>
      </c>
      <c r="D1127" s="404">
        <v>0</v>
      </c>
      <c r="E1127" s="404">
        <v>0</v>
      </c>
      <c r="F1127" s="404">
        <v>0</v>
      </c>
      <c r="G1127" s="404">
        <v>0</v>
      </c>
      <c r="H1127" s="404">
        <v>0</v>
      </c>
      <c r="I1127" s="404">
        <v>-936131.68287668517</v>
      </c>
      <c r="J1127" s="404">
        <v>-1037627.1885669667</v>
      </c>
      <c r="K1127" s="404">
        <v>-1241670.89389343</v>
      </c>
      <c r="L1127" s="404">
        <v>-1257577.9099626234</v>
      </c>
      <c r="M1127" s="404">
        <v>-1398619.9890939139</v>
      </c>
      <c r="N1127" s="404">
        <v>-1540685.6868906594</v>
      </c>
      <c r="O1127" s="404">
        <v>-1707033.5499211787</v>
      </c>
      <c r="P1127" s="404">
        <v>-1914033.6612429367</v>
      </c>
      <c r="Q1127" s="404">
        <v>-2130618.1442090725</v>
      </c>
      <c r="R1127" s="404">
        <v>-2360074.0375912217</v>
      </c>
      <c r="S1127" s="404">
        <v>-2591358.3909491557</v>
      </c>
      <c r="T1127" s="404">
        <v>-2545883.2842960544</v>
      </c>
      <c r="U1127" s="404">
        <v>-2178140.8502189801</v>
      </c>
      <c r="V1127" s="404">
        <v>-2258330.2022325043</v>
      </c>
      <c r="W1127" s="327"/>
    </row>
    <row r="1128" spans="1:23" ht="13.5" thickBot="1" x14ac:dyDescent="0.25">
      <c r="A1128" s="9"/>
      <c r="B1128" s="310" t="s">
        <v>33</v>
      </c>
      <c r="C1128" s="444">
        <v>0</v>
      </c>
      <c r="D1128" s="406">
        <v>0</v>
      </c>
      <c r="E1128" s="406">
        <v>0</v>
      </c>
      <c r="F1128" s="406">
        <v>-3544045.7514086817</v>
      </c>
      <c r="G1128" s="406">
        <v>-3019749.1320590819</v>
      </c>
      <c r="H1128" s="406">
        <v>-3134912.1581175351</v>
      </c>
      <c r="I1128" s="406">
        <v>-3255882.2969353106</v>
      </c>
      <c r="J1128" s="406">
        <v>-4110522.3108846922</v>
      </c>
      <c r="K1128" s="406">
        <v>-3590453.7552503473</v>
      </c>
      <c r="L1128" s="406">
        <v>-3800285.4495497751</v>
      </c>
      <c r="M1128" s="406">
        <v>-3616117.1522270008</v>
      </c>
      <c r="N1128" s="406">
        <v>-3719685.7277910635</v>
      </c>
      <c r="O1128" s="406">
        <v>-3816140.4221411766</v>
      </c>
      <c r="P1128" s="406">
        <v>-3408614.0499168094</v>
      </c>
      <c r="Q1128" s="406">
        <v>-3530487.9495026232</v>
      </c>
      <c r="R1128" s="406">
        <v>-3603446.8288068692</v>
      </c>
      <c r="S1128" s="406">
        <v>-3826607.3603310771</v>
      </c>
      <c r="T1128" s="406">
        <v>-3597407.8014733577</v>
      </c>
      <c r="U1128" s="406">
        <v>-3962102.3604983678</v>
      </c>
      <c r="V1128" s="406">
        <v>-2157168.8267130894</v>
      </c>
      <c r="W1128" s="327"/>
    </row>
    <row r="1129" spans="1:23" ht="13.5" thickTop="1" x14ac:dyDescent="0.2">
      <c r="A1129" s="9"/>
      <c r="B1129" s="311" t="s">
        <v>38</v>
      </c>
      <c r="C1129" s="445">
        <v>0</v>
      </c>
      <c r="D1129" s="408">
        <v>28898204.787457954</v>
      </c>
      <c r="E1129" s="408">
        <v>28081745.938415021</v>
      </c>
      <c r="F1129" s="408">
        <v>25099923.29828994</v>
      </c>
      <c r="G1129" s="408">
        <v>24581549.520913403</v>
      </c>
      <c r="H1129" s="408">
        <v>24266873.452756647</v>
      </c>
      <c r="I1129" s="408">
        <v>25514160.863644704</v>
      </c>
      <c r="J1129" s="408">
        <v>27551047.220103003</v>
      </c>
      <c r="K1129" s="408">
        <v>28792726.627439443</v>
      </c>
      <c r="L1129" s="408">
        <v>29343574.893992726</v>
      </c>
      <c r="M1129" s="408">
        <v>29412459.785569794</v>
      </c>
      <c r="N1129" s="408">
        <v>30046047.414041273</v>
      </c>
      <c r="O1129" s="408">
        <v>29990851.318825755</v>
      </c>
      <c r="P1129" s="408">
        <v>30408267.458260059</v>
      </c>
      <c r="Q1129" s="408">
        <v>31593116.14185141</v>
      </c>
      <c r="R1129" s="408">
        <v>35034277.33863984</v>
      </c>
      <c r="S1129" s="408">
        <v>33827830.024354056</v>
      </c>
      <c r="T1129" s="408">
        <v>34418033.053986467</v>
      </c>
      <c r="U1129" s="408">
        <v>36856666.667791612</v>
      </c>
      <c r="V1129" s="408">
        <v>40013731.420962609</v>
      </c>
      <c r="W1129" s="327"/>
    </row>
    <row r="1130" spans="1:23" x14ac:dyDescent="0.2">
      <c r="A1130" s="9"/>
      <c r="B1130" s="309" t="s">
        <v>34</v>
      </c>
      <c r="C1130" s="443">
        <v>0</v>
      </c>
      <c r="D1130" s="404">
        <v>-1835944.9301865362</v>
      </c>
      <c r="E1130" s="404">
        <v>-1872663.828790267</v>
      </c>
      <c r="F1130" s="404">
        <v>-1910117.1053660724</v>
      </c>
      <c r="G1130" s="404">
        <v>-1948319.4474733938</v>
      </c>
      <c r="H1130" s="404">
        <v>-1987285.8364228616</v>
      </c>
      <c r="I1130" s="404">
        <v>-2027031.5531513188</v>
      </c>
      <c r="J1130" s="404">
        <v>-2067572.1842143452</v>
      </c>
      <c r="K1130" s="404">
        <v>-2108923.6278986321</v>
      </c>
      <c r="L1130" s="404">
        <v>-2151102.1004566047</v>
      </c>
      <c r="M1130" s="404">
        <v>-2194124.1424657367</v>
      </c>
      <c r="N1130" s="404">
        <v>-2238006.6253150515</v>
      </c>
      <c r="O1130" s="404">
        <v>-2282766.7578213527</v>
      </c>
      <c r="P1130" s="404">
        <v>-2328422.0929777799</v>
      </c>
      <c r="Q1130" s="404">
        <v>-2374990.5348373353</v>
      </c>
      <c r="R1130" s="404">
        <v>-2422490.345534082</v>
      </c>
      <c r="S1130" s="404">
        <v>-2470940.1524447636</v>
      </c>
      <c r="T1130" s="404">
        <v>-2520358.9554936588</v>
      </c>
      <c r="U1130" s="404">
        <v>-2570766.134603532</v>
      </c>
      <c r="V1130" s="404">
        <v>-2622181.4572956027</v>
      </c>
      <c r="W1130" s="327"/>
    </row>
    <row r="1131" spans="1:23" x14ac:dyDescent="0.2">
      <c r="A1131" s="9"/>
      <c r="B1131" s="309" t="s">
        <v>35</v>
      </c>
      <c r="C1131" s="443">
        <v>0</v>
      </c>
      <c r="D1131" s="404">
        <v>-261504.61651770968</v>
      </c>
      <c r="E1131" s="404">
        <v>-268705.31722248165</v>
      </c>
      <c r="F1131" s="404">
        <v>-276063.71327268815</v>
      </c>
      <c r="G1131" s="404">
        <v>-283588.40907362924</v>
      </c>
      <c r="H1131" s="404">
        <v>-291597.99355411256</v>
      </c>
      <c r="I1131" s="404">
        <v>-299494.83470563003</v>
      </c>
      <c r="J1131" s="404">
        <v>-307908.54317454871</v>
      </c>
      <c r="K1131" s="404">
        <v>-316206.09106916783</v>
      </c>
      <c r="L1131" s="404">
        <v>-325045.9424579406</v>
      </c>
      <c r="M1131" s="404">
        <v>-334343.51653681166</v>
      </c>
      <c r="N1131" s="404">
        <v>-343867.42264738772</v>
      </c>
      <c r="O1131" s="404">
        <v>-354846.99860727746</v>
      </c>
      <c r="P1131" s="404">
        <v>-364234.90716913401</v>
      </c>
      <c r="Q1131" s="404">
        <v>-373857.51344503701</v>
      </c>
      <c r="R1131" s="404">
        <v>-383721.64713846514</v>
      </c>
      <c r="S1131" s="404">
        <v>-393832.384174229</v>
      </c>
      <c r="T1131" s="404">
        <v>-404193.86748847977</v>
      </c>
      <c r="U1131" s="404">
        <v>-414815.4240339183</v>
      </c>
      <c r="V1131" s="404">
        <v>-425703.58164864732</v>
      </c>
      <c r="W1131" s="327"/>
    </row>
    <row r="1132" spans="1:23" ht="13.5" thickBot="1" x14ac:dyDescent="0.25">
      <c r="A1132" s="9"/>
      <c r="B1132" s="310" t="s">
        <v>36</v>
      </c>
      <c r="C1132" s="444">
        <v>0</v>
      </c>
      <c r="D1132" s="406">
        <v>-358876.37349059602</v>
      </c>
      <c r="E1132" s="406">
        <v>-366448.664971249</v>
      </c>
      <c r="F1132" s="406">
        <v>-374473.89073411998</v>
      </c>
      <c r="G1132" s="406">
        <v>-382937.00066470797</v>
      </c>
      <c r="H1132" s="406">
        <v>-392050.90128052898</v>
      </c>
      <c r="I1132" s="406">
        <v>-401875.736280201</v>
      </c>
      <c r="J1132" s="406">
        <v>-411843.37411417102</v>
      </c>
      <c r="K1132" s="406">
        <v>-422267.981017894</v>
      </c>
      <c r="L1132" s="406">
        <v>-432698.00014903699</v>
      </c>
      <c r="M1132" s="406">
        <v>-443731.79915283603</v>
      </c>
      <c r="N1132" s="406">
        <v>-454470.10869233601</v>
      </c>
      <c r="O1132" s="406">
        <v>-465922.75543138199</v>
      </c>
      <c r="P1132" s="406">
        <v>-477757.19341933797</v>
      </c>
      <c r="Q1132" s="406">
        <v>-489701.123254821</v>
      </c>
      <c r="R1132" s="406">
        <v>-501992.62144851702</v>
      </c>
      <c r="S1132" s="406">
        <v>-514542.436984731</v>
      </c>
      <c r="T1132" s="406">
        <v>-527303.08942195203</v>
      </c>
      <c r="U1132" s="406">
        <v>-540538.39696644398</v>
      </c>
      <c r="V1132" s="406">
        <v>-554105.91073030105</v>
      </c>
      <c r="W1132" s="327"/>
    </row>
    <row r="1133" spans="1:23" ht="13.5" thickTop="1" x14ac:dyDescent="0.2">
      <c r="A1133" s="9"/>
      <c r="B1133" s="311" t="s">
        <v>220</v>
      </c>
      <c r="C1133" s="446">
        <v>0</v>
      </c>
      <c r="D1133" s="410">
        <v>26441878.867263112</v>
      </c>
      <c r="E1133" s="410">
        <v>25573928.127431024</v>
      </c>
      <c r="F1133" s="410">
        <v>22539268.588917058</v>
      </c>
      <c r="G1133" s="410">
        <v>21966704.663701672</v>
      </c>
      <c r="H1133" s="410">
        <v>21595938.721499145</v>
      </c>
      <c r="I1133" s="410">
        <v>22785758.739507556</v>
      </c>
      <c r="J1133" s="410">
        <v>24763723.118599936</v>
      </c>
      <c r="K1133" s="410">
        <v>25945328.927453745</v>
      </c>
      <c r="L1133" s="410">
        <v>26434728.850929141</v>
      </c>
      <c r="M1133" s="410">
        <v>26440260.327414408</v>
      </c>
      <c r="N1133" s="410">
        <v>27009703.257386498</v>
      </c>
      <c r="O1133" s="410">
        <v>26887314.806965746</v>
      </c>
      <c r="P1133" s="410">
        <v>27237853.264693808</v>
      </c>
      <c r="Q1133" s="410">
        <v>28354566.970314216</v>
      </c>
      <c r="R1133" s="410">
        <v>31726072.724518776</v>
      </c>
      <c r="S1133" s="410">
        <v>30448515.05075033</v>
      </c>
      <c r="T1133" s="410">
        <v>30966177.141582377</v>
      </c>
      <c r="U1133" s="410">
        <v>33330546.712187722</v>
      </c>
      <c r="V1133" s="410">
        <v>36411740.471288055</v>
      </c>
      <c r="W1133" s="327"/>
    </row>
    <row r="1134" spans="1:23" x14ac:dyDescent="0.2">
      <c r="A1134" s="9"/>
      <c r="B1134" s="309" t="s">
        <v>37</v>
      </c>
      <c r="C1134" s="443">
        <v>0</v>
      </c>
      <c r="D1134" s="404">
        <v>-641088.66925000004</v>
      </c>
      <c r="E1134" s="404">
        <v>-871932.44615920004</v>
      </c>
      <c r="F1134" s="404">
        <v>-942106.24924769998</v>
      </c>
      <c r="G1134" s="404">
        <v>-1016154.0382083</v>
      </c>
      <c r="H1134" s="404">
        <v>-1153065.6329874001</v>
      </c>
      <c r="I1134" s="404">
        <v>-1285472.5859674201</v>
      </c>
      <c r="J1134" s="404">
        <v>-1414452.6987481036</v>
      </c>
      <c r="K1134" s="404">
        <v>-1539643.8210178136</v>
      </c>
      <c r="L1134" s="404">
        <v>-1557855.4305436101</v>
      </c>
      <c r="M1134" s="404">
        <v>-1580559.0401868974</v>
      </c>
      <c r="N1134" s="404">
        <v>-1717915.0343979364</v>
      </c>
      <c r="O1134" s="404">
        <v>-1858373.3716659963</v>
      </c>
      <c r="P1134" s="404">
        <v>-2002947.2864929864</v>
      </c>
      <c r="Q1134" s="404">
        <v>-2044074.768764786</v>
      </c>
      <c r="R1134" s="404">
        <v>-2089627.9755047394</v>
      </c>
      <c r="S1134" s="404">
        <v>-2247653.9684468922</v>
      </c>
      <c r="T1134" s="404">
        <v>-2410426.8311773087</v>
      </c>
      <c r="U1134" s="404">
        <v>-2578076.7897896385</v>
      </c>
      <c r="V1134" s="404">
        <v>-2743578.3371603377</v>
      </c>
      <c r="W1134" s="327"/>
    </row>
    <row r="1135" spans="1:23" ht="13.5" thickBot="1" x14ac:dyDescent="0.25">
      <c r="A1135" s="9"/>
      <c r="B1135" s="310" t="s">
        <v>221</v>
      </c>
      <c r="C1135" s="444">
        <v>0</v>
      </c>
      <c r="D1135" s="406">
        <v>-10320316.079205245</v>
      </c>
      <c r="E1135" s="406">
        <v>-9880798.2725087311</v>
      </c>
      <c r="F1135" s="406">
        <v>-8638864.9358677436</v>
      </c>
      <c r="G1135" s="406">
        <v>-8380220.25019735</v>
      </c>
      <c r="H1135" s="406">
        <v>-8177149.2354046991</v>
      </c>
      <c r="I1135" s="406">
        <v>-8600114.4614160545</v>
      </c>
      <c r="J1135" s="406">
        <v>-9339708.167940734</v>
      </c>
      <c r="K1135" s="406">
        <v>-9762274.042574374</v>
      </c>
      <c r="L1135" s="406">
        <v>-9950749.3681542128</v>
      </c>
      <c r="M1135" s="406">
        <v>-9943880.5148910042</v>
      </c>
      <c r="N1135" s="406">
        <v>-10116715.289195426</v>
      </c>
      <c r="O1135" s="406">
        <v>-10011576.574119901</v>
      </c>
      <c r="P1135" s="406">
        <v>-10093962.391280331</v>
      </c>
      <c r="Q1135" s="406">
        <v>-10524196.880619772</v>
      </c>
      <c r="R1135" s="406">
        <v>-11854577.899605615</v>
      </c>
      <c r="S1135" s="406">
        <v>-11280344.432921376</v>
      </c>
      <c r="T1135" s="406">
        <v>-11422300.124162028</v>
      </c>
      <c r="U1135" s="406">
        <v>-12300987.968959235</v>
      </c>
      <c r="V1135" s="406">
        <v>-13467264.85365109</v>
      </c>
      <c r="W1135" s="327"/>
    </row>
    <row r="1136" spans="1:23" ht="13.5" thickTop="1" x14ac:dyDescent="0.2">
      <c r="A1136" s="9"/>
      <c r="B1136" s="311" t="s">
        <v>183</v>
      </c>
      <c r="C1136" s="446">
        <v>0</v>
      </c>
      <c r="D1136" s="410">
        <v>15480474.118807867</v>
      </c>
      <c r="E1136" s="410">
        <v>14821197.408763094</v>
      </c>
      <c r="F1136" s="410">
        <v>12958297.403801614</v>
      </c>
      <c r="G1136" s="410">
        <v>12570330.375296023</v>
      </c>
      <c r="H1136" s="410">
        <v>12265723.853107046</v>
      </c>
      <c r="I1136" s="410">
        <v>12900171.69212408</v>
      </c>
      <c r="J1136" s="410">
        <v>14009562.251911098</v>
      </c>
      <c r="K1136" s="410">
        <v>14643411.063861558</v>
      </c>
      <c r="L1136" s="410">
        <v>14926124.052231319</v>
      </c>
      <c r="M1136" s="410">
        <v>14915820.772336507</v>
      </c>
      <c r="N1136" s="410">
        <v>15175072.933793135</v>
      </c>
      <c r="O1136" s="410">
        <v>15017364.861179849</v>
      </c>
      <c r="P1136" s="410">
        <v>15140943.586920492</v>
      </c>
      <c r="Q1136" s="410">
        <v>15786295.320929658</v>
      </c>
      <c r="R1136" s="410">
        <v>17781866.849408418</v>
      </c>
      <c r="S1136" s="410">
        <v>16920516.649382062</v>
      </c>
      <c r="T1136" s="410">
        <v>17133450.186243042</v>
      </c>
      <c r="U1136" s="410">
        <v>18451481.953438848</v>
      </c>
      <c r="V1136" s="410">
        <v>20200897.28047663</v>
      </c>
      <c r="W1136" s="327"/>
    </row>
    <row r="1137" spans="1:23" x14ac:dyDescent="0.2">
      <c r="A1137" s="9"/>
      <c r="B1137" s="309" t="s">
        <v>37</v>
      </c>
      <c r="C1137" s="443">
        <v>0</v>
      </c>
      <c r="D1137" s="404">
        <v>641088.66925000004</v>
      </c>
      <c r="E1137" s="404">
        <v>871932.44615920004</v>
      </c>
      <c r="F1137" s="404">
        <v>942106.24924769998</v>
      </c>
      <c r="G1137" s="404">
        <v>1016154.0382083</v>
      </c>
      <c r="H1137" s="404">
        <v>1153065.6329874001</v>
      </c>
      <c r="I1137" s="404">
        <v>1285472.5859674201</v>
      </c>
      <c r="J1137" s="404">
        <v>1414452.6987481036</v>
      </c>
      <c r="K1137" s="404">
        <v>1539643.8210178136</v>
      </c>
      <c r="L1137" s="404">
        <v>1557855.4305436101</v>
      </c>
      <c r="M1137" s="404">
        <v>1580559.0401868974</v>
      </c>
      <c r="N1137" s="404">
        <v>1717915.0343979364</v>
      </c>
      <c r="O1137" s="404">
        <v>1858373.3716659963</v>
      </c>
      <c r="P1137" s="404">
        <v>2002947.2864929864</v>
      </c>
      <c r="Q1137" s="404">
        <v>2044074.768764786</v>
      </c>
      <c r="R1137" s="404">
        <v>2089627.9755047394</v>
      </c>
      <c r="S1137" s="404">
        <v>2247653.9684468922</v>
      </c>
      <c r="T1137" s="404">
        <v>2410426.8311773087</v>
      </c>
      <c r="U1137" s="404">
        <v>2578076.7897896385</v>
      </c>
      <c r="V1137" s="404">
        <v>2743578.3371603377</v>
      </c>
      <c r="W1137" s="327"/>
    </row>
    <row r="1138" spans="1:23" x14ac:dyDescent="0.2">
      <c r="A1138" s="9"/>
      <c r="B1138" s="309" t="s">
        <v>39</v>
      </c>
      <c r="C1138" s="443">
        <v>0</v>
      </c>
      <c r="D1138" s="404">
        <v>-4505591.18</v>
      </c>
      <c r="E1138" s="404">
        <v>-2109515.17</v>
      </c>
      <c r="F1138" s="404">
        <v>-609625.87</v>
      </c>
      <c r="G1138" s="404">
        <v>-2352594.6800000002</v>
      </c>
      <c r="H1138" s="404">
        <v>-2434176.6479999996</v>
      </c>
      <c r="I1138" s="404">
        <v>-2507201.9474399998</v>
      </c>
      <c r="J1138" s="404">
        <v>-2582418.0058631999</v>
      </c>
      <c r="K1138" s="404">
        <v>-2659890.5460390961</v>
      </c>
      <c r="L1138" s="404">
        <v>-2739687.2624202692</v>
      </c>
      <c r="M1138" s="404">
        <v>-2821877.8802928776</v>
      </c>
      <c r="N1138" s="404">
        <v>-2906534.216701664</v>
      </c>
      <c r="O1138" s="404">
        <v>-2993730.2432027142</v>
      </c>
      <c r="P1138" s="404">
        <v>-3083542.1504987958</v>
      </c>
      <c r="Q1138" s="404">
        <v>-3176048.4150137599</v>
      </c>
      <c r="R1138" s="404">
        <v>-3271329.8674641727</v>
      </c>
      <c r="S1138" s="404">
        <v>-3369469.763488098</v>
      </c>
      <c r="T1138" s="404">
        <v>-3470553.8563927412</v>
      </c>
      <c r="U1138" s="404">
        <v>-3574670.4720845236</v>
      </c>
      <c r="V1138" s="404">
        <v>-3681910.5862470595</v>
      </c>
      <c r="W1138" s="327"/>
    </row>
    <row r="1139" spans="1:23" ht="13.5" thickBot="1" x14ac:dyDescent="0.25">
      <c r="A1139" s="9"/>
      <c r="B1139" s="310" t="s">
        <v>40</v>
      </c>
      <c r="C1139" s="444">
        <v>0</v>
      </c>
      <c r="D1139" s="406">
        <v>0</v>
      </c>
      <c r="E1139" s="406">
        <v>0</v>
      </c>
      <c r="F1139" s="406">
        <v>0</v>
      </c>
      <c r="G1139" s="406">
        <v>0</v>
      </c>
      <c r="H1139" s="406">
        <v>0</v>
      </c>
      <c r="I1139" s="406">
        <v>0</v>
      </c>
      <c r="J1139" s="406">
        <v>0</v>
      </c>
      <c r="K1139" s="406">
        <v>0</v>
      </c>
      <c r="L1139" s="406">
        <v>0</v>
      </c>
      <c r="M1139" s="406">
        <v>0</v>
      </c>
      <c r="N1139" s="406">
        <v>0</v>
      </c>
      <c r="O1139" s="406">
        <v>0</v>
      </c>
      <c r="P1139" s="406">
        <v>0</v>
      </c>
      <c r="Q1139" s="406">
        <v>0</v>
      </c>
      <c r="R1139" s="406">
        <v>0</v>
      </c>
      <c r="S1139" s="406">
        <v>0</v>
      </c>
      <c r="T1139" s="406">
        <v>0</v>
      </c>
      <c r="U1139" s="406">
        <v>0</v>
      </c>
      <c r="V1139" s="406">
        <v>0</v>
      </c>
      <c r="W1139" s="327"/>
    </row>
    <row r="1140" spans="1:23" ht="13.5" thickTop="1" x14ac:dyDescent="0.2">
      <c r="A1140" s="9"/>
      <c r="B1140" s="309"/>
      <c r="C1140" s="447"/>
      <c r="D1140" s="327"/>
      <c r="E1140" s="327"/>
      <c r="F1140" s="327"/>
      <c r="G1140" s="327"/>
      <c r="H1140" s="327"/>
      <c r="I1140" s="327"/>
      <c r="J1140" s="327"/>
      <c r="K1140" s="327"/>
      <c r="L1140" s="327"/>
      <c r="M1140" s="327"/>
      <c r="N1140" s="327"/>
      <c r="O1140" s="327"/>
      <c r="P1140" s="327"/>
      <c r="Q1140" s="327"/>
      <c r="R1140" s="327"/>
      <c r="S1140" s="327"/>
      <c r="T1140" s="327"/>
      <c r="U1140" s="327"/>
      <c r="V1140" s="327"/>
      <c r="W1140" s="327"/>
    </row>
    <row r="1141" spans="1:23" x14ac:dyDescent="0.2">
      <c r="A1141" s="9"/>
      <c r="B1141" s="311" t="s">
        <v>233</v>
      </c>
      <c r="C1141" s="446">
        <v>0</v>
      </c>
      <c r="D1141" s="410">
        <v>11615971.608057868</v>
      </c>
      <c r="E1141" s="410">
        <v>13583614.684922295</v>
      </c>
      <c r="F1141" s="410">
        <v>13290777.783049315</v>
      </c>
      <c r="G1141" s="410">
        <v>11233889.733504323</v>
      </c>
      <c r="H1141" s="410">
        <v>10984612.838094447</v>
      </c>
      <c r="I1141" s="410">
        <v>11678442.330651499</v>
      </c>
      <c r="J1141" s="410">
        <v>12841596.944796003</v>
      </c>
      <c r="K1141" s="410">
        <v>13523164.338840276</v>
      </c>
      <c r="L1141" s="410">
        <v>13744292.220354661</v>
      </c>
      <c r="M1141" s="410">
        <v>13674501.932230527</v>
      </c>
      <c r="N1141" s="410">
        <v>13986453.751489408</v>
      </c>
      <c r="O1141" s="410">
        <v>13882007.989643132</v>
      </c>
      <c r="P1141" s="410">
        <v>14060348.722914681</v>
      </c>
      <c r="Q1141" s="410">
        <v>14654321.674680684</v>
      </c>
      <c r="R1141" s="410">
        <v>16600164.957448985</v>
      </c>
      <c r="S1141" s="410">
        <v>15798700.854340855</v>
      </c>
      <c r="T1141" s="410">
        <v>16073323.16102761</v>
      </c>
      <c r="U1141" s="410">
        <v>17454888.271143965</v>
      </c>
      <c r="V1141" s="410">
        <v>19262565.031389907</v>
      </c>
      <c r="W1141" s="408">
        <v>95515622.090892106</v>
      </c>
    </row>
    <row r="1142" spans="1:23" x14ac:dyDescent="0.2">
      <c r="A1142" s="9"/>
      <c r="B1142" s="286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</row>
    <row r="1143" spans="1:23" x14ac:dyDescent="0.2">
      <c r="A1143" s="302" t="s">
        <v>218</v>
      </c>
      <c r="B1143" s="300" t="s">
        <v>170</v>
      </c>
      <c r="C1143" s="433">
        <v>46265138.272614241</v>
      </c>
      <c r="D1143" s="9"/>
      <c r="E1143" s="137" t="s">
        <v>219</v>
      </c>
      <c r="F1143" s="313" t="s">
        <v>170</v>
      </c>
      <c r="G1143" s="437">
        <v>46265138.272614241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</row>
    <row r="1144" spans="1:23" x14ac:dyDescent="0.2">
      <c r="A1144" s="9"/>
      <c r="B1144" s="300" t="s">
        <v>180</v>
      </c>
      <c r="C1144" s="433">
        <v>64729986.165709436</v>
      </c>
      <c r="D1144" s="9"/>
      <c r="E1144" s="315"/>
      <c r="F1144" s="313" t="s">
        <v>180</v>
      </c>
      <c r="G1144" s="437">
        <v>64729986.165709436</v>
      </c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</row>
    <row r="1145" spans="1:23" ht="13.5" thickBot="1" x14ac:dyDescent="0.25">
      <c r="A1145" s="9"/>
      <c r="B1145" s="316" t="s">
        <v>137</v>
      </c>
      <c r="C1145" s="434">
        <v>14197788.600573229</v>
      </c>
      <c r="D1145" s="317"/>
      <c r="E1145" s="315"/>
      <c r="F1145" s="313" t="s">
        <v>137</v>
      </c>
      <c r="G1145" s="437">
        <v>14197788.600573229</v>
      </c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</row>
    <row r="1146" spans="1:23" ht="14.25" thickTop="1" thickBot="1" x14ac:dyDescent="0.25">
      <c r="A1146" s="9"/>
      <c r="B1146" s="300" t="s">
        <v>28</v>
      </c>
      <c r="C1146" s="432">
        <v>125192913.0388969</v>
      </c>
      <c r="D1146" s="299"/>
      <c r="E1146" s="315"/>
      <c r="F1146" s="318" t="s">
        <v>203</v>
      </c>
      <c r="G1146" s="319">
        <v>0</v>
      </c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</row>
    <row r="1147" spans="1:23" ht="13.5" thickTop="1" x14ac:dyDescent="0.2">
      <c r="A1147" s="9"/>
      <c r="B1147" s="286"/>
      <c r="C1147" s="320"/>
      <c r="D1147" s="9"/>
      <c r="E1147" s="321"/>
      <c r="F1147" s="313" t="s">
        <v>28</v>
      </c>
      <c r="G1147" s="362">
        <v>125192913.0388969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</row>
    <row r="1148" spans="1:23" x14ac:dyDescent="0.2">
      <c r="A1148" s="9"/>
      <c r="B1148" s="286"/>
      <c r="C1148" s="320"/>
      <c r="D1148" s="9"/>
      <c r="E1148" s="321"/>
      <c r="F1148" s="313"/>
      <c r="G1148" s="322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</row>
    <row r="1149" spans="1:23" x14ac:dyDescent="0.2">
      <c r="A1149" s="9"/>
      <c r="B1149" s="286"/>
      <c r="C1149" s="320"/>
      <c r="D1149" s="9"/>
      <c r="E1149" s="321"/>
      <c r="F1149" s="313"/>
      <c r="G1149" s="322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</row>
    <row r="1150" spans="1:23" x14ac:dyDescent="0.2">
      <c r="A1150" s="9"/>
      <c r="B1150" s="323" t="s">
        <v>222</v>
      </c>
      <c r="C1150" s="320"/>
      <c r="D1150" s="9"/>
      <c r="E1150" s="321"/>
      <c r="F1150" s="313"/>
      <c r="G1150" s="322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</row>
    <row r="1151" spans="1:23" x14ac:dyDescent="0.2">
      <c r="A1151" s="324" t="s">
        <v>224</v>
      </c>
      <c r="B1151" s="323" t="s">
        <v>223</v>
      </c>
      <c r="C1151" s="325"/>
      <c r="D1151" s="326">
        <v>15480474.118807867</v>
      </c>
      <c r="E1151" s="326">
        <v>14821197.408763094</v>
      </c>
      <c r="F1151" s="326">
        <v>12958297.403801614</v>
      </c>
      <c r="G1151" s="326">
        <v>12570330.375296023</v>
      </c>
      <c r="H1151" s="326">
        <v>12265723.853107046</v>
      </c>
      <c r="I1151" s="326">
        <v>12900171.69212408</v>
      </c>
      <c r="J1151" s="326">
        <v>14009562.251911098</v>
      </c>
      <c r="K1151" s="326">
        <v>14643411.063861558</v>
      </c>
      <c r="L1151" s="326">
        <v>14926124.052231319</v>
      </c>
      <c r="M1151" s="326">
        <v>14915820.772336507</v>
      </c>
      <c r="N1151" s="326">
        <v>15175072.933793135</v>
      </c>
      <c r="O1151" s="326">
        <v>15017364.861179849</v>
      </c>
      <c r="P1151" s="326">
        <v>15140943.586920492</v>
      </c>
      <c r="Q1151" s="326">
        <v>15786295.320929658</v>
      </c>
      <c r="R1151" s="326">
        <v>17781866.849408418</v>
      </c>
      <c r="S1151" s="326">
        <v>16920516.649382062</v>
      </c>
      <c r="T1151" s="326">
        <v>17133450.186243042</v>
      </c>
      <c r="U1151" s="326">
        <v>18451481.953438848</v>
      </c>
      <c r="V1151" s="326">
        <v>20200897.28047663</v>
      </c>
      <c r="W1151" s="9"/>
    </row>
    <row r="1152" spans="1:23" x14ac:dyDescent="0.2">
      <c r="A1152" s="9"/>
      <c r="B1152" s="286" t="s">
        <v>225</v>
      </c>
      <c r="C1152" s="320"/>
      <c r="D1152" s="327">
        <v>10320316.079205245</v>
      </c>
      <c r="E1152" s="327">
        <v>9880798.2725087311</v>
      </c>
      <c r="F1152" s="327">
        <v>8638864.9358677436</v>
      </c>
      <c r="G1152" s="327">
        <v>8380220.25019735</v>
      </c>
      <c r="H1152" s="327">
        <v>8177149.2354046991</v>
      </c>
      <c r="I1152" s="327">
        <v>8600114.4614160545</v>
      </c>
      <c r="J1152" s="327">
        <v>9339708.167940734</v>
      </c>
      <c r="K1152" s="327">
        <v>9762274.042574374</v>
      </c>
      <c r="L1152" s="327">
        <v>9950749.3681542128</v>
      </c>
      <c r="M1152" s="327">
        <v>9943880.5148910042</v>
      </c>
      <c r="N1152" s="327">
        <v>10116715.289195426</v>
      </c>
      <c r="O1152" s="327">
        <v>10011576.574119901</v>
      </c>
      <c r="P1152" s="327">
        <v>10093962.391280331</v>
      </c>
      <c r="Q1152" s="327">
        <v>10524196.880619772</v>
      </c>
      <c r="R1152" s="327">
        <v>11854577.899605615</v>
      </c>
      <c r="S1152" s="327">
        <v>11280344.432921376</v>
      </c>
      <c r="T1152" s="327">
        <v>11422300.124162028</v>
      </c>
      <c r="U1152" s="327">
        <v>12300987.968959235</v>
      </c>
      <c r="V1152" s="327">
        <v>13467264.85365109</v>
      </c>
      <c r="W1152" s="9"/>
    </row>
    <row r="1153" spans="1:23" x14ac:dyDescent="0.2">
      <c r="A1153" s="9"/>
      <c r="B1153" s="328" t="s">
        <v>226</v>
      </c>
      <c r="C1153" s="329"/>
      <c r="D1153" s="327">
        <v>641088.66925000004</v>
      </c>
      <c r="E1153" s="327">
        <v>871932.44615920004</v>
      </c>
      <c r="F1153" s="327">
        <v>942106.24924769998</v>
      </c>
      <c r="G1153" s="327">
        <v>1016154.0382083</v>
      </c>
      <c r="H1153" s="327">
        <v>1153065.6329874001</v>
      </c>
      <c r="I1153" s="327">
        <v>1285472.5859674201</v>
      </c>
      <c r="J1153" s="327">
        <v>1414452.6987481036</v>
      </c>
      <c r="K1153" s="327">
        <v>1539643.8210178136</v>
      </c>
      <c r="L1153" s="327">
        <v>1557855.4305436101</v>
      </c>
      <c r="M1153" s="327">
        <v>1580559.0401868974</v>
      </c>
      <c r="N1153" s="327">
        <v>1717915.0343979364</v>
      </c>
      <c r="O1153" s="327">
        <v>1858373.3716659963</v>
      </c>
      <c r="P1153" s="327">
        <v>2002947.2864929864</v>
      </c>
      <c r="Q1153" s="327">
        <v>2044074.768764786</v>
      </c>
      <c r="R1153" s="327">
        <v>2089627.9755047394</v>
      </c>
      <c r="S1153" s="327">
        <v>2247653.9684468922</v>
      </c>
      <c r="T1153" s="327">
        <v>2410426.8311773087</v>
      </c>
      <c r="U1153" s="327">
        <v>2578076.7897896385</v>
      </c>
      <c r="V1153" s="327">
        <v>2743578.3371603377</v>
      </c>
      <c r="W1153" s="9"/>
    </row>
    <row r="1154" spans="1:23" ht="13.5" thickBot="1" x14ac:dyDescent="0.25">
      <c r="A1154" s="9"/>
      <c r="B1154" s="330" t="s">
        <v>227</v>
      </c>
      <c r="C1154" s="331"/>
      <c r="D1154" s="332">
        <v>26441878.867263112</v>
      </c>
      <c r="E1154" s="332">
        <v>25573928.127431024</v>
      </c>
      <c r="F1154" s="332">
        <v>22539268.588917058</v>
      </c>
      <c r="G1154" s="332">
        <v>21966704.663701672</v>
      </c>
      <c r="H1154" s="332">
        <v>21595938.721499145</v>
      </c>
      <c r="I1154" s="332">
        <v>22785758.739507556</v>
      </c>
      <c r="J1154" s="332">
        <v>24763723.118599936</v>
      </c>
      <c r="K1154" s="332">
        <v>25945328.927453745</v>
      </c>
      <c r="L1154" s="332">
        <v>26434728.850929141</v>
      </c>
      <c r="M1154" s="332">
        <v>26440260.327414408</v>
      </c>
      <c r="N1154" s="332">
        <v>27009703.257386498</v>
      </c>
      <c r="O1154" s="332">
        <v>26887314.806965746</v>
      </c>
      <c r="P1154" s="332">
        <v>27237853.264693808</v>
      </c>
      <c r="Q1154" s="332">
        <v>28354566.970314216</v>
      </c>
      <c r="R1154" s="332">
        <v>31726072.724518776</v>
      </c>
      <c r="S1154" s="332">
        <v>30448515.05075033</v>
      </c>
      <c r="T1154" s="332">
        <v>30966177.141582377</v>
      </c>
      <c r="U1154" s="332">
        <v>33330546.712187722</v>
      </c>
      <c r="V1154" s="332">
        <v>36411740.471288055</v>
      </c>
      <c r="W1154" s="9"/>
    </row>
    <row r="1155" spans="1:23" ht="13.5" thickTop="1" x14ac:dyDescent="0.2">
      <c r="A1155" s="324" t="s">
        <v>228</v>
      </c>
      <c r="B1155" s="286" t="s">
        <v>229</v>
      </c>
      <c r="C1155" s="320"/>
      <c r="D1155" s="327">
        <v>-1958871.2410871561</v>
      </c>
      <c r="E1155" s="327">
        <v>-2061192.773016654</v>
      </c>
      <c r="F1155" s="327">
        <v>-2080266.9037153572</v>
      </c>
      <c r="G1155" s="327">
        <v>-2148931.8483435581</v>
      </c>
      <c r="H1155" s="327">
        <v>-2130061.1674700533</v>
      </c>
      <c r="I1155" s="327">
        <v>-2255421.2648420534</v>
      </c>
      <c r="J1155" s="327">
        <v>-1709636.5625674359</v>
      </c>
      <c r="K1155" s="327">
        <v>-1256158.8124179044</v>
      </c>
      <c r="L1155" s="327">
        <v>-1392553.0986136722</v>
      </c>
      <c r="M1155" s="327">
        <v>-1511265.245769321</v>
      </c>
      <c r="N1155" s="327">
        <v>-1488014.9954852008</v>
      </c>
      <c r="O1155" s="327">
        <v>-1637701.5076453364</v>
      </c>
      <c r="P1155" s="327">
        <v>-1791878.6151702763</v>
      </c>
      <c r="Q1155" s="327">
        <v>-1950681.0359209643</v>
      </c>
      <c r="R1155" s="327">
        <v>-2114247.5292941728</v>
      </c>
      <c r="S1155" s="327">
        <v>-2281659.0820835289</v>
      </c>
      <c r="T1155" s="327">
        <v>-2452315.9242618089</v>
      </c>
      <c r="U1155" s="327">
        <v>-2631049.4478660352</v>
      </c>
      <c r="V1155" s="327">
        <v>-2815144.9771783883</v>
      </c>
      <c r="W1155" s="9"/>
    </row>
    <row r="1156" spans="1:23" x14ac:dyDescent="0.2">
      <c r="A1156" s="9"/>
      <c r="B1156" s="286" t="s">
        <v>230</v>
      </c>
      <c r="C1156" s="320"/>
      <c r="D1156" s="327">
        <v>0</v>
      </c>
      <c r="E1156" s="327">
        <v>0</v>
      </c>
      <c r="F1156" s="327">
        <v>0</v>
      </c>
      <c r="G1156" s="327">
        <v>0</v>
      </c>
      <c r="H1156" s="327">
        <v>0</v>
      </c>
      <c r="I1156" s="327">
        <v>0</v>
      </c>
      <c r="J1156" s="327">
        <v>0</v>
      </c>
      <c r="K1156" s="327">
        <v>0</v>
      </c>
      <c r="L1156" s="327">
        <v>0</v>
      </c>
      <c r="M1156" s="327">
        <v>0</v>
      </c>
      <c r="N1156" s="327">
        <v>0</v>
      </c>
      <c r="O1156" s="327">
        <v>0</v>
      </c>
      <c r="P1156" s="327">
        <v>0</v>
      </c>
      <c r="Q1156" s="327">
        <v>0</v>
      </c>
      <c r="R1156" s="327">
        <v>0</v>
      </c>
      <c r="S1156" s="327">
        <v>0</v>
      </c>
      <c r="T1156" s="327">
        <v>0</v>
      </c>
      <c r="U1156" s="327">
        <v>0</v>
      </c>
      <c r="V1156" s="327">
        <v>0</v>
      </c>
      <c r="W1156" s="9"/>
    </row>
    <row r="1157" spans="1:23" x14ac:dyDescent="0.2">
      <c r="A1157" s="9"/>
      <c r="B1157" s="323" t="s">
        <v>231</v>
      </c>
      <c r="C1157" s="325"/>
      <c r="D1157" s="326">
        <v>24483007.626175955</v>
      </c>
      <c r="E1157" s="326">
        <v>23512735.35441437</v>
      </c>
      <c r="F1157" s="326">
        <v>20459001.685201701</v>
      </c>
      <c r="G1157" s="326">
        <v>19817772.815358113</v>
      </c>
      <c r="H1157" s="326">
        <v>19465877.554029092</v>
      </c>
      <c r="I1157" s="326">
        <v>20530337.474665504</v>
      </c>
      <c r="J1157" s="326">
        <v>23054086.556032501</v>
      </c>
      <c r="K1157" s="326">
        <v>24689170.115035839</v>
      </c>
      <c r="L1157" s="326">
        <v>25042175.752315469</v>
      </c>
      <c r="M1157" s="326">
        <v>24928995.081645086</v>
      </c>
      <c r="N1157" s="326">
        <v>25521688.261901297</v>
      </c>
      <c r="O1157" s="326">
        <v>25249613.299320411</v>
      </c>
      <c r="P1157" s="326">
        <v>25445974.64952353</v>
      </c>
      <c r="Q1157" s="326">
        <v>26403885.934393253</v>
      </c>
      <c r="R1157" s="326">
        <v>29611825.195224602</v>
      </c>
      <c r="S1157" s="326">
        <v>28166855.968666799</v>
      </c>
      <c r="T1157" s="326">
        <v>28513861.217320569</v>
      </c>
      <c r="U1157" s="326">
        <v>30699497.264321689</v>
      </c>
      <c r="V1157" s="326">
        <v>33596595.494109668</v>
      </c>
      <c r="W1157" s="9"/>
    </row>
    <row r="1158" spans="1:23" ht="13.5" thickBot="1" x14ac:dyDescent="0.25">
      <c r="A1158" s="9"/>
      <c r="B1158" s="333" t="s">
        <v>237</v>
      </c>
      <c r="C1158" s="334"/>
      <c r="D1158" s="335">
        <v>-9793203.050470382</v>
      </c>
      <c r="E1158" s="335">
        <v>-9405094.1417657491</v>
      </c>
      <c r="F1158" s="335">
        <v>-8183600.6740806811</v>
      </c>
      <c r="G1158" s="335">
        <v>-7927109.126143246</v>
      </c>
      <c r="H1158" s="335">
        <v>-7786351.0216116374</v>
      </c>
      <c r="I1158" s="335">
        <v>-8212134.9898662018</v>
      </c>
      <c r="J1158" s="335">
        <v>-9221634.6224130001</v>
      </c>
      <c r="K1158" s="335">
        <v>-9875668.0460143369</v>
      </c>
      <c r="L1158" s="335">
        <v>-10016870.300926188</v>
      </c>
      <c r="M1158" s="335">
        <v>-9971598.0326580349</v>
      </c>
      <c r="N1158" s="335">
        <v>-10208675.304760519</v>
      </c>
      <c r="O1158" s="335">
        <v>-10099845.319728166</v>
      </c>
      <c r="P1158" s="335">
        <v>-10178389.859809414</v>
      </c>
      <c r="Q1158" s="335">
        <v>-10561554.373757303</v>
      </c>
      <c r="R1158" s="335">
        <v>-11844730.078089841</v>
      </c>
      <c r="S1158" s="335">
        <v>-11266742.387466721</v>
      </c>
      <c r="T1158" s="335">
        <v>-11405544.486928228</v>
      </c>
      <c r="U1158" s="335">
        <v>-12279798.905728675</v>
      </c>
      <c r="V1158" s="335">
        <v>-13438638.197643869</v>
      </c>
      <c r="W1158" s="9"/>
    </row>
    <row r="1159" spans="1:23" ht="13.5" thickTop="1" x14ac:dyDescent="0.2">
      <c r="A1159" s="9"/>
      <c r="B1159" s="323" t="s">
        <v>232</v>
      </c>
      <c r="C1159" s="325"/>
      <c r="D1159" s="326">
        <v>14689804.575705573</v>
      </c>
      <c r="E1159" s="326">
        <v>14107641.212648621</v>
      </c>
      <c r="F1159" s="326">
        <v>12275401.01112102</v>
      </c>
      <c r="G1159" s="326">
        <v>11890663.689214867</v>
      </c>
      <c r="H1159" s="326">
        <v>11679526.532417454</v>
      </c>
      <c r="I1159" s="326">
        <v>12318202.484799303</v>
      </c>
      <c r="J1159" s="326">
        <v>13832451.933619501</v>
      </c>
      <c r="K1159" s="326">
        <v>14813502.069021503</v>
      </c>
      <c r="L1159" s="326">
        <v>15025305.451389281</v>
      </c>
      <c r="M1159" s="326">
        <v>14957397.048987051</v>
      </c>
      <c r="N1159" s="326">
        <v>15313012.957140777</v>
      </c>
      <c r="O1159" s="326">
        <v>15149767.979592245</v>
      </c>
      <c r="P1159" s="326">
        <v>15267584.789714117</v>
      </c>
      <c r="Q1159" s="326">
        <v>15842331.56063595</v>
      </c>
      <c r="R1159" s="326">
        <v>17767095.117134761</v>
      </c>
      <c r="S1159" s="326">
        <v>16900113.581200078</v>
      </c>
      <c r="T1159" s="326">
        <v>17108316.730392341</v>
      </c>
      <c r="U1159" s="326">
        <v>18419698.358593013</v>
      </c>
      <c r="V1159" s="326">
        <v>20157957.296465799</v>
      </c>
      <c r="W1159" s="9"/>
    </row>
    <row r="1160" spans="1:23" x14ac:dyDescent="0.2">
      <c r="A1160" s="9"/>
      <c r="B1160" s="9"/>
      <c r="C1160" s="320"/>
      <c r="D1160" s="9"/>
      <c r="E1160" s="321"/>
      <c r="F1160" s="313"/>
      <c r="G1160" s="322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</row>
    <row r="1161" spans="1:23" ht="15.75" x14ac:dyDescent="0.25">
      <c r="A1161" s="336" t="s">
        <v>205</v>
      </c>
      <c r="B1161" s="337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</row>
    <row r="1162" spans="1:23" x14ac:dyDescent="0.2">
      <c r="A1162" s="284" t="s">
        <v>190</v>
      </c>
      <c r="B1162" s="303"/>
      <c r="C1162" s="338">
        <v>0</v>
      </c>
      <c r="D1162" s="277"/>
      <c r="E1162" s="277"/>
      <c r="F1162" s="277"/>
      <c r="G1162" s="277"/>
      <c r="H1162" s="277"/>
      <c r="I1162" s="277"/>
      <c r="J1162" s="277"/>
      <c r="K1162" s="277"/>
      <c r="L1162" s="277"/>
      <c r="M1162" s="277"/>
      <c r="N1162" s="277"/>
      <c r="O1162" s="277"/>
      <c r="P1162" s="277"/>
      <c r="Q1162" s="277"/>
      <c r="R1162" s="277"/>
      <c r="S1162" s="277"/>
      <c r="T1162" s="277"/>
      <c r="U1162" s="277"/>
      <c r="V1162" s="277"/>
      <c r="W1162" s="277"/>
    </row>
    <row r="1163" spans="1:23" x14ac:dyDescent="0.2">
      <c r="A1163" s="284" t="s">
        <v>191</v>
      </c>
      <c r="B1163" s="303"/>
      <c r="C1163" s="339">
        <v>0</v>
      </c>
      <c r="D1163" s="277"/>
      <c r="E1163" s="277"/>
      <c r="F1163" s="277"/>
      <c r="G1163" s="277"/>
      <c r="H1163" s="277"/>
      <c r="I1163" s="277"/>
      <c r="J1163" s="277"/>
      <c r="K1163" s="277"/>
      <c r="L1163" s="277"/>
      <c r="M1163" s="277"/>
      <c r="N1163" s="277"/>
      <c r="O1163" s="277"/>
      <c r="P1163" s="277"/>
      <c r="Q1163" s="277"/>
      <c r="R1163" s="277"/>
      <c r="S1163" s="277"/>
      <c r="T1163" s="277"/>
      <c r="U1163" s="277"/>
      <c r="V1163" s="277"/>
      <c r="W1163" s="277"/>
    </row>
    <row r="1164" spans="1:23" x14ac:dyDescent="0.2">
      <c r="A1164" s="284" t="s">
        <v>201</v>
      </c>
      <c r="B1164" s="303"/>
      <c r="C1164" s="284">
        <v>15</v>
      </c>
      <c r="D1164" s="277"/>
      <c r="E1164" s="277"/>
      <c r="F1164" s="277"/>
      <c r="G1164" s="277"/>
      <c r="H1164" s="277"/>
      <c r="I1164" s="277"/>
      <c r="J1164" s="277"/>
      <c r="K1164" s="277"/>
      <c r="L1164" s="277"/>
      <c r="M1164" s="277"/>
      <c r="N1164" s="277"/>
      <c r="O1164" s="277"/>
      <c r="P1164" s="277"/>
      <c r="Q1164" s="277"/>
      <c r="R1164" s="277"/>
      <c r="S1164" s="277"/>
      <c r="T1164" s="277"/>
      <c r="U1164" s="277"/>
      <c r="V1164" s="277"/>
      <c r="W1164" s="277"/>
    </row>
    <row r="1165" spans="1:23" x14ac:dyDescent="0.2">
      <c r="A1165" s="284" t="s">
        <v>192</v>
      </c>
      <c r="B1165" s="303"/>
      <c r="C1165" s="339">
        <v>0</v>
      </c>
      <c r="D1165" s="277"/>
      <c r="E1165" s="277"/>
      <c r="F1165" s="277"/>
      <c r="G1165" s="277"/>
      <c r="H1165" s="277"/>
      <c r="I1165" s="277"/>
      <c r="J1165" s="277"/>
      <c r="K1165" s="277"/>
      <c r="L1165" s="277"/>
      <c r="M1165" s="277"/>
      <c r="N1165" s="277"/>
      <c r="O1165" s="277"/>
      <c r="P1165" s="277"/>
      <c r="Q1165" s="277"/>
      <c r="R1165" s="277"/>
      <c r="S1165" s="277"/>
      <c r="T1165" s="277"/>
      <c r="U1165" s="277"/>
      <c r="V1165" s="277"/>
      <c r="W1165" s="277"/>
    </row>
    <row r="1166" spans="1:23" x14ac:dyDescent="0.2">
      <c r="A1166" s="284" t="s">
        <v>193</v>
      </c>
      <c r="B1166" s="303"/>
      <c r="C1166" s="340">
        <v>8.7499999999999994E-2</v>
      </c>
      <c r="D1166" s="277"/>
      <c r="E1166" s="277"/>
      <c r="F1166" s="277"/>
      <c r="G1166" s="277"/>
      <c r="H1166" s="277"/>
      <c r="I1166" s="277"/>
      <c r="J1166" s="277"/>
      <c r="K1166" s="277"/>
      <c r="L1166" s="277"/>
      <c r="M1166" s="277"/>
      <c r="N1166" s="277"/>
      <c r="O1166" s="277"/>
      <c r="P1166" s="277"/>
      <c r="Q1166" s="277"/>
      <c r="R1166" s="277"/>
      <c r="S1166" s="277"/>
      <c r="T1166" s="277"/>
      <c r="U1166" s="277"/>
      <c r="V1166" s="277"/>
      <c r="W1166" s="277"/>
    </row>
    <row r="1167" spans="1:23" x14ac:dyDescent="0.2">
      <c r="A1167" s="284"/>
      <c r="B1167" s="303"/>
      <c r="C1167" s="277"/>
      <c r="D1167" s="306">
        <v>2001</v>
      </c>
      <c r="E1167" s="306">
        <v>2002</v>
      </c>
      <c r="F1167" s="306">
        <v>2003</v>
      </c>
      <c r="G1167" s="306">
        <v>2004</v>
      </c>
      <c r="H1167" s="306">
        <v>2005</v>
      </c>
      <c r="I1167" s="306">
        <v>2006</v>
      </c>
      <c r="J1167" s="306">
        <v>2007</v>
      </c>
      <c r="K1167" s="306">
        <v>2008</v>
      </c>
      <c r="L1167" s="306">
        <v>2009</v>
      </c>
      <c r="M1167" s="306">
        <v>2010</v>
      </c>
      <c r="N1167" s="306">
        <v>2011</v>
      </c>
      <c r="O1167" s="306">
        <v>2012</v>
      </c>
      <c r="P1167" s="306">
        <v>2013</v>
      </c>
      <c r="Q1167" s="306">
        <v>2014</v>
      </c>
      <c r="R1167" s="306">
        <v>2015</v>
      </c>
      <c r="S1167" s="306">
        <v>2016</v>
      </c>
      <c r="T1167" s="306">
        <v>2017</v>
      </c>
      <c r="U1167" s="306">
        <v>2018</v>
      </c>
      <c r="V1167" s="306">
        <v>2019</v>
      </c>
      <c r="W1167" s="306" t="s">
        <v>154</v>
      </c>
    </row>
    <row r="1168" spans="1:23" x14ac:dyDescent="0.2">
      <c r="A1168" s="284" t="s">
        <v>194</v>
      </c>
      <c r="B1168" s="303"/>
      <c r="C1168" s="277"/>
      <c r="D1168" s="341">
        <v>0</v>
      </c>
      <c r="E1168" s="341">
        <v>0</v>
      </c>
      <c r="F1168" s="341">
        <v>0</v>
      </c>
      <c r="G1168" s="341">
        <v>0</v>
      </c>
      <c r="H1168" s="341">
        <v>0</v>
      </c>
      <c r="I1168" s="341">
        <v>0</v>
      </c>
      <c r="J1168" s="341">
        <v>0</v>
      </c>
      <c r="K1168" s="341">
        <v>0</v>
      </c>
      <c r="L1168" s="341">
        <v>0</v>
      </c>
      <c r="M1168" s="341">
        <v>0</v>
      </c>
      <c r="N1168" s="341">
        <v>0</v>
      </c>
      <c r="O1168" s="341">
        <v>0</v>
      </c>
      <c r="P1168" s="341">
        <v>0</v>
      </c>
      <c r="Q1168" s="341">
        <v>0</v>
      </c>
      <c r="R1168" s="341">
        <v>0</v>
      </c>
      <c r="S1168" s="341">
        <v>0</v>
      </c>
      <c r="T1168" s="341">
        <v>0</v>
      </c>
      <c r="U1168" s="341">
        <v>0</v>
      </c>
      <c r="V1168" s="341">
        <v>0</v>
      </c>
      <c r="W1168" s="341">
        <v>0</v>
      </c>
    </row>
    <row r="1169" spans="1:23" x14ac:dyDescent="0.2">
      <c r="A1169" s="284" t="s">
        <v>195</v>
      </c>
      <c r="B1169" s="303"/>
      <c r="C1169" s="277"/>
      <c r="D1169" s="341">
        <v>0</v>
      </c>
      <c r="E1169" s="341">
        <v>0</v>
      </c>
      <c r="F1169" s="341">
        <v>0</v>
      </c>
      <c r="G1169" s="341">
        <v>0</v>
      </c>
      <c r="H1169" s="341">
        <v>0</v>
      </c>
      <c r="I1169" s="341">
        <v>0</v>
      </c>
      <c r="J1169" s="341">
        <v>0</v>
      </c>
      <c r="K1169" s="341">
        <v>0</v>
      </c>
      <c r="L1169" s="341">
        <v>0</v>
      </c>
      <c r="M1169" s="341">
        <v>0</v>
      </c>
      <c r="N1169" s="341">
        <v>0</v>
      </c>
      <c r="O1169" s="341">
        <v>0</v>
      </c>
      <c r="P1169" s="341">
        <v>0</v>
      </c>
      <c r="Q1169" s="341">
        <v>0</v>
      </c>
      <c r="R1169" s="341">
        <v>0</v>
      </c>
      <c r="S1169" s="341">
        <v>0</v>
      </c>
      <c r="T1169" s="341">
        <v>0</v>
      </c>
      <c r="U1169" s="341">
        <v>0</v>
      </c>
      <c r="V1169" s="341">
        <v>0</v>
      </c>
      <c r="W1169" s="341">
        <v>0</v>
      </c>
    </row>
    <row r="1170" spans="1:23" x14ac:dyDescent="0.2">
      <c r="A1170" s="284" t="s">
        <v>196</v>
      </c>
      <c r="B1170" s="303"/>
      <c r="C1170" s="277"/>
      <c r="D1170" s="341">
        <v>0</v>
      </c>
      <c r="E1170" s="341">
        <v>0</v>
      </c>
      <c r="F1170" s="341">
        <v>0</v>
      </c>
      <c r="G1170" s="341">
        <v>0</v>
      </c>
      <c r="H1170" s="341">
        <v>0</v>
      </c>
      <c r="I1170" s="341">
        <v>0</v>
      </c>
      <c r="J1170" s="341">
        <v>0</v>
      </c>
      <c r="K1170" s="341">
        <v>0</v>
      </c>
      <c r="L1170" s="341">
        <v>0</v>
      </c>
      <c r="M1170" s="341">
        <v>0</v>
      </c>
      <c r="N1170" s="341">
        <v>0</v>
      </c>
      <c r="O1170" s="341">
        <v>0</v>
      </c>
      <c r="P1170" s="341">
        <v>0</v>
      </c>
      <c r="Q1170" s="341">
        <v>0</v>
      </c>
      <c r="R1170" s="341">
        <v>0</v>
      </c>
      <c r="S1170" s="341">
        <v>0</v>
      </c>
      <c r="T1170" s="341">
        <v>0</v>
      </c>
      <c r="U1170" s="341">
        <v>0</v>
      </c>
      <c r="V1170" s="341">
        <v>0</v>
      </c>
      <c r="W1170" s="341">
        <v>0</v>
      </c>
    </row>
    <row r="1171" spans="1:23" x14ac:dyDescent="0.2">
      <c r="A1171" s="284" t="s">
        <v>197</v>
      </c>
      <c r="B1171" s="303"/>
      <c r="C1171" s="277"/>
      <c r="D1171" s="342">
        <v>0</v>
      </c>
      <c r="E1171" s="342">
        <v>0</v>
      </c>
      <c r="F1171" s="342">
        <v>0</v>
      </c>
      <c r="G1171" s="342">
        <v>0</v>
      </c>
      <c r="H1171" s="342">
        <v>0</v>
      </c>
      <c r="I1171" s="342">
        <v>0</v>
      </c>
      <c r="J1171" s="342">
        <v>0</v>
      </c>
      <c r="K1171" s="342">
        <v>0</v>
      </c>
      <c r="L1171" s="342">
        <v>0</v>
      </c>
      <c r="M1171" s="342">
        <v>0</v>
      </c>
      <c r="N1171" s="342">
        <v>0</v>
      </c>
      <c r="O1171" s="342">
        <v>0</v>
      </c>
      <c r="P1171" s="342">
        <v>0</v>
      </c>
      <c r="Q1171" s="342">
        <v>0</v>
      </c>
      <c r="R1171" s="342">
        <v>0</v>
      </c>
      <c r="S1171" s="342">
        <v>0</v>
      </c>
      <c r="T1171" s="342">
        <v>0</v>
      </c>
      <c r="U1171" s="342">
        <v>0</v>
      </c>
      <c r="V1171" s="342">
        <v>0</v>
      </c>
      <c r="W1171" s="342">
        <v>0</v>
      </c>
    </row>
    <row r="1172" spans="1:23" ht="13.5" thickBot="1" x14ac:dyDescent="0.25">
      <c r="A1172" s="284" t="s">
        <v>198</v>
      </c>
      <c r="B1172" s="303"/>
      <c r="C1172" s="277"/>
      <c r="D1172" s="343">
        <v>0</v>
      </c>
      <c r="E1172" s="343">
        <v>0</v>
      </c>
      <c r="F1172" s="343">
        <v>0</v>
      </c>
      <c r="G1172" s="343">
        <v>0</v>
      </c>
      <c r="H1172" s="343">
        <v>0</v>
      </c>
      <c r="I1172" s="343">
        <v>0</v>
      </c>
      <c r="J1172" s="343">
        <v>0</v>
      </c>
      <c r="K1172" s="343">
        <v>0</v>
      </c>
      <c r="L1172" s="343">
        <v>0</v>
      </c>
      <c r="M1172" s="343">
        <v>0</v>
      </c>
      <c r="N1172" s="343">
        <v>0</v>
      </c>
      <c r="O1172" s="343">
        <v>0</v>
      </c>
      <c r="P1172" s="343">
        <v>0</v>
      </c>
      <c r="Q1172" s="343">
        <v>0</v>
      </c>
      <c r="R1172" s="343">
        <v>0</v>
      </c>
      <c r="S1172" s="343">
        <v>0</v>
      </c>
      <c r="T1172" s="343">
        <v>0</v>
      </c>
      <c r="U1172" s="343">
        <v>0</v>
      </c>
      <c r="V1172" s="343">
        <v>0</v>
      </c>
      <c r="W1172" s="343">
        <v>0</v>
      </c>
    </row>
    <row r="1173" spans="1:23" ht="13.5" thickTop="1" x14ac:dyDescent="0.2">
      <c r="A1173" s="284"/>
      <c r="B1173" s="303"/>
      <c r="C1173" s="277"/>
      <c r="D1173" s="341"/>
      <c r="E1173" s="341"/>
      <c r="F1173" s="341"/>
      <c r="G1173" s="341"/>
      <c r="H1173" s="341"/>
      <c r="I1173" s="341"/>
      <c r="J1173" s="341"/>
      <c r="K1173" s="341"/>
      <c r="L1173" s="341"/>
      <c r="M1173" s="341"/>
      <c r="N1173" s="341"/>
      <c r="O1173" s="341"/>
      <c r="P1173" s="341"/>
      <c r="Q1173" s="341"/>
      <c r="R1173" s="341"/>
      <c r="S1173" s="341"/>
      <c r="T1173" s="341"/>
      <c r="U1173" s="341"/>
      <c r="V1173" s="341"/>
      <c r="W1173" s="341"/>
    </row>
    <row r="1174" spans="1:23" x14ac:dyDescent="0.2">
      <c r="A1174" s="284" t="s">
        <v>199</v>
      </c>
      <c r="B1174" s="303"/>
      <c r="C1174" s="277"/>
      <c r="D1174" s="341">
        <v>0</v>
      </c>
      <c r="E1174" s="341">
        <v>0</v>
      </c>
      <c r="F1174" s="341">
        <v>0</v>
      </c>
      <c r="G1174" s="341">
        <v>0</v>
      </c>
      <c r="H1174" s="341">
        <v>0</v>
      </c>
      <c r="I1174" s="341">
        <v>0</v>
      </c>
      <c r="J1174" s="341">
        <v>0</v>
      </c>
      <c r="K1174" s="341">
        <v>0</v>
      </c>
      <c r="L1174" s="341">
        <v>0</v>
      </c>
      <c r="M1174" s="341">
        <v>0</v>
      </c>
      <c r="N1174" s="341">
        <v>0</v>
      </c>
      <c r="O1174" s="341">
        <v>0</v>
      </c>
      <c r="P1174" s="341">
        <v>0</v>
      </c>
      <c r="Q1174" s="341">
        <v>0</v>
      </c>
      <c r="R1174" s="341">
        <v>0</v>
      </c>
      <c r="S1174" s="341">
        <v>0</v>
      </c>
      <c r="T1174" s="341">
        <v>0</v>
      </c>
      <c r="U1174" s="341">
        <v>0</v>
      </c>
      <c r="V1174" s="341">
        <v>0</v>
      </c>
      <c r="W1174" s="341">
        <v>0</v>
      </c>
    </row>
    <row r="1175" spans="1:23" x14ac:dyDescent="0.2">
      <c r="A1175" s="284"/>
      <c r="B1175" s="303"/>
      <c r="C1175" s="277"/>
      <c r="D1175" s="277"/>
      <c r="E1175" s="277"/>
      <c r="F1175" s="277"/>
      <c r="G1175" s="277"/>
      <c r="H1175" s="277"/>
      <c r="I1175" s="277"/>
      <c r="J1175" s="277"/>
      <c r="K1175" s="277"/>
      <c r="L1175" s="277"/>
      <c r="M1175" s="277"/>
      <c r="N1175" s="277"/>
      <c r="O1175" s="277"/>
      <c r="P1175" s="277"/>
      <c r="Q1175" s="277"/>
      <c r="R1175" s="277"/>
      <c r="S1175" s="277"/>
      <c r="T1175" s="277"/>
      <c r="U1175" s="277"/>
      <c r="V1175" s="277"/>
      <c r="W1175" s="277"/>
    </row>
    <row r="1176" spans="1:23" x14ac:dyDescent="0.2">
      <c r="A1176" s="284" t="s">
        <v>200</v>
      </c>
      <c r="B1176" s="303"/>
      <c r="C1176" s="277"/>
      <c r="D1176" s="341">
        <v>0</v>
      </c>
      <c r="E1176" s="341">
        <v>0</v>
      </c>
      <c r="F1176" s="341">
        <v>0</v>
      </c>
      <c r="G1176" s="341">
        <v>0</v>
      </c>
      <c r="H1176" s="341">
        <v>0</v>
      </c>
      <c r="I1176" s="341">
        <v>0</v>
      </c>
      <c r="J1176" s="341">
        <v>0</v>
      </c>
      <c r="K1176" s="341">
        <v>0</v>
      </c>
      <c r="L1176" s="341">
        <v>0</v>
      </c>
      <c r="M1176" s="341">
        <v>0</v>
      </c>
      <c r="N1176" s="341">
        <v>0</v>
      </c>
      <c r="O1176" s="341">
        <v>0</v>
      </c>
      <c r="P1176" s="341">
        <v>0</v>
      </c>
      <c r="Q1176" s="341">
        <v>0</v>
      </c>
      <c r="R1176" s="341">
        <v>0</v>
      </c>
      <c r="S1176" s="341">
        <v>0</v>
      </c>
      <c r="T1176" s="341">
        <v>0</v>
      </c>
      <c r="U1176" s="341">
        <v>0</v>
      </c>
      <c r="V1176" s="341">
        <v>0</v>
      </c>
      <c r="W1176" s="341">
        <v>0</v>
      </c>
    </row>
    <row r="1177" spans="1:23" x14ac:dyDescent="0.2">
      <c r="A1177" s="277"/>
      <c r="B1177" s="303"/>
      <c r="C1177" s="277"/>
      <c r="D1177" s="277"/>
      <c r="E1177" s="277"/>
      <c r="F1177" s="277"/>
      <c r="G1177" s="277"/>
      <c r="H1177" s="277"/>
      <c r="I1177" s="277"/>
      <c r="J1177" s="277"/>
      <c r="K1177" s="277"/>
      <c r="L1177" s="277"/>
      <c r="M1177" s="277"/>
      <c r="N1177" s="277"/>
      <c r="O1177" s="277"/>
      <c r="P1177" s="277"/>
      <c r="Q1177" s="277"/>
      <c r="R1177" s="277"/>
      <c r="S1177" s="277"/>
      <c r="T1177" s="277"/>
      <c r="U1177" s="277"/>
      <c r="V1177" s="277"/>
      <c r="W1177" s="277"/>
    </row>
    <row r="1178" spans="1:23" x14ac:dyDescent="0.2">
      <c r="A1178" s="277"/>
      <c r="B1178" s="303"/>
      <c r="C1178" s="277"/>
      <c r="D1178" s="277"/>
      <c r="E1178" s="277"/>
      <c r="F1178" s="277"/>
      <c r="G1178" s="277"/>
      <c r="H1178" s="277"/>
      <c r="I1178" s="277"/>
      <c r="J1178" s="277"/>
      <c r="K1178" s="277"/>
      <c r="L1178" s="277"/>
      <c r="M1178" s="277"/>
      <c r="N1178" s="277"/>
      <c r="O1178" s="277"/>
      <c r="P1178" s="277"/>
      <c r="Q1178" s="277"/>
      <c r="R1178" s="277"/>
      <c r="S1178" s="277"/>
      <c r="T1178" s="277"/>
      <c r="U1178" s="277"/>
      <c r="V1178" s="277"/>
      <c r="W1178" s="277"/>
    </row>
    <row r="1179" spans="1:23" x14ac:dyDescent="0.2">
      <c r="A1179" s="284" t="s">
        <v>202</v>
      </c>
      <c r="B1179" s="279"/>
      <c r="C1179" s="278"/>
      <c r="D1179" s="435">
        <v>11615971.608057868</v>
      </c>
      <c r="E1179" s="435">
        <v>13583614.684922295</v>
      </c>
      <c r="F1179" s="435">
        <v>13290777.783049315</v>
      </c>
      <c r="G1179" s="435">
        <v>11233889.733504323</v>
      </c>
      <c r="H1179" s="435">
        <v>10984612.838094447</v>
      </c>
      <c r="I1179" s="435">
        <v>11678442.330651499</v>
      </c>
      <c r="J1179" s="435">
        <v>12841596.944796003</v>
      </c>
      <c r="K1179" s="435">
        <v>13523164.338840276</v>
      </c>
      <c r="L1179" s="435">
        <v>13744292.220354661</v>
      </c>
      <c r="M1179" s="435">
        <v>13674501.932230527</v>
      </c>
      <c r="N1179" s="435">
        <v>13986453.751489408</v>
      </c>
      <c r="O1179" s="435">
        <v>13882007.989643132</v>
      </c>
      <c r="P1179" s="435">
        <v>14060348.722914681</v>
      </c>
      <c r="Q1179" s="435">
        <v>14654321.674680684</v>
      </c>
      <c r="R1179" s="435">
        <v>16600164.957448985</v>
      </c>
      <c r="S1179" s="435">
        <v>15798700.854340855</v>
      </c>
      <c r="T1179" s="435">
        <v>16073323.16102761</v>
      </c>
      <c r="U1179" s="435">
        <v>17454888.271143965</v>
      </c>
      <c r="V1179" s="435">
        <v>19262565.031389907</v>
      </c>
      <c r="W1179" s="435">
        <v>95515622.090892106</v>
      </c>
    </row>
    <row r="1180" spans="1:23" x14ac:dyDescent="0.2">
      <c r="A1180" s="9"/>
      <c r="B1180" s="6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</row>
    <row r="1181" spans="1:23" x14ac:dyDescent="0.2">
      <c r="A1181" s="364"/>
      <c r="B1181" s="300"/>
      <c r="C1181" s="301"/>
      <c r="D1181" s="365"/>
      <c r="E1181" s="365"/>
      <c r="F1181" s="365"/>
      <c r="G1181" s="365"/>
      <c r="H1181" s="365"/>
      <c r="I1181" s="365"/>
      <c r="J1181" s="365"/>
      <c r="K1181" s="365"/>
      <c r="L1181" s="365"/>
      <c r="M1181" s="365"/>
      <c r="N1181" s="365"/>
      <c r="O1181" s="365"/>
      <c r="P1181" s="365"/>
      <c r="Q1181" s="365"/>
      <c r="R1181" s="365"/>
      <c r="S1181" s="365"/>
      <c r="T1181" s="365"/>
      <c r="U1181" s="365"/>
      <c r="V1181" s="365"/>
    </row>
    <row r="1182" spans="1:23" x14ac:dyDescent="0.2">
      <c r="B1182" s="289"/>
      <c r="C1182" s="354"/>
      <c r="D1182" s="366"/>
      <c r="E1182" s="366"/>
      <c r="F1182" s="366"/>
      <c r="G1182" s="366"/>
      <c r="H1182" s="366"/>
      <c r="I1182" s="366"/>
      <c r="J1182" s="366"/>
      <c r="K1182" s="366"/>
      <c r="L1182" s="366"/>
      <c r="M1182" s="366"/>
      <c r="N1182" s="366"/>
      <c r="O1182" s="366"/>
      <c r="P1182" s="366"/>
      <c r="Q1182" s="366"/>
      <c r="R1182" s="366"/>
      <c r="S1182" s="366"/>
      <c r="T1182" s="366"/>
      <c r="U1182" s="366"/>
      <c r="V1182" s="366"/>
    </row>
    <row r="1183" spans="1:23" x14ac:dyDescent="0.2">
      <c r="B1183" s="289"/>
      <c r="C1183" s="354"/>
      <c r="D1183" s="366"/>
      <c r="E1183" s="366"/>
      <c r="F1183" s="366"/>
      <c r="G1183" s="366"/>
      <c r="H1183" s="366"/>
      <c r="I1183" s="366"/>
      <c r="J1183" s="366"/>
      <c r="K1183" s="366"/>
      <c r="L1183" s="366"/>
      <c r="M1183" s="366"/>
      <c r="N1183" s="366"/>
      <c r="O1183" s="366"/>
      <c r="P1183" s="366"/>
      <c r="Q1183" s="366"/>
      <c r="R1183" s="366"/>
      <c r="S1183" s="366"/>
      <c r="T1183" s="366"/>
      <c r="U1183" s="366"/>
      <c r="V1183" s="366"/>
    </row>
    <row r="1184" spans="1:23" x14ac:dyDescent="0.2">
      <c r="B1184" s="300"/>
      <c r="C1184" s="301"/>
      <c r="D1184" s="365"/>
      <c r="E1184" s="365"/>
      <c r="F1184" s="365"/>
      <c r="G1184" s="365"/>
      <c r="H1184" s="365"/>
      <c r="I1184" s="365"/>
      <c r="J1184" s="365"/>
      <c r="K1184" s="365"/>
      <c r="L1184" s="365"/>
      <c r="M1184" s="365"/>
      <c r="N1184" s="365"/>
      <c r="O1184" s="365"/>
      <c r="P1184" s="365"/>
      <c r="Q1184" s="365"/>
      <c r="R1184" s="365"/>
      <c r="S1184" s="365"/>
      <c r="T1184" s="365"/>
      <c r="U1184" s="365"/>
      <c r="V1184" s="365"/>
    </row>
    <row r="1185" spans="1:23" x14ac:dyDescent="0.2">
      <c r="A1185" s="364"/>
      <c r="B1185" s="289"/>
      <c r="C1185" s="354"/>
      <c r="D1185" s="366"/>
      <c r="E1185" s="366"/>
      <c r="F1185" s="366"/>
      <c r="G1185" s="366"/>
      <c r="H1185" s="366"/>
      <c r="I1185" s="366"/>
      <c r="J1185" s="366"/>
      <c r="K1185" s="366"/>
      <c r="L1185" s="366"/>
      <c r="M1185" s="366"/>
      <c r="N1185" s="366"/>
      <c r="O1185" s="366"/>
      <c r="P1185" s="366"/>
      <c r="Q1185" s="366"/>
      <c r="R1185" s="366"/>
      <c r="S1185" s="366"/>
      <c r="T1185" s="366"/>
      <c r="U1185" s="366"/>
      <c r="V1185" s="366"/>
    </row>
    <row r="1186" spans="1:23" x14ac:dyDescent="0.2">
      <c r="B1186" s="289"/>
      <c r="C1186" s="354"/>
      <c r="D1186" s="366"/>
      <c r="E1186" s="366"/>
      <c r="F1186" s="366"/>
      <c r="G1186" s="366"/>
      <c r="H1186" s="366"/>
      <c r="I1186" s="366"/>
      <c r="J1186" s="366"/>
      <c r="K1186" s="366"/>
      <c r="L1186" s="366"/>
      <c r="M1186" s="366"/>
      <c r="N1186" s="366"/>
      <c r="O1186" s="366"/>
      <c r="P1186" s="366"/>
      <c r="Q1186" s="366"/>
      <c r="R1186" s="366"/>
      <c r="S1186" s="366"/>
      <c r="T1186" s="366"/>
      <c r="U1186" s="366"/>
      <c r="V1186" s="366"/>
    </row>
    <row r="1187" spans="1:23" x14ac:dyDescent="0.2">
      <c r="B1187" s="300"/>
      <c r="C1187" s="301"/>
      <c r="D1187" s="365"/>
      <c r="E1187" s="365"/>
      <c r="F1187" s="365"/>
      <c r="G1187" s="365"/>
      <c r="H1187" s="365"/>
      <c r="I1187" s="365"/>
      <c r="J1187" s="365"/>
      <c r="K1187" s="365"/>
      <c r="L1187" s="365"/>
      <c r="M1187" s="365"/>
      <c r="N1187" s="365"/>
      <c r="O1187" s="365"/>
      <c r="P1187" s="365"/>
      <c r="Q1187" s="365"/>
      <c r="R1187" s="365"/>
      <c r="S1187" s="365"/>
      <c r="T1187" s="365"/>
      <c r="U1187" s="365"/>
      <c r="V1187" s="365"/>
    </row>
    <row r="1188" spans="1:23" ht="15.75" x14ac:dyDescent="0.25">
      <c r="A1188" s="302" t="s">
        <v>29</v>
      </c>
      <c r="B1188" s="305" t="s">
        <v>72</v>
      </c>
      <c r="C1188" s="306">
        <v>2000</v>
      </c>
      <c r="D1188" s="306">
        <v>2001</v>
      </c>
      <c r="E1188" s="306">
        <v>2002</v>
      </c>
      <c r="F1188" s="306">
        <v>2003</v>
      </c>
      <c r="G1188" s="306">
        <v>2004</v>
      </c>
      <c r="H1188" s="306">
        <v>2005</v>
      </c>
      <c r="I1188" s="306">
        <v>2006</v>
      </c>
      <c r="J1188" s="306">
        <v>2007</v>
      </c>
      <c r="K1188" s="306">
        <v>2008</v>
      </c>
      <c r="L1188" s="306">
        <v>2009</v>
      </c>
      <c r="M1188" s="306">
        <v>2010</v>
      </c>
      <c r="N1188" s="306">
        <v>2011</v>
      </c>
      <c r="O1188" s="306">
        <v>2012</v>
      </c>
      <c r="P1188" s="306">
        <v>2013</v>
      </c>
      <c r="Q1188" s="306">
        <v>2014</v>
      </c>
      <c r="R1188" s="306">
        <v>2015</v>
      </c>
      <c r="S1188" s="306">
        <v>2016</v>
      </c>
      <c r="T1188" s="306">
        <v>2017</v>
      </c>
      <c r="U1188" s="306">
        <v>2018</v>
      </c>
      <c r="V1188" s="306">
        <v>2019</v>
      </c>
      <c r="W1188" s="306" t="s">
        <v>154</v>
      </c>
    </row>
    <row r="1189" spans="1:23" x14ac:dyDescent="0.2">
      <c r="A1189" s="302" t="s">
        <v>26</v>
      </c>
      <c r="B1189" s="303">
        <v>604.5</v>
      </c>
      <c r="C1189" s="308"/>
      <c r="D1189" s="308"/>
      <c r="E1189" s="308"/>
      <c r="F1189" s="308"/>
      <c r="G1189" s="308"/>
      <c r="H1189" s="308"/>
      <c r="I1189" s="308"/>
      <c r="J1189" s="308"/>
      <c r="K1189" s="308"/>
      <c r="L1189" s="308"/>
      <c r="M1189" s="308"/>
      <c r="N1189" s="308"/>
      <c r="O1189" s="308"/>
      <c r="P1189" s="308"/>
      <c r="Q1189" s="308"/>
      <c r="R1189" s="308"/>
      <c r="S1189" s="308"/>
      <c r="T1189" s="308"/>
      <c r="U1189" s="308"/>
      <c r="V1189" s="308"/>
      <c r="W1189" s="308"/>
    </row>
    <row r="1190" spans="1:23" x14ac:dyDescent="0.2">
      <c r="A1190" s="9"/>
      <c r="B1190" s="309" t="s">
        <v>27</v>
      </c>
      <c r="C1190" s="443">
        <v>0</v>
      </c>
      <c r="D1190" s="404">
        <v>178134374.55329955</v>
      </c>
      <c r="E1190" s="404">
        <v>175663872.94376105</v>
      </c>
      <c r="F1190" s="404">
        <v>179045101.06464884</v>
      </c>
      <c r="G1190" s="404">
        <v>176507349.36905962</v>
      </c>
      <c r="H1190" s="404">
        <v>177836835.49429458</v>
      </c>
      <c r="I1190" s="404">
        <v>189844709.03490248</v>
      </c>
      <c r="J1190" s="404">
        <v>203561978.09992734</v>
      </c>
      <c r="K1190" s="404">
        <v>208829705.67126167</v>
      </c>
      <c r="L1190" s="404">
        <v>213200678.71431059</v>
      </c>
      <c r="M1190" s="404">
        <v>213961793.35695061</v>
      </c>
      <c r="N1190" s="404">
        <v>218584423.74588168</v>
      </c>
      <c r="O1190" s="404">
        <v>221039080.28679579</v>
      </c>
      <c r="P1190" s="404">
        <v>223640278.18448105</v>
      </c>
      <c r="Q1190" s="404">
        <v>231512689.00662073</v>
      </c>
      <c r="R1190" s="404">
        <v>247938282.01770246</v>
      </c>
      <c r="S1190" s="404">
        <v>246509977.45207423</v>
      </c>
      <c r="T1190" s="404">
        <v>249651702.52602157</v>
      </c>
      <c r="U1190" s="404">
        <v>261648822.73847628</v>
      </c>
      <c r="V1190" s="404">
        <v>269596032.72839165</v>
      </c>
      <c r="W1190" s="327"/>
    </row>
    <row r="1191" spans="1:23" x14ac:dyDescent="0.2">
      <c r="A1191" s="9"/>
      <c r="B1191" s="309" t="s">
        <v>20</v>
      </c>
      <c r="C1191" s="443">
        <v>0</v>
      </c>
      <c r="D1191" s="404">
        <v>-39150931.92218931</v>
      </c>
      <c r="E1191" s="404">
        <v>-38995690.865993813</v>
      </c>
      <c r="F1191" s="404">
        <v>-39068999.142530575</v>
      </c>
      <c r="G1191" s="404">
        <v>-39534722.311117023</v>
      </c>
      <c r="H1191" s="404">
        <v>-40276429.57960657</v>
      </c>
      <c r="I1191" s="404">
        <v>-41660662.330682978</v>
      </c>
      <c r="J1191" s="404">
        <v>-43333815.936345428</v>
      </c>
      <c r="K1191" s="404">
        <v>-44683550.674933955</v>
      </c>
      <c r="L1191" s="404">
        <v>-46041909.916644461</v>
      </c>
      <c r="M1191" s="404">
        <v>-47667628.75513608</v>
      </c>
      <c r="N1191" s="404">
        <v>-49250225.078017838</v>
      </c>
      <c r="O1191" s="404">
        <v>-50250667.440166526</v>
      </c>
      <c r="P1191" s="404">
        <v>-50927690.935241289</v>
      </c>
      <c r="Q1191" s="404">
        <v>-51932445.548950955</v>
      </c>
      <c r="R1191" s="404">
        <v>-52932887.911099635</v>
      </c>
      <c r="S1191" s="404">
        <v>-53967828.285736218</v>
      </c>
      <c r="T1191" s="404">
        <v>-55015705.415055752</v>
      </c>
      <c r="U1191" s="404">
        <v>-56085143.802180186</v>
      </c>
      <c r="V1191" s="404">
        <v>-57171831.195548594</v>
      </c>
      <c r="W1191" s="327"/>
    </row>
    <row r="1192" spans="1:23" x14ac:dyDescent="0.2">
      <c r="A1192" s="9"/>
      <c r="B1192" s="309" t="s">
        <v>31</v>
      </c>
      <c r="C1192" s="443">
        <v>0</v>
      </c>
      <c r="D1192" s="404">
        <v>-4348181.6267091343</v>
      </c>
      <c r="E1192" s="404">
        <v>-4435946.8712304011</v>
      </c>
      <c r="F1192" s="404">
        <v>-6906741.5771107888</v>
      </c>
      <c r="G1192" s="404">
        <v>-7057616.9971485659</v>
      </c>
      <c r="H1192" s="404">
        <v>-7211824.4226141125</v>
      </c>
      <c r="I1192" s="404">
        <v>-7369438.2749472624</v>
      </c>
      <c r="J1192" s="404">
        <v>-7530534.6569131026</v>
      </c>
      <c r="K1192" s="404">
        <v>-7695191.3910178328</v>
      </c>
      <c r="L1192" s="404">
        <v>-7863488.0588120259</v>
      </c>
      <c r="M1192" s="404">
        <v>-8035506.041102008</v>
      </c>
      <c r="N1192" s="404">
        <v>-8211328.5590904849</v>
      </c>
      <c r="O1192" s="404">
        <v>-8391040.7164682094</v>
      </c>
      <c r="P1192" s="404">
        <v>-8574729.5424788184</v>
      </c>
      <c r="Q1192" s="404">
        <v>-8762484.0359796342</v>
      </c>
      <c r="R1192" s="404">
        <v>-8954395.2105216347</v>
      </c>
      <c r="S1192" s="404">
        <v>-9150556.1404725052</v>
      </c>
      <c r="T1192" s="404">
        <v>-9351062.0082070418</v>
      </c>
      <c r="U1192" s="404">
        <v>-9556010.1523899548</v>
      </c>
      <c r="V1192" s="404">
        <v>-9765500.1173765548</v>
      </c>
      <c r="W1192" s="327"/>
    </row>
    <row r="1193" spans="1:23" x14ac:dyDescent="0.2">
      <c r="A1193" s="9"/>
      <c r="B1193" s="309" t="s">
        <v>32</v>
      </c>
      <c r="C1193" s="443">
        <v>0</v>
      </c>
      <c r="D1193" s="404">
        <v>0</v>
      </c>
      <c r="E1193" s="404">
        <v>0</v>
      </c>
      <c r="F1193" s="404">
        <v>0</v>
      </c>
      <c r="G1193" s="404">
        <v>0</v>
      </c>
      <c r="H1193" s="404">
        <v>0</v>
      </c>
      <c r="I1193" s="404">
        <v>313405.5217996554</v>
      </c>
      <c r="J1193" s="404">
        <v>347384.98484211322</v>
      </c>
      <c r="K1193" s="404">
        <v>287501.52852424001</v>
      </c>
      <c r="L1193" s="404">
        <v>421021.81593128992</v>
      </c>
      <c r="M1193" s="404">
        <v>468240.99162462307</v>
      </c>
      <c r="N1193" s="404">
        <v>515802.8624193389</v>
      </c>
      <c r="O1193" s="404">
        <v>571494.1073231874</v>
      </c>
      <c r="P1193" s="404">
        <v>640795.23139370698</v>
      </c>
      <c r="Q1193" s="404">
        <v>713305.08672637027</v>
      </c>
      <c r="R1193" s="404">
        <v>790124.133993797</v>
      </c>
      <c r="S1193" s="404">
        <v>867555.32746167947</v>
      </c>
      <c r="T1193" s="404">
        <v>852330.81387004908</v>
      </c>
      <c r="U1193" s="404">
        <v>729215.1117226379</v>
      </c>
      <c r="V1193" s="404">
        <v>756061.53319332935</v>
      </c>
      <c r="W1193" s="327"/>
    </row>
    <row r="1194" spans="1:23" ht="13.5" thickBot="1" x14ac:dyDescent="0.25">
      <c r="A1194" s="9"/>
      <c r="B1194" s="310" t="s">
        <v>33</v>
      </c>
      <c r="C1194" s="444">
        <v>0</v>
      </c>
      <c r="D1194" s="406">
        <v>0</v>
      </c>
      <c r="E1194" s="406">
        <v>0</v>
      </c>
      <c r="F1194" s="406">
        <v>-2587996.4161321917</v>
      </c>
      <c r="G1194" s="406">
        <v>-2205135.1702445899</v>
      </c>
      <c r="H1194" s="406">
        <v>-2289231.5729481247</v>
      </c>
      <c r="I1194" s="406">
        <v>-2377568.5492964056</v>
      </c>
      <c r="J1194" s="406">
        <v>-2986745.3703415352</v>
      </c>
      <c r="K1194" s="406">
        <v>-2608888.6082144305</v>
      </c>
      <c r="L1194" s="406">
        <v>-2761324.2585651278</v>
      </c>
      <c r="M1194" s="406">
        <v>-2627505.787872022</v>
      </c>
      <c r="N1194" s="406">
        <v>-2702759.7191691999</v>
      </c>
      <c r="O1194" s="406">
        <v>-2772844.6353938491</v>
      </c>
      <c r="P1194" s="406">
        <v>-2476732.0216001924</v>
      </c>
      <c r="Q1194" s="406">
        <v>-2565286.7788361548</v>
      </c>
      <c r="R1194" s="406">
        <v>-2618299.4080123142</v>
      </c>
      <c r="S1194" s="406">
        <v>-2780450.0141793042</v>
      </c>
      <c r="T1194" s="406">
        <v>-2613911.3921920457</v>
      </c>
      <c r="U1194" s="406">
        <v>-2878901.9951799805</v>
      </c>
      <c r="V1194" s="406">
        <v>-1567419.7873028251</v>
      </c>
      <c r="W1194" s="327"/>
    </row>
    <row r="1195" spans="1:23" ht="13.5" thickTop="1" x14ac:dyDescent="0.2">
      <c r="A1195" s="9"/>
      <c r="B1195" s="311" t="s">
        <v>38</v>
      </c>
      <c r="C1195" s="445">
        <v>0</v>
      </c>
      <c r="D1195" s="408">
        <v>134635261.00440112</v>
      </c>
      <c r="E1195" s="408">
        <v>132232235.20653686</v>
      </c>
      <c r="F1195" s="408">
        <v>130481363.92887527</v>
      </c>
      <c r="G1195" s="408">
        <v>127709874.89054944</v>
      </c>
      <c r="H1195" s="408">
        <v>128059349.91912578</v>
      </c>
      <c r="I1195" s="408">
        <v>138750445.40177551</v>
      </c>
      <c r="J1195" s="408">
        <v>150058267.12116939</v>
      </c>
      <c r="K1195" s="408">
        <v>154129576.52561969</v>
      </c>
      <c r="L1195" s="408">
        <v>156954978.29622027</v>
      </c>
      <c r="M1195" s="408">
        <v>156099393.76446512</v>
      </c>
      <c r="N1195" s="408">
        <v>158935913.25202349</v>
      </c>
      <c r="O1195" s="408">
        <v>160196021.60209039</v>
      </c>
      <c r="P1195" s="408">
        <v>162301920.91655445</v>
      </c>
      <c r="Q1195" s="408">
        <v>168965777.72958037</v>
      </c>
      <c r="R1195" s="408">
        <v>184222823.62206268</v>
      </c>
      <c r="S1195" s="408">
        <v>181478698.33914793</v>
      </c>
      <c r="T1195" s="408">
        <v>183523354.52443677</v>
      </c>
      <c r="U1195" s="408">
        <v>193857981.90044883</v>
      </c>
      <c r="V1195" s="408">
        <v>201847343.16135699</v>
      </c>
      <c r="W1195" s="327"/>
    </row>
    <row r="1196" spans="1:23" x14ac:dyDescent="0.2">
      <c r="A1196" s="9"/>
      <c r="B1196" s="309" t="s">
        <v>34</v>
      </c>
      <c r="C1196" s="443">
        <v>0</v>
      </c>
      <c r="D1196" s="404">
        <v>-10912034.378303934</v>
      </c>
      <c r="E1196" s="404">
        <v>-11130275.065870013</v>
      </c>
      <c r="F1196" s="404">
        <v>-11405648.567187414</v>
      </c>
      <c r="G1196" s="404">
        <v>-11634025.378531162</v>
      </c>
      <c r="H1196" s="404">
        <v>-11866976.322101787</v>
      </c>
      <c r="I1196" s="404">
        <v>-12104593.045443822</v>
      </c>
      <c r="J1196" s="404">
        <v>-12346969.0331752</v>
      </c>
      <c r="K1196" s="404">
        <v>-12594199.643831767</v>
      </c>
      <c r="L1196" s="404">
        <v>-12846382.147451291</v>
      </c>
      <c r="M1196" s="404">
        <v>-13103615.763911778</v>
      </c>
      <c r="N1196" s="404">
        <v>-13366001.702039262</v>
      </c>
      <c r="O1196" s="404">
        <v>-13633643.199500527</v>
      </c>
      <c r="P1196" s="404">
        <v>-13906645.563496528</v>
      </c>
      <c r="Q1196" s="404">
        <v>-14185116.212272599</v>
      </c>
      <c r="R1196" s="404">
        <v>-14469164.717461845</v>
      </c>
      <c r="S1196" s="404">
        <v>-14758902.847278472</v>
      </c>
      <c r="T1196" s="404">
        <v>-15054444.610578116</v>
      </c>
      <c r="U1196" s="404">
        <v>-15355906.301802605</v>
      </c>
      <c r="V1196" s="404">
        <v>-15663406.546826907</v>
      </c>
      <c r="W1196" s="327"/>
    </row>
    <row r="1197" spans="1:23" x14ac:dyDescent="0.2">
      <c r="A1197" s="9"/>
      <c r="B1197" s="309" t="s">
        <v>35</v>
      </c>
      <c r="C1197" s="443">
        <v>0</v>
      </c>
      <c r="D1197" s="404">
        <v>-3795503.9630393567</v>
      </c>
      <c r="E1197" s="404">
        <v>-3803753.9174171099</v>
      </c>
      <c r="F1197" s="404">
        <v>-3812184.5457957359</v>
      </c>
      <c r="G1197" s="404">
        <v>-3820805.7063757186</v>
      </c>
      <c r="H1197" s="404">
        <v>-3829632.050577505</v>
      </c>
      <c r="I1197" s="404">
        <v>-3838679.5838523163</v>
      </c>
      <c r="J1197" s="404">
        <v>-3847951.5211576093</v>
      </c>
      <c r="K1197" s="404">
        <v>-3857458.1503572459</v>
      </c>
      <c r="L1197" s="404">
        <v>-3867199.5932981134</v>
      </c>
      <c r="M1197" s="404">
        <v>-3877189.4430339732</v>
      </c>
      <c r="N1197" s="404">
        <v>-3887421.0471334406</v>
      </c>
      <c r="O1197" s="404">
        <v>-3897910.4876562147</v>
      </c>
      <c r="P1197" s="404">
        <v>-3908666.3599682674</v>
      </c>
      <c r="Q1197" s="404">
        <v>-3919691.1290881215</v>
      </c>
      <c r="R1197" s="404">
        <v>-3930992.6199128837</v>
      </c>
      <c r="S1197" s="404">
        <v>-3942576.6480082651</v>
      </c>
      <c r="T1197" s="404">
        <v>-3954447.9600004116</v>
      </c>
      <c r="U1197" s="404">
        <v>-3966617.2419235613</v>
      </c>
      <c r="V1197" s="404">
        <v>-3979091.9728229819</v>
      </c>
      <c r="W1197" s="327"/>
    </row>
    <row r="1198" spans="1:23" ht="13.5" thickBot="1" x14ac:dyDescent="0.25">
      <c r="A1198" s="9"/>
      <c r="B1198" s="310" t="s">
        <v>36</v>
      </c>
      <c r="C1198" s="444">
        <v>0</v>
      </c>
      <c r="D1198" s="406">
        <v>-1314527.41905882</v>
      </c>
      <c r="E1198" s="406">
        <v>-1342263.94760097</v>
      </c>
      <c r="F1198" s="406">
        <v>-1371659.5280534399</v>
      </c>
      <c r="G1198" s="406">
        <v>-1402659.03338743</v>
      </c>
      <c r="H1198" s="406">
        <v>-1436042.3183820599</v>
      </c>
      <c r="I1198" s="406">
        <v>-1472029.68324863</v>
      </c>
      <c r="J1198" s="406">
        <v>-1508540.1202789601</v>
      </c>
      <c r="K1198" s="406">
        <v>-1546724.3882333201</v>
      </c>
      <c r="L1198" s="406">
        <v>-1584928.4806226799</v>
      </c>
      <c r="M1198" s="406">
        <v>-1625344.1568785501</v>
      </c>
      <c r="N1198" s="406">
        <v>-1664677.48547502</v>
      </c>
      <c r="O1198" s="406">
        <v>-1706627.3581089899</v>
      </c>
      <c r="P1198" s="406">
        <v>-1749975.6930049499</v>
      </c>
      <c r="Q1198" s="406">
        <v>-1793725.08533008</v>
      </c>
      <c r="R1198" s="406">
        <v>-1838747.5849718601</v>
      </c>
      <c r="S1198" s="406">
        <v>-1884716.27459616</v>
      </c>
      <c r="T1198" s="406">
        <v>-1931457.23820614</v>
      </c>
      <c r="U1198" s="406">
        <v>-1979936.8148851199</v>
      </c>
      <c r="V1198" s="406">
        <v>-2029633.22893874</v>
      </c>
      <c r="W1198" s="327"/>
    </row>
    <row r="1199" spans="1:23" ht="13.5" thickTop="1" x14ac:dyDescent="0.2">
      <c r="A1199" s="9"/>
      <c r="B1199" s="311" t="s">
        <v>220</v>
      </c>
      <c r="C1199" s="446">
        <v>0</v>
      </c>
      <c r="D1199" s="410">
        <v>118613195.24399902</v>
      </c>
      <c r="E1199" s="410">
        <v>115955942.27564876</v>
      </c>
      <c r="F1199" s="410">
        <v>113891871.28783868</v>
      </c>
      <c r="G1199" s="410">
        <v>110852384.77225512</v>
      </c>
      <c r="H1199" s="410">
        <v>110926699.22806443</v>
      </c>
      <c r="I1199" s="410">
        <v>121335143.08923075</v>
      </c>
      <c r="J1199" s="410">
        <v>132354806.44655763</v>
      </c>
      <c r="K1199" s="410">
        <v>136131194.34319735</v>
      </c>
      <c r="L1199" s="410">
        <v>138656468.0748482</v>
      </c>
      <c r="M1199" s="410">
        <v>137493244.40064082</v>
      </c>
      <c r="N1199" s="410">
        <v>140017813.01737574</v>
      </c>
      <c r="O1199" s="410">
        <v>140957840.55682465</v>
      </c>
      <c r="P1199" s="410">
        <v>142736633.30008471</v>
      </c>
      <c r="Q1199" s="410">
        <v>149067245.30288956</v>
      </c>
      <c r="R1199" s="410">
        <v>163983918.69971609</v>
      </c>
      <c r="S1199" s="410">
        <v>160892502.56926504</v>
      </c>
      <c r="T1199" s="410">
        <v>162583004.71565208</v>
      </c>
      <c r="U1199" s="410">
        <v>172555521.54183754</v>
      </c>
      <c r="V1199" s="410">
        <v>180175211.41276836</v>
      </c>
      <c r="W1199" s="327"/>
    </row>
    <row r="1200" spans="1:23" x14ac:dyDescent="0.2">
      <c r="A1200" s="9"/>
      <c r="B1200" s="309" t="s">
        <v>37</v>
      </c>
      <c r="C1200" s="443">
        <v>0</v>
      </c>
      <c r="D1200" s="404">
        <v>-44637673.787173003</v>
      </c>
      <c r="E1200" s="404">
        <v>-47669468.579708897</v>
      </c>
      <c r="F1200" s="404">
        <v>-50850855.7807751</v>
      </c>
      <c r="G1200" s="404">
        <v>-51374016.858580701</v>
      </c>
      <c r="H1200" s="404">
        <v>-9696845.0739510022</v>
      </c>
      <c r="I1200" s="404">
        <v>-8370228.7461915202</v>
      </c>
      <c r="J1200" s="404">
        <v>-6466648.0014499975</v>
      </c>
      <c r="K1200" s="404">
        <v>-4426034.8819996389</v>
      </c>
      <c r="L1200" s="404">
        <v>-4401674.1067801276</v>
      </c>
      <c r="M1200" s="404">
        <v>-4733687.0562821794</v>
      </c>
      <c r="N1200" s="404">
        <v>-5084603.2383603482</v>
      </c>
      <c r="O1200" s="404">
        <v>-5443621.0576264895</v>
      </c>
      <c r="P1200" s="404">
        <v>-5652728.429188299</v>
      </c>
      <c r="Q1200" s="404">
        <v>-5872889.2918969626</v>
      </c>
      <c r="R1200" s="404">
        <v>-6264780.1204868844</v>
      </c>
      <c r="S1200" s="404">
        <v>-6525309.3639345067</v>
      </c>
      <c r="T1200" s="404">
        <v>-6797966.7446855558</v>
      </c>
      <c r="U1200" s="404">
        <v>-7226180.5668591363</v>
      </c>
      <c r="V1200" s="404">
        <v>-7574706.0336979246</v>
      </c>
      <c r="W1200" s="327"/>
    </row>
    <row r="1201" spans="1:23" ht="13.5" thickBot="1" x14ac:dyDescent="0.25">
      <c r="A1201" s="9"/>
      <c r="B1201" s="310" t="s">
        <v>221</v>
      </c>
      <c r="C1201" s="444">
        <v>0</v>
      </c>
      <c r="D1201" s="406">
        <v>-29590208.582730409</v>
      </c>
      <c r="E1201" s="406">
        <v>-27314589.478375949</v>
      </c>
      <c r="F1201" s="406">
        <v>-25216406.202825435</v>
      </c>
      <c r="G1201" s="406">
        <v>-23791347.165469769</v>
      </c>
      <c r="H1201" s="406">
        <v>-40491941.661645375</v>
      </c>
      <c r="I1201" s="406">
        <v>-45185965.737215698</v>
      </c>
      <c r="J1201" s="406">
        <v>-50355263.378043056</v>
      </c>
      <c r="K1201" s="406">
        <v>-52682063.784479082</v>
      </c>
      <c r="L1201" s="406">
        <v>-53701917.587227225</v>
      </c>
      <c r="M1201" s="406">
        <v>-53103822.937743455</v>
      </c>
      <c r="N1201" s="406">
        <v>-53973283.911606163</v>
      </c>
      <c r="O1201" s="406">
        <v>-54205687.799679272</v>
      </c>
      <c r="P1201" s="406">
        <v>-54833561.948358566</v>
      </c>
      <c r="Q1201" s="406">
        <v>-57277742.404397041</v>
      </c>
      <c r="R1201" s="406">
        <v>-63087655.431691684</v>
      </c>
      <c r="S1201" s="406">
        <v>-61746877.282132208</v>
      </c>
      <c r="T1201" s="406">
        <v>-62314015.188386612</v>
      </c>
      <c r="U1201" s="406">
        <v>-66131736.389991373</v>
      </c>
      <c r="V1201" s="406">
        <v>-69040202.151628181</v>
      </c>
      <c r="W1201" s="327"/>
    </row>
    <row r="1202" spans="1:23" ht="13.5" thickTop="1" x14ac:dyDescent="0.2">
      <c r="A1202" s="9"/>
      <c r="B1202" s="311" t="s">
        <v>183</v>
      </c>
      <c r="C1202" s="446">
        <v>0</v>
      </c>
      <c r="D1202" s="410">
        <v>44385312.874095604</v>
      </c>
      <c r="E1202" s="410">
        <v>40971884.21756392</v>
      </c>
      <c r="F1202" s="410">
        <v>37824609.304238148</v>
      </c>
      <c r="G1202" s="410">
        <v>35687020.748204648</v>
      </c>
      <c r="H1202" s="410">
        <v>60737912.492468052</v>
      </c>
      <c r="I1202" s="410">
        <v>67778948.605823532</v>
      </c>
      <c r="J1202" s="410">
        <v>75532895.067064568</v>
      </c>
      <c r="K1202" s="410">
        <v>79023095.676718622</v>
      </c>
      <c r="L1202" s="410">
        <v>80552876.380840838</v>
      </c>
      <c r="M1202" s="410">
        <v>79655734.406615183</v>
      </c>
      <c r="N1202" s="410">
        <v>80959925.867409229</v>
      </c>
      <c r="O1202" s="410">
        <v>81308531.699518889</v>
      </c>
      <c r="P1202" s="410">
        <v>82250342.922537833</v>
      </c>
      <c r="Q1202" s="410">
        <v>85916613.606595546</v>
      </c>
      <c r="R1202" s="410">
        <v>94631483.147537529</v>
      </c>
      <c r="S1202" s="410">
        <v>92620315.923198313</v>
      </c>
      <c r="T1202" s="410">
        <v>93471022.782579899</v>
      </c>
      <c r="U1202" s="410">
        <v>99197604.584987044</v>
      </c>
      <c r="V1202" s="410">
        <v>103560303.22744225</v>
      </c>
      <c r="W1202" s="327"/>
    </row>
    <row r="1203" spans="1:23" x14ac:dyDescent="0.2">
      <c r="A1203" s="9"/>
      <c r="B1203" s="309" t="s">
        <v>37</v>
      </c>
      <c r="C1203" s="443">
        <v>0</v>
      </c>
      <c r="D1203" s="404">
        <v>44637673.787173003</v>
      </c>
      <c r="E1203" s="404">
        <v>47669468.579708897</v>
      </c>
      <c r="F1203" s="404">
        <v>50850855.7807751</v>
      </c>
      <c r="G1203" s="404">
        <v>51374016.858580701</v>
      </c>
      <c r="H1203" s="404">
        <v>9696845.0739510022</v>
      </c>
      <c r="I1203" s="404">
        <v>8370228.7461915202</v>
      </c>
      <c r="J1203" s="404">
        <v>6466648.0014499975</v>
      </c>
      <c r="K1203" s="404">
        <v>4426034.8819996389</v>
      </c>
      <c r="L1203" s="404">
        <v>4401674.1067801276</v>
      </c>
      <c r="M1203" s="404">
        <v>4733687.0562821794</v>
      </c>
      <c r="N1203" s="404">
        <v>5084603.2383603482</v>
      </c>
      <c r="O1203" s="404">
        <v>5443621.0576264895</v>
      </c>
      <c r="P1203" s="404">
        <v>5652728.429188299</v>
      </c>
      <c r="Q1203" s="404">
        <v>5872889.2918969626</v>
      </c>
      <c r="R1203" s="404">
        <v>6264780.1204868844</v>
      </c>
      <c r="S1203" s="404">
        <v>6525309.3639345067</v>
      </c>
      <c r="T1203" s="404">
        <v>6797966.7446855558</v>
      </c>
      <c r="U1203" s="404">
        <v>7226180.5668591363</v>
      </c>
      <c r="V1203" s="404">
        <v>7574706.0336979246</v>
      </c>
      <c r="W1203" s="327"/>
    </row>
    <row r="1204" spans="1:23" x14ac:dyDescent="0.2">
      <c r="A1204" s="9"/>
      <c r="B1204" s="309" t="s">
        <v>39</v>
      </c>
      <c r="C1204" s="443">
        <v>0</v>
      </c>
      <c r="D1204" s="404">
        <v>-2047591.71</v>
      </c>
      <c r="E1204" s="404">
        <v>-7775098.5700000077</v>
      </c>
      <c r="F1204" s="404">
        <v>-3053459.57</v>
      </c>
      <c r="G1204" s="404">
        <v>-5375258.9699999997</v>
      </c>
      <c r="H1204" s="404">
        <v>-6217891.3880000012</v>
      </c>
      <c r="I1204" s="404">
        <v>-6404428.1296400018</v>
      </c>
      <c r="J1204" s="404">
        <v>-6596560.9735292019</v>
      </c>
      <c r="K1204" s="404">
        <v>-6794457.8027350781</v>
      </c>
      <c r="L1204" s="404">
        <v>-6998291.5368171306</v>
      </c>
      <c r="M1204" s="404">
        <v>-7208240.2829216449</v>
      </c>
      <c r="N1204" s="404">
        <v>-7424487.4914092943</v>
      </c>
      <c r="O1204" s="404">
        <v>-7647222.1161515731</v>
      </c>
      <c r="P1204" s="404">
        <v>-7876638.7796361204</v>
      </c>
      <c r="Q1204" s="404">
        <v>-8112937.9430252044</v>
      </c>
      <c r="R1204" s="404">
        <v>-8356326.0813159607</v>
      </c>
      <c r="S1204" s="404">
        <v>-8607015.8637554403</v>
      </c>
      <c r="T1204" s="404">
        <v>-8865226.3396681044</v>
      </c>
      <c r="U1204" s="404">
        <v>-9131183.1298581474</v>
      </c>
      <c r="V1204" s="404">
        <v>-9405118.6237538923</v>
      </c>
      <c r="W1204" s="327"/>
    </row>
    <row r="1205" spans="1:23" ht="13.5" thickBot="1" x14ac:dyDescent="0.25">
      <c r="A1205" s="9"/>
      <c r="B1205" s="310" t="s">
        <v>40</v>
      </c>
      <c r="C1205" s="444">
        <v>0</v>
      </c>
      <c r="D1205" s="406">
        <v>-2705818.05</v>
      </c>
      <c r="E1205" s="406">
        <v>-33595797.910000004</v>
      </c>
      <c r="F1205" s="406">
        <v>-5038796.01</v>
      </c>
      <c r="G1205" s="406">
        <v>0</v>
      </c>
      <c r="H1205" s="406">
        <v>0</v>
      </c>
      <c r="I1205" s="406">
        <v>0</v>
      </c>
      <c r="J1205" s="406">
        <v>0</v>
      </c>
      <c r="K1205" s="406">
        <v>0</v>
      </c>
      <c r="L1205" s="406">
        <v>0</v>
      </c>
      <c r="M1205" s="406">
        <v>0</v>
      </c>
      <c r="N1205" s="406">
        <v>0</v>
      </c>
      <c r="O1205" s="406">
        <v>0</v>
      </c>
      <c r="P1205" s="406">
        <v>0</v>
      </c>
      <c r="Q1205" s="406">
        <v>0</v>
      </c>
      <c r="R1205" s="406">
        <v>0</v>
      </c>
      <c r="S1205" s="406">
        <v>0</v>
      </c>
      <c r="T1205" s="406">
        <v>0</v>
      </c>
      <c r="U1205" s="406">
        <v>0</v>
      </c>
      <c r="V1205" s="406">
        <v>0</v>
      </c>
      <c r="W1205" s="327"/>
    </row>
    <row r="1206" spans="1:23" ht="13.5" thickTop="1" x14ac:dyDescent="0.2">
      <c r="A1206" s="9"/>
      <c r="B1206" s="309"/>
      <c r="C1206" s="447"/>
      <c r="D1206" s="327"/>
      <c r="E1206" s="327"/>
      <c r="F1206" s="327"/>
      <c r="G1206" s="327"/>
      <c r="H1206" s="327"/>
      <c r="I1206" s="327"/>
      <c r="J1206" s="327"/>
      <c r="K1206" s="327"/>
      <c r="L1206" s="327"/>
      <c r="M1206" s="327"/>
      <c r="N1206" s="327"/>
      <c r="O1206" s="327"/>
      <c r="P1206" s="327"/>
      <c r="Q1206" s="327"/>
      <c r="R1206" s="327"/>
      <c r="S1206" s="327"/>
      <c r="T1206" s="327"/>
      <c r="U1206" s="327"/>
      <c r="V1206" s="327"/>
      <c r="W1206" s="327"/>
    </row>
    <row r="1207" spans="1:23" x14ac:dyDescent="0.2">
      <c r="A1207" s="9"/>
      <c r="B1207" s="311" t="s">
        <v>233</v>
      </c>
      <c r="C1207" s="446">
        <v>0</v>
      </c>
      <c r="D1207" s="410">
        <v>84269576.901268616</v>
      </c>
      <c r="E1207" s="410">
        <v>47270456.317272805</v>
      </c>
      <c r="F1207" s="410">
        <v>80583209.505013242</v>
      </c>
      <c r="G1207" s="410">
        <v>81685778.636785358</v>
      </c>
      <c r="H1207" s="410">
        <v>64216866.178419046</v>
      </c>
      <c r="I1207" s="410">
        <v>69744749.22237505</v>
      </c>
      <c r="J1207" s="410">
        <v>75402982.094985366</v>
      </c>
      <c r="K1207" s="410">
        <v>76654672.755983189</v>
      </c>
      <c r="L1207" s="410">
        <v>77956258.950803831</v>
      </c>
      <c r="M1207" s="410">
        <v>77181181.179975718</v>
      </c>
      <c r="N1207" s="410">
        <v>78620041.614360273</v>
      </c>
      <c r="O1207" s="410">
        <v>79104930.640993804</v>
      </c>
      <c r="P1207" s="410">
        <v>80026432.572090015</v>
      </c>
      <c r="Q1207" s="410">
        <v>83676564.955467314</v>
      </c>
      <c r="R1207" s="410">
        <v>92539937.18670845</v>
      </c>
      <c r="S1207" s="410">
        <v>90538609.42337738</v>
      </c>
      <c r="T1207" s="410">
        <v>91403763.187597349</v>
      </c>
      <c r="U1207" s="410">
        <v>97292602.021988034</v>
      </c>
      <c r="V1207" s="410">
        <v>101729890.63738628</v>
      </c>
      <c r="W1207" s="408">
        <v>535876271.0610261</v>
      </c>
    </row>
    <row r="1208" spans="1:23" x14ac:dyDescent="0.2">
      <c r="A1208" s="9"/>
      <c r="B1208" s="286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</row>
    <row r="1209" spans="1:23" x14ac:dyDescent="0.2">
      <c r="A1209" s="302" t="s">
        <v>218</v>
      </c>
      <c r="B1209" s="300" t="s">
        <v>170</v>
      </c>
      <c r="C1209" s="433">
        <v>271884664.53445572</v>
      </c>
      <c r="D1209" s="9"/>
      <c r="E1209" s="137" t="s">
        <v>219</v>
      </c>
      <c r="F1209" s="313" t="s">
        <v>170</v>
      </c>
      <c r="G1209" s="437">
        <v>271884664.53445572</v>
      </c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</row>
    <row r="1210" spans="1:23" x14ac:dyDescent="0.2">
      <c r="A1210" s="9"/>
      <c r="B1210" s="300" t="s">
        <v>180</v>
      </c>
      <c r="C1210" s="433">
        <v>368690532.8449074</v>
      </c>
      <c r="D1210" s="9"/>
      <c r="E1210" s="315"/>
      <c r="F1210" s="313" t="s">
        <v>180</v>
      </c>
      <c r="G1210" s="437">
        <v>368690532.8449074</v>
      </c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</row>
    <row r="1211" spans="1:23" ht="13.5" thickBot="1" x14ac:dyDescent="0.25">
      <c r="A1211" s="9"/>
      <c r="B1211" s="316" t="s">
        <v>137</v>
      </c>
      <c r="C1211" s="434">
        <v>79654593.102560252</v>
      </c>
      <c r="D1211" s="317"/>
      <c r="E1211" s="315"/>
      <c r="F1211" s="313" t="s">
        <v>137</v>
      </c>
      <c r="G1211" s="437">
        <v>79654593.102560252</v>
      </c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</row>
    <row r="1212" spans="1:23" ht="14.25" thickTop="1" thickBot="1" x14ac:dyDescent="0.25">
      <c r="A1212" s="9"/>
      <c r="B1212" s="300" t="s">
        <v>28</v>
      </c>
      <c r="C1212" s="432">
        <v>720229790.48192346</v>
      </c>
      <c r="D1212" s="299"/>
      <c r="E1212" s="315"/>
      <c r="F1212" s="318" t="s">
        <v>203</v>
      </c>
      <c r="G1212" s="319">
        <v>0</v>
      </c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</row>
    <row r="1213" spans="1:23" ht="13.5" thickTop="1" x14ac:dyDescent="0.2">
      <c r="A1213" s="9"/>
      <c r="B1213" s="286"/>
      <c r="C1213" s="320"/>
      <c r="D1213" s="9"/>
      <c r="E1213" s="321"/>
      <c r="F1213" s="313" t="s">
        <v>28</v>
      </c>
      <c r="G1213" s="362">
        <v>720229790.48192346</v>
      </c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</row>
    <row r="1214" spans="1:23" x14ac:dyDescent="0.2">
      <c r="A1214" s="9"/>
      <c r="B1214" s="286"/>
      <c r="C1214" s="320"/>
      <c r="D1214" s="9"/>
      <c r="E1214" s="321"/>
      <c r="F1214" s="313"/>
      <c r="G1214" s="322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</row>
    <row r="1215" spans="1:23" x14ac:dyDescent="0.2">
      <c r="A1215" s="9"/>
      <c r="B1215" s="286"/>
      <c r="C1215" s="320"/>
      <c r="D1215" s="9"/>
      <c r="E1215" s="321"/>
      <c r="F1215" s="313"/>
      <c r="G1215" s="322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</row>
    <row r="1216" spans="1:23" x14ac:dyDescent="0.2">
      <c r="A1216" s="9"/>
      <c r="B1216" s="323" t="s">
        <v>222</v>
      </c>
      <c r="C1216" s="320"/>
      <c r="D1216" s="9"/>
      <c r="E1216" s="321"/>
      <c r="F1216" s="313"/>
      <c r="G1216" s="322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</row>
    <row r="1217" spans="1:23" x14ac:dyDescent="0.2">
      <c r="A1217" s="324" t="s">
        <v>224</v>
      </c>
      <c r="B1217" s="323" t="s">
        <v>223</v>
      </c>
      <c r="C1217" s="325"/>
      <c r="D1217" s="326">
        <v>44385312.874095604</v>
      </c>
      <c r="E1217" s="326">
        <v>40971884.21756392</v>
      </c>
      <c r="F1217" s="326">
        <v>37824609.304238148</v>
      </c>
      <c r="G1217" s="326">
        <v>35687020.748204648</v>
      </c>
      <c r="H1217" s="326">
        <v>60737912.492468052</v>
      </c>
      <c r="I1217" s="326">
        <v>67778948.605823532</v>
      </c>
      <c r="J1217" s="326">
        <v>75532895.067064568</v>
      </c>
      <c r="K1217" s="326">
        <v>79023095.676718622</v>
      </c>
      <c r="L1217" s="326">
        <v>80552876.380840838</v>
      </c>
      <c r="M1217" s="326">
        <v>79655734.406615183</v>
      </c>
      <c r="N1217" s="326">
        <v>80959925.867409229</v>
      </c>
      <c r="O1217" s="326">
        <v>81308531.699518889</v>
      </c>
      <c r="P1217" s="326">
        <v>82250342.922537833</v>
      </c>
      <c r="Q1217" s="326">
        <v>85916613.606595546</v>
      </c>
      <c r="R1217" s="326">
        <v>94631483.147537529</v>
      </c>
      <c r="S1217" s="326">
        <v>92620315.923198313</v>
      </c>
      <c r="T1217" s="326">
        <v>93471022.782579899</v>
      </c>
      <c r="U1217" s="326">
        <v>99197604.584987044</v>
      </c>
      <c r="V1217" s="326">
        <v>103560303.22744225</v>
      </c>
      <c r="W1217" s="9"/>
    </row>
    <row r="1218" spans="1:23" x14ac:dyDescent="0.2">
      <c r="A1218" s="9"/>
      <c r="B1218" s="286" t="s">
        <v>225</v>
      </c>
      <c r="C1218" s="320"/>
      <c r="D1218" s="327">
        <v>29590208.582730409</v>
      </c>
      <c r="E1218" s="327">
        <v>27314589.478375949</v>
      </c>
      <c r="F1218" s="327">
        <v>25216406.202825435</v>
      </c>
      <c r="G1218" s="327">
        <v>23791347.165469769</v>
      </c>
      <c r="H1218" s="327">
        <v>40491941.661645375</v>
      </c>
      <c r="I1218" s="327">
        <v>45185965.737215698</v>
      </c>
      <c r="J1218" s="327">
        <v>50355263.378043056</v>
      </c>
      <c r="K1218" s="327">
        <v>52682063.784479082</v>
      </c>
      <c r="L1218" s="327">
        <v>53701917.587227225</v>
      </c>
      <c r="M1218" s="327">
        <v>53103822.937743455</v>
      </c>
      <c r="N1218" s="327">
        <v>53973283.911606163</v>
      </c>
      <c r="O1218" s="327">
        <v>54205687.799679272</v>
      </c>
      <c r="P1218" s="327">
        <v>54833561.948358566</v>
      </c>
      <c r="Q1218" s="327">
        <v>57277742.404397041</v>
      </c>
      <c r="R1218" s="327">
        <v>63087655.431691684</v>
      </c>
      <c r="S1218" s="327">
        <v>61746877.282132208</v>
      </c>
      <c r="T1218" s="327">
        <v>62314015.188386612</v>
      </c>
      <c r="U1218" s="327">
        <v>66131736.389991373</v>
      </c>
      <c r="V1218" s="327">
        <v>69040202.151628181</v>
      </c>
      <c r="W1218" s="9"/>
    </row>
    <row r="1219" spans="1:23" x14ac:dyDescent="0.2">
      <c r="A1219" s="9"/>
      <c r="B1219" s="328" t="s">
        <v>226</v>
      </c>
      <c r="C1219" s="329"/>
      <c r="D1219" s="327">
        <v>44637673.787173003</v>
      </c>
      <c r="E1219" s="327">
        <v>47669468.579708897</v>
      </c>
      <c r="F1219" s="327">
        <v>50850855.7807751</v>
      </c>
      <c r="G1219" s="327">
        <v>51374016.858580701</v>
      </c>
      <c r="H1219" s="327">
        <v>9696845.0739510022</v>
      </c>
      <c r="I1219" s="327">
        <v>8370228.7461915202</v>
      </c>
      <c r="J1219" s="327">
        <v>6466648.0014499975</v>
      </c>
      <c r="K1219" s="327">
        <v>4426034.8819996389</v>
      </c>
      <c r="L1219" s="327">
        <v>4401674.1067801276</v>
      </c>
      <c r="M1219" s="327">
        <v>4733687.0562821794</v>
      </c>
      <c r="N1219" s="327">
        <v>5084603.2383603482</v>
      </c>
      <c r="O1219" s="327">
        <v>5443621.0576264895</v>
      </c>
      <c r="P1219" s="327">
        <v>5652728.429188299</v>
      </c>
      <c r="Q1219" s="327">
        <v>5872889.2918969626</v>
      </c>
      <c r="R1219" s="327">
        <v>6264780.1204868844</v>
      </c>
      <c r="S1219" s="327">
        <v>6525309.3639345067</v>
      </c>
      <c r="T1219" s="327">
        <v>6797966.7446855558</v>
      </c>
      <c r="U1219" s="327">
        <v>7226180.5668591363</v>
      </c>
      <c r="V1219" s="327">
        <v>7574706.0336979246</v>
      </c>
      <c r="W1219" s="9"/>
    </row>
    <row r="1220" spans="1:23" ht="13.5" thickBot="1" x14ac:dyDescent="0.25">
      <c r="A1220" s="9"/>
      <c r="B1220" s="330" t="s">
        <v>227</v>
      </c>
      <c r="C1220" s="331"/>
      <c r="D1220" s="332">
        <v>118613195.24399902</v>
      </c>
      <c r="E1220" s="332">
        <v>115955942.27564877</v>
      </c>
      <c r="F1220" s="332">
        <v>113891871.28783868</v>
      </c>
      <c r="G1220" s="332">
        <v>110852384.77225512</v>
      </c>
      <c r="H1220" s="332">
        <v>110926699.22806443</v>
      </c>
      <c r="I1220" s="332">
        <v>121335143.08923075</v>
      </c>
      <c r="J1220" s="332">
        <v>132354806.44655763</v>
      </c>
      <c r="K1220" s="332">
        <v>136131194.34319735</v>
      </c>
      <c r="L1220" s="332">
        <v>138656468.0748482</v>
      </c>
      <c r="M1220" s="332">
        <v>137493244.40064082</v>
      </c>
      <c r="N1220" s="332">
        <v>140017813.01737574</v>
      </c>
      <c r="O1220" s="332">
        <v>140957840.55682465</v>
      </c>
      <c r="P1220" s="332">
        <v>142736633.30008471</v>
      </c>
      <c r="Q1220" s="332">
        <v>149067245.30288956</v>
      </c>
      <c r="R1220" s="332">
        <v>163983918.69971609</v>
      </c>
      <c r="S1220" s="332">
        <v>160892502.56926504</v>
      </c>
      <c r="T1220" s="332">
        <v>162583004.71565208</v>
      </c>
      <c r="U1220" s="332">
        <v>172555521.54183754</v>
      </c>
      <c r="V1220" s="332">
        <v>180175211.41276836</v>
      </c>
      <c r="W1220" s="9"/>
    </row>
    <row r="1221" spans="1:23" ht="13.5" thickTop="1" x14ac:dyDescent="0.2">
      <c r="A1221" s="324" t="s">
        <v>228</v>
      </c>
      <c r="B1221" s="286" t="s">
        <v>229</v>
      </c>
      <c r="C1221" s="320"/>
      <c r="D1221" s="327">
        <v>-38013885.586172812</v>
      </c>
      <c r="E1221" s="327">
        <v>-40082430.410172805</v>
      </c>
      <c r="F1221" s="327">
        <v>-40235103.388672806</v>
      </c>
      <c r="G1221" s="327">
        <v>-40503866.337172806</v>
      </c>
      <c r="H1221" s="327">
        <v>-40814760.906572804</v>
      </c>
      <c r="I1221" s="327">
        <v>-41134982.313054807</v>
      </c>
      <c r="J1221" s="327">
        <v>-41464810.361731268</v>
      </c>
      <c r="K1221" s="327">
        <v>-41804533.251868024</v>
      </c>
      <c r="L1221" s="327">
        <v>-42154447.82870888</v>
      </c>
      <c r="M1221" s="327">
        <v>-42514859.842854962</v>
      </c>
      <c r="N1221" s="327">
        <v>-42886084.217425428</v>
      </c>
      <c r="O1221" s="327">
        <v>-43268445.323233001</v>
      </c>
      <c r="P1221" s="327">
        <v>-43662277.26221481</v>
      </c>
      <c r="Q1221" s="327">
        <v>-44067924.159366071</v>
      </c>
      <c r="R1221" s="327">
        <v>-44485740.463431865</v>
      </c>
      <c r="S1221" s="327">
        <v>-44916091.25661964</v>
      </c>
      <c r="T1221" s="327">
        <v>-45359352.573603041</v>
      </c>
      <c r="U1221" s="327">
        <v>-45815911.730095953</v>
      </c>
      <c r="V1221" s="327">
        <v>-46286167.66128365</v>
      </c>
      <c r="W1221" s="9"/>
    </row>
    <row r="1222" spans="1:23" x14ac:dyDescent="0.2">
      <c r="A1222" s="9"/>
      <c r="B1222" s="286" t="s">
        <v>230</v>
      </c>
      <c r="C1222" s="320"/>
      <c r="D1222" s="327">
        <v>0</v>
      </c>
      <c r="E1222" s="327">
        <v>0</v>
      </c>
      <c r="F1222" s="327">
        <v>0</v>
      </c>
      <c r="G1222" s="327">
        <v>0</v>
      </c>
      <c r="H1222" s="327">
        <v>0</v>
      </c>
      <c r="I1222" s="327">
        <v>0</v>
      </c>
      <c r="J1222" s="327">
        <v>0</v>
      </c>
      <c r="K1222" s="327">
        <v>0</v>
      </c>
      <c r="L1222" s="327">
        <v>0</v>
      </c>
      <c r="M1222" s="327">
        <v>0</v>
      </c>
      <c r="N1222" s="327">
        <v>0</v>
      </c>
      <c r="O1222" s="327">
        <v>0</v>
      </c>
      <c r="P1222" s="327">
        <v>0</v>
      </c>
      <c r="Q1222" s="327">
        <v>0</v>
      </c>
      <c r="R1222" s="327">
        <v>0</v>
      </c>
      <c r="S1222" s="327">
        <v>0</v>
      </c>
      <c r="T1222" s="327">
        <v>0</v>
      </c>
      <c r="U1222" s="327">
        <v>0</v>
      </c>
      <c r="V1222" s="327">
        <v>0</v>
      </c>
      <c r="W1222" s="9"/>
    </row>
    <row r="1223" spans="1:23" x14ac:dyDescent="0.2">
      <c r="A1223" s="9"/>
      <c r="B1223" s="323" t="s">
        <v>231</v>
      </c>
      <c r="C1223" s="325"/>
      <c r="D1223" s="326">
        <v>80599309.657826215</v>
      </c>
      <c r="E1223" s="326">
        <v>75873511.865475968</v>
      </c>
      <c r="F1223" s="326">
        <v>73656767.899165869</v>
      </c>
      <c r="G1223" s="326">
        <v>70348518.435082316</v>
      </c>
      <c r="H1223" s="326">
        <v>70111938.321491629</v>
      </c>
      <c r="I1223" s="326">
        <v>80200160.776175946</v>
      </c>
      <c r="J1223" s="326">
        <v>90889996.08482635</v>
      </c>
      <c r="K1223" s="326">
        <v>94326661.091329321</v>
      </c>
      <c r="L1223" s="326">
        <v>96502020.246139318</v>
      </c>
      <c r="M1223" s="326">
        <v>94978384.557785854</v>
      </c>
      <c r="N1223" s="326">
        <v>97131728.799950302</v>
      </c>
      <c r="O1223" s="326">
        <v>97689395.233591646</v>
      </c>
      <c r="P1223" s="326">
        <v>99074356.0378699</v>
      </c>
      <c r="Q1223" s="326">
        <v>104999321.14352348</v>
      </c>
      <c r="R1223" s="326">
        <v>119498178.23628423</v>
      </c>
      <c r="S1223" s="326">
        <v>115976411.31264541</v>
      </c>
      <c r="T1223" s="326">
        <v>117223652.14204904</v>
      </c>
      <c r="U1223" s="326">
        <v>126739609.81174159</v>
      </c>
      <c r="V1223" s="326">
        <v>133889043.75148472</v>
      </c>
      <c r="W1223" s="9"/>
    </row>
    <row r="1224" spans="1:23" ht="13.5" thickBot="1" x14ac:dyDescent="0.25">
      <c r="A1224" s="9"/>
      <c r="B1224" s="333" t="s">
        <v>237</v>
      </c>
      <c r="C1224" s="334"/>
      <c r="D1224" s="335">
        <v>-32239723.863130488</v>
      </c>
      <c r="E1224" s="335">
        <v>-30349404.746190388</v>
      </c>
      <c r="F1224" s="335">
        <v>-29462707.159666348</v>
      </c>
      <c r="G1224" s="335">
        <v>-28139407.37403293</v>
      </c>
      <c r="H1224" s="335">
        <v>-28044775.328596652</v>
      </c>
      <c r="I1224" s="335">
        <v>-32080064.31047038</v>
      </c>
      <c r="J1224" s="335">
        <v>-36355998.433930539</v>
      </c>
      <c r="K1224" s="335">
        <v>-37730664.43653173</v>
      </c>
      <c r="L1224" s="335">
        <v>-38600808.098455727</v>
      </c>
      <c r="M1224" s="335">
        <v>-37991353.823114343</v>
      </c>
      <c r="N1224" s="335">
        <v>-38852691.519980125</v>
      </c>
      <c r="O1224" s="335">
        <v>-39075758.093436658</v>
      </c>
      <c r="P1224" s="335">
        <v>-39629742.41514796</v>
      </c>
      <c r="Q1224" s="335">
        <v>-41999728.457409397</v>
      </c>
      <c r="R1224" s="335">
        <v>-47799271.294513695</v>
      </c>
      <c r="S1224" s="335">
        <v>-46390564.525058165</v>
      </c>
      <c r="T1224" s="335">
        <v>-46889460.856819622</v>
      </c>
      <c r="U1224" s="335">
        <v>-50695843.924696639</v>
      </c>
      <c r="V1224" s="335">
        <v>-53555617.500593893</v>
      </c>
      <c r="W1224" s="9"/>
    </row>
    <row r="1225" spans="1:23" ht="13.5" thickTop="1" x14ac:dyDescent="0.2">
      <c r="A1225" s="9"/>
      <c r="B1225" s="323" t="s">
        <v>232</v>
      </c>
      <c r="C1225" s="325"/>
      <c r="D1225" s="326">
        <v>48359585.794695728</v>
      </c>
      <c r="E1225" s="326">
        <v>45524107.119285583</v>
      </c>
      <c r="F1225" s="326">
        <v>44194060.739499524</v>
      </c>
      <c r="G1225" s="326">
        <v>42209111.061049387</v>
      </c>
      <c r="H1225" s="326">
        <v>42067162.992894977</v>
      </c>
      <c r="I1225" s="326">
        <v>48120096.465705566</v>
      </c>
      <c r="J1225" s="326">
        <v>54533997.650895812</v>
      </c>
      <c r="K1225" s="326">
        <v>56595996.654797591</v>
      </c>
      <c r="L1225" s="326">
        <v>57901212.147683591</v>
      </c>
      <c r="M1225" s="326">
        <v>56987030.734671511</v>
      </c>
      <c r="N1225" s="326">
        <v>58279037.279970177</v>
      </c>
      <c r="O1225" s="326">
        <v>58613637.140154988</v>
      </c>
      <c r="P1225" s="326">
        <v>59444613.62272194</v>
      </c>
      <c r="Q1225" s="326">
        <v>62999592.686114088</v>
      </c>
      <c r="R1225" s="326">
        <v>71698906.941770524</v>
      </c>
      <c r="S1225" s="326">
        <v>69585846.78758724</v>
      </c>
      <c r="T1225" s="326">
        <v>70334191.285229415</v>
      </c>
      <c r="U1225" s="326">
        <v>76043765.887044951</v>
      </c>
      <c r="V1225" s="326">
        <v>80333426.250890821</v>
      </c>
      <c r="W1225" s="9"/>
    </row>
    <row r="1226" spans="1:23" x14ac:dyDescent="0.2">
      <c r="A1226" s="9"/>
      <c r="B1226" s="9"/>
      <c r="C1226" s="320"/>
      <c r="D1226" s="9"/>
      <c r="E1226" s="321"/>
      <c r="F1226" s="313"/>
      <c r="G1226" s="322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</row>
    <row r="1227" spans="1:23" ht="15.75" x14ac:dyDescent="0.25">
      <c r="A1227" s="336" t="s">
        <v>205</v>
      </c>
      <c r="B1227" s="337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</row>
    <row r="1228" spans="1:23" x14ac:dyDescent="0.2">
      <c r="A1228" s="284" t="s">
        <v>190</v>
      </c>
      <c r="B1228" s="303"/>
      <c r="C1228" s="338">
        <v>0</v>
      </c>
      <c r="D1228" s="277"/>
      <c r="E1228" s="277"/>
      <c r="F1228" s="277"/>
      <c r="G1228" s="277"/>
      <c r="H1228" s="277"/>
      <c r="I1228" s="277"/>
      <c r="J1228" s="277"/>
      <c r="K1228" s="277"/>
      <c r="L1228" s="277"/>
      <c r="M1228" s="277"/>
      <c r="N1228" s="277"/>
      <c r="O1228" s="277"/>
      <c r="P1228" s="277"/>
      <c r="Q1228" s="277"/>
      <c r="R1228" s="277"/>
      <c r="S1228" s="277"/>
      <c r="T1228" s="277"/>
      <c r="U1228" s="277"/>
      <c r="V1228" s="277"/>
      <c r="W1228" s="277"/>
    </row>
    <row r="1229" spans="1:23" x14ac:dyDescent="0.2">
      <c r="A1229" s="284" t="s">
        <v>191</v>
      </c>
      <c r="B1229" s="303"/>
      <c r="C1229" s="339">
        <v>0</v>
      </c>
      <c r="D1229" s="277"/>
      <c r="E1229" s="277"/>
      <c r="F1229" s="277"/>
      <c r="G1229" s="277"/>
      <c r="H1229" s="277"/>
      <c r="I1229" s="277"/>
      <c r="J1229" s="277"/>
      <c r="K1229" s="277"/>
      <c r="L1229" s="277"/>
      <c r="M1229" s="277"/>
      <c r="N1229" s="277"/>
      <c r="O1229" s="277"/>
      <c r="P1229" s="277"/>
      <c r="Q1229" s="277"/>
      <c r="R1229" s="277"/>
      <c r="S1229" s="277"/>
      <c r="T1229" s="277"/>
      <c r="U1229" s="277"/>
      <c r="V1229" s="277"/>
      <c r="W1229" s="277"/>
    </row>
    <row r="1230" spans="1:23" x14ac:dyDescent="0.2">
      <c r="A1230" s="284" t="s">
        <v>201</v>
      </c>
      <c r="B1230" s="303"/>
      <c r="C1230" s="284">
        <v>15</v>
      </c>
      <c r="D1230" s="277"/>
      <c r="E1230" s="277"/>
      <c r="F1230" s="277"/>
      <c r="G1230" s="277"/>
      <c r="H1230" s="277"/>
      <c r="I1230" s="277"/>
      <c r="J1230" s="277"/>
      <c r="K1230" s="277"/>
      <c r="L1230" s="277"/>
      <c r="M1230" s="277"/>
      <c r="N1230" s="277"/>
      <c r="O1230" s="277"/>
      <c r="P1230" s="277"/>
      <c r="Q1230" s="277"/>
      <c r="R1230" s="277"/>
      <c r="S1230" s="277"/>
      <c r="T1230" s="277"/>
      <c r="U1230" s="277"/>
      <c r="V1230" s="277"/>
      <c r="W1230" s="277"/>
    </row>
    <row r="1231" spans="1:23" x14ac:dyDescent="0.2">
      <c r="A1231" s="284" t="s">
        <v>192</v>
      </c>
      <c r="B1231" s="303"/>
      <c r="C1231" s="339">
        <v>0</v>
      </c>
      <c r="D1231" s="277"/>
      <c r="E1231" s="277"/>
      <c r="F1231" s="277"/>
      <c r="G1231" s="277"/>
      <c r="H1231" s="277"/>
      <c r="I1231" s="277"/>
      <c r="J1231" s="277"/>
      <c r="K1231" s="277"/>
      <c r="L1231" s="277"/>
      <c r="M1231" s="277"/>
      <c r="N1231" s="277"/>
      <c r="O1231" s="277"/>
      <c r="P1231" s="277"/>
      <c r="Q1231" s="277"/>
      <c r="R1231" s="277"/>
      <c r="S1231" s="277"/>
      <c r="T1231" s="277"/>
      <c r="U1231" s="277"/>
      <c r="V1231" s="277"/>
      <c r="W1231" s="277"/>
    </row>
    <row r="1232" spans="1:23" x14ac:dyDescent="0.2">
      <c r="A1232" s="284" t="s">
        <v>193</v>
      </c>
      <c r="B1232" s="303"/>
      <c r="C1232" s="340">
        <v>8.7499999999999994E-2</v>
      </c>
      <c r="D1232" s="277"/>
      <c r="E1232" s="277"/>
      <c r="F1232" s="277"/>
      <c r="G1232" s="277"/>
      <c r="H1232" s="277"/>
      <c r="I1232" s="277"/>
      <c r="J1232" s="277"/>
      <c r="K1232" s="277"/>
      <c r="L1232" s="277"/>
      <c r="M1232" s="277"/>
      <c r="N1232" s="277"/>
      <c r="O1232" s="277"/>
      <c r="P1232" s="277"/>
      <c r="Q1232" s="277"/>
      <c r="R1232" s="277"/>
      <c r="S1232" s="277"/>
      <c r="T1232" s="277"/>
      <c r="U1232" s="277"/>
      <c r="V1232" s="277"/>
      <c r="W1232" s="277"/>
    </row>
    <row r="1233" spans="1:23" x14ac:dyDescent="0.2">
      <c r="A1233" s="284"/>
      <c r="B1233" s="303"/>
      <c r="C1233" s="277"/>
      <c r="D1233" s="306">
        <v>2001</v>
      </c>
      <c r="E1233" s="306">
        <v>2002</v>
      </c>
      <c r="F1233" s="306">
        <v>2003</v>
      </c>
      <c r="G1233" s="306">
        <v>2004</v>
      </c>
      <c r="H1233" s="306">
        <v>2005</v>
      </c>
      <c r="I1233" s="306">
        <v>2006</v>
      </c>
      <c r="J1233" s="306">
        <v>2007</v>
      </c>
      <c r="K1233" s="306">
        <v>2008</v>
      </c>
      <c r="L1233" s="306">
        <v>2009</v>
      </c>
      <c r="M1233" s="306">
        <v>2010</v>
      </c>
      <c r="N1233" s="306">
        <v>2011</v>
      </c>
      <c r="O1233" s="306">
        <v>2012</v>
      </c>
      <c r="P1233" s="306">
        <v>2013</v>
      </c>
      <c r="Q1233" s="306">
        <v>2014</v>
      </c>
      <c r="R1233" s="306">
        <v>2015</v>
      </c>
      <c r="S1233" s="306">
        <v>2016</v>
      </c>
      <c r="T1233" s="306">
        <v>2017</v>
      </c>
      <c r="U1233" s="306">
        <v>2018</v>
      </c>
      <c r="V1233" s="306">
        <v>2019</v>
      </c>
      <c r="W1233" s="306" t="s">
        <v>154</v>
      </c>
    </row>
    <row r="1234" spans="1:23" x14ac:dyDescent="0.2">
      <c r="A1234" s="284" t="s">
        <v>194</v>
      </c>
      <c r="B1234" s="303"/>
      <c r="C1234" s="277"/>
      <c r="D1234" s="341">
        <v>0</v>
      </c>
      <c r="E1234" s="341">
        <v>0</v>
      </c>
      <c r="F1234" s="341">
        <v>0</v>
      </c>
      <c r="G1234" s="341">
        <v>0</v>
      </c>
      <c r="H1234" s="341">
        <v>0</v>
      </c>
      <c r="I1234" s="341">
        <v>0</v>
      </c>
      <c r="J1234" s="341">
        <v>0</v>
      </c>
      <c r="K1234" s="341">
        <v>0</v>
      </c>
      <c r="L1234" s="341">
        <v>0</v>
      </c>
      <c r="M1234" s="341">
        <v>0</v>
      </c>
      <c r="N1234" s="341">
        <v>0</v>
      </c>
      <c r="O1234" s="341">
        <v>0</v>
      </c>
      <c r="P1234" s="341">
        <v>0</v>
      </c>
      <c r="Q1234" s="341">
        <v>0</v>
      </c>
      <c r="R1234" s="341">
        <v>0</v>
      </c>
      <c r="S1234" s="341">
        <v>0</v>
      </c>
      <c r="T1234" s="341">
        <v>0</v>
      </c>
      <c r="U1234" s="341">
        <v>0</v>
      </c>
      <c r="V1234" s="341">
        <v>0</v>
      </c>
      <c r="W1234" s="341">
        <v>0</v>
      </c>
    </row>
    <row r="1235" spans="1:23" x14ac:dyDescent="0.2">
      <c r="A1235" s="284" t="s">
        <v>195</v>
      </c>
      <c r="B1235" s="303"/>
      <c r="C1235" s="277"/>
      <c r="D1235" s="341">
        <v>0</v>
      </c>
      <c r="E1235" s="341">
        <v>0</v>
      </c>
      <c r="F1235" s="341">
        <v>0</v>
      </c>
      <c r="G1235" s="341">
        <v>0</v>
      </c>
      <c r="H1235" s="341">
        <v>0</v>
      </c>
      <c r="I1235" s="341">
        <v>0</v>
      </c>
      <c r="J1235" s="341">
        <v>0</v>
      </c>
      <c r="K1235" s="341">
        <v>0</v>
      </c>
      <c r="L1235" s="341">
        <v>0</v>
      </c>
      <c r="M1235" s="341">
        <v>0</v>
      </c>
      <c r="N1235" s="341">
        <v>0</v>
      </c>
      <c r="O1235" s="341">
        <v>0</v>
      </c>
      <c r="P1235" s="341">
        <v>0</v>
      </c>
      <c r="Q1235" s="341">
        <v>0</v>
      </c>
      <c r="R1235" s="341">
        <v>0</v>
      </c>
      <c r="S1235" s="341">
        <v>0</v>
      </c>
      <c r="T1235" s="341">
        <v>0</v>
      </c>
      <c r="U1235" s="341">
        <v>0</v>
      </c>
      <c r="V1235" s="341">
        <v>0</v>
      </c>
      <c r="W1235" s="341">
        <v>0</v>
      </c>
    </row>
    <row r="1236" spans="1:23" x14ac:dyDescent="0.2">
      <c r="A1236" s="284" t="s">
        <v>196</v>
      </c>
      <c r="B1236" s="303"/>
      <c r="C1236" s="277"/>
      <c r="D1236" s="341">
        <v>0</v>
      </c>
      <c r="E1236" s="341">
        <v>0</v>
      </c>
      <c r="F1236" s="341">
        <v>0</v>
      </c>
      <c r="G1236" s="341">
        <v>0</v>
      </c>
      <c r="H1236" s="341">
        <v>0</v>
      </c>
      <c r="I1236" s="341">
        <v>0</v>
      </c>
      <c r="J1236" s="341">
        <v>0</v>
      </c>
      <c r="K1236" s="341">
        <v>0</v>
      </c>
      <c r="L1236" s="341">
        <v>0</v>
      </c>
      <c r="M1236" s="341">
        <v>0</v>
      </c>
      <c r="N1236" s="341">
        <v>0</v>
      </c>
      <c r="O1236" s="341">
        <v>0</v>
      </c>
      <c r="P1236" s="341">
        <v>0</v>
      </c>
      <c r="Q1236" s="341">
        <v>0</v>
      </c>
      <c r="R1236" s="341">
        <v>0</v>
      </c>
      <c r="S1236" s="341">
        <v>0</v>
      </c>
      <c r="T1236" s="341">
        <v>0</v>
      </c>
      <c r="U1236" s="341">
        <v>0</v>
      </c>
      <c r="V1236" s="341">
        <v>0</v>
      </c>
      <c r="W1236" s="341">
        <v>0</v>
      </c>
    </row>
    <row r="1237" spans="1:23" x14ac:dyDescent="0.2">
      <c r="A1237" s="284" t="s">
        <v>197</v>
      </c>
      <c r="B1237" s="303"/>
      <c r="C1237" s="277"/>
      <c r="D1237" s="342">
        <v>0</v>
      </c>
      <c r="E1237" s="342">
        <v>0</v>
      </c>
      <c r="F1237" s="342">
        <v>0</v>
      </c>
      <c r="G1237" s="342">
        <v>0</v>
      </c>
      <c r="H1237" s="342">
        <v>0</v>
      </c>
      <c r="I1237" s="342">
        <v>0</v>
      </c>
      <c r="J1237" s="342">
        <v>0</v>
      </c>
      <c r="K1237" s="342">
        <v>0</v>
      </c>
      <c r="L1237" s="342">
        <v>0</v>
      </c>
      <c r="M1237" s="342">
        <v>0</v>
      </c>
      <c r="N1237" s="342">
        <v>0</v>
      </c>
      <c r="O1237" s="342">
        <v>0</v>
      </c>
      <c r="P1237" s="342">
        <v>0</v>
      </c>
      <c r="Q1237" s="342">
        <v>0</v>
      </c>
      <c r="R1237" s="342">
        <v>0</v>
      </c>
      <c r="S1237" s="342">
        <v>0</v>
      </c>
      <c r="T1237" s="342">
        <v>0</v>
      </c>
      <c r="U1237" s="342">
        <v>0</v>
      </c>
      <c r="V1237" s="342">
        <v>0</v>
      </c>
      <c r="W1237" s="342">
        <v>0</v>
      </c>
    </row>
    <row r="1238" spans="1:23" ht="13.5" thickBot="1" x14ac:dyDescent="0.25">
      <c r="A1238" s="284" t="s">
        <v>198</v>
      </c>
      <c r="B1238" s="303"/>
      <c r="C1238" s="277"/>
      <c r="D1238" s="343">
        <v>0</v>
      </c>
      <c r="E1238" s="343">
        <v>0</v>
      </c>
      <c r="F1238" s="343">
        <v>0</v>
      </c>
      <c r="G1238" s="343">
        <v>0</v>
      </c>
      <c r="H1238" s="343">
        <v>0</v>
      </c>
      <c r="I1238" s="343">
        <v>0</v>
      </c>
      <c r="J1238" s="343">
        <v>0</v>
      </c>
      <c r="K1238" s="343">
        <v>0</v>
      </c>
      <c r="L1238" s="343">
        <v>0</v>
      </c>
      <c r="M1238" s="343">
        <v>0</v>
      </c>
      <c r="N1238" s="343">
        <v>0</v>
      </c>
      <c r="O1238" s="343">
        <v>0</v>
      </c>
      <c r="P1238" s="343">
        <v>0</v>
      </c>
      <c r="Q1238" s="343">
        <v>0</v>
      </c>
      <c r="R1238" s="343">
        <v>0</v>
      </c>
      <c r="S1238" s="343">
        <v>0</v>
      </c>
      <c r="T1238" s="343">
        <v>0</v>
      </c>
      <c r="U1238" s="343">
        <v>0</v>
      </c>
      <c r="V1238" s="343">
        <v>0</v>
      </c>
      <c r="W1238" s="343">
        <v>0</v>
      </c>
    </row>
    <row r="1239" spans="1:23" ht="13.5" thickTop="1" x14ac:dyDescent="0.2">
      <c r="A1239" s="284"/>
      <c r="B1239" s="303"/>
      <c r="C1239" s="277"/>
      <c r="D1239" s="341"/>
      <c r="E1239" s="341"/>
      <c r="F1239" s="341"/>
      <c r="G1239" s="341"/>
      <c r="H1239" s="341"/>
      <c r="I1239" s="341"/>
      <c r="J1239" s="341"/>
      <c r="K1239" s="341"/>
      <c r="L1239" s="341"/>
      <c r="M1239" s="341"/>
      <c r="N1239" s="341"/>
      <c r="O1239" s="341"/>
      <c r="P1239" s="341"/>
      <c r="Q1239" s="341"/>
      <c r="R1239" s="341"/>
      <c r="S1239" s="341"/>
      <c r="T1239" s="341"/>
      <c r="U1239" s="341"/>
      <c r="V1239" s="341"/>
      <c r="W1239" s="341"/>
    </row>
    <row r="1240" spans="1:23" x14ac:dyDescent="0.2">
      <c r="A1240" s="284" t="s">
        <v>199</v>
      </c>
      <c r="B1240" s="303"/>
      <c r="C1240" s="277"/>
      <c r="D1240" s="341">
        <v>0</v>
      </c>
      <c r="E1240" s="341">
        <v>0</v>
      </c>
      <c r="F1240" s="341">
        <v>0</v>
      </c>
      <c r="G1240" s="341">
        <v>0</v>
      </c>
      <c r="H1240" s="341">
        <v>0</v>
      </c>
      <c r="I1240" s="341">
        <v>0</v>
      </c>
      <c r="J1240" s="341">
        <v>0</v>
      </c>
      <c r="K1240" s="341">
        <v>0</v>
      </c>
      <c r="L1240" s="341">
        <v>0</v>
      </c>
      <c r="M1240" s="341">
        <v>0</v>
      </c>
      <c r="N1240" s="341">
        <v>0</v>
      </c>
      <c r="O1240" s="341">
        <v>0</v>
      </c>
      <c r="P1240" s="341">
        <v>0</v>
      </c>
      <c r="Q1240" s="341">
        <v>0</v>
      </c>
      <c r="R1240" s="341">
        <v>0</v>
      </c>
      <c r="S1240" s="341">
        <v>0</v>
      </c>
      <c r="T1240" s="341">
        <v>0</v>
      </c>
      <c r="U1240" s="341">
        <v>0</v>
      </c>
      <c r="V1240" s="341">
        <v>0</v>
      </c>
      <c r="W1240" s="341">
        <v>0</v>
      </c>
    </row>
    <row r="1241" spans="1:23" x14ac:dyDescent="0.2">
      <c r="A1241" s="284"/>
      <c r="B1241" s="303"/>
      <c r="C1241" s="277"/>
      <c r="D1241" s="277"/>
      <c r="E1241" s="277"/>
      <c r="F1241" s="277"/>
      <c r="G1241" s="277"/>
      <c r="H1241" s="277"/>
      <c r="I1241" s="277"/>
      <c r="J1241" s="277"/>
      <c r="K1241" s="277"/>
      <c r="L1241" s="277"/>
      <c r="M1241" s="277"/>
      <c r="N1241" s="277"/>
      <c r="O1241" s="277"/>
      <c r="P1241" s="277"/>
      <c r="Q1241" s="277"/>
      <c r="R1241" s="277"/>
      <c r="S1241" s="277"/>
      <c r="T1241" s="277"/>
      <c r="U1241" s="277"/>
      <c r="V1241" s="277"/>
      <c r="W1241" s="277"/>
    </row>
    <row r="1242" spans="1:23" x14ac:dyDescent="0.2">
      <c r="A1242" s="284" t="s">
        <v>200</v>
      </c>
      <c r="B1242" s="303"/>
      <c r="C1242" s="277"/>
      <c r="D1242" s="341">
        <v>0</v>
      </c>
      <c r="E1242" s="341">
        <v>0</v>
      </c>
      <c r="F1242" s="341">
        <v>0</v>
      </c>
      <c r="G1242" s="341">
        <v>0</v>
      </c>
      <c r="H1242" s="341">
        <v>0</v>
      </c>
      <c r="I1242" s="341">
        <v>0</v>
      </c>
      <c r="J1242" s="341">
        <v>0</v>
      </c>
      <c r="K1242" s="341">
        <v>0</v>
      </c>
      <c r="L1242" s="341">
        <v>0</v>
      </c>
      <c r="M1242" s="341">
        <v>0</v>
      </c>
      <c r="N1242" s="341">
        <v>0</v>
      </c>
      <c r="O1242" s="341">
        <v>0</v>
      </c>
      <c r="P1242" s="341">
        <v>0</v>
      </c>
      <c r="Q1242" s="341">
        <v>0</v>
      </c>
      <c r="R1242" s="341">
        <v>0</v>
      </c>
      <c r="S1242" s="341">
        <v>0</v>
      </c>
      <c r="T1242" s="341">
        <v>0</v>
      </c>
      <c r="U1242" s="341">
        <v>0</v>
      </c>
      <c r="V1242" s="341">
        <v>0</v>
      </c>
      <c r="W1242" s="341">
        <v>0</v>
      </c>
    </row>
    <row r="1243" spans="1:23" x14ac:dyDescent="0.2">
      <c r="A1243" s="277"/>
      <c r="B1243" s="303"/>
      <c r="C1243" s="277"/>
      <c r="D1243" s="277"/>
      <c r="E1243" s="277"/>
      <c r="F1243" s="277"/>
      <c r="G1243" s="277"/>
      <c r="H1243" s="277"/>
      <c r="I1243" s="277"/>
      <c r="J1243" s="277"/>
      <c r="K1243" s="277"/>
      <c r="L1243" s="277"/>
      <c r="M1243" s="277"/>
      <c r="N1243" s="277"/>
      <c r="O1243" s="277"/>
      <c r="P1243" s="277"/>
      <c r="Q1243" s="277"/>
      <c r="R1243" s="277"/>
      <c r="S1243" s="277"/>
      <c r="T1243" s="277"/>
      <c r="U1243" s="277"/>
      <c r="V1243" s="277"/>
      <c r="W1243" s="277"/>
    </row>
    <row r="1244" spans="1:23" x14ac:dyDescent="0.2">
      <c r="A1244" s="277"/>
      <c r="B1244" s="303"/>
      <c r="C1244" s="277"/>
      <c r="D1244" s="277"/>
      <c r="E1244" s="277"/>
      <c r="F1244" s="277"/>
      <c r="G1244" s="277"/>
      <c r="H1244" s="277"/>
      <c r="I1244" s="277"/>
      <c r="J1244" s="277"/>
      <c r="K1244" s="277"/>
      <c r="L1244" s="277"/>
      <c r="M1244" s="277"/>
      <c r="N1244" s="277"/>
      <c r="O1244" s="277"/>
      <c r="P1244" s="277"/>
      <c r="Q1244" s="277"/>
      <c r="R1244" s="277"/>
      <c r="S1244" s="277"/>
      <c r="T1244" s="277"/>
      <c r="U1244" s="277"/>
      <c r="V1244" s="277"/>
      <c r="W1244" s="277"/>
    </row>
    <row r="1245" spans="1:23" x14ac:dyDescent="0.2">
      <c r="A1245" s="284" t="s">
        <v>202</v>
      </c>
      <c r="B1245" s="279"/>
      <c r="C1245" s="278"/>
      <c r="D1245" s="435">
        <v>84269576.901268616</v>
      </c>
      <c r="E1245" s="435">
        <v>47270456.317272805</v>
      </c>
      <c r="F1245" s="435">
        <v>80583209.505013242</v>
      </c>
      <c r="G1245" s="435">
        <v>81685778.636785358</v>
      </c>
      <c r="H1245" s="435">
        <v>64216866.178419046</v>
      </c>
      <c r="I1245" s="435">
        <v>69744749.22237505</v>
      </c>
      <c r="J1245" s="435">
        <v>75402982.094985366</v>
      </c>
      <c r="K1245" s="435">
        <v>76654672.755983189</v>
      </c>
      <c r="L1245" s="435">
        <v>77956258.950803831</v>
      </c>
      <c r="M1245" s="435">
        <v>77181181.179975718</v>
      </c>
      <c r="N1245" s="435">
        <v>78620041.614360273</v>
      </c>
      <c r="O1245" s="435">
        <v>79104930.640993804</v>
      </c>
      <c r="P1245" s="435">
        <v>80026432.572090015</v>
      </c>
      <c r="Q1245" s="435">
        <v>83676564.955467314</v>
      </c>
      <c r="R1245" s="435">
        <v>92539937.18670845</v>
      </c>
      <c r="S1245" s="435">
        <v>90538609.42337738</v>
      </c>
      <c r="T1245" s="435">
        <v>91403763.187597349</v>
      </c>
      <c r="U1245" s="435">
        <v>97292602.021988034</v>
      </c>
      <c r="V1245" s="435">
        <v>101729890.63738628</v>
      </c>
      <c r="W1245" s="435">
        <v>535876271.0610261</v>
      </c>
    </row>
    <row r="1246" spans="1:23" x14ac:dyDescent="0.2">
      <c r="A1246" s="9"/>
      <c r="B1246" s="6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</row>
    <row r="1247" spans="1:23" x14ac:dyDescent="0.2">
      <c r="B1247" s="289"/>
      <c r="C1247" s="354"/>
      <c r="D1247" s="366"/>
      <c r="E1247" s="366"/>
      <c r="F1247" s="366"/>
      <c r="G1247" s="366"/>
      <c r="H1247" s="366"/>
      <c r="I1247" s="366"/>
      <c r="J1247" s="366"/>
      <c r="K1247" s="366"/>
      <c r="L1247" s="366"/>
      <c r="M1247" s="366"/>
      <c r="N1247" s="366"/>
      <c r="O1247" s="366"/>
      <c r="P1247" s="366"/>
      <c r="Q1247" s="366"/>
      <c r="R1247" s="366"/>
      <c r="S1247" s="366"/>
      <c r="T1247" s="366"/>
      <c r="U1247" s="366"/>
      <c r="V1247" s="366"/>
    </row>
    <row r="1248" spans="1:23" x14ac:dyDescent="0.2">
      <c r="B1248" s="300"/>
      <c r="C1248" s="301"/>
      <c r="D1248" s="365"/>
      <c r="E1248" s="365"/>
      <c r="F1248" s="365"/>
      <c r="G1248" s="365"/>
      <c r="H1248" s="365"/>
      <c r="I1248" s="365"/>
      <c r="J1248" s="365"/>
      <c r="K1248" s="365"/>
      <c r="L1248" s="365"/>
      <c r="M1248" s="365"/>
      <c r="N1248" s="365"/>
      <c r="O1248" s="365"/>
      <c r="P1248" s="365"/>
      <c r="Q1248" s="365"/>
      <c r="R1248" s="365"/>
      <c r="S1248" s="365"/>
      <c r="T1248" s="365"/>
      <c r="U1248" s="365"/>
      <c r="V1248" s="365"/>
    </row>
    <row r="1249" spans="1:23" x14ac:dyDescent="0.2">
      <c r="A1249" s="364"/>
      <c r="B1249" s="289"/>
      <c r="C1249" s="354"/>
      <c r="D1249" s="366"/>
      <c r="E1249" s="366"/>
      <c r="F1249" s="366"/>
      <c r="G1249" s="366"/>
      <c r="H1249" s="366"/>
      <c r="I1249" s="366"/>
      <c r="J1249" s="366"/>
      <c r="K1249" s="366"/>
      <c r="L1249" s="366"/>
      <c r="M1249" s="366"/>
      <c r="N1249" s="366"/>
      <c r="O1249" s="366"/>
      <c r="P1249" s="366"/>
      <c r="Q1249" s="366"/>
      <c r="R1249" s="366"/>
      <c r="S1249" s="366"/>
      <c r="T1249" s="366"/>
      <c r="U1249" s="366"/>
      <c r="V1249" s="366"/>
    </row>
    <row r="1250" spans="1:23" x14ac:dyDescent="0.2">
      <c r="B1250" s="289"/>
      <c r="C1250" s="354"/>
      <c r="D1250" s="366"/>
      <c r="E1250" s="366"/>
      <c r="F1250" s="366"/>
      <c r="G1250" s="366"/>
      <c r="H1250" s="366"/>
      <c r="I1250" s="366"/>
      <c r="J1250" s="366"/>
      <c r="K1250" s="366"/>
      <c r="L1250" s="366"/>
      <c r="M1250" s="366"/>
      <c r="N1250" s="366"/>
      <c r="O1250" s="366"/>
      <c r="P1250" s="366"/>
      <c r="Q1250" s="366"/>
      <c r="R1250" s="366"/>
      <c r="S1250" s="366"/>
      <c r="T1250" s="366"/>
      <c r="U1250" s="366"/>
      <c r="V1250" s="366"/>
    </row>
    <row r="1251" spans="1:23" x14ac:dyDescent="0.2">
      <c r="B1251" s="300"/>
      <c r="C1251" s="301"/>
      <c r="D1251" s="365"/>
      <c r="E1251" s="365"/>
      <c r="F1251" s="365"/>
      <c r="G1251" s="365"/>
      <c r="H1251" s="365"/>
      <c r="I1251" s="365"/>
      <c r="J1251" s="365"/>
      <c r="K1251" s="365"/>
      <c r="L1251" s="365"/>
      <c r="M1251" s="365"/>
      <c r="N1251" s="365"/>
      <c r="O1251" s="365"/>
      <c r="P1251" s="365"/>
      <c r="Q1251" s="365"/>
      <c r="R1251" s="365"/>
      <c r="S1251" s="365"/>
      <c r="T1251" s="365"/>
      <c r="U1251" s="365"/>
      <c r="V1251" s="365"/>
    </row>
    <row r="1252" spans="1:23" x14ac:dyDescent="0.2">
      <c r="B1252" s="289"/>
      <c r="C1252" s="354"/>
      <c r="D1252" s="366"/>
      <c r="E1252" s="366"/>
      <c r="F1252" s="366"/>
      <c r="G1252" s="366"/>
      <c r="H1252" s="366"/>
      <c r="I1252" s="366"/>
      <c r="J1252" s="366"/>
      <c r="K1252" s="366"/>
      <c r="L1252" s="366"/>
      <c r="M1252" s="366"/>
      <c r="N1252" s="366"/>
      <c r="O1252" s="366"/>
      <c r="P1252" s="366"/>
      <c r="Q1252" s="366"/>
      <c r="R1252" s="366"/>
      <c r="S1252" s="366"/>
      <c r="T1252" s="366"/>
      <c r="U1252" s="366"/>
      <c r="V1252" s="366"/>
    </row>
    <row r="1253" spans="1:23" x14ac:dyDescent="0.2">
      <c r="B1253" s="300"/>
      <c r="C1253" s="301"/>
      <c r="D1253" s="365"/>
      <c r="E1253" s="365"/>
      <c r="F1253" s="365"/>
      <c r="G1253" s="365"/>
      <c r="H1253" s="365"/>
      <c r="I1253" s="365"/>
      <c r="J1253" s="365"/>
      <c r="K1253" s="365"/>
      <c r="L1253" s="365"/>
      <c r="M1253" s="365"/>
      <c r="N1253" s="365"/>
      <c r="O1253" s="365"/>
      <c r="P1253" s="365"/>
      <c r="Q1253" s="365"/>
      <c r="R1253" s="365"/>
      <c r="S1253" s="365"/>
      <c r="T1253" s="365"/>
      <c r="U1253" s="365"/>
      <c r="V1253" s="365"/>
    </row>
    <row r="1254" spans="1:23" ht="15.75" x14ac:dyDescent="0.25">
      <c r="A1254" s="302" t="s">
        <v>29</v>
      </c>
      <c r="B1254" s="305" t="s">
        <v>73</v>
      </c>
      <c r="C1254" s="306">
        <v>2000</v>
      </c>
      <c r="D1254" s="306">
        <v>2001</v>
      </c>
      <c r="E1254" s="306">
        <v>2002</v>
      </c>
      <c r="F1254" s="306">
        <v>2003</v>
      </c>
      <c r="G1254" s="306">
        <v>2004</v>
      </c>
      <c r="H1254" s="306">
        <v>2005</v>
      </c>
      <c r="I1254" s="306">
        <v>2006</v>
      </c>
      <c r="J1254" s="306">
        <v>2007</v>
      </c>
      <c r="K1254" s="306">
        <v>2008</v>
      </c>
      <c r="L1254" s="306">
        <v>2009</v>
      </c>
      <c r="M1254" s="306">
        <v>2010</v>
      </c>
      <c r="N1254" s="306">
        <v>2011</v>
      </c>
      <c r="O1254" s="306">
        <v>2012</v>
      </c>
      <c r="P1254" s="306">
        <v>2013</v>
      </c>
      <c r="Q1254" s="306">
        <v>2014</v>
      </c>
      <c r="R1254" s="306">
        <v>2015</v>
      </c>
      <c r="S1254" s="306">
        <v>2016</v>
      </c>
      <c r="T1254" s="306">
        <v>2017</v>
      </c>
      <c r="U1254" s="306">
        <v>2018</v>
      </c>
      <c r="V1254" s="306">
        <v>2019</v>
      </c>
      <c r="W1254" s="306" t="s">
        <v>154</v>
      </c>
    </row>
    <row r="1255" spans="1:23" x14ac:dyDescent="0.2">
      <c r="A1255" s="302" t="s">
        <v>26</v>
      </c>
      <c r="B1255" s="303">
        <v>92</v>
      </c>
      <c r="C1255" s="308"/>
      <c r="D1255" s="308"/>
      <c r="E1255" s="308"/>
      <c r="F1255" s="308"/>
      <c r="G1255" s="308"/>
      <c r="H1255" s="308"/>
      <c r="I1255" s="308"/>
      <c r="J1255" s="308"/>
      <c r="K1255" s="308"/>
      <c r="L1255" s="308"/>
      <c r="M1255" s="308"/>
      <c r="N1255" s="308"/>
      <c r="O1255" s="308"/>
      <c r="P1255" s="308"/>
      <c r="Q1255" s="308"/>
      <c r="R1255" s="308"/>
      <c r="S1255" s="308"/>
      <c r="T1255" s="308"/>
      <c r="U1255" s="308"/>
      <c r="V1255" s="308"/>
      <c r="W1255" s="308"/>
    </row>
    <row r="1256" spans="1:23" x14ac:dyDescent="0.2">
      <c r="A1256" s="9"/>
      <c r="B1256" s="309" t="s">
        <v>27</v>
      </c>
      <c r="C1256" s="443">
        <v>0</v>
      </c>
      <c r="D1256" s="404">
        <v>6115476.7108942317</v>
      </c>
      <c r="E1256" s="404">
        <v>4570871.6125482218</v>
      </c>
      <c r="F1256" s="404">
        <v>3589988.6063321433</v>
      </c>
      <c r="G1256" s="404">
        <v>3086926.3501251256</v>
      </c>
      <c r="H1256" s="404">
        <v>3189473.2157749208</v>
      </c>
      <c r="I1256" s="404">
        <v>2417121.4426001366</v>
      </c>
      <c r="J1256" s="404">
        <v>2731142.5935651232</v>
      </c>
      <c r="K1256" s="404">
        <v>4467837.5377809722</v>
      </c>
      <c r="L1256" s="404">
        <v>4487183.6043217815</v>
      </c>
      <c r="M1256" s="404">
        <v>4859896.124767757</v>
      </c>
      <c r="N1256" s="404">
        <v>4125407.7511685379</v>
      </c>
      <c r="O1256" s="404">
        <v>4452042.6684952388</v>
      </c>
      <c r="P1256" s="404">
        <v>5102274.3011084953</v>
      </c>
      <c r="Q1256" s="404">
        <v>6152071.204778688</v>
      </c>
      <c r="R1256" s="404">
        <v>4901017.8267369168</v>
      </c>
      <c r="S1256" s="404">
        <v>4008478.0417177188</v>
      </c>
      <c r="T1256" s="404">
        <v>4973332.7186892712</v>
      </c>
      <c r="U1256" s="404">
        <v>5976625.2628556117</v>
      </c>
      <c r="V1256" s="404">
        <v>4729271.2650420917</v>
      </c>
      <c r="W1256" s="327"/>
    </row>
    <row r="1257" spans="1:23" x14ac:dyDescent="0.2">
      <c r="A1257" s="9"/>
      <c r="B1257" s="309" t="s">
        <v>20</v>
      </c>
      <c r="C1257" s="443">
        <v>0</v>
      </c>
      <c r="D1257" s="404">
        <v>-884933.13451433438</v>
      </c>
      <c r="E1257" s="404">
        <v>-982523.74912850745</v>
      </c>
      <c r="F1257" s="404">
        <v>-851195.14579913055</v>
      </c>
      <c r="G1257" s="404">
        <v>-821723.86517669889</v>
      </c>
      <c r="H1257" s="404">
        <v>-1148249.7972057764</v>
      </c>
      <c r="I1257" s="404">
        <v>-1084244.173197092</v>
      </c>
      <c r="J1257" s="404">
        <v>-1258821.966000139</v>
      </c>
      <c r="K1257" s="404">
        <v>-2228063.8258635718</v>
      </c>
      <c r="L1257" s="404">
        <v>-2200393.5225871853</v>
      </c>
      <c r="M1257" s="404">
        <v>-2224415.1709817494</v>
      </c>
      <c r="N1257" s="404">
        <v>-2343869.6144679044</v>
      </c>
      <c r="O1257" s="404">
        <v>-2352548.1552747237</v>
      </c>
      <c r="P1257" s="404">
        <v>-2850908.9974222626</v>
      </c>
      <c r="Q1257" s="404">
        <v>-3347090.0379636562</v>
      </c>
      <c r="R1257" s="404">
        <v>-2735855.6564738657</v>
      </c>
      <c r="S1257" s="404">
        <v>-2452274.7342254086</v>
      </c>
      <c r="T1257" s="404">
        <v>-2981091.6892216839</v>
      </c>
      <c r="U1257" s="404">
        <v>-3717678.5963007044</v>
      </c>
      <c r="V1257" s="404">
        <v>-3149185.7773966696</v>
      </c>
      <c r="W1257" s="327"/>
    </row>
    <row r="1258" spans="1:23" x14ac:dyDescent="0.2">
      <c r="A1258" s="9"/>
      <c r="B1258" s="309" t="s">
        <v>31</v>
      </c>
      <c r="C1258" s="443">
        <v>0</v>
      </c>
      <c r="D1258" s="404">
        <v>-37487.014553430025</v>
      </c>
      <c r="E1258" s="404">
        <v>-46184.485497121641</v>
      </c>
      <c r="F1258" s="404">
        <v>-42036.970984461332</v>
      </c>
      <c r="G1258" s="404">
        <v>-41087.467803391803</v>
      </c>
      <c r="H1258" s="404">
        <v>-58207.47744446258</v>
      </c>
      <c r="I1258" s="404">
        <v>-55121.825755254038</v>
      </c>
      <c r="J1258" s="404">
        <v>-64396.530025159838</v>
      </c>
      <c r="K1258" s="404">
        <v>-125438.28749683872</v>
      </c>
      <c r="L1258" s="404">
        <v>-123567.15882150066</v>
      </c>
      <c r="M1258" s="404">
        <v>-123169.49082971932</v>
      </c>
      <c r="N1258" s="404">
        <v>-128037.40186313557</v>
      </c>
      <c r="O1258" s="404">
        <v>-133496.93907004769</v>
      </c>
      <c r="P1258" s="404">
        <v>-155414.03489825054</v>
      </c>
      <c r="Q1258" s="404">
        <v>-187808.25061549537</v>
      </c>
      <c r="R1258" s="404">
        <v>-143168.10659332198</v>
      </c>
      <c r="S1258" s="404">
        <v>-124996.82233636969</v>
      </c>
      <c r="T1258" s="404">
        <v>-151467.64307095384</v>
      </c>
      <c r="U1258" s="404">
        <v>-180251.84870970511</v>
      </c>
      <c r="V1258" s="404">
        <v>-153739.99235937675</v>
      </c>
      <c r="W1258" s="327"/>
    </row>
    <row r="1259" spans="1:23" x14ac:dyDescent="0.2">
      <c r="A1259" s="9"/>
      <c r="B1259" s="309" t="s">
        <v>32</v>
      </c>
      <c r="C1259" s="443">
        <v>0</v>
      </c>
      <c r="D1259" s="404">
        <v>0</v>
      </c>
      <c r="E1259" s="404">
        <v>0</v>
      </c>
      <c r="F1259" s="404">
        <v>0</v>
      </c>
      <c r="G1259" s="404">
        <v>0</v>
      </c>
      <c r="H1259" s="404">
        <v>0</v>
      </c>
      <c r="I1259" s="404">
        <v>-15463.435284392866</v>
      </c>
      <c r="J1259" s="404">
        <v>-19643.663786827427</v>
      </c>
      <c r="K1259" s="404">
        <v>-43181.245184933468</v>
      </c>
      <c r="L1259" s="404">
        <v>-43898.481490657548</v>
      </c>
      <c r="M1259" s="404">
        <v>-47642.659444486591</v>
      </c>
      <c r="N1259" s="404">
        <v>-53637.94515313414</v>
      </c>
      <c r="O1259" s="404">
        <v>-60593.183546372762</v>
      </c>
      <c r="P1259" s="404">
        <v>-77482.734634944631</v>
      </c>
      <c r="Q1259" s="404">
        <v>-102306.12132353772</v>
      </c>
      <c r="R1259" s="404">
        <v>-84729.392777165922</v>
      </c>
      <c r="S1259" s="404">
        <v>-79559.798262506913</v>
      </c>
      <c r="T1259" s="404">
        <v>-92785.682199155257</v>
      </c>
      <c r="U1259" s="404">
        <v>-92576.531775872005</v>
      </c>
      <c r="V1259" s="404">
        <v>-80375.932303839523</v>
      </c>
      <c r="W1259" s="327"/>
    </row>
    <row r="1260" spans="1:23" ht="13.5" thickBot="1" x14ac:dyDescent="0.25">
      <c r="A1260" s="9"/>
      <c r="B1260" s="310" t="s">
        <v>33</v>
      </c>
      <c r="C1260" s="444">
        <v>0</v>
      </c>
      <c r="D1260" s="406">
        <v>0</v>
      </c>
      <c r="E1260" s="406">
        <v>0</v>
      </c>
      <c r="F1260" s="406">
        <v>0</v>
      </c>
      <c r="G1260" s="406">
        <v>0</v>
      </c>
      <c r="H1260" s="406">
        <v>0</v>
      </c>
      <c r="I1260" s="406">
        <v>-15463.435284392866</v>
      </c>
      <c r="J1260" s="406">
        <v>-19643.663786827427</v>
      </c>
      <c r="K1260" s="406">
        <v>-43181.245184933468</v>
      </c>
      <c r="L1260" s="406">
        <v>-43898.481490657548</v>
      </c>
      <c r="M1260" s="406">
        <v>-47642.659444486591</v>
      </c>
      <c r="N1260" s="406">
        <v>-53637.94515313414</v>
      </c>
      <c r="O1260" s="406">
        <v>-60593.183546372762</v>
      </c>
      <c r="P1260" s="406">
        <v>-77482.734634944631</v>
      </c>
      <c r="Q1260" s="406">
        <v>-102306.12132353772</v>
      </c>
      <c r="R1260" s="406">
        <v>-84729.392777165922</v>
      </c>
      <c r="S1260" s="406">
        <v>-79559.798262506913</v>
      </c>
      <c r="T1260" s="406">
        <v>-92785.682199155257</v>
      </c>
      <c r="U1260" s="406">
        <v>-92576.531775872005</v>
      </c>
      <c r="V1260" s="406">
        <v>-80375.932303839523</v>
      </c>
      <c r="W1260" s="327"/>
    </row>
    <row r="1261" spans="1:23" ht="13.5" thickTop="1" x14ac:dyDescent="0.2">
      <c r="A1261" s="9"/>
      <c r="B1261" s="311" t="s">
        <v>38</v>
      </c>
      <c r="C1261" s="445">
        <v>0</v>
      </c>
      <c r="D1261" s="408">
        <v>5193056.5618264675</v>
      </c>
      <c r="E1261" s="408">
        <v>3542163.3779225927</v>
      </c>
      <c r="F1261" s="408">
        <v>2696756.4895485514</v>
      </c>
      <c r="G1261" s="408">
        <v>2224115.0171450349</v>
      </c>
      <c r="H1261" s="408">
        <v>1983015.9411246818</v>
      </c>
      <c r="I1261" s="408">
        <v>1246828.5730790047</v>
      </c>
      <c r="J1261" s="408">
        <v>1368636.7699661695</v>
      </c>
      <c r="K1261" s="408">
        <v>2027972.9340506946</v>
      </c>
      <c r="L1261" s="408">
        <v>2075425.9599317801</v>
      </c>
      <c r="M1261" s="408">
        <v>2417026.1440673149</v>
      </c>
      <c r="N1261" s="408">
        <v>1546224.8445312295</v>
      </c>
      <c r="O1261" s="408">
        <v>1844811.2070577219</v>
      </c>
      <c r="P1261" s="408">
        <v>1940985.7995180928</v>
      </c>
      <c r="Q1261" s="408">
        <v>2412560.6735524614</v>
      </c>
      <c r="R1261" s="408">
        <v>1852535.2781153973</v>
      </c>
      <c r="S1261" s="408">
        <v>1272086.8886309266</v>
      </c>
      <c r="T1261" s="408">
        <v>1655202.021998323</v>
      </c>
      <c r="U1261" s="408">
        <v>1893541.7542934583</v>
      </c>
      <c r="V1261" s="408">
        <v>1265593.6306783662</v>
      </c>
      <c r="W1261" s="327"/>
    </row>
    <row r="1262" spans="1:23" x14ac:dyDescent="0.2">
      <c r="A1262" s="9"/>
      <c r="B1262" s="309" t="s">
        <v>34</v>
      </c>
      <c r="C1262" s="443">
        <v>0</v>
      </c>
      <c r="D1262" s="404">
        <v>-270082.35646211036</v>
      </c>
      <c r="E1262" s="404">
        <v>-275484.00359135255</v>
      </c>
      <c r="F1262" s="404">
        <v>-280993.68366317963</v>
      </c>
      <c r="G1262" s="404">
        <v>-286613.55733644322</v>
      </c>
      <c r="H1262" s="404">
        <v>-292345.82848317211</v>
      </c>
      <c r="I1262" s="404">
        <v>-298192.74505283555</v>
      </c>
      <c r="J1262" s="404">
        <v>-304156.59995389229</v>
      </c>
      <c r="K1262" s="404">
        <v>-310239.73195297015</v>
      </c>
      <c r="L1262" s="404">
        <v>-316444.52659202955</v>
      </c>
      <c r="M1262" s="404">
        <v>-322773.41712387017</v>
      </c>
      <c r="N1262" s="404">
        <v>-329228.88546634756</v>
      </c>
      <c r="O1262" s="404">
        <v>-335813.46317567455</v>
      </c>
      <c r="P1262" s="404">
        <v>-342529.73243918805</v>
      </c>
      <c r="Q1262" s="404">
        <v>-349380.32708797185</v>
      </c>
      <c r="R1262" s="404">
        <v>-356367.9336297313</v>
      </c>
      <c r="S1262" s="404">
        <v>-363495.29230232595</v>
      </c>
      <c r="T1262" s="404">
        <v>-370765.19814837247</v>
      </c>
      <c r="U1262" s="404">
        <v>-378180.50211133994</v>
      </c>
      <c r="V1262" s="404">
        <v>-385744.11215356673</v>
      </c>
      <c r="W1262" s="327"/>
    </row>
    <row r="1263" spans="1:23" x14ac:dyDescent="0.2">
      <c r="A1263" s="9"/>
      <c r="B1263" s="309" t="s">
        <v>35</v>
      </c>
      <c r="C1263" s="443">
        <v>0</v>
      </c>
      <c r="D1263" s="404">
        <v>-71397.469478267958</v>
      </c>
      <c r="E1263" s="404">
        <v>-71397.469478267958</v>
      </c>
      <c r="F1263" s="404">
        <v>-71397.469478267958</v>
      </c>
      <c r="G1263" s="404">
        <v>-71397.469478267958</v>
      </c>
      <c r="H1263" s="404">
        <v>-71397.469478267958</v>
      </c>
      <c r="I1263" s="404">
        <v>-71397.469478267958</v>
      </c>
      <c r="J1263" s="404">
        <v>-71397.469478267958</v>
      </c>
      <c r="K1263" s="404">
        <v>-71397.469478267958</v>
      </c>
      <c r="L1263" s="404">
        <v>-71397.469478267958</v>
      </c>
      <c r="M1263" s="404">
        <v>-71397.469478267958</v>
      </c>
      <c r="N1263" s="404">
        <v>-71397.469478267958</v>
      </c>
      <c r="O1263" s="404">
        <v>-71397.469478267958</v>
      </c>
      <c r="P1263" s="404">
        <v>-71397.469478267958</v>
      </c>
      <c r="Q1263" s="404">
        <v>-71397.469478267958</v>
      </c>
      <c r="R1263" s="404">
        <v>-71397.469478267958</v>
      </c>
      <c r="S1263" s="404">
        <v>-71397.469478267958</v>
      </c>
      <c r="T1263" s="404">
        <v>-71397.469478267958</v>
      </c>
      <c r="U1263" s="404">
        <v>-71397.469478267958</v>
      </c>
      <c r="V1263" s="404">
        <v>-71397.469478267958</v>
      </c>
      <c r="W1263" s="327"/>
    </row>
    <row r="1264" spans="1:23" ht="13.5" thickBot="1" x14ac:dyDescent="0.25">
      <c r="A1264" s="9"/>
      <c r="B1264" s="310" t="s">
        <v>36</v>
      </c>
      <c r="C1264" s="444">
        <v>0</v>
      </c>
      <c r="D1264" s="406">
        <v>-11201.203682604</v>
      </c>
      <c r="E1264" s="406">
        <v>-11437.549080307001</v>
      </c>
      <c r="F1264" s="406">
        <v>-11688.031405165701</v>
      </c>
      <c r="G1264" s="406">
        <v>-11952.180914922399</v>
      </c>
      <c r="H1264" s="406">
        <v>-12236.6428206976</v>
      </c>
      <c r="I1264" s="406">
        <v>-12543.294319955899</v>
      </c>
      <c r="J1264" s="406">
        <v>-12854.402963098901</v>
      </c>
      <c r="K1264" s="406">
        <v>-13179.774466672499</v>
      </c>
      <c r="L1264" s="406">
        <v>-13505.3148959993</v>
      </c>
      <c r="M1264" s="406">
        <v>-13849.700425847301</v>
      </c>
      <c r="N1264" s="406">
        <v>-14184.8631761529</v>
      </c>
      <c r="O1264" s="406">
        <v>-14542.321728191901</v>
      </c>
      <c r="P1264" s="406">
        <v>-14911.696700087899</v>
      </c>
      <c r="Q1264" s="406">
        <v>-15284.489117590099</v>
      </c>
      <c r="R1264" s="406">
        <v>-15668.1297944416</v>
      </c>
      <c r="S1264" s="406">
        <v>-16059.833039302701</v>
      </c>
      <c r="T1264" s="406">
        <v>-16458.116898677399</v>
      </c>
      <c r="U1264" s="406">
        <v>-16871.215632834199</v>
      </c>
      <c r="V1264" s="406">
        <v>-17294.6831452183</v>
      </c>
      <c r="W1264" s="327"/>
    </row>
    <row r="1265" spans="1:23" ht="13.5" thickTop="1" x14ac:dyDescent="0.2">
      <c r="A1265" s="9"/>
      <c r="B1265" s="311" t="s">
        <v>220</v>
      </c>
      <c r="C1265" s="446">
        <v>0</v>
      </c>
      <c r="D1265" s="410">
        <v>4840375.5322034843</v>
      </c>
      <c r="E1265" s="410">
        <v>3183844.3557726648</v>
      </c>
      <c r="F1265" s="410">
        <v>2332677.3050019378</v>
      </c>
      <c r="G1265" s="410">
        <v>1854151.8094154014</v>
      </c>
      <c r="H1265" s="410">
        <v>1607036.0003425442</v>
      </c>
      <c r="I1265" s="410">
        <v>864695.06422794529</v>
      </c>
      <c r="J1265" s="410">
        <v>980228.29757091019</v>
      </c>
      <c r="K1265" s="410">
        <v>1633155.958152784</v>
      </c>
      <c r="L1265" s="410">
        <v>1674078.6489654833</v>
      </c>
      <c r="M1265" s="410">
        <v>2009005.5570393295</v>
      </c>
      <c r="N1265" s="410">
        <v>1131413.626410461</v>
      </c>
      <c r="O1265" s="410">
        <v>1423057.9526755877</v>
      </c>
      <c r="P1265" s="410">
        <v>1512146.9009005488</v>
      </c>
      <c r="Q1265" s="410">
        <v>1976498.3878686316</v>
      </c>
      <c r="R1265" s="410">
        <v>1409101.7452129566</v>
      </c>
      <c r="S1265" s="410">
        <v>821134.29381102999</v>
      </c>
      <c r="T1265" s="410">
        <v>1196581.2374730052</v>
      </c>
      <c r="U1265" s="410">
        <v>1427092.5670710162</v>
      </c>
      <c r="V1265" s="410">
        <v>791157.36590131326</v>
      </c>
      <c r="W1265" s="327"/>
    </row>
    <row r="1266" spans="1:23" x14ac:dyDescent="0.2">
      <c r="A1266" s="9"/>
      <c r="B1266" s="309" t="s">
        <v>37</v>
      </c>
      <c r="C1266" s="443">
        <v>0</v>
      </c>
      <c r="D1266" s="404">
        <v>-468884.77837706078</v>
      </c>
      <c r="E1266" s="404">
        <v>-442736.47876995482</v>
      </c>
      <c r="F1266" s="404">
        <v>-399348.9005627819</v>
      </c>
      <c r="G1266" s="404">
        <v>-341975.15805817646</v>
      </c>
      <c r="H1266" s="404">
        <v>-309910.8817370648</v>
      </c>
      <c r="I1266" s="404">
        <v>-292616.27098564821</v>
      </c>
      <c r="J1266" s="404">
        <v>-296265.1248224827</v>
      </c>
      <c r="K1266" s="404">
        <v>-299264.75752492156</v>
      </c>
      <c r="L1266" s="404">
        <v>-302753.52294301329</v>
      </c>
      <c r="M1266" s="404">
        <v>-306537.06105864706</v>
      </c>
      <c r="N1266" s="404">
        <v>-286122.32309487072</v>
      </c>
      <c r="O1266" s="404">
        <v>-264943.91695450858</v>
      </c>
      <c r="P1266" s="404">
        <v>-269408.97783946397</v>
      </c>
      <c r="Q1266" s="404">
        <v>-165446.20151174127</v>
      </c>
      <c r="R1266" s="404">
        <v>-61976.437402998672</v>
      </c>
      <c r="S1266" s="404">
        <v>-66456.231763830627</v>
      </c>
      <c r="T1266" s="404">
        <v>-71070.419955487552</v>
      </c>
      <c r="U1266" s="404">
        <v>-75823.033792894188</v>
      </c>
      <c r="V1266" s="404">
        <v>-80718.226045422998</v>
      </c>
      <c r="W1266" s="327"/>
    </row>
    <row r="1267" spans="1:23" ht="13.5" thickBot="1" x14ac:dyDescent="0.25">
      <c r="A1267" s="9"/>
      <c r="B1267" s="310" t="s">
        <v>221</v>
      </c>
      <c r="C1267" s="444">
        <v>0</v>
      </c>
      <c r="D1267" s="406">
        <v>-1748596.3015305696</v>
      </c>
      <c r="E1267" s="406">
        <v>-1096443.150801084</v>
      </c>
      <c r="F1267" s="406">
        <v>-773331.3617756624</v>
      </c>
      <c r="G1267" s="406">
        <v>-604870.66054288996</v>
      </c>
      <c r="H1267" s="406">
        <v>-518850.04744219175</v>
      </c>
      <c r="I1267" s="406">
        <v>-228831.51729691887</v>
      </c>
      <c r="J1267" s="406">
        <v>-273585.26909937098</v>
      </c>
      <c r="K1267" s="406">
        <v>-533556.48025114497</v>
      </c>
      <c r="L1267" s="406">
        <v>-548530.05040898803</v>
      </c>
      <c r="M1267" s="406">
        <v>-680987.39839227311</v>
      </c>
      <c r="N1267" s="406">
        <v>-338116.52132623619</v>
      </c>
      <c r="O1267" s="406">
        <v>-463245.61428843171</v>
      </c>
      <c r="P1267" s="406">
        <v>-497095.16922443401</v>
      </c>
      <c r="Q1267" s="406">
        <v>-724420.87454275624</v>
      </c>
      <c r="R1267" s="406">
        <v>-538850.12312398327</v>
      </c>
      <c r="S1267" s="406">
        <v>-301871.22481887974</v>
      </c>
      <c r="T1267" s="406">
        <v>-450204.32700700709</v>
      </c>
      <c r="U1267" s="406">
        <v>-540507.8133112489</v>
      </c>
      <c r="V1267" s="406">
        <v>-284175.65594235616</v>
      </c>
      <c r="W1267" s="327"/>
    </row>
    <row r="1268" spans="1:23" ht="13.5" thickTop="1" x14ac:dyDescent="0.2">
      <c r="A1268" s="9"/>
      <c r="B1268" s="311" t="s">
        <v>183</v>
      </c>
      <c r="C1268" s="446">
        <v>0</v>
      </c>
      <c r="D1268" s="410">
        <v>2622894.4522958538</v>
      </c>
      <c r="E1268" s="410">
        <v>1644664.726201626</v>
      </c>
      <c r="F1268" s="410">
        <v>1159997.0426634937</v>
      </c>
      <c r="G1268" s="410">
        <v>907305.99081433495</v>
      </c>
      <c r="H1268" s="410">
        <v>778275.07116328762</v>
      </c>
      <c r="I1268" s="410">
        <v>343247.27594537823</v>
      </c>
      <c r="J1268" s="410">
        <v>410377.9036490565</v>
      </c>
      <c r="K1268" s="410">
        <v>800334.72037671751</v>
      </c>
      <c r="L1268" s="410">
        <v>822795.07561348192</v>
      </c>
      <c r="M1268" s="410">
        <v>1021481.0975884094</v>
      </c>
      <c r="N1268" s="410">
        <v>507174.78198935417</v>
      </c>
      <c r="O1268" s="410">
        <v>694868.4214326475</v>
      </c>
      <c r="P1268" s="410">
        <v>745642.75383665087</v>
      </c>
      <c r="Q1268" s="410">
        <v>1086631.3118141342</v>
      </c>
      <c r="R1268" s="410">
        <v>808275.18468597473</v>
      </c>
      <c r="S1268" s="410">
        <v>452806.83722831961</v>
      </c>
      <c r="T1268" s="410">
        <v>675306.49051051051</v>
      </c>
      <c r="U1268" s="410">
        <v>810761.71996687318</v>
      </c>
      <c r="V1268" s="410">
        <v>426263.48391353415</v>
      </c>
      <c r="W1268" s="327"/>
    </row>
    <row r="1269" spans="1:23" x14ac:dyDescent="0.2">
      <c r="A1269" s="9"/>
      <c r="B1269" s="309" t="s">
        <v>37</v>
      </c>
      <c r="C1269" s="443">
        <v>0</v>
      </c>
      <c r="D1269" s="404">
        <v>468884.77837706078</v>
      </c>
      <c r="E1269" s="404">
        <v>442736.47876995482</v>
      </c>
      <c r="F1269" s="404">
        <v>399348.9005627819</v>
      </c>
      <c r="G1269" s="404">
        <v>341975.15805817646</v>
      </c>
      <c r="H1269" s="404">
        <v>309910.8817370648</v>
      </c>
      <c r="I1269" s="404">
        <v>292616.27098564821</v>
      </c>
      <c r="J1269" s="404">
        <v>296265.1248224827</v>
      </c>
      <c r="K1269" s="404">
        <v>299264.75752492156</v>
      </c>
      <c r="L1269" s="404">
        <v>302753.52294301329</v>
      </c>
      <c r="M1269" s="404">
        <v>306537.06105864706</v>
      </c>
      <c r="N1269" s="404">
        <v>286122.32309487072</v>
      </c>
      <c r="O1269" s="404">
        <v>264943.91695450858</v>
      </c>
      <c r="P1269" s="404">
        <v>269408.97783946397</v>
      </c>
      <c r="Q1269" s="404">
        <v>165446.20151174127</v>
      </c>
      <c r="R1269" s="404">
        <v>61976.437402998672</v>
      </c>
      <c r="S1269" s="404">
        <v>66456.231763830627</v>
      </c>
      <c r="T1269" s="404">
        <v>71070.419955487552</v>
      </c>
      <c r="U1269" s="404">
        <v>75823.033792894188</v>
      </c>
      <c r="V1269" s="404">
        <v>80718.226045422998</v>
      </c>
      <c r="W1269" s="327"/>
    </row>
    <row r="1270" spans="1:23" x14ac:dyDescent="0.2">
      <c r="A1270" s="9"/>
      <c r="B1270" s="309" t="s">
        <v>39</v>
      </c>
      <c r="C1270" s="443">
        <v>0</v>
      </c>
      <c r="D1270" s="404">
        <v>-2815.86</v>
      </c>
      <c r="E1270" s="404">
        <v>-332999.71999999997</v>
      </c>
      <c r="F1270" s="404">
        <v>-3047.79</v>
      </c>
      <c r="G1270" s="404">
        <v>-3183.29</v>
      </c>
      <c r="H1270" s="404">
        <v>-69003.861999999994</v>
      </c>
      <c r="I1270" s="404">
        <v>-71073.977859999999</v>
      </c>
      <c r="J1270" s="404">
        <v>-73206.197195800007</v>
      </c>
      <c r="K1270" s="404">
        <v>-75402.383111674004</v>
      </c>
      <c r="L1270" s="404">
        <v>-77664.454605024221</v>
      </c>
      <c r="M1270" s="404">
        <v>-79994.388243174952</v>
      </c>
      <c r="N1270" s="404">
        <v>-82394.219890470209</v>
      </c>
      <c r="O1270" s="404">
        <v>-84866.046487184314</v>
      </c>
      <c r="P1270" s="404">
        <v>-87412.027881799848</v>
      </c>
      <c r="Q1270" s="404">
        <v>-90034.388718253846</v>
      </c>
      <c r="R1270" s="404">
        <v>-92735.420379801464</v>
      </c>
      <c r="S1270" s="404">
        <v>-95517.482991195517</v>
      </c>
      <c r="T1270" s="404">
        <v>-98383.007480931381</v>
      </c>
      <c r="U1270" s="404">
        <v>-101334.49770535933</v>
      </c>
      <c r="V1270" s="404">
        <v>-104374.53263652012</v>
      </c>
      <c r="W1270" s="327"/>
    </row>
    <row r="1271" spans="1:23" ht="13.5" thickBot="1" x14ac:dyDescent="0.25">
      <c r="A1271" s="9"/>
      <c r="B1271" s="310" t="s">
        <v>40</v>
      </c>
      <c r="C1271" s="444">
        <v>0</v>
      </c>
      <c r="D1271" s="406">
        <v>0</v>
      </c>
      <c r="E1271" s="406">
        <v>0</v>
      </c>
      <c r="F1271" s="406">
        <v>0</v>
      </c>
      <c r="G1271" s="406">
        <v>0</v>
      </c>
      <c r="H1271" s="406">
        <v>0</v>
      </c>
      <c r="I1271" s="406">
        <v>0</v>
      </c>
      <c r="J1271" s="406">
        <v>0</v>
      </c>
      <c r="K1271" s="406">
        <v>0</v>
      </c>
      <c r="L1271" s="406">
        <v>0</v>
      </c>
      <c r="M1271" s="406">
        <v>0</v>
      </c>
      <c r="N1271" s="406">
        <v>0</v>
      </c>
      <c r="O1271" s="406">
        <v>0</v>
      </c>
      <c r="P1271" s="406">
        <v>0</v>
      </c>
      <c r="Q1271" s="406">
        <v>0</v>
      </c>
      <c r="R1271" s="406">
        <v>0</v>
      </c>
      <c r="S1271" s="406">
        <v>0</v>
      </c>
      <c r="T1271" s="406">
        <v>0</v>
      </c>
      <c r="U1271" s="406">
        <v>0</v>
      </c>
      <c r="V1271" s="406">
        <v>0</v>
      </c>
      <c r="W1271" s="327"/>
    </row>
    <row r="1272" spans="1:23" ht="13.5" thickTop="1" x14ac:dyDescent="0.2">
      <c r="A1272" s="9"/>
      <c r="B1272" s="309"/>
      <c r="C1272" s="447"/>
      <c r="D1272" s="327"/>
      <c r="E1272" s="327"/>
      <c r="F1272" s="327"/>
      <c r="G1272" s="327"/>
      <c r="H1272" s="327"/>
      <c r="I1272" s="327"/>
      <c r="J1272" s="327"/>
      <c r="K1272" s="327"/>
      <c r="L1272" s="327"/>
      <c r="M1272" s="327"/>
      <c r="N1272" s="327"/>
      <c r="O1272" s="327"/>
      <c r="P1272" s="327"/>
      <c r="Q1272" s="327"/>
      <c r="R1272" s="327"/>
      <c r="S1272" s="327"/>
      <c r="T1272" s="327"/>
      <c r="U1272" s="327"/>
      <c r="V1272" s="327"/>
      <c r="W1272" s="327"/>
    </row>
    <row r="1273" spans="1:23" x14ac:dyDescent="0.2">
      <c r="A1273" s="9"/>
      <c r="B1273" s="311" t="s">
        <v>233</v>
      </c>
      <c r="C1273" s="446">
        <v>0</v>
      </c>
      <c r="D1273" s="410">
        <v>3088963.3706729147</v>
      </c>
      <c r="E1273" s="410">
        <v>1754401.4849715808</v>
      </c>
      <c r="F1273" s="410">
        <v>1556298.1532262755</v>
      </c>
      <c r="G1273" s="410">
        <v>1246097.8588725114</v>
      </c>
      <c r="H1273" s="410">
        <v>1019182.0909003525</v>
      </c>
      <c r="I1273" s="410">
        <v>564789.56907102652</v>
      </c>
      <c r="J1273" s="410">
        <v>633436.83127573924</v>
      </c>
      <c r="K1273" s="410">
        <v>1024197.094789965</v>
      </c>
      <c r="L1273" s="410">
        <v>1047884.1439514711</v>
      </c>
      <c r="M1273" s="410">
        <v>1248023.7704038816</v>
      </c>
      <c r="N1273" s="410">
        <v>710902.88519375469</v>
      </c>
      <c r="O1273" s="410">
        <v>874946.29189997178</v>
      </c>
      <c r="P1273" s="410">
        <v>927639.70379431499</v>
      </c>
      <c r="Q1273" s="410">
        <v>1162043.1246076217</v>
      </c>
      <c r="R1273" s="410">
        <v>777516.20170917199</v>
      </c>
      <c r="S1273" s="410">
        <v>423745.58600095473</v>
      </c>
      <c r="T1273" s="410">
        <v>647993.90298506676</v>
      </c>
      <c r="U1273" s="410">
        <v>785250.25605440803</v>
      </c>
      <c r="V1273" s="410">
        <v>402607.17732243706</v>
      </c>
      <c r="W1273" s="408">
        <v>4891486.4262171695</v>
      </c>
    </row>
    <row r="1274" spans="1:23" x14ac:dyDescent="0.2">
      <c r="A1274" s="9"/>
      <c r="B1274" s="286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</row>
    <row r="1275" spans="1:23" x14ac:dyDescent="0.2">
      <c r="A1275" s="302" t="s">
        <v>218</v>
      </c>
      <c r="B1275" s="300" t="s">
        <v>170</v>
      </c>
      <c r="C1275" s="433">
        <v>6911270.4351809639</v>
      </c>
      <c r="D1275" s="9"/>
      <c r="E1275" s="137" t="s">
        <v>219</v>
      </c>
      <c r="F1275" s="313" t="s">
        <v>170</v>
      </c>
      <c r="G1275" s="437">
        <v>6911270.4351809639</v>
      </c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</row>
    <row r="1276" spans="1:23" x14ac:dyDescent="0.2">
      <c r="A1276" s="9"/>
      <c r="B1276" s="300" t="s">
        <v>180</v>
      </c>
      <c r="C1276" s="433">
        <v>3763504.9061761247</v>
      </c>
      <c r="D1276" s="9"/>
      <c r="E1276" s="315"/>
      <c r="F1276" s="313" t="s">
        <v>180</v>
      </c>
      <c r="G1276" s="437">
        <v>3763504.9061761247</v>
      </c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</row>
    <row r="1277" spans="1:23" ht="13.5" thickBot="1" x14ac:dyDescent="0.25">
      <c r="A1277" s="9"/>
      <c r="B1277" s="316" t="s">
        <v>137</v>
      </c>
      <c r="C1277" s="434">
        <v>727088.28882377187</v>
      </c>
      <c r="D1277" s="317"/>
      <c r="E1277" s="315"/>
      <c r="F1277" s="313" t="s">
        <v>137</v>
      </c>
      <c r="G1277" s="437">
        <v>727088.28882377187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</row>
    <row r="1278" spans="1:23" ht="14.25" thickTop="1" thickBot="1" x14ac:dyDescent="0.25">
      <c r="A1278" s="9"/>
      <c r="B1278" s="300" t="s">
        <v>28</v>
      </c>
      <c r="C1278" s="432">
        <v>11401863.630180862</v>
      </c>
      <c r="D1278" s="299"/>
      <c r="E1278" s="315"/>
      <c r="F1278" s="318" t="s">
        <v>203</v>
      </c>
      <c r="G1278" s="319">
        <v>0</v>
      </c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</row>
    <row r="1279" spans="1:23" ht="13.5" thickTop="1" x14ac:dyDescent="0.2">
      <c r="A1279" s="9"/>
      <c r="B1279" s="286"/>
      <c r="C1279" s="320"/>
      <c r="D1279" s="9"/>
      <c r="E1279" s="321"/>
      <c r="F1279" s="313" t="s">
        <v>28</v>
      </c>
      <c r="G1279" s="362">
        <v>11401863.630180862</v>
      </c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</row>
    <row r="1280" spans="1:23" x14ac:dyDescent="0.2">
      <c r="A1280" s="9"/>
      <c r="B1280" s="286"/>
      <c r="C1280" s="320"/>
      <c r="D1280" s="9"/>
      <c r="E1280" s="321"/>
      <c r="F1280" s="313"/>
      <c r="G1280" s="322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</row>
    <row r="1281" spans="1:23" x14ac:dyDescent="0.2">
      <c r="A1281" s="9"/>
      <c r="B1281" s="286"/>
      <c r="C1281" s="320"/>
      <c r="D1281" s="9"/>
      <c r="E1281" s="321"/>
      <c r="F1281" s="313"/>
      <c r="G1281" s="322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</row>
    <row r="1282" spans="1:23" x14ac:dyDescent="0.2">
      <c r="A1282" s="9"/>
      <c r="B1282" s="323" t="s">
        <v>222</v>
      </c>
      <c r="C1282" s="320"/>
      <c r="D1282" s="9"/>
      <c r="E1282" s="321"/>
      <c r="F1282" s="313"/>
      <c r="G1282" s="322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</row>
    <row r="1283" spans="1:23" x14ac:dyDescent="0.2">
      <c r="A1283" s="324" t="s">
        <v>224</v>
      </c>
      <c r="B1283" s="323" t="s">
        <v>223</v>
      </c>
      <c r="C1283" s="325"/>
      <c r="D1283" s="326">
        <v>2622894.4522958538</v>
      </c>
      <c r="E1283" s="326">
        <v>1644664.726201626</v>
      </c>
      <c r="F1283" s="326">
        <v>1159997.0426634937</v>
      </c>
      <c r="G1283" s="326">
        <v>907305.99081433495</v>
      </c>
      <c r="H1283" s="326">
        <v>778275.07116328762</v>
      </c>
      <c r="I1283" s="326">
        <v>343247.27594537823</v>
      </c>
      <c r="J1283" s="326">
        <v>410377.9036490565</v>
      </c>
      <c r="K1283" s="326">
        <v>800334.72037671751</v>
      </c>
      <c r="L1283" s="326">
        <v>822795.07561348192</v>
      </c>
      <c r="M1283" s="326">
        <v>1021481.0975884094</v>
      </c>
      <c r="N1283" s="326">
        <v>507174.78198935417</v>
      </c>
      <c r="O1283" s="326">
        <v>694868.4214326475</v>
      </c>
      <c r="P1283" s="326">
        <v>745642.75383665087</v>
      </c>
      <c r="Q1283" s="326">
        <v>1086631.3118141342</v>
      </c>
      <c r="R1283" s="326">
        <v>808275.18468597473</v>
      </c>
      <c r="S1283" s="326">
        <v>452806.83722831961</v>
      </c>
      <c r="T1283" s="326">
        <v>675306.49051051051</v>
      </c>
      <c r="U1283" s="326">
        <v>810761.71996687318</v>
      </c>
      <c r="V1283" s="326">
        <v>426263.48391353415</v>
      </c>
      <c r="W1283" s="9"/>
    </row>
    <row r="1284" spans="1:23" x14ac:dyDescent="0.2">
      <c r="A1284" s="9"/>
      <c r="B1284" s="286" t="s">
        <v>225</v>
      </c>
      <c r="C1284" s="320"/>
      <c r="D1284" s="327">
        <v>1748596.3015305696</v>
      </c>
      <c r="E1284" s="327">
        <v>1096443.150801084</v>
      </c>
      <c r="F1284" s="327">
        <v>773331.3617756624</v>
      </c>
      <c r="G1284" s="327">
        <v>604870.66054288996</v>
      </c>
      <c r="H1284" s="327">
        <v>518850.04744219175</v>
      </c>
      <c r="I1284" s="327">
        <v>228831.51729691887</v>
      </c>
      <c r="J1284" s="327">
        <v>273585.26909937098</v>
      </c>
      <c r="K1284" s="327">
        <v>533556.48025114497</v>
      </c>
      <c r="L1284" s="327">
        <v>548530.05040898803</v>
      </c>
      <c r="M1284" s="327">
        <v>680987.39839227311</v>
      </c>
      <c r="N1284" s="327">
        <v>338116.52132623619</v>
      </c>
      <c r="O1284" s="327">
        <v>463245.61428843171</v>
      </c>
      <c r="P1284" s="327">
        <v>497095.16922443401</v>
      </c>
      <c r="Q1284" s="327">
        <v>724420.87454275624</v>
      </c>
      <c r="R1284" s="327">
        <v>538850.12312398327</v>
      </c>
      <c r="S1284" s="327">
        <v>301871.22481887974</v>
      </c>
      <c r="T1284" s="327">
        <v>450204.32700700709</v>
      </c>
      <c r="U1284" s="327">
        <v>540507.8133112489</v>
      </c>
      <c r="V1284" s="327">
        <v>284175.65594235616</v>
      </c>
      <c r="W1284" s="9"/>
    </row>
    <row r="1285" spans="1:23" x14ac:dyDescent="0.2">
      <c r="A1285" s="9"/>
      <c r="B1285" s="328" t="s">
        <v>226</v>
      </c>
      <c r="C1285" s="329"/>
      <c r="D1285" s="327">
        <v>468884.77837706078</v>
      </c>
      <c r="E1285" s="327">
        <v>442736.47876995482</v>
      </c>
      <c r="F1285" s="327">
        <v>399348.9005627819</v>
      </c>
      <c r="G1285" s="327">
        <v>341975.15805817646</v>
      </c>
      <c r="H1285" s="327">
        <v>309910.8817370648</v>
      </c>
      <c r="I1285" s="327">
        <v>292616.27098564821</v>
      </c>
      <c r="J1285" s="327">
        <v>296265.1248224827</v>
      </c>
      <c r="K1285" s="327">
        <v>299264.75752492156</v>
      </c>
      <c r="L1285" s="327">
        <v>302753.52294301329</v>
      </c>
      <c r="M1285" s="327">
        <v>306537.06105864706</v>
      </c>
      <c r="N1285" s="327">
        <v>286122.32309487072</v>
      </c>
      <c r="O1285" s="327">
        <v>264943.91695450858</v>
      </c>
      <c r="P1285" s="327">
        <v>269408.97783946397</v>
      </c>
      <c r="Q1285" s="327">
        <v>165446.20151174127</v>
      </c>
      <c r="R1285" s="327">
        <v>61976.437402998672</v>
      </c>
      <c r="S1285" s="327">
        <v>66456.231763830627</v>
      </c>
      <c r="T1285" s="327">
        <v>71070.419955487552</v>
      </c>
      <c r="U1285" s="327">
        <v>75823.033792894188</v>
      </c>
      <c r="V1285" s="327">
        <v>80718.226045422998</v>
      </c>
      <c r="W1285" s="9"/>
    </row>
    <row r="1286" spans="1:23" ht="13.5" thickBot="1" x14ac:dyDescent="0.25">
      <c r="A1286" s="9"/>
      <c r="B1286" s="330" t="s">
        <v>227</v>
      </c>
      <c r="C1286" s="331"/>
      <c r="D1286" s="332">
        <v>4840375.5322034843</v>
      </c>
      <c r="E1286" s="332">
        <v>3183844.3557726648</v>
      </c>
      <c r="F1286" s="332">
        <v>2332677.3050019378</v>
      </c>
      <c r="G1286" s="332">
        <v>1854151.8094154014</v>
      </c>
      <c r="H1286" s="332">
        <v>1607036.0003425442</v>
      </c>
      <c r="I1286" s="332">
        <v>864695.0642279454</v>
      </c>
      <c r="J1286" s="332">
        <v>980228.29757091019</v>
      </c>
      <c r="K1286" s="332">
        <v>1633155.958152784</v>
      </c>
      <c r="L1286" s="332">
        <v>1674078.6489654833</v>
      </c>
      <c r="M1286" s="332">
        <v>2009005.5570393295</v>
      </c>
      <c r="N1286" s="332">
        <v>1131413.626410461</v>
      </c>
      <c r="O1286" s="332">
        <v>1423057.9526755877</v>
      </c>
      <c r="P1286" s="332">
        <v>1512146.9009005488</v>
      </c>
      <c r="Q1286" s="332">
        <v>1976498.3878686316</v>
      </c>
      <c r="R1286" s="332">
        <v>1409101.7452129566</v>
      </c>
      <c r="S1286" s="332">
        <v>821134.29381102999</v>
      </c>
      <c r="T1286" s="332">
        <v>1196581.2374730052</v>
      </c>
      <c r="U1286" s="332">
        <v>1427092.5670710162</v>
      </c>
      <c r="V1286" s="332">
        <v>791157.36590131326</v>
      </c>
      <c r="W1286" s="9"/>
    </row>
    <row r="1287" spans="1:23" ht="13.5" thickTop="1" x14ac:dyDescent="0.2">
      <c r="A1287" s="324" t="s">
        <v>228</v>
      </c>
      <c r="B1287" s="286" t="s">
        <v>229</v>
      </c>
      <c r="C1287" s="320"/>
      <c r="D1287" s="327">
        <v>-660552.92100760038</v>
      </c>
      <c r="E1287" s="327">
        <v>-677202.90700760041</v>
      </c>
      <c r="F1287" s="327">
        <v>-677355.29650760046</v>
      </c>
      <c r="G1287" s="327">
        <v>-636338.56409130106</v>
      </c>
      <c r="H1287" s="327">
        <v>-48972.126647982222</v>
      </c>
      <c r="I1287" s="327">
        <v>-52525.82554098223</v>
      </c>
      <c r="J1287" s="327">
        <v>-56186.135400772226</v>
      </c>
      <c r="K1287" s="327">
        <v>-59956.254556355925</v>
      </c>
      <c r="L1287" s="327">
        <v>-63839.477286607136</v>
      </c>
      <c r="M1287" s="327">
        <v>-67839.196698765882</v>
      </c>
      <c r="N1287" s="327">
        <v>-71958.907693289395</v>
      </c>
      <c r="O1287" s="327">
        <v>-76202.210017648613</v>
      </c>
      <c r="P1287" s="327">
        <v>-80572.811411738599</v>
      </c>
      <c r="Q1287" s="327">
        <v>-85074.530847651302</v>
      </c>
      <c r="R1287" s="327">
        <v>-89711.301866641385</v>
      </c>
      <c r="S1287" s="327">
        <v>-94487.176016201149</v>
      </c>
      <c r="T1287" s="327">
        <v>-99406.326390247734</v>
      </c>
      <c r="U1287" s="327">
        <v>-104473.0512755157</v>
      </c>
      <c r="V1287" s="327">
        <v>-109691.77790734169</v>
      </c>
      <c r="W1287" s="9"/>
    </row>
    <row r="1288" spans="1:23" x14ac:dyDescent="0.2">
      <c r="A1288" s="9"/>
      <c r="B1288" s="286" t="s">
        <v>230</v>
      </c>
      <c r="C1288" s="320"/>
      <c r="D1288" s="327">
        <v>0</v>
      </c>
      <c r="E1288" s="327">
        <v>0</v>
      </c>
      <c r="F1288" s="327">
        <v>0</v>
      </c>
      <c r="G1288" s="327">
        <v>0</v>
      </c>
      <c r="H1288" s="327">
        <v>0</v>
      </c>
      <c r="I1288" s="327">
        <v>0</v>
      </c>
      <c r="J1288" s="327">
        <v>0</v>
      </c>
      <c r="K1288" s="327">
        <v>0</v>
      </c>
      <c r="L1288" s="327">
        <v>0</v>
      </c>
      <c r="M1288" s="327">
        <v>0</v>
      </c>
      <c r="N1288" s="327">
        <v>0</v>
      </c>
      <c r="O1288" s="327">
        <v>0</v>
      </c>
      <c r="P1288" s="327">
        <v>0</v>
      </c>
      <c r="Q1288" s="327">
        <v>0</v>
      </c>
      <c r="R1288" s="327">
        <v>0</v>
      </c>
      <c r="S1288" s="327">
        <v>0</v>
      </c>
      <c r="T1288" s="327">
        <v>0</v>
      </c>
      <c r="U1288" s="327">
        <v>0</v>
      </c>
      <c r="V1288" s="327">
        <v>0</v>
      </c>
      <c r="W1288" s="9"/>
    </row>
    <row r="1289" spans="1:23" x14ac:dyDescent="0.2">
      <c r="A1289" s="9"/>
      <c r="B1289" s="323" t="s">
        <v>231</v>
      </c>
      <c r="C1289" s="325"/>
      <c r="D1289" s="326">
        <v>4179822.6111958837</v>
      </c>
      <c r="E1289" s="326">
        <v>2506641.4487650646</v>
      </c>
      <c r="F1289" s="326">
        <v>1655322.0084943373</v>
      </c>
      <c r="G1289" s="326">
        <v>1217813.2453241004</v>
      </c>
      <c r="H1289" s="326">
        <v>1558063.8736945619</v>
      </c>
      <c r="I1289" s="326">
        <v>812169.23868696322</v>
      </c>
      <c r="J1289" s="326">
        <v>924042.16217013798</v>
      </c>
      <c r="K1289" s="326">
        <v>1573199.703596428</v>
      </c>
      <c r="L1289" s="326">
        <v>1610239.1716788763</v>
      </c>
      <c r="M1289" s="326">
        <v>1941166.3603405636</v>
      </c>
      <c r="N1289" s="326">
        <v>1059454.7187171716</v>
      </c>
      <c r="O1289" s="326">
        <v>1346855.7426579392</v>
      </c>
      <c r="P1289" s="326">
        <v>1431574.0894888102</v>
      </c>
      <c r="Q1289" s="326">
        <v>1891423.8570209802</v>
      </c>
      <c r="R1289" s="326">
        <v>1319390.4433463151</v>
      </c>
      <c r="S1289" s="326">
        <v>726647.11779482884</v>
      </c>
      <c r="T1289" s="326">
        <v>1097174.9110827574</v>
      </c>
      <c r="U1289" s="326">
        <v>1322619.5157955005</v>
      </c>
      <c r="V1289" s="326">
        <v>681465.58799397154</v>
      </c>
      <c r="W1289" s="9"/>
    </row>
    <row r="1290" spans="1:23" ht="13.5" thickBot="1" x14ac:dyDescent="0.25">
      <c r="A1290" s="9"/>
      <c r="B1290" s="333" t="s">
        <v>237</v>
      </c>
      <c r="C1290" s="334"/>
      <c r="D1290" s="335">
        <v>-1671929.0444783536</v>
      </c>
      <c r="E1290" s="335">
        <v>-1002656.5795060259</v>
      </c>
      <c r="F1290" s="335">
        <v>-662128.803397735</v>
      </c>
      <c r="G1290" s="335">
        <v>-487125.29812964017</v>
      </c>
      <c r="H1290" s="335">
        <v>-623225.54947782482</v>
      </c>
      <c r="I1290" s="335">
        <v>-324867.69547478529</v>
      </c>
      <c r="J1290" s="335">
        <v>-369616.86486805521</v>
      </c>
      <c r="K1290" s="335">
        <v>-629279.88143857126</v>
      </c>
      <c r="L1290" s="335">
        <v>-644095.66867155058</v>
      </c>
      <c r="M1290" s="335">
        <v>-776466.54413622548</v>
      </c>
      <c r="N1290" s="335">
        <v>-423781.88748686865</v>
      </c>
      <c r="O1290" s="335">
        <v>-538742.29706317571</v>
      </c>
      <c r="P1290" s="335">
        <v>-572629.63579552411</v>
      </c>
      <c r="Q1290" s="335">
        <v>-756569.54280839209</v>
      </c>
      <c r="R1290" s="335">
        <v>-527756.177338526</v>
      </c>
      <c r="S1290" s="335">
        <v>-290658.84711793152</v>
      </c>
      <c r="T1290" s="335">
        <v>-438869.96443310298</v>
      </c>
      <c r="U1290" s="335">
        <v>-529047.80631820019</v>
      </c>
      <c r="V1290" s="335">
        <v>-272586.23519758863</v>
      </c>
      <c r="W1290" s="9"/>
    </row>
    <row r="1291" spans="1:23" ht="13.5" thickTop="1" x14ac:dyDescent="0.2">
      <c r="A1291" s="9"/>
      <c r="B1291" s="323" t="s">
        <v>232</v>
      </c>
      <c r="C1291" s="325"/>
      <c r="D1291" s="326">
        <v>2507893.5667175301</v>
      </c>
      <c r="E1291" s="326">
        <v>1503984.8692590387</v>
      </c>
      <c r="F1291" s="326">
        <v>993193.20509660232</v>
      </c>
      <c r="G1291" s="326">
        <v>730687.9471944602</v>
      </c>
      <c r="H1291" s="326">
        <v>934838.32421673706</v>
      </c>
      <c r="I1291" s="326">
        <v>487301.54321217793</v>
      </c>
      <c r="J1291" s="326">
        <v>554425.29730208276</v>
      </c>
      <c r="K1291" s="326">
        <v>943919.82215785678</v>
      </c>
      <c r="L1291" s="326">
        <v>966143.50300732569</v>
      </c>
      <c r="M1291" s="326">
        <v>1164699.8162043381</v>
      </c>
      <c r="N1291" s="326">
        <v>635672.83123030292</v>
      </c>
      <c r="O1291" s="326">
        <v>808113.4455947635</v>
      </c>
      <c r="P1291" s="326">
        <v>858944.45369328605</v>
      </c>
      <c r="Q1291" s="326">
        <v>1134854.3142125881</v>
      </c>
      <c r="R1291" s="326">
        <v>791634.26600778906</v>
      </c>
      <c r="S1291" s="326">
        <v>435988.27067689731</v>
      </c>
      <c r="T1291" s="326">
        <v>658304.94664965442</v>
      </c>
      <c r="U1291" s="326">
        <v>793571.70947730029</v>
      </c>
      <c r="V1291" s="326">
        <v>408879.35279638291</v>
      </c>
      <c r="W1291" s="9"/>
    </row>
    <row r="1292" spans="1:23" x14ac:dyDescent="0.2">
      <c r="A1292" s="9"/>
      <c r="B1292" s="9"/>
      <c r="C1292" s="320"/>
      <c r="D1292" s="9"/>
      <c r="E1292" s="321"/>
      <c r="F1292" s="313"/>
      <c r="G1292" s="322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</row>
    <row r="1293" spans="1:23" ht="15.75" x14ac:dyDescent="0.25">
      <c r="A1293" s="336" t="s">
        <v>205</v>
      </c>
      <c r="B1293" s="337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</row>
    <row r="1294" spans="1:23" x14ac:dyDescent="0.2">
      <c r="A1294" s="284" t="s">
        <v>190</v>
      </c>
      <c r="B1294" s="303"/>
      <c r="C1294" s="338">
        <v>0</v>
      </c>
      <c r="D1294" s="277"/>
      <c r="E1294" s="277"/>
      <c r="F1294" s="277"/>
      <c r="G1294" s="277"/>
      <c r="H1294" s="277"/>
      <c r="I1294" s="277"/>
      <c r="J1294" s="277"/>
      <c r="K1294" s="277"/>
      <c r="L1294" s="277"/>
      <c r="M1294" s="277"/>
      <c r="N1294" s="277"/>
      <c r="O1294" s="277"/>
      <c r="P1294" s="277"/>
      <c r="Q1294" s="277"/>
      <c r="R1294" s="277"/>
      <c r="S1294" s="277"/>
      <c r="T1294" s="277"/>
      <c r="U1294" s="277"/>
      <c r="V1294" s="277"/>
      <c r="W1294" s="277"/>
    </row>
    <row r="1295" spans="1:23" x14ac:dyDescent="0.2">
      <c r="A1295" s="284" t="s">
        <v>191</v>
      </c>
      <c r="B1295" s="303"/>
      <c r="C1295" s="339">
        <v>0</v>
      </c>
      <c r="D1295" s="277"/>
      <c r="E1295" s="277"/>
      <c r="F1295" s="277"/>
      <c r="G1295" s="277"/>
      <c r="H1295" s="277"/>
      <c r="I1295" s="277"/>
      <c r="J1295" s="277"/>
      <c r="K1295" s="277"/>
      <c r="L1295" s="277"/>
      <c r="M1295" s="277"/>
      <c r="N1295" s="277"/>
      <c r="O1295" s="277"/>
      <c r="P1295" s="277"/>
      <c r="Q1295" s="277"/>
      <c r="R1295" s="277"/>
      <c r="S1295" s="277"/>
      <c r="T1295" s="277"/>
      <c r="U1295" s="277"/>
      <c r="V1295" s="277"/>
      <c r="W1295" s="277"/>
    </row>
    <row r="1296" spans="1:23" x14ac:dyDescent="0.2">
      <c r="A1296" s="284" t="s">
        <v>201</v>
      </c>
      <c r="B1296" s="303"/>
      <c r="C1296" s="284">
        <v>15</v>
      </c>
      <c r="D1296" s="277"/>
      <c r="E1296" s="277"/>
      <c r="F1296" s="277"/>
      <c r="G1296" s="277"/>
      <c r="H1296" s="277"/>
      <c r="I1296" s="277"/>
      <c r="J1296" s="277"/>
      <c r="K1296" s="277"/>
      <c r="L1296" s="277"/>
      <c r="M1296" s="277"/>
      <c r="N1296" s="277"/>
      <c r="O1296" s="277"/>
      <c r="P1296" s="277"/>
      <c r="Q1296" s="277"/>
      <c r="R1296" s="277"/>
      <c r="S1296" s="277"/>
      <c r="T1296" s="277"/>
      <c r="U1296" s="277"/>
      <c r="V1296" s="277"/>
      <c r="W1296" s="277"/>
    </row>
    <row r="1297" spans="1:23" x14ac:dyDescent="0.2">
      <c r="A1297" s="284" t="s">
        <v>192</v>
      </c>
      <c r="B1297" s="303"/>
      <c r="C1297" s="339">
        <v>0</v>
      </c>
      <c r="D1297" s="277"/>
      <c r="E1297" s="277"/>
      <c r="F1297" s="277"/>
      <c r="G1297" s="277"/>
      <c r="H1297" s="277"/>
      <c r="I1297" s="277"/>
      <c r="J1297" s="277"/>
      <c r="K1297" s="277"/>
      <c r="L1297" s="277"/>
      <c r="M1297" s="277"/>
      <c r="N1297" s="277"/>
      <c r="O1297" s="277"/>
      <c r="P1297" s="277"/>
      <c r="Q1297" s="277"/>
      <c r="R1297" s="277"/>
      <c r="S1297" s="277"/>
      <c r="T1297" s="277"/>
      <c r="U1297" s="277"/>
      <c r="V1297" s="277"/>
      <c r="W1297" s="277"/>
    </row>
    <row r="1298" spans="1:23" x14ac:dyDescent="0.2">
      <c r="A1298" s="284" t="s">
        <v>193</v>
      </c>
      <c r="B1298" s="303"/>
      <c r="C1298" s="340">
        <v>8.7499999999999994E-2</v>
      </c>
      <c r="D1298" s="277"/>
      <c r="E1298" s="277"/>
      <c r="F1298" s="277"/>
      <c r="G1298" s="277"/>
      <c r="H1298" s="277"/>
      <c r="I1298" s="277"/>
      <c r="J1298" s="277"/>
      <c r="K1298" s="277"/>
      <c r="L1298" s="277"/>
      <c r="M1298" s="277"/>
      <c r="N1298" s="277"/>
      <c r="O1298" s="277"/>
      <c r="P1298" s="277"/>
      <c r="Q1298" s="277"/>
      <c r="R1298" s="277"/>
      <c r="S1298" s="277"/>
      <c r="T1298" s="277"/>
      <c r="U1298" s="277"/>
      <c r="V1298" s="277"/>
      <c r="W1298" s="277"/>
    </row>
    <row r="1299" spans="1:23" x14ac:dyDescent="0.2">
      <c r="A1299" s="284"/>
      <c r="B1299" s="303"/>
      <c r="C1299" s="277"/>
      <c r="D1299" s="306">
        <v>2001</v>
      </c>
      <c r="E1299" s="306">
        <v>2002</v>
      </c>
      <c r="F1299" s="306">
        <v>2003</v>
      </c>
      <c r="G1299" s="306">
        <v>2004</v>
      </c>
      <c r="H1299" s="306">
        <v>2005</v>
      </c>
      <c r="I1299" s="306">
        <v>2006</v>
      </c>
      <c r="J1299" s="306">
        <v>2007</v>
      </c>
      <c r="K1299" s="306">
        <v>2008</v>
      </c>
      <c r="L1299" s="306">
        <v>2009</v>
      </c>
      <c r="M1299" s="306">
        <v>2010</v>
      </c>
      <c r="N1299" s="306">
        <v>2011</v>
      </c>
      <c r="O1299" s="306">
        <v>2012</v>
      </c>
      <c r="P1299" s="306">
        <v>2013</v>
      </c>
      <c r="Q1299" s="306">
        <v>2014</v>
      </c>
      <c r="R1299" s="306">
        <v>2015</v>
      </c>
      <c r="S1299" s="306">
        <v>2016</v>
      </c>
      <c r="T1299" s="306">
        <v>2017</v>
      </c>
      <c r="U1299" s="306">
        <v>2018</v>
      </c>
      <c r="V1299" s="306">
        <v>2019</v>
      </c>
      <c r="W1299" s="306" t="s">
        <v>154</v>
      </c>
    </row>
    <row r="1300" spans="1:23" x14ac:dyDescent="0.2">
      <c r="A1300" s="284" t="s">
        <v>194</v>
      </c>
      <c r="B1300" s="303"/>
      <c r="C1300" s="277"/>
      <c r="D1300" s="341">
        <v>0</v>
      </c>
      <c r="E1300" s="341">
        <v>0</v>
      </c>
      <c r="F1300" s="341">
        <v>0</v>
      </c>
      <c r="G1300" s="341">
        <v>0</v>
      </c>
      <c r="H1300" s="341">
        <v>0</v>
      </c>
      <c r="I1300" s="341">
        <v>0</v>
      </c>
      <c r="J1300" s="341">
        <v>0</v>
      </c>
      <c r="K1300" s="341">
        <v>0</v>
      </c>
      <c r="L1300" s="341">
        <v>0</v>
      </c>
      <c r="M1300" s="341">
        <v>0</v>
      </c>
      <c r="N1300" s="341">
        <v>0</v>
      </c>
      <c r="O1300" s="341">
        <v>0</v>
      </c>
      <c r="P1300" s="341">
        <v>0</v>
      </c>
      <c r="Q1300" s="341">
        <v>0</v>
      </c>
      <c r="R1300" s="341">
        <v>0</v>
      </c>
      <c r="S1300" s="341">
        <v>0</v>
      </c>
      <c r="T1300" s="341">
        <v>0</v>
      </c>
      <c r="U1300" s="341">
        <v>0</v>
      </c>
      <c r="V1300" s="341">
        <v>0</v>
      </c>
      <c r="W1300" s="341">
        <v>0</v>
      </c>
    </row>
    <row r="1301" spans="1:23" x14ac:dyDescent="0.2">
      <c r="A1301" s="284" t="s">
        <v>195</v>
      </c>
      <c r="B1301" s="303"/>
      <c r="C1301" s="277"/>
      <c r="D1301" s="341">
        <v>0</v>
      </c>
      <c r="E1301" s="341">
        <v>0</v>
      </c>
      <c r="F1301" s="341">
        <v>0</v>
      </c>
      <c r="G1301" s="341">
        <v>0</v>
      </c>
      <c r="H1301" s="341">
        <v>0</v>
      </c>
      <c r="I1301" s="341">
        <v>0</v>
      </c>
      <c r="J1301" s="341">
        <v>0</v>
      </c>
      <c r="K1301" s="341">
        <v>0</v>
      </c>
      <c r="L1301" s="341">
        <v>0</v>
      </c>
      <c r="M1301" s="341">
        <v>0</v>
      </c>
      <c r="N1301" s="341">
        <v>0</v>
      </c>
      <c r="O1301" s="341">
        <v>0</v>
      </c>
      <c r="P1301" s="341">
        <v>0</v>
      </c>
      <c r="Q1301" s="341">
        <v>0</v>
      </c>
      <c r="R1301" s="341">
        <v>0</v>
      </c>
      <c r="S1301" s="341">
        <v>0</v>
      </c>
      <c r="T1301" s="341">
        <v>0</v>
      </c>
      <c r="U1301" s="341">
        <v>0</v>
      </c>
      <c r="V1301" s="341">
        <v>0</v>
      </c>
      <c r="W1301" s="341">
        <v>0</v>
      </c>
    </row>
    <row r="1302" spans="1:23" x14ac:dyDescent="0.2">
      <c r="A1302" s="284" t="s">
        <v>196</v>
      </c>
      <c r="B1302" s="303"/>
      <c r="C1302" s="277"/>
      <c r="D1302" s="341">
        <v>0</v>
      </c>
      <c r="E1302" s="341">
        <v>0</v>
      </c>
      <c r="F1302" s="341">
        <v>0</v>
      </c>
      <c r="G1302" s="341">
        <v>0</v>
      </c>
      <c r="H1302" s="341">
        <v>0</v>
      </c>
      <c r="I1302" s="341">
        <v>0</v>
      </c>
      <c r="J1302" s="341">
        <v>0</v>
      </c>
      <c r="K1302" s="341">
        <v>0</v>
      </c>
      <c r="L1302" s="341">
        <v>0</v>
      </c>
      <c r="M1302" s="341">
        <v>0</v>
      </c>
      <c r="N1302" s="341">
        <v>0</v>
      </c>
      <c r="O1302" s="341">
        <v>0</v>
      </c>
      <c r="P1302" s="341">
        <v>0</v>
      </c>
      <c r="Q1302" s="341">
        <v>0</v>
      </c>
      <c r="R1302" s="341">
        <v>0</v>
      </c>
      <c r="S1302" s="341">
        <v>0</v>
      </c>
      <c r="T1302" s="341">
        <v>0</v>
      </c>
      <c r="U1302" s="341">
        <v>0</v>
      </c>
      <c r="V1302" s="341">
        <v>0</v>
      </c>
      <c r="W1302" s="341">
        <v>0</v>
      </c>
    </row>
    <row r="1303" spans="1:23" x14ac:dyDescent="0.2">
      <c r="A1303" s="284" t="s">
        <v>197</v>
      </c>
      <c r="B1303" s="303"/>
      <c r="C1303" s="277"/>
      <c r="D1303" s="342">
        <v>0</v>
      </c>
      <c r="E1303" s="342">
        <v>0</v>
      </c>
      <c r="F1303" s="342">
        <v>0</v>
      </c>
      <c r="G1303" s="342">
        <v>0</v>
      </c>
      <c r="H1303" s="342">
        <v>0</v>
      </c>
      <c r="I1303" s="342">
        <v>0</v>
      </c>
      <c r="J1303" s="342">
        <v>0</v>
      </c>
      <c r="K1303" s="342">
        <v>0</v>
      </c>
      <c r="L1303" s="342">
        <v>0</v>
      </c>
      <c r="M1303" s="342">
        <v>0</v>
      </c>
      <c r="N1303" s="342">
        <v>0</v>
      </c>
      <c r="O1303" s="342">
        <v>0</v>
      </c>
      <c r="P1303" s="342">
        <v>0</v>
      </c>
      <c r="Q1303" s="342">
        <v>0</v>
      </c>
      <c r="R1303" s="342">
        <v>0</v>
      </c>
      <c r="S1303" s="342">
        <v>0</v>
      </c>
      <c r="T1303" s="342">
        <v>0</v>
      </c>
      <c r="U1303" s="342">
        <v>0</v>
      </c>
      <c r="V1303" s="342">
        <v>0</v>
      </c>
      <c r="W1303" s="342">
        <v>0</v>
      </c>
    </row>
    <row r="1304" spans="1:23" ht="13.5" thickBot="1" x14ac:dyDescent="0.25">
      <c r="A1304" s="284" t="s">
        <v>198</v>
      </c>
      <c r="B1304" s="303"/>
      <c r="C1304" s="277"/>
      <c r="D1304" s="343">
        <v>0</v>
      </c>
      <c r="E1304" s="343">
        <v>0</v>
      </c>
      <c r="F1304" s="343">
        <v>0</v>
      </c>
      <c r="G1304" s="343">
        <v>0</v>
      </c>
      <c r="H1304" s="343">
        <v>0</v>
      </c>
      <c r="I1304" s="343">
        <v>0</v>
      </c>
      <c r="J1304" s="343">
        <v>0</v>
      </c>
      <c r="K1304" s="343">
        <v>0</v>
      </c>
      <c r="L1304" s="343">
        <v>0</v>
      </c>
      <c r="M1304" s="343">
        <v>0</v>
      </c>
      <c r="N1304" s="343">
        <v>0</v>
      </c>
      <c r="O1304" s="343">
        <v>0</v>
      </c>
      <c r="P1304" s="343">
        <v>0</v>
      </c>
      <c r="Q1304" s="343">
        <v>0</v>
      </c>
      <c r="R1304" s="343">
        <v>0</v>
      </c>
      <c r="S1304" s="343">
        <v>0</v>
      </c>
      <c r="T1304" s="343">
        <v>0</v>
      </c>
      <c r="U1304" s="343">
        <v>0</v>
      </c>
      <c r="V1304" s="343">
        <v>0</v>
      </c>
      <c r="W1304" s="343">
        <v>0</v>
      </c>
    </row>
    <row r="1305" spans="1:23" ht="13.5" thickTop="1" x14ac:dyDescent="0.2">
      <c r="A1305" s="284"/>
      <c r="B1305" s="303"/>
      <c r="C1305" s="277"/>
      <c r="D1305" s="341"/>
      <c r="E1305" s="341"/>
      <c r="F1305" s="341"/>
      <c r="G1305" s="341"/>
      <c r="H1305" s="341"/>
      <c r="I1305" s="341"/>
      <c r="J1305" s="341"/>
      <c r="K1305" s="341"/>
      <c r="L1305" s="341"/>
      <c r="M1305" s="341"/>
      <c r="N1305" s="341"/>
      <c r="O1305" s="341"/>
      <c r="P1305" s="341"/>
      <c r="Q1305" s="341"/>
      <c r="R1305" s="341"/>
      <c r="S1305" s="341"/>
      <c r="T1305" s="341"/>
      <c r="U1305" s="341"/>
      <c r="V1305" s="341"/>
      <c r="W1305" s="341"/>
    </row>
    <row r="1306" spans="1:23" x14ac:dyDescent="0.2">
      <c r="A1306" s="284" t="s">
        <v>199</v>
      </c>
      <c r="B1306" s="303"/>
      <c r="C1306" s="277"/>
      <c r="D1306" s="341">
        <v>0</v>
      </c>
      <c r="E1306" s="341">
        <v>0</v>
      </c>
      <c r="F1306" s="341">
        <v>0</v>
      </c>
      <c r="G1306" s="341">
        <v>0</v>
      </c>
      <c r="H1306" s="341">
        <v>0</v>
      </c>
      <c r="I1306" s="341">
        <v>0</v>
      </c>
      <c r="J1306" s="341">
        <v>0</v>
      </c>
      <c r="K1306" s="341">
        <v>0</v>
      </c>
      <c r="L1306" s="341">
        <v>0</v>
      </c>
      <c r="M1306" s="341">
        <v>0</v>
      </c>
      <c r="N1306" s="341">
        <v>0</v>
      </c>
      <c r="O1306" s="341">
        <v>0</v>
      </c>
      <c r="P1306" s="341">
        <v>0</v>
      </c>
      <c r="Q1306" s="341">
        <v>0</v>
      </c>
      <c r="R1306" s="341">
        <v>0</v>
      </c>
      <c r="S1306" s="341">
        <v>0</v>
      </c>
      <c r="T1306" s="341">
        <v>0</v>
      </c>
      <c r="U1306" s="341">
        <v>0</v>
      </c>
      <c r="V1306" s="341">
        <v>0</v>
      </c>
      <c r="W1306" s="341">
        <v>0</v>
      </c>
    </row>
    <row r="1307" spans="1:23" x14ac:dyDescent="0.2">
      <c r="A1307" s="284"/>
      <c r="B1307" s="303"/>
      <c r="C1307" s="277"/>
      <c r="D1307" s="277"/>
      <c r="E1307" s="277"/>
      <c r="F1307" s="277"/>
      <c r="G1307" s="277"/>
      <c r="H1307" s="277"/>
      <c r="I1307" s="277"/>
      <c r="J1307" s="277"/>
      <c r="K1307" s="277"/>
      <c r="L1307" s="277"/>
      <c r="M1307" s="277"/>
      <c r="N1307" s="277"/>
      <c r="O1307" s="277"/>
      <c r="P1307" s="277"/>
      <c r="Q1307" s="277"/>
      <c r="R1307" s="277"/>
      <c r="S1307" s="277"/>
      <c r="T1307" s="277"/>
      <c r="U1307" s="277"/>
      <c r="V1307" s="277"/>
      <c r="W1307" s="277"/>
    </row>
    <row r="1308" spans="1:23" x14ac:dyDescent="0.2">
      <c r="A1308" s="284" t="s">
        <v>200</v>
      </c>
      <c r="B1308" s="303"/>
      <c r="C1308" s="277"/>
      <c r="D1308" s="341">
        <v>0</v>
      </c>
      <c r="E1308" s="341">
        <v>0</v>
      </c>
      <c r="F1308" s="341">
        <v>0</v>
      </c>
      <c r="G1308" s="341">
        <v>0</v>
      </c>
      <c r="H1308" s="341">
        <v>0</v>
      </c>
      <c r="I1308" s="341">
        <v>0</v>
      </c>
      <c r="J1308" s="341">
        <v>0</v>
      </c>
      <c r="K1308" s="341">
        <v>0</v>
      </c>
      <c r="L1308" s="341">
        <v>0</v>
      </c>
      <c r="M1308" s="341">
        <v>0</v>
      </c>
      <c r="N1308" s="341">
        <v>0</v>
      </c>
      <c r="O1308" s="341">
        <v>0</v>
      </c>
      <c r="P1308" s="341">
        <v>0</v>
      </c>
      <c r="Q1308" s="341">
        <v>0</v>
      </c>
      <c r="R1308" s="341">
        <v>0</v>
      </c>
      <c r="S1308" s="341">
        <v>0</v>
      </c>
      <c r="T1308" s="341">
        <v>0</v>
      </c>
      <c r="U1308" s="341">
        <v>0</v>
      </c>
      <c r="V1308" s="341">
        <v>0</v>
      </c>
      <c r="W1308" s="341">
        <v>0</v>
      </c>
    </row>
    <row r="1309" spans="1:23" x14ac:dyDescent="0.2">
      <c r="A1309" s="277">
        <v>1</v>
      </c>
      <c r="B1309" s="303"/>
      <c r="C1309" s="277"/>
      <c r="D1309" s="277"/>
      <c r="E1309" s="277"/>
      <c r="F1309" s="277"/>
      <c r="G1309" s="277"/>
      <c r="H1309" s="277"/>
      <c r="I1309" s="277"/>
      <c r="J1309" s="277"/>
      <c r="K1309" s="277"/>
      <c r="L1309" s="277"/>
      <c r="M1309" s="277"/>
      <c r="N1309" s="277"/>
      <c r="O1309" s="277"/>
      <c r="P1309" s="277"/>
      <c r="Q1309" s="277"/>
      <c r="R1309" s="277"/>
      <c r="S1309" s="277"/>
      <c r="T1309" s="277"/>
      <c r="U1309" s="277"/>
      <c r="V1309" s="277"/>
      <c r="W1309" s="277"/>
    </row>
    <row r="1310" spans="1:23" x14ac:dyDescent="0.2">
      <c r="A1310" s="277"/>
      <c r="B1310" s="303"/>
      <c r="C1310" s="277"/>
      <c r="D1310" s="277"/>
      <c r="E1310" s="277"/>
      <c r="F1310" s="277"/>
      <c r="G1310" s="277"/>
      <c r="H1310" s="277"/>
      <c r="I1310" s="277"/>
      <c r="J1310" s="277"/>
      <c r="K1310" s="277"/>
      <c r="L1310" s="277"/>
      <c r="M1310" s="277"/>
      <c r="N1310" s="277"/>
      <c r="O1310" s="277"/>
      <c r="P1310" s="277"/>
      <c r="Q1310" s="277"/>
      <c r="R1310" s="277"/>
      <c r="S1310" s="277"/>
      <c r="T1310" s="277"/>
      <c r="U1310" s="277"/>
      <c r="V1310" s="277"/>
      <c r="W1310" s="277"/>
    </row>
    <row r="1311" spans="1:23" x14ac:dyDescent="0.2">
      <c r="A1311" s="284" t="s">
        <v>202</v>
      </c>
      <c r="B1311" s="279"/>
      <c r="C1311" s="278"/>
      <c r="D1311" s="435">
        <v>3088963.3706729147</v>
      </c>
      <c r="E1311" s="435">
        <v>1754401.4849715808</v>
      </c>
      <c r="F1311" s="435">
        <v>1556298.1532262755</v>
      </c>
      <c r="G1311" s="435">
        <v>1246097.8588725114</v>
      </c>
      <c r="H1311" s="435">
        <v>1019182.0909003525</v>
      </c>
      <c r="I1311" s="435">
        <v>564789.56907102652</v>
      </c>
      <c r="J1311" s="435">
        <v>633436.83127573924</v>
      </c>
      <c r="K1311" s="435">
        <v>1024197.094789965</v>
      </c>
      <c r="L1311" s="435">
        <v>1047884.1439514711</v>
      </c>
      <c r="M1311" s="435">
        <v>1248023.7704038816</v>
      </c>
      <c r="N1311" s="435">
        <v>710902.88519375469</v>
      </c>
      <c r="O1311" s="435">
        <v>874946.29189997178</v>
      </c>
      <c r="P1311" s="435">
        <v>927639.70379431499</v>
      </c>
      <c r="Q1311" s="435">
        <v>1162043.1246076217</v>
      </c>
      <c r="R1311" s="435">
        <v>777516.20170917199</v>
      </c>
      <c r="S1311" s="435">
        <v>423745.58600095473</v>
      </c>
      <c r="T1311" s="435">
        <v>647993.90298506676</v>
      </c>
      <c r="U1311" s="435">
        <v>785250.25605440803</v>
      </c>
      <c r="V1311" s="435">
        <v>402607.17732243706</v>
      </c>
      <c r="W1311" s="435">
        <v>4891486.4262171695</v>
      </c>
    </row>
    <row r="1312" spans="1:23" x14ac:dyDescent="0.2">
      <c r="A1312" s="9"/>
      <c r="B1312" s="6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</row>
    <row r="1313" spans="1:23" x14ac:dyDescent="0.2">
      <c r="A1313" s="364"/>
      <c r="B1313" s="289"/>
      <c r="C1313" s="354"/>
      <c r="D1313" s="366"/>
      <c r="E1313" s="366"/>
      <c r="F1313" s="366"/>
      <c r="G1313" s="366"/>
      <c r="H1313" s="366"/>
      <c r="I1313" s="366"/>
      <c r="J1313" s="366"/>
      <c r="K1313" s="366"/>
      <c r="L1313" s="366"/>
      <c r="M1313" s="366"/>
      <c r="N1313" s="366"/>
      <c r="O1313" s="366"/>
      <c r="P1313" s="366"/>
      <c r="Q1313" s="366"/>
      <c r="R1313" s="366"/>
      <c r="S1313" s="366"/>
      <c r="T1313" s="366"/>
      <c r="U1313" s="366"/>
      <c r="V1313" s="366"/>
    </row>
    <row r="1314" spans="1:23" x14ac:dyDescent="0.2">
      <c r="B1314" s="289"/>
      <c r="C1314" s="354"/>
      <c r="D1314" s="366"/>
      <c r="E1314" s="366"/>
      <c r="F1314" s="366"/>
      <c r="G1314" s="366"/>
      <c r="H1314" s="366"/>
      <c r="I1314" s="366"/>
      <c r="J1314" s="366"/>
      <c r="K1314" s="366"/>
      <c r="L1314" s="366"/>
      <c r="M1314" s="366"/>
      <c r="N1314" s="366"/>
      <c r="O1314" s="366"/>
      <c r="P1314" s="366"/>
      <c r="Q1314" s="366"/>
      <c r="R1314" s="366"/>
      <c r="S1314" s="366"/>
      <c r="T1314" s="366"/>
      <c r="U1314" s="366"/>
      <c r="V1314" s="366"/>
    </row>
    <row r="1315" spans="1:23" x14ac:dyDescent="0.2">
      <c r="B1315" s="300"/>
      <c r="C1315" s="301"/>
      <c r="D1315" s="365"/>
      <c r="E1315" s="365"/>
      <c r="F1315" s="365"/>
      <c r="G1315" s="365"/>
      <c r="H1315" s="365"/>
      <c r="I1315" s="365"/>
      <c r="J1315" s="365"/>
      <c r="K1315" s="365"/>
      <c r="L1315" s="365"/>
      <c r="M1315" s="365"/>
      <c r="N1315" s="365"/>
      <c r="O1315" s="365"/>
      <c r="P1315" s="365"/>
      <c r="Q1315" s="365"/>
      <c r="R1315" s="365"/>
      <c r="S1315" s="365"/>
      <c r="T1315" s="365"/>
      <c r="U1315" s="365"/>
      <c r="V1315" s="365"/>
    </row>
    <row r="1316" spans="1:23" x14ac:dyDescent="0.2">
      <c r="B1316" s="289"/>
      <c r="C1316" s="354"/>
      <c r="D1316" s="366"/>
      <c r="E1316" s="366"/>
      <c r="F1316" s="366"/>
      <c r="G1316" s="366"/>
      <c r="H1316" s="366"/>
      <c r="I1316" s="366"/>
      <c r="J1316" s="366"/>
      <c r="K1316" s="366"/>
      <c r="L1316" s="366"/>
      <c r="M1316" s="366"/>
      <c r="N1316" s="366"/>
      <c r="O1316" s="366"/>
      <c r="P1316" s="366"/>
      <c r="Q1316" s="366"/>
      <c r="R1316" s="366"/>
      <c r="S1316" s="366"/>
      <c r="T1316" s="366"/>
      <c r="U1316" s="366"/>
      <c r="V1316" s="366"/>
    </row>
    <row r="1317" spans="1:23" x14ac:dyDescent="0.2">
      <c r="B1317" s="300"/>
      <c r="C1317" s="301"/>
      <c r="D1317" s="365"/>
      <c r="E1317" s="365"/>
      <c r="F1317" s="365"/>
      <c r="G1317" s="365"/>
      <c r="H1317" s="365"/>
      <c r="I1317" s="365"/>
      <c r="J1317" s="365"/>
      <c r="K1317" s="365"/>
      <c r="L1317" s="365"/>
      <c r="M1317" s="365"/>
      <c r="N1317" s="365"/>
      <c r="O1317" s="365"/>
      <c r="P1317" s="365"/>
      <c r="Q1317" s="365"/>
      <c r="R1317" s="365"/>
      <c r="S1317" s="365"/>
      <c r="T1317" s="365"/>
      <c r="U1317" s="365"/>
      <c r="V1317" s="365"/>
    </row>
    <row r="1318" spans="1:23" x14ac:dyDescent="0.2">
      <c r="C1318" s="354"/>
      <c r="E1318" s="363"/>
      <c r="F1318" s="313"/>
      <c r="G1318" s="322"/>
    </row>
    <row r="1319" spans="1:23" ht="15.75" x14ac:dyDescent="0.25">
      <c r="A1319" s="367"/>
      <c r="B1319" s="368"/>
    </row>
    <row r="1320" spans="1:23" ht="15.75" x14ac:dyDescent="0.25">
      <c r="A1320" s="302" t="s">
        <v>29</v>
      </c>
      <c r="B1320" s="305" t="s">
        <v>74</v>
      </c>
      <c r="C1320" s="306">
        <v>2000</v>
      </c>
      <c r="D1320" s="306">
        <v>2001</v>
      </c>
      <c r="E1320" s="306">
        <v>2002</v>
      </c>
      <c r="F1320" s="306">
        <v>2003</v>
      </c>
      <c r="G1320" s="306">
        <v>2004</v>
      </c>
      <c r="H1320" s="306">
        <v>2005</v>
      </c>
      <c r="I1320" s="306">
        <v>2006</v>
      </c>
      <c r="J1320" s="306">
        <v>2007</v>
      </c>
      <c r="K1320" s="306">
        <v>2008</v>
      </c>
      <c r="L1320" s="306">
        <v>2009</v>
      </c>
      <c r="M1320" s="306">
        <v>2010</v>
      </c>
      <c r="N1320" s="306">
        <v>2011</v>
      </c>
      <c r="O1320" s="306">
        <v>2012</v>
      </c>
      <c r="P1320" s="306">
        <v>2013</v>
      </c>
      <c r="Q1320" s="306">
        <v>2014</v>
      </c>
      <c r="R1320" s="306">
        <v>2015</v>
      </c>
      <c r="S1320" s="306">
        <v>2016</v>
      </c>
      <c r="T1320" s="306">
        <v>2017</v>
      </c>
      <c r="U1320" s="306">
        <v>2018</v>
      </c>
      <c r="V1320" s="306">
        <v>2019</v>
      </c>
      <c r="W1320" s="306" t="s">
        <v>154</v>
      </c>
    </row>
    <row r="1321" spans="1:23" x14ac:dyDescent="0.2">
      <c r="A1321" s="302" t="s">
        <v>26</v>
      </c>
      <c r="B1321" s="303">
        <v>14.2</v>
      </c>
      <c r="C1321" s="308"/>
      <c r="D1321" s="308"/>
      <c r="E1321" s="308"/>
      <c r="F1321" s="308"/>
      <c r="G1321" s="308"/>
      <c r="H1321" s="308"/>
      <c r="I1321" s="308"/>
      <c r="J1321" s="308"/>
      <c r="K1321" s="308"/>
      <c r="L1321" s="308"/>
      <c r="M1321" s="308"/>
      <c r="N1321" s="308"/>
      <c r="O1321" s="308"/>
      <c r="P1321" s="308"/>
      <c r="Q1321" s="308"/>
      <c r="R1321" s="308"/>
      <c r="S1321" s="308"/>
      <c r="T1321" s="308"/>
      <c r="U1321" s="308"/>
      <c r="V1321" s="308"/>
      <c r="W1321" s="308"/>
    </row>
    <row r="1322" spans="1:23" x14ac:dyDescent="0.2">
      <c r="A1322" s="9"/>
      <c r="B1322" s="309" t="s">
        <v>27</v>
      </c>
      <c r="C1322" s="443">
        <v>0</v>
      </c>
      <c r="D1322" s="404">
        <v>942332.14866393921</v>
      </c>
      <c r="E1322" s="404">
        <v>706930.27940579446</v>
      </c>
      <c r="F1322" s="404">
        <v>554891.16733126028</v>
      </c>
      <c r="G1322" s="404">
        <v>476144.01994289644</v>
      </c>
      <c r="H1322" s="404">
        <v>491382.61963840865</v>
      </c>
      <c r="I1322" s="404">
        <v>375136.45705088926</v>
      </c>
      <c r="J1322" s="404">
        <v>423422.25495784933</v>
      </c>
      <c r="K1322" s="404">
        <v>706866.65940433147</v>
      </c>
      <c r="L1322" s="404">
        <v>700863.34820647142</v>
      </c>
      <c r="M1322" s="404">
        <v>751736.41235523217</v>
      </c>
      <c r="N1322" s="404">
        <v>649893.75233651558</v>
      </c>
      <c r="O1322" s="404">
        <v>689091.02059651865</v>
      </c>
      <c r="P1322" s="404">
        <v>799761.31690333097</v>
      </c>
      <c r="Q1322" s="404">
        <v>963356.66087611974</v>
      </c>
      <c r="R1322" s="404">
        <v>760485.07249395142</v>
      </c>
      <c r="S1322" s="404">
        <v>621775.96051763045</v>
      </c>
      <c r="T1322" s="404">
        <v>767694.97650421015</v>
      </c>
      <c r="U1322" s="404">
        <v>927474.16714724433</v>
      </c>
      <c r="V1322" s="404">
        <v>737218.59225904057</v>
      </c>
      <c r="W1322" s="327"/>
    </row>
    <row r="1323" spans="1:23" x14ac:dyDescent="0.2">
      <c r="A1323" s="9"/>
      <c r="B1323" s="309" t="s">
        <v>20</v>
      </c>
      <c r="C1323" s="443">
        <v>0</v>
      </c>
      <c r="D1323" s="404">
        <v>-136080.73492049825</v>
      </c>
      <c r="E1323" s="404">
        <v>-153067.8979406337</v>
      </c>
      <c r="F1323" s="404">
        <v>-132071.25209247827</v>
      </c>
      <c r="G1323" s="404">
        <v>-126594.80355006302</v>
      </c>
      <c r="H1323" s="404">
        <v>-176771.45962247375</v>
      </c>
      <c r="I1323" s="404">
        <v>-168674.19295876584</v>
      </c>
      <c r="J1323" s="404">
        <v>-195739.00056479016</v>
      </c>
      <c r="K1323" s="404">
        <v>-355063.44343897508</v>
      </c>
      <c r="L1323" s="404">
        <v>-345343.64146796247</v>
      </c>
      <c r="M1323" s="404">
        <v>-344580.30687449331</v>
      </c>
      <c r="N1323" s="404">
        <v>-370483.31002545782</v>
      </c>
      <c r="O1323" s="404">
        <v>-364527.26563232375</v>
      </c>
      <c r="P1323" s="404">
        <v>-448226.28887100314</v>
      </c>
      <c r="Q1323" s="404">
        <v>-526697.18713061512</v>
      </c>
      <c r="R1323" s="404">
        <v>-425578.52315190894</v>
      </c>
      <c r="S1323" s="404">
        <v>-381188.87487769895</v>
      </c>
      <c r="T1323" s="404">
        <v>-460551.61998042301</v>
      </c>
      <c r="U1323" s="404">
        <v>-578151.90820155537</v>
      </c>
      <c r="V1323" s="404">
        <v>-492249.85048233299</v>
      </c>
      <c r="W1323" s="327"/>
    </row>
    <row r="1324" spans="1:23" x14ac:dyDescent="0.2">
      <c r="A1324" s="9"/>
      <c r="B1324" s="309" t="s">
        <v>31</v>
      </c>
      <c r="C1324" s="443">
        <v>0</v>
      </c>
      <c r="D1324" s="404">
        <v>-5764.527885701822</v>
      </c>
      <c r="E1324" s="404">
        <v>-7184.9924186976295</v>
      </c>
      <c r="F1324" s="404">
        <v>-6517.1442128605377</v>
      </c>
      <c r="G1324" s="404">
        <v>-6330.3979232159836</v>
      </c>
      <c r="H1324" s="404">
        <v>-8960.8962256773357</v>
      </c>
      <c r="I1324" s="404">
        <v>-8564.678295657277</v>
      </c>
      <c r="J1324" s="404">
        <v>-10001.920696671657</v>
      </c>
      <c r="K1324" s="404">
        <v>-19930.537861328172</v>
      </c>
      <c r="L1324" s="404">
        <v>-19352.587579620864</v>
      </c>
      <c r="M1324" s="404">
        <v>-19066.770364411928</v>
      </c>
      <c r="N1324" s="404">
        <v>-20185.443990324122</v>
      </c>
      <c r="O1324" s="404">
        <v>-20669.95525943517</v>
      </c>
      <c r="P1324" s="404">
        <v>-24387.387597859684</v>
      </c>
      <c r="Q1324" s="404">
        <v>-29484.984436664206</v>
      </c>
      <c r="R1324" s="404">
        <v>-22244.417945685036</v>
      </c>
      <c r="S1324" s="404">
        <v>-19406.188717444402</v>
      </c>
      <c r="T1324" s="404">
        <v>-23388.287486949939</v>
      </c>
      <c r="U1324" s="404">
        <v>-28004.428455448397</v>
      </c>
      <c r="V1324" s="404">
        <v>-23991.772524990021</v>
      </c>
      <c r="W1324" s="327"/>
    </row>
    <row r="1325" spans="1:23" x14ac:dyDescent="0.2">
      <c r="A1325" s="9"/>
      <c r="B1325" s="309" t="s">
        <v>32</v>
      </c>
      <c r="C1325" s="443">
        <v>0</v>
      </c>
      <c r="D1325" s="404">
        <v>0</v>
      </c>
      <c r="E1325" s="404">
        <v>0</v>
      </c>
      <c r="F1325" s="404">
        <v>0</v>
      </c>
      <c r="G1325" s="404">
        <v>0</v>
      </c>
      <c r="H1325" s="404">
        <v>0</v>
      </c>
      <c r="I1325" s="404">
        <v>-2402.5036174507654</v>
      </c>
      <c r="J1325" s="404">
        <v>-3051.2654075327523</v>
      </c>
      <c r="K1325" s="404">
        <v>-6861.7120089880282</v>
      </c>
      <c r="L1325" s="404">
        <v>-6875.947237817004</v>
      </c>
      <c r="M1325" s="404">
        <v>-7375.1781425235549</v>
      </c>
      <c r="N1325" s="404">
        <v>-8457.849484015027</v>
      </c>
      <c r="O1325" s="404">
        <v>-9381.8688536933005</v>
      </c>
      <c r="P1325" s="404">
        <v>-12157.790103123778</v>
      </c>
      <c r="Q1325" s="404">
        <v>-16062.695885955512</v>
      </c>
      <c r="R1325" s="404">
        <v>-13165.632092882342</v>
      </c>
      <c r="S1325" s="404">
        <v>-12353.293908936255</v>
      </c>
      <c r="T1325" s="404">
        <v>-14327.916354844818</v>
      </c>
      <c r="U1325" s="404">
        <v>-14382.572724393242</v>
      </c>
      <c r="V1325" s="404">
        <v>-12543.964588600975</v>
      </c>
      <c r="W1325" s="327"/>
    </row>
    <row r="1326" spans="1:23" ht="13.5" thickBot="1" x14ac:dyDescent="0.25">
      <c r="A1326" s="9"/>
      <c r="B1326" s="310" t="s">
        <v>33</v>
      </c>
      <c r="C1326" s="444">
        <v>0</v>
      </c>
      <c r="D1326" s="406">
        <v>0</v>
      </c>
      <c r="E1326" s="406">
        <v>0</v>
      </c>
      <c r="F1326" s="406">
        <v>0</v>
      </c>
      <c r="G1326" s="406">
        <v>0</v>
      </c>
      <c r="H1326" s="406">
        <v>0</v>
      </c>
      <c r="I1326" s="406">
        <v>-2402.5036174507654</v>
      </c>
      <c r="J1326" s="406">
        <v>-3051.2654075327523</v>
      </c>
      <c r="K1326" s="406">
        <v>-6861.7120089880282</v>
      </c>
      <c r="L1326" s="406">
        <v>-6875.947237817004</v>
      </c>
      <c r="M1326" s="406">
        <v>-7375.1781425235549</v>
      </c>
      <c r="N1326" s="406">
        <v>-8457.849484015027</v>
      </c>
      <c r="O1326" s="406">
        <v>-9381.8688536933005</v>
      </c>
      <c r="P1326" s="406">
        <v>-12157.790103123778</v>
      </c>
      <c r="Q1326" s="406">
        <v>-16062.695885955512</v>
      </c>
      <c r="R1326" s="406">
        <v>-13165.632092882342</v>
      </c>
      <c r="S1326" s="406">
        <v>-12353.293908936255</v>
      </c>
      <c r="T1326" s="406">
        <v>-14327.916354844818</v>
      </c>
      <c r="U1326" s="406">
        <v>-14382.572724393242</v>
      </c>
      <c r="V1326" s="406">
        <v>-12543.964588600975</v>
      </c>
      <c r="W1326" s="327"/>
    </row>
    <row r="1327" spans="1:23" ht="13.5" thickTop="1" x14ac:dyDescent="0.2">
      <c r="A1327" s="9"/>
      <c r="B1327" s="311" t="s">
        <v>38</v>
      </c>
      <c r="C1327" s="445">
        <v>0</v>
      </c>
      <c r="D1327" s="408">
        <v>800486.88585773914</v>
      </c>
      <c r="E1327" s="408">
        <v>546677.38904646307</v>
      </c>
      <c r="F1327" s="408">
        <v>416302.77102592145</v>
      </c>
      <c r="G1327" s="408">
        <v>343218.8184696174</v>
      </c>
      <c r="H1327" s="408">
        <v>305650.26379025757</v>
      </c>
      <c r="I1327" s="408">
        <v>193092.57856156462</v>
      </c>
      <c r="J1327" s="408">
        <v>211578.80288132204</v>
      </c>
      <c r="K1327" s="408">
        <v>318149.25408605218</v>
      </c>
      <c r="L1327" s="408">
        <v>322415.22468325408</v>
      </c>
      <c r="M1327" s="408">
        <v>373338.97883127979</v>
      </c>
      <c r="N1327" s="408">
        <v>242309.29935270359</v>
      </c>
      <c r="O1327" s="408">
        <v>285130.06199737312</v>
      </c>
      <c r="P1327" s="408">
        <v>302832.06022822065</v>
      </c>
      <c r="Q1327" s="408">
        <v>375049.09753692936</v>
      </c>
      <c r="R1327" s="408">
        <v>286330.86721059273</v>
      </c>
      <c r="S1327" s="408">
        <v>196474.30910461457</v>
      </c>
      <c r="T1327" s="408">
        <v>255099.23632714758</v>
      </c>
      <c r="U1327" s="408">
        <v>292552.6850414541</v>
      </c>
      <c r="V1327" s="408">
        <v>195889.04007451562</v>
      </c>
      <c r="W1327" s="327"/>
    </row>
    <row r="1328" spans="1:23" x14ac:dyDescent="0.2">
      <c r="A1328" s="9"/>
      <c r="B1328" s="309" t="s">
        <v>34</v>
      </c>
      <c r="C1328" s="443">
        <v>0</v>
      </c>
      <c r="D1328" s="404">
        <v>-43632.116662773282</v>
      </c>
      <c r="E1328" s="404">
        <v>-44504.758996028751</v>
      </c>
      <c r="F1328" s="404">
        <v>-45394.854175949324</v>
      </c>
      <c r="G1328" s="404">
        <v>-46302.751259468314</v>
      </c>
      <c r="H1328" s="404">
        <v>-47228.806284657679</v>
      </c>
      <c r="I1328" s="404">
        <v>-48173.38241035083</v>
      </c>
      <c r="J1328" s="404">
        <v>-49136.850058557851</v>
      </c>
      <c r="K1328" s="404">
        <v>-50119.587059729012</v>
      </c>
      <c r="L1328" s="404">
        <v>-51121.978800923593</v>
      </c>
      <c r="M1328" s="404">
        <v>-52144.418376942063</v>
      </c>
      <c r="N1328" s="404">
        <v>-53187.306744480906</v>
      </c>
      <c r="O1328" s="404">
        <v>-54251.052879370523</v>
      </c>
      <c r="P1328" s="404">
        <v>-55336.073936957931</v>
      </c>
      <c r="Q1328" s="404">
        <v>-56442.795415697088</v>
      </c>
      <c r="R1328" s="404">
        <v>-57571.651324011029</v>
      </c>
      <c r="S1328" s="404">
        <v>-58723.084350491248</v>
      </c>
      <c r="T1328" s="404">
        <v>-59897.546037501073</v>
      </c>
      <c r="U1328" s="404">
        <v>-61095.496958251097</v>
      </c>
      <c r="V1328" s="404">
        <v>-62317.40689741612</v>
      </c>
      <c r="W1328" s="327"/>
    </row>
    <row r="1329" spans="1:23" x14ac:dyDescent="0.2">
      <c r="A1329" s="9"/>
      <c r="B1329" s="309" t="s">
        <v>35</v>
      </c>
      <c r="C1329" s="443">
        <v>0</v>
      </c>
      <c r="D1329" s="404">
        <v>-11310.490214379086</v>
      </c>
      <c r="E1329" s="404">
        <v>-11310.490214379086</v>
      </c>
      <c r="F1329" s="404">
        <v>-11310.490214379086</v>
      </c>
      <c r="G1329" s="404">
        <v>-11310.490214379086</v>
      </c>
      <c r="H1329" s="404">
        <v>-11310.490214379086</v>
      </c>
      <c r="I1329" s="404">
        <v>-11310.490214379086</v>
      </c>
      <c r="J1329" s="404">
        <v>-11310.490214379086</v>
      </c>
      <c r="K1329" s="404">
        <v>-11310.490214379086</v>
      </c>
      <c r="L1329" s="404">
        <v>-11310.490214379086</v>
      </c>
      <c r="M1329" s="404">
        <v>-11310.490214379086</v>
      </c>
      <c r="N1329" s="404">
        <v>-11310.490214379086</v>
      </c>
      <c r="O1329" s="404">
        <v>-11310.490214379086</v>
      </c>
      <c r="P1329" s="404">
        <v>-11310.490214379086</v>
      </c>
      <c r="Q1329" s="404">
        <v>-11310.490214379086</v>
      </c>
      <c r="R1329" s="404">
        <v>-11310.490214379086</v>
      </c>
      <c r="S1329" s="404">
        <v>-11310.490214379086</v>
      </c>
      <c r="T1329" s="404">
        <v>-11310.490214379086</v>
      </c>
      <c r="U1329" s="404">
        <v>-11310.490214379086</v>
      </c>
      <c r="V1329" s="404">
        <v>-11310.490214379086</v>
      </c>
      <c r="W1329" s="327"/>
    </row>
    <row r="1330" spans="1:23" ht="13.5" thickBot="1" x14ac:dyDescent="0.25">
      <c r="A1330" s="9"/>
      <c r="B1330" s="310" t="s">
        <v>36</v>
      </c>
      <c r="C1330" s="444">
        <v>0</v>
      </c>
      <c r="D1330" s="406">
        <v>-1728.8814379671401</v>
      </c>
      <c r="E1330" s="406">
        <v>-1765.3608363082501</v>
      </c>
      <c r="F1330" s="406">
        <v>-1804.02223862341</v>
      </c>
      <c r="G1330" s="406">
        <v>-1844.79314121628</v>
      </c>
      <c r="H1330" s="406">
        <v>-1888.6992179772301</v>
      </c>
      <c r="I1330" s="406">
        <v>-1936.03021025407</v>
      </c>
      <c r="J1330" s="406">
        <v>-1984.04915300005</v>
      </c>
      <c r="K1330" s="406">
        <v>-2034.2695372472799</v>
      </c>
      <c r="L1330" s="406">
        <v>-2084.51599481729</v>
      </c>
      <c r="M1330" s="406">
        <v>-2137.67115268512</v>
      </c>
      <c r="N1330" s="406">
        <v>-2189.4027945801099</v>
      </c>
      <c r="O1330" s="406">
        <v>-2244.5757450035298</v>
      </c>
      <c r="P1330" s="406">
        <v>-2301.5879689266098</v>
      </c>
      <c r="Q1330" s="406">
        <v>-2359.1276681497802</v>
      </c>
      <c r="R1330" s="406">
        <v>-2418.3417726203402</v>
      </c>
      <c r="S1330" s="406">
        <v>-2478.8003169358499</v>
      </c>
      <c r="T1330" s="406">
        <v>-2540.27456479585</v>
      </c>
      <c r="U1330" s="406">
        <v>-2604.0354563722299</v>
      </c>
      <c r="V1330" s="406">
        <v>-2669.3967463271802</v>
      </c>
      <c r="W1330" s="327"/>
    </row>
    <row r="1331" spans="1:23" ht="13.5" thickTop="1" x14ac:dyDescent="0.2">
      <c r="A1331" s="9"/>
      <c r="B1331" s="311" t="s">
        <v>220</v>
      </c>
      <c r="C1331" s="446">
        <v>0</v>
      </c>
      <c r="D1331" s="410">
        <v>743815.39754261961</v>
      </c>
      <c r="E1331" s="410">
        <v>489096.77899974695</v>
      </c>
      <c r="F1331" s="410">
        <v>357793.40439696959</v>
      </c>
      <c r="G1331" s="410">
        <v>283760.78385455371</v>
      </c>
      <c r="H1331" s="410">
        <v>245222.26807324355</v>
      </c>
      <c r="I1331" s="410">
        <v>131672.67572658061</v>
      </c>
      <c r="J1331" s="410">
        <v>149147.41345538505</v>
      </c>
      <c r="K1331" s="410">
        <v>254684.90727469677</v>
      </c>
      <c r="L1331" s="410">
        <v>257898.23967313409</v>
      </c>
      <c r="M1331" s="410">
        <v>307746.39908727352</v>
      </c>
      <c r="N1331" s="410">
        <v>175622.09959926346</v>
      </c>
      <c r="O1331" s="410">
        <v>217323.94315861998</v>
      </c>
      <c r="P1331" s="410">
        <v>233883.90810795702</v>
      </c>
      <c r="Q1331" s="410">
        <v>304936.6842387034</v>
      </c>
      <c r="R1331" s="410">
        <v>215030.38389958226</v>
      </c>
      <c r="S1331" s="410">
        <v>123961.93422280837</v>
      </c>
      <c r="T1331" s="410">
        <v>181350.92551047157</v>
      </c>
      <c r="U1331" s="410">
        <v>217542.66241245167</v>
      </c>
      <c r="V1331" s="410">
        <v>119591.74621639325</v>
      </c>
      <c r="W1331" s="327"/>
    </row>
    <row r="1332" spans="1:23" x14ac:dyDescent="0.2">
      <c r="A1332" s="9"/>
      <c r="B1332" s="309" t="s">
        <v>37</v>
      </c>
      <c r="C1332" s="443">
        <v>0</v>
      </c>
      <c r="D1332" s="404">
        <v>-75748.244359058153</v>
      </c>
      <c r="E1332" s="404">
        <v>-69523.090994243423</v>
      </c>
      <c r="F1332" s="404">
        <v>-60662.791707652483</v>
      </c>
      <c r="G1332" s="404">
        <v>-51681.305849159784</v>
      </c>
      <c r="H1332" s="404">
        <v>-48224.466919924649</v>
      </c>
      <c r="I1332" s="404">
        <v>-48526.19725998411</v>
      </c>
      <c r="J1332" s="404">
        <v>-52068.475069218453</v>
      </c>
      <c r="K1332" s="404">
        <v>-55375.699761984113</v>
      </c>
      <c r="L1332" s="404">
        <v>-58644.860367068453</v>
      </c>
      <c r="M1332" s="404">
        <v>-61707.542435591611</v>
      </c>
      <c r="N1332" s="404">
        <v>-60746.524196070961</v>
      </c>
      <c r="O1332" s="404">
        <v>-59589.58457937721</v>
      </c>
      <c r="P1332" s="404">
        <v>-62619.20973063889</v>
      </c>
      <c r="Q1332" s="404">
        <v>-48201.441215744853</v>
      </c>
      <c r="R1332" s="404">
        <v>-33934.645537009077</v>
      </c>
      <c r="S1332" s="404">
        <v>-37180.691650219342</v>
      </c>
      <c r="T1332" s="404">
        <v>-40524.119146825935</v>
      </c>
      <c r="U1332" s="404">
        <v>-43967.849468330707</v>
      </c>
      <c r="V1332" s="404">
        <v>-47514.891699480635</v>
      </c>
      <c r="W1332" s="327"/>
    </row>
    <row r="1333" spans="1:23" ht="13.5" thickBot="1" x14ac:dyDescent="0.25">
      <c r="A1333" s="9"/>
      <c r="B1333" s="310" t="s">
        <v>221</v>
      </c>
      <c r="C1333" s="444">
        <v>0</v>
      </c>
      <c r="D1333" s="406">
        <v>-267226.86127342464</v>
      </c>
      <c r="E1333" s="406">
        <v>-167829.4752022014</v>
      </c>
      <c r="F1333" s="406">
        <v>-118852.24507572684</v>
      </c>
      <c r="G1333" s="406">
        <v>-92831.791202157576</v>
      </c>
      <c r="H1333" s="406">
        <v>-78799.120461327562</v>
      </c>
      <c r="I1333" s="406">
        <v>-33258.591386638604</v>
      </c>
      <c r="J1333" s="406">
        <v>-38831.575354466637</v>
      </c>
      <c r="K1333" s="406">
        <v>-79723.683005085069</v>
      </c>
      <c r="L1333" s="406">
        <v>-79701.351722426247</v>
      </c>
      <c r="M1333" s="406">
        <v>-98415.542660672771</v>
      </c>
      <c r="N1333" s="406">
        <v>-45950.230161276995</v>
      </c>
      <c r="O1333" s="406">
        <v>-63093.743431697112</v>
      </c>
      <c r="P1333" s="406">
        <v>-68505.879350927251</v>
      </c>
      <c r="Q1333" s="406">
        <v>-102694.09720918343</v>
      </c>
      <c r="R1333" s="406">
        <v>-72438.29534502927</v>
      </c>
      <c r="S1333" s="406">
        <v>-34712.497029035607</v>
      </c>
      <c r="T1333" s="406">
        <v>-56330.722545458266</v>
      </c>
      <c r="U1333" s="406">
        <v>-69429.925177648387</v>
      </c>
      <c r="V1333" s="406">
        <v>-28830.741806765047</v>
      </c>
      <c r="W1333" s="327"/>
    </row>
    <row r="1334" spans="1:23" ht="13.5" thickTop="1" x14ac:dyDescent="0.2">
      <c r="A1334" s="9"/>
      <c r="B1334" s="311" t="s">
        <v>183</v>
      </c>
      <c r="C1334" s="446">
        <v>0</v>
      </c>
      <c r="D1334" s="410">
        <v>400840.29191013688</v>
      </c>
      <c r="E1334" s="410">
        <v>251744.2128033021</v>
      </c>
      <c r="F1334" s="410">
        <v>178278.36761359026</v>
      </c>
      <c r="G1334" s="410">
        <v>139247.68680323637</v>
      </c>
      <c r="H1334" s="410">
        <v>118198.68069199134</v>
      </c>
      <c r="I1334" s="410">
        <v>49887.887079957894</v>
      </c>
      <c r="J1334" s="410">
        <v>58247.363031699948</v>
      </c>
      <c r="K1334" s="410">
        <v>119585.52450762759</v>
      </c>
      <c r="L1334" s="410">
        <v>119552.02758363937</v>
      </c>
      <c r="M1334" s="410">
        <v>147623.31399100914</v>
      </c>
      <c r="N1334" s="410">
        <v>68925.345241915493</v>
      </c>
      <c r="O1334" s="410">
        <v>94640.615147545672</v>
      </c>
      <c r="P1334" s="410">
        <v>102758.81902639088</v>
      </c>
      <c r="Q1334" s="410">
        <v>154041.14581377513</v>
      </c>
      <c r="R1334" s="410">
        <v>108657.4430175439</v>
      </c>
      <c r="S1334" s="410">
        <v>52068.745543553414</v>
      </c>
      <c r="T1334" s="410">
        <v>84496.083818187384</v>
      </c>
      <c r="U1334" s="410">
        <v>104144.88776647257</v>
      </c>
      <c r="V1334" s="410">
        <v>43246.112710147572</v>
      </c>
      <c r="W1334" s="327"/>
    </row>
    <row r="1335" spans="1:23" x14ac:dyDescent="0.2">
      <c r="A1335" s="9"/>
      <c r="B1335" s="309" t="s">
        <v>37</v>
      </c>
      <c r="C1335" s="443">
        <v>0</v>
      </c>
      <c r="D1335" s="404">
        <v>75748.244359058153</v>
      </c>
      <c r="E1335" s="404">
        <v>69523.090994243423</v>
      </c>
      <c r="F1335" s="404">
        <v>60662.791707652483</v>
      </c>
      <c r="G1335" s="404">
        <v>51681.305849159784</v>
      </c>
      <c r="H1335" s="404">
        <v>48224.466919924649</v>
      </c>
      <c r="I1335" s="404">
        <v>48526.19725998411</v>
      </c>
      <c r="J1335" s="404">
        <v>52068.475069218453</v>
      </c>
      <c r="K1335" s="404">
        <v>55375.699761984113</v>
      </c>
      <c r="L1335" s="404">
        <v>58644.860367068453</v>
      </c>
      <c r="M1335" s="404">
        <v>61707.542435591611</v>
      </c>
      <c r="N1335" s="404">
        <v>60746.524196070961</v>
      </c>
      <c r="O1335" s="404">
        <v>59589.58457937721</v>
      </c>
      <c r="P1335" s="404">
        <v>62619.20973063889</v>
      </c>
      <c r="Q1335" s="404">
        <v>48201.441215744853</v>
      </c>
      <c r="R1335" s="404">
        <v>33934.645537009077</v>
      </c>
      <c r="S1335" s="404">
        <v>37180.691650219342</v>
      </c>
      <c r="T1335" s="404">
        <v>40524.119146825935</v>
      </c>
      <c r="U1335" s="404">
        <v>43967.849468330707</v>
      </c>
      <c r="V1335" s="404">
        <v>47514.891699480635</v>
      </c>
      <c r="W1335" s="327"/>
    </row>
    <row r="1336" spans="1:23" x14ac:dyDescent="0.2">
      <c r="A1336" s="9"/>
      <c r="B1336" s="309" t="s">
        <v>39</v>
      </c>
      <c r="C1336" s="443">
        <v>0</v>
      </c>
      <c r="D1336" s="404">
        <v>-438.02</v>
      </c>
      <c r="E1336" s="404">
        <v>-455.7</v>
      </c>
      <c r="F1336" s="404">
        <v>-474.1</v>
      </c>
      <c r="G1336" s="404">
        <v>-495.18</v>
      </c>
      <c r="H1336" s="404">
        <v>-50000</v>
      </c>
      <c r="I1336" s="404">
        <v>-51500</v>
      </c>
      <c r="J1336" s="404">
        <v>-53045</v>
      </c>
      <c r="K1336" s="404">
        <v>-54636.35</v>
      </c>
      <c r="L1336" s="404">
        <v>-56275.440499999997</v>
      </c>
      <c r="M1336" s="404">
        <v>-57963.703714999996</v>
      </c>
      <c r="N1336" s="404">
        <v>-59702.614826450001</v>
      </c>
      <c r="O1336" s="404">
        <v>-61493.693271243501</v>
      </c>
      <c r="P1336" s="404">
        <v>-63338.504069380804</v>
      </c>
      <c r="Q1336" s="404">
        <v>-65238.659191462233</v>
      </c>
      <c r="R1336" s="404">
        <v>-67195.818967206098</v>
      </c>
      <c r="S1336" s="404">
        <v>-69211.693536222287</v>
      </c>
      <c r="T1336" s="404">
        <v>-71288.04434230896</v>
      </c>
      <c r="U1336" s="404">
        <v>-73426.685672578227</v>
      </c>
      <c r="V1336" s="404">
        <v>-75629.486242755578</v>
      </c>
      <c r="W1336" s="327"/>
    </row>
    <row r="1337" spans="1:23" ht="13.5" thickBot="1" x14ac:dyDescent="0.25">
      <c r="A1337" s="9"/>
      <c r="B1337" s="310" t="s">
        <v>40</v>
      </c>
      <c r="C1337" s="444">
        <v>0</v>
      </c>
      <c r="D1337" s="406">
        <v>0</v>
      </c>
      <c r="E1337" s="406">
        <v>0</v>
      </c>
      <c r="F1337" s="406">
        <v>0</v>
      </c>
      <c r="G1337" s="406">
        <v>0</v>
      </c>
      <c r="H1337" s="406">
        <v>0</v>
      </c>
      <c r="I1337" s="406">
        <v>0</v>
      </c>
      <c r="J1337" s="406">
        <v>0</v>
      </c>
      <c r="K1337" s="406">
        <v>0</v>
      </c>
      <c r="L1337" s="406">
        <v>0</v>
      </c>
      <c r="M1337" s="406">
        <v>0</v>
      </c>
      <c r="N1337" s="406">
        <v>0</v>
      </c>
      <c r="O1337" s="406">
        <v>0</v>
      </c>
      <c r="P1337" s="406">
        <v>0</v>
      </c>
      <c r="Q1337" s="406">
        <v>0</v>
      </c>
      <c r="R1337" s="406">
        <v>0</v>
      </c>
      <c r="S1337" s="406">
        <v>0</v>
      </c>
      <c r="T1337" s="406">
        <v>0</v>
      </c>
      <c r="U1337" s="406">
        <v>0</v>
      </c>
      <c r="V1337" s="406">
        <v>0</v>
      </c>
      <c r="W1337" s="327"/>
    </row>
    <row r="1338" spans="1:23" ht="13.5" thickTop="1" x14ac:dyDescent="0.2">
      <c r="A1338" s="9"/>
      <c r="B1338" s="309"/>
      <c r="C1338" s="447"/>
      <c r="D1338" s="327"/>
      <c r="E1338" s="327"/>
      <c r="F1338" s="327"/>
      <c r="G1338" s="327"/>
      <c r="H1338" s="327"/>
      <c r="I1338" s="327"/>
      <c r="J1338" s="327"/>
      <c r="K1338" s="327"/>
      <c r="L1338" s="327"/>
      <c r="M1338" s="327"/>
      <c r="N1338" s="327"/>
      <c r="O1338" s="327"/>
      <c r="P1338" s="327"/>
      <c r="Q1338" s="327"/>
      <c r="R1338" s="327"/>
      <c r="S1338" s="327"/>
      <c r="T1338" s="327"/>
      <c r="U1338" s="327"/>
      <c r="V1338" s="327"/>
      <c r="W1338" s="327"/>
    </row>
    <row r="1339" spans="1:23" x14ac:dyDescent="0.2">
      <c r="A1339" s="9"/>
      <c r="B1339" s="311" t="s">
        <v>233</v>
      </c>
      <c r="C1339" s="446">
        <v>0</v>
      </c>
      <c r="D1339" s="410">
        <v>476150.51626919501</v>
      </c>
      <c r="E1339" s="410">
        <v>320811.60379754548</v>
      </c>
      <c r="F1339" s="410">
        <v>238467.05932124273</v>
      </c>
      <c r="G1339" s="410">
        <v>190433.81265239615</v>
      </c>
      <c r="H1339" s="410">
        <v>116423.14761191598</v>
      </c>
      <c r="I1339" s="410">
        <v>46914.084339941997</v>
      </c>
      <c r="J1339" s="410">
        <v>57270.838100918394</v>
      </c>
      <c r="K1339" s="410">
        <v>120324.8742696117</v>
      </c>
      <c r="L1339" s="410">
        <v>121921.44745070781</v>
      </c>
      <c r="M1339" s="410">
        <v>151367.15271160076</v>
      </c>
      <c r="N1339" s="410">
        <v>69969.254611536453</v>
      </c>
      <c r="O1339" s="410">
        <v>92736.506455679366</v>
      </c>
      <c r="P1339" s="410">
        <v>102039.52468764895</v>
      </c>
      <c r="Q1339" s="410">
        <v>137003.92783805775</v>
      </c>
      <c r="R1339" s="410">
        <v>75396.269587346891</v>
      </c>
      <c r="S1339" s="410">
        <v>20037.743657550469</v>
      </c>
      <c r="T1339" s="410">
        <v>53732.158622704359</v>
      </c>
      <c r="U1339" s="410">
        <v>74686.051562225039</v>
      </c>
      <c r="V1339" s="410">
        <v>15131.518166872629</v>
      </c>
      <c r="W1339" s="408">
        <v>486711.22674349853</v>
      </c>
    </row>
    <row r="1340" spans="1:23" x14ac:dyDescent="0.2">
      <c r="A1340" s="9"/>
      <c r="B1340" s="286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</row>
    <row r="1341" spans="1:23" x14ac:dyDescent="0.2">
      <c r="A1341" s="302" t="s">
        <v>218</v>
      </c>
      <c r="B1341" s="300" t="s">
        <v>170</v>
      </c>
      <c r="C1341" s="433">
        <v>1079519.9650002273</v>
      </c>
      <c r="D1341" s="9"/>
      <c r="E1341" s="137" t="s">
        <v>219</v>
      </c>
      <c r="F1341" s="313" t="s">
        <v>170</v>
      </c>
      <c r="G1341" s="437">
        <v>1079519.9650002273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</row>
    <row r="1342" spans="1:23" x14ac:dyDescent="0.2">
      <c r="A1342" s="9"/>
      <c r="B1342" s="300" t="s">
        <v>180</v>
      </c>
      <c r="C1342" s="433">
        <v>390723.29041685897</v>
      </c>
      <c r="D1342" s="9"/>
      <c r="E1342" s="315"/>
      <c r="F1342" s="313" t="s">
        <v>180</v>
      </c>
      <c r="G1342" s="437">
        <v>390723.29041685897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</row>
    <row r="1343" spans="1:23" ht="13.5" thickBot="1" x14ac:dyDescent="0.25">
      <c r="A1343" s="9"/>
      <c r="B1343" s="316" t="s">
        <v>137</v>
      </c>
      <c r="C1343" s="434">
        <v>72346.522543235158</v>
      </c>
      <c r="D1343" s="317"/>
      <c r="E1343" s="315"/>
      <c r="F1343" s="313" t="s">
        <v>137</v>
      </c>
      <c r="G1343" s="437">
        <v>72346.522543235158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</row>
    <row r="1344" spans="1:23" ht="14.25" thickTop="1" thickBot="1" x14ac:dyDescent="0.25">
      <c r="A1344" s="9"/>
      <c r="B1344" s="300" t="s">
        <v>28</v>
      </c>
      <c r="C1344" s="432">
        <v>1542589.7779603216</v>
      </c>
      <c r="D1344" s="299"/>
      <c r="E1344" s="315"/>
      <c r="F1344" s="318" t="s">
        <v>203</v>
      </c>
      <c r="G1344" s="319">
        <v>0</v>
      </c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</row>
    <row r="1345" spans="1:23" ht="13.5" thickTop="1" x14ac:dyDescent="0.2">
      <c r="A1345" s="9"/>
      <c r="B1345" s="286"/>
      <c r="C1345" s="320"/>
      <c r="D1345" s="9"/>
      <c r="E1345" s="321"/>
      <c r="F1345" s="313" t="s">
        <v>28</v>
      </c>
      <c r="G1345" s="362">
        <v>1542589.7779603216</v>
      </c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</row>
    <row r="1346" spans="1:23" x14ac:dyDescent="0.2">
      <c r="A1346" s="9"/>
      <c r="B1346" s="286"/>
      <c r="C1346" s="320"/>
      <c r="D1346" s="9"/>
      <c r="E1346" s="321"/>
      <c r="F1346" s="313"/>
      <c r="G1346" s="322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</row>
    <row r="1347" spans="1:23" x14ac:dyDescent="0.2">
      <c r="A1347" s="9"/>
      <c r="B1347" s="286"/>
      <c r="C1347" s="320"/>
      <c r="D1347" s="9"/>
      <c r="E1347" s="321"/>
      <c r="F1347" s="313"/>
      <c r="G1347" s="322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</row>
    <row r="1348" spans="1:23" x14ac:dyDescent="0.2">
      <c r="A1348" s="9"/>
      <c r="B1348" s="323" t="s">
        <v>222</v>
      </c>
      <c r="C1348" s="320"/>
      <c r="D1348" s="9"/>
      <c r="E1348" s="321"/>
      <c r="F1348" s="313"/>
      <c r="G1348" s="322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</row>
    <row r="1349" spans="1:23" x14ac:dyDescent="0.2">
      <c r="A1349" s="324" t="s">
        <v>224</v>
      </c>
      <c r="B1349" s="323" t="s">
        <v>223</v>
      </c>
      <c r="C1349" s="325"/>
      <c r="D1349" s="326">
        <v>400840.29191013688</v>
      </c>
      <c r="E1349" s="326">
        <v>251744.2128033021</v>
      </c>
      <c r="F1349" s="326">
        <v>178278.36761359026</v>
      </c>
      <c r="G1349" s="326">
        <v>139247.68680323637</v>
      </c>
      <c r="H1349" s="326">
        <v>118198.68069199134</v>
      </c>
      <c r="I1349" s="326">
        <v>49887.887079957894</v>
      </c>
      <c r="J1349" s="326">
        <v>58247.363031699948</v>
      </c>
      <c r="K1349" s="326">
        <v>119585.52450762759</v>
      </c>
      <c r="L1349" s="326">
        <v>119552.02758363937</v>
      </c>
      <c r="M1349" s="326">
        <v>147623.31399100914</v>
      </c>
      <c r="N1349" s="326">
        <v>68925.345241915493</v>
      </c>
      <c r="O1349" s="326">
        <v>94640.615147545672</v>
      </c>
      <c r="P1349" s="326">
        <v>102758.81902639088</v>
      </c>
      <c r="Q1349" s="326">
        <v>154041.14581377513</v>
      </c>
      <c r="R1349" s="326">
        <v>108657.4430175439</v>
      </c>
      <c r="S1349" s="326">
        <v>52068.745543553414</v>
      </c>
      <c r="T1349" s="326">
        <v>84496.083818187384</v>
      </c>
      <c r="U1349" s="326">
        <v>104144.88776647257</v>
      </c>
      <c r="V1349" s="326">
        <v>43246.112710147572</v>
      </c>
      <c r="W1349" s="9"/>
    </row>
    <row r="1350" spans="1:23" x14ac:dyDescent="0.2">
      <c r="A1350" s="9"/>
      <c r="B1350" s="286" t="s">
        <v>225</v>
      </c>
      <c r="C1350" s="320"/>
      <c r="D1350" s="327">
        <v>267226.86127342464</v>
      </c>
      <c r="E1350" s="327">
        <v>167829.4752022014</v>
      </c>
      <c r="F1350" s="327">
        <v>118852.24507572684</v>
      </c>
      <c r="G1350" s="327">
        <v>92831.791202157576</v>
      </c>
      <c r="H1350" s="327">
        <v>78799.120461327562</v>
      </c>
      <c r="I1350" s="327">
        <v>33258.591386638604</v>
      </c>
      <c r="J1350" s="327">
        <v>38831.575354466637</v>
      </c>
      <c r="K1350" s="327">
        <v>79723.683005085069</v>
      </c>
      <c r="L1350" s="327">
        <v>79701.351722426247</v>
      </c>
      <c r="M1350" s="327">
        <v>98415.542660672771</v>
      </c>
      <c r="N1350" s="327">
        <v>45950.230161276995</v>
      </c>
      <c r="O1350" s="327">
        <v>63093.743431697112</v>
      </c>
      <c r="P1350" s="327">
        <v>68505.879350927251</v>
      </c>
      <c r="Q1350" s="327">
        <v>102694.09720918343</v>
      </c>
      <c r="R1350" s="327">
        <v>72438.29534502927</v>
      </c>
      <c r="S1350" s="327">
        <v>34712.497029035607</v>
      </c>
      <c r="T1350" s="327">
        <v>56330.722545458266</v>
      </c>
      <c r="U1350" s="327">
        <v>69429.925177648387</v>
      </c>
      <c r="V1350" s="327">
        <v>28830.741806765047</v>
      </c>
      <c r="W1350" s="9"/>
    </row>
    <row r="1351" spans="1:23" x14ac:dyDescent="0.2">
      <c r="A1351" s="9"/>
      <c r="B1351" s="328" t="s">
        <v>226</v>
      </c>
      <c r="C1351" s="329"/>
      <c r="D1351" s="327">
        <v>75748.244359058153</v>
      </c>
      <c r="E1351" s="327">
        <v>69523.090994243423</v>
      </c>
      <c r="F1351" s="327">
        <v>60662.791707652483</v>
      </c>
      <c r="G1351" s="327">
        <v>51681.305849159784</v>
      </c>
      <c r="H1351" s="327">
        <v>48224.466919924649</v>
      </c>
      <c r="I1351" s="327">
        <v>48526.19725998411</v>
      </c>
      <c r="J1351" s="327">
        <v>52068.475069218453</v>
      </c>
      <c r="K1351" s="327">
        <v>55375.699761984113</v>
      </c>
      <c r="L1351" s="327">
        <v>58644.860367068453</v>
      </c>
      <c r="M1351" s="327">
        <v>61707.542435591611</v>
      </c>
      <c r="N1351" s="327">
        <v>60746.524196070961</v>
      </c>
      <c r="O1351" s="327">
        <v>59589.58457937721</v>
      </c>
      <c r="P1351" s="327">
        <v>62619.20973063889</v>
      </c>
      <c r="Q1351" s="327">
        <v>48201.441215744853</v>
      </c>
      <c r="R1351" s="327">
        <v>33934.645537009077</v>
      </c>
      <c r="S1351" s="327">
        <v>37180.691650219342</v>
      </c>
      <c r="T1351" s="327">
        <v>40524.119146825935</v>
      </c>
      <c r="U1351" s="327">
        <v>43967.849468330707</v>
      </c>
      <c r="V1351" s="327">
        <v>47514.891699480635</v>
      </c>
      <c r="W1351" s="9"/>
    </row>
    <row r="1352" spans="1:23" ht="13.5" thickBot="1" x14ac:dyDescent="0.25">
      <c r="A1352" s="9"/>
      <c r="B1352" s="330" t="s">
        <v>227</v>
      </c>
      <c r="C1352" s="331"/>
      <c r="D1352" s="332">
        <v>743815.39754261961</v>
      </c>
      <c r="E1352" s="332">
        <v>489096.77899974689</v>
      </c>
      <c r="F1352" s="332">
        <v>357793.40439696959</v>
      </c>
      <c r="G1352" s="332">
        <v>283760.78385455371</v>
      </c>
      <c r="H1352" s="332">
        <v>245222.26807324355</v>
      </c>
      <c r="I1352" s="332">
        <v>131672.67572658061</v>
      </c>
      <c r="J1352" s="332">
        <v>149147.41345538505</v>
      </c>
      <c r="K1352" s="332">
        <v>254684.90727469677</v>
      </c>
      <c r="L1352" s="332">
        <v>257898.23967313406</v>
      </c>
      <c r="M1352" s="332">
        <v>307746.39908727352</v>
      </c>
      <c r="N1352" s="332">
        <v>175622.09959926346</v>
      </c>
      <c r="O1352" s="332">
        <v>217323.94315861998</v>
      </c>
      <c r="P1352" s="332">
        <v>233883.90810795702</v>
      </c>
      <c r="Q1352" s="332">
        <v>304936.68423870346</v>
      </c>
      <c r="R1352" s="332">
        <v>215030.38389958226</v>
      </c>
      <c r="S1352" s="332">
        <v>123961.93422280837</v>
      </c>
      <c r="T1352" s="332">
        <v>181350.92551047157</v>
      </c>
      <c r="U1352" s="332">
        <v>217542.66241245167</v>
      </c>
      <c r="V1352" s="332">
        <v>119591.74621639325</v>
      </c>
      <c r="W1352" s="9"/>
    </row>
    <row r="1353" spans="1:23" ht="13.5" thickTop="1" x14ac:dyDescent="0.2">
      <c r="A1353" s="324" t="s">
        <v>228</v>
      </c>
      <c r="B1353" s="286" t="s">
        <v>229</v>
      </c>
      <c r="C1353" s="320"/>
      <c r="D1353" s="327">
        <v>-101955.07727943399</v>
      </c>
      <c r="E1353" s="327">
        <v>-101977.86227943399</v>
      </c>
      <c r="F1353" s="327">
        <v>-102001.56727943399</v>
      </c>
      <c r="G1353" s="327">
        <v>-95670.916103222553</v>
      </c>
      <c r="H1353" s="327">
        <v>-6979.6535628407346</v>
      </c>
      <c r="I1353" s="327">
        <v>-9554.6535628407346</v>
      </c>
      <c r="J1353" s="327">
        <v>-12206.903562840735</v>
      </c>
      <c r="K1353" s="327">
        <v>-14938.721062840734</v>
      </c>
      <c r="L1353" s="327">
        <v>-17752.493087840732</v>
      </c>
      <c r="M1353" s="327">
        <v>-20650.678273590733</v>
      </c>
      <c r="N1353" s="327">
        <v>-23635.809014913233</v>
      </c>
      <c r="O1353" s="327">
        <v>-26710.49367847541</v>
      </c>
      <c r="P1353" s="327">
        <v>-29877.41888194445</v>
      </c>
      <c r="Q1353" s="327">
        <v>-33139.351841517564</v>
      </c>
      <c r="R1353" s="327">
        <v>-36499.142789877864</v>
      </c>
      <c r="S1353" s="327">
        <v>-39959.727466688979</v>
      </c>
      <c r="T1353" s="327">
        <v>-43524.129683804429</v>
      </c>
      <c r="U1353" s="327">
        <v>-47195.463967433338</v>
      </c>
      <c r="V1353" s="327">
        <v>-50976.938279571114</v>
      </c>
      <c r="W1353" s="9"/>
    </row>
    <row r="1354" spans="1:23" x14ac:dyDescent="0.2">
      <c r="A1354" s="9"/>
      <c r="B1354" s="286" t="s">
        <v>230</v>
      </c>
      <c r="C1354" s="320"/>
      <c r="D1354" s="327">
        <v>0</v>
      </c>
      <c r="E1354" s="327">
        <v>0</v>
      </c>
      <c r="F1354" s="327">
        <v>0</v>
      </c>
      <c r="G1354" s="327">
        <v>0</v>
      </c>
      <c r="H1354" s="327">
        <v>0</v>
      </c>
      <c r="I1354" s="327">
        <v>0</v>
      </c>
      <c r="J1354" s="327">
        <v>0</v>
      </c>
      <c r="K1354" s="327">
        <v>0</v>
      </c>
      <c r="L1354" s="327">
        <v>0</v>
      </c>
      <c r="M1354" s="327">
        <v>0</v>
      </c>
      <c r="N1354" s="327">
        <v>0</v>
      </c>
      <c r="O1354" s="327">
        <v>0</v>
      </c>
      <c r="P1354" s="327">
        <v>0</v>
      </c>
      <c r="Q1354" s="327">
        <v>0</v>
      </c>
      <c r="R1354" s="327">
        <v>0</v>
      </c>
      <c r="S1354" s="327">
        <v>0</v>
      </c>
      <c r="T1354" s="327">
        <v>0</v>
      </c>
      <c r="U1354" s="327">
        <v>0</v>
      </c>
      <c r="V1354" s="327">
        <v>0</v>
      </c>
      <c r="W1354" s="9"/>
    </row>
    <row r="1355" spans="1:23" x14ac:dyDescent="0.2">
      <c r="A1355" s="9"/>
      <c r="B1355" s="323" t="s">
        <v>231</v>
      </c>
      <c r="C1355" s="325"/>
      <c r="D1355" s="326">
        <v>641860.32026318565</v>
      </c>
      <c r="E1355" s="326">
        <v>387118.9167203129</v>
      </c>
      <c r="F1355" s="326">
        <v>255791.83711753559</v>
      </c>
      <c r="G1355" s="326">
        <v>188089.86775133116</v>
      </c>
      <c r="H1355" s="326">
        <v>238242.61451040281</v>
      </c>
      <c r="I1355" s="326">
        <v>122118.02216373988</v>
      </c>
      <c r="J1355" s="326">
        <v>136940.5098925443</v>
      </c>
      <c r="K1355" s="326">
        <v>239746.18621185602</v>
      </c>
      <c r="L1355" s="326">
        <v>240145.74658529332</v>
      </c>
      <c r="M1355" s="326">
        <v>287095.72081368277</v>
      </c>
      <c r="N1355" s="326">
        <v>151986.29058435024</v>
      </c>
      <c r="O1355" s="326">
        <v>190613.44948014457</v>
      </c>
      <c r="P1355" s="326">
        <v>204006.48922601258</v>
      </c>
      <c r="Q1355" s="326">
        <v>271797.33239718591</v>
      </c>
      <c r="R1355" s="326">
        <v>178531.2411097044</v>
      </c>
      <c r="S1355" s="326">
        <v>84002.206756119383</v>
      </c>
      <c r="T1355" s="326">
        <v>137826.79582666713</v>
      </c>
      <c r="U1355" s="326">
        <v>170347.19844501832</v>
      </c>
      <c r="V1355" s="326">
        <v>68614.807936822137</v>
      </c>
      <c r="W1355" s="9"/>
    </row>
    <row r="1356" spans="1:23" ht="13.5" thickBot="1" x14ac:dyDescent="0.25">
      <c r="A1356" s="9"/>
      <c r="B1356" s="333" t="s">
        <v>237</v>
      </c>
      <c r="C1356" s="334"/>
      <c r="D1356" s="335">
        <v>-256744.12810527429</v>
      </c>
      <c r="E1356" s="335">
        <v>-154847.56668812517</v>
      </c>
      <c r="F1356" s="335">
        <v>-102316.73484701425</v>
      </c>
      <c r="G1356" s="335">
        <v>-75235.947100532459</v>
      </c>
      <c r="H1356" s="335">
        <v>-95297.045804161127</v>
      </c>
      <c r="I1356" s="335">
        <v>-48847.208865495952</v>
      </c>
      <c r="J1356" s="335">
        <v>-54776.203957017722</v>
      </c>
      <c r="K1356" s="335">
        <v>-95898.474484742415</v>
      </c>
      <c r="L1356" s="335">
        <v>-96058.298634117338</v>
      </c>
      <c r="M1356" s="335">
        <v>-114838.28832547311</v>
      </c>
      <c r="N1356" s="335">
        <v>-60794.516233740098</v>
      </c>
      <c r="O1356" s="335">
        <v>-76245.379792057836</v>
      </c>
      <c r="P1356" s="335">
        <v>-81602.59569040504</v>
      </c>
      <c r="Q1356" s="335">
        <v>-108718.93295887437</v>
      </c>
      <c r="R1356" s="335">
        <v>-71412.496443881755</v>
      </c>
      <c r="S1356" s="335">
        <v>-33600.882702447758</v>
      </c>
      <c r="T1356" s="335">
        <v>-55130.718330666859</v>
      </c>
      <c r="U1356" s="335">
        <v>-68138.879378007332</v>
      </c>
      <c r="V1356" s="335">
        <v>-27445.923174728858</v>
      </c>
      <c r="W1356" s="9"/>
    </row>
    <row r="1357" spans="1:23" ht="13.5" thickTop="1" x14ac:dyDescent="0.2">
      <c r="A1357" s="9"/>
      <c r="B1357" s="323" t="s">
        <v>232</v>
      </c>
      <c r="C1357" s="325"/>
      <c r="D1357" s="326">
        <v>385116.19215791137</v>
      </c>
      <c r="E1357" s="326">
        <v>232271.35003218774</v>
      </c>
      <c r="F1357" s="326">
        <v>153475.10227052134</v>
      </c>
      <c r="G1357" s="326">
        <v>112853.9206507987</v>
      </c>
      <c r="H1357" s="326">
        <v>142945.56870624167</v>
      </c>
      <c r="I1357" s="326">
        <v>73270.813298243927</v>
      </c>
      <c r="J1357" s="326">
        <v>82164.305935526587</v>
      </c>
      <c r="K1357" s="326">
        <v>143847.71172711361</v>
      </c>
      <c r="L1357" s="326">
        <v>144087.44795117597</v>
      </c>
      <c r="M1357" s="326">
        <v>172257.43248820966</v>
      </c>
      <c r="N1357" s="326">
        <v>91191.77435061014</v>
      </c>
      <c r="O1357" s="326">
        <v>114368.06968808673</v>
      </c>
      <c r="P1357" s="326">
        <v>122403.89353560754</v>
      </c>
      <c r="Q1357" s="326">
        <v>163078.39943831152</v>
      </c>
      <c r="R1357" s="326">
        <v>107118.74466582264</v>
      </c>
      <c r="S1357" s="326">
        <v>50401.324053671626</v>
      </c>
      <c r="T1357" s="326">
        <v>82696.077496000275</v>
      </c>
      <c r="U1357" s="326">
        <v>102208.31906701099</v>
      </c>
      <c r="V1357" s="326">
        <v>41168.884762093279</v>
      </c>
      <c r="W1357" s="9"/>
    </row>
    <row r="1358" spans="1:23" x14ac:dyDescent="0.2">
      <c r="A1358" s="9"/>
      <c r="B1358" s="9"/>
      <c r="C1358" s="320"/>
      <c r="D1358" s="9"/>
      <c r="E1358" s="321"/>
      <c r="F1358" s="313"/>
      <c r="G1358" s="322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</row>
    <row r="1359" spans="1:23" ht="15.75" x14ac:dyDescent="0.25">
      <c r="A1359" s="336" t="s">
        <v>205</v>
      </c>
      <c r="B1359" s="337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</row>
    <row r="1360" spans="1:23" x14ac:dyDescent="0.2">
      <c r="A1360" s="284" t="s">
        <v>190</v>
      </c>
      <c r="B1360" s="303"/>
      <c r="C1360" s="338">
        <v>0</v>
      </c>
      <c r="D1360" s="277"/>
      <c r="E1360" s="277"/>
      <c r="F1360" s="277"/>
      <c r="G1360" s="277"/>
      <c r="H1360" s="277"/>
      <c r="I1360" s="277"/>
      <c r="J1360" s="277"/>
      <c r="K1360" s="277"/>
      <c r="L1360" s="277"/>
      <c r="M1360" s="277"/>
      <c r="N1360" s="277"/>
      <c r="O1360" s="277"/>
      <c r="P1360" s="277"/>
      <c r="Q1360" s="277"/>
      <c r="R1360" s="277"/>
      <c r="S1360" s="277"/>
      <c r="T1360" s="277"/>
      <c r="U1360" s="277"/>
      <c r="V1360" s="277"/>
      <c r="W1360" s="277"/>
    </row>
    <row r="1361" spans="1:23" x14ac:dyDescent="0.2">
      <c r="A1361" s="284" t="s">
        <v>191</v>
      </c>
      <c r="B1361" s="303"/>
      <c r="C1361" s="339">
        <v>0</v>
      </c>
      <c r="D1361" s="277"/>
      <c r="E1361" s="277"/>
      <c r="F1361" s="277"/>
      <c r="G1361" s="277"/>
      <c r="H1361" s="277"/>
      <c r="I1361" s="277"/>
      <c r="J1361" s="277"/>
      <c r="K1361" s="277"/>
      <c r="L1361" s="277"/>
      <c r="M1361" s="277"/>
      <c r="N1361" s="277"/>
      <c r="O1361" s="277"/>
      <c r="P1361" s="277"/>
      <c r="Q1361" s="277"/>
      <c r="R1361" s="277"/>
      <c r="S1361" s="277"/>
      <c r="T1361" s="277"/>
      <c r="U1361" s="277"/>
      <c r="V1361" s="277"/>
      <c r="W1361" s="277"/>
    </row>
    <row r="1362" spans="1:23" x14ac:dyDescent="0.2">
      <c r="A1362" s="284" t="s">
        <v>201</v>
      </c>
      <c r="B1362" s="303"/>
      <c r="C1362" s="284">
        <v>15</v>
      </c>
      <c r="D1362" s="277"/>
      <c r="E1362" s="277"/>
      <c r="F1362" s="277"/>
      <c r="G1362" s="277"/>
      <c r="H1362" s="277"/>
      <c r="I1362" s="277"/>
      <c r="J1362" s="277"/>
      <c r="K1362" s="277"/>
      <c r="L1362" s="277"/>
      <c r="M1362" s="277"/>
      <c r="N1362" s="277"/>
      <c r="O1362" s="277"/>
      <c r="P1362" s="277"/>
      <c r="Q1362" s="277"/>
      <c r="R1362" s="277"/>
      <c r="S1362" s="277"/>
      <c r="T1362" s="277"/>
      <c r="U1362" s="277"/>
      <c r="V1362" s="277"/>
      <c r="W1362" s="277"/>
    </row>
    <row r="1363" spans="1:23" x14ac:dyDescent="0.2">
      <c r="A1363" s="284" t="s">
        <v>192</v>
      </c>
      <c r="B1363" s="303"/>
      <c r="C1363" s="339">
        <v>0</v>
      </c>
      <c r="D1363" s="277"/>
      <c r="E1363" s="277"/>
      <c r="F1363" s="277"/>
      <c r="G1363" s="277"/>
      <c r="H1363" s="277"/>
      <c r="I1363" s="277"/>
      <c r="J1363" s="277"/>
      <c r="K1363" s="277"/>
      <c r="L1363" s="277"/>
      <c r="M1363" s="277"/>
      <c r="N1363" s="277"/>
      <c r="O1363" s="277"/>
      <c r="P1363" s="277"/>
      <c r="Q1363" s="277"/>
      <c r="R1363" s="277"/>
      <c r="S1363" s="277"/>
      <c r="T1363" s="277"/>
      <c r="U1363" s="277"/>
      <c r="V1363" s="277"/>
      <c r="W1363" s="277"/>
    </row>
    <row r="1364" spans="1:23" x14ac:dyDescent="0.2">
      <c r="A1364" s="284" t="s">
        <v>193</v>
      </c>
      <c r="B1364" s="303"/>
      <c r="C1364" s="340">
        <v>8.7499999999999994E-2</v>
      </c>
      <c r="D1364" s="277"/>
      <c r="E1364" s="277"/>
      <c r="F1364" s="277"/>
      <c r="G1364" s="277"/>
      <c r="H1364" s="277"/>
      <c r="I1364" s="277"/>
      <c r="J1364" s="277"/>
      <c r="K1364" s="277"/>
      <c r="L1364" s="277"/>
      <c r="M1364" s="277"/>
      <c r="N1364" s="277"/>
      <c r="O1364" s="277"/>
      <c r="P1364" s="277"/>
      <c r="Q1364" s="277"/>
      <c r="R1364" s="277"/>
      <c r="S1364" s="277"/>
      <c r="T1364" s="277"/>
      <c r="U1364" s="277"/>
      <c r="V1364" s="277"/>
      <c r="W1364" s="277"/>
    </row>
    <row r="1365" spans="1:23" x14ac:dyDescent="0.2">
      <c r="A1365" s="284"/>
      <c r="B1365" s="303"/>
      <c r="C1365" s="277"/>
      <c r="D1365" s="306">
        <v>2001</v>
      </c>
      <c r="E1365" s="306">
        <v>2002</v>
      </c>
      <c r="F1365" s="306">
        <v>2003</v>
      </c>
      <c r="G1365" s="306">
        <v>2004</v>
      </c>
      <c r="H1365" s="306">
        <v>2005</v>
      </c>
      <c r="I1365" s="306">
        <v>2006</v>
      </c>
      <c r="J1365" s="306">
        <v>2007</v>
      </c>
      <c r="K1365" s="306">
        <v>2008</v>
      </c>
      <c r="L1365" s="306">
        <v>2009</v>
      </c>
      <c r="M1365" s="306">
        <v>2010</v>
      </c>
      <c r="N1365" s="306">
        <v>2011</v>
      </c>
      <c r="O1365" s="306">
        <v>2012</v>
      </c>
      <c r="P1365" s="306">
        <v>2013</v>
      </c>
      <c r="Q1365" s="306">
        <v>2014</v>
      </c>
      <c r="R1365" s="306">
        <v>2015</v>
      </c>
      <c r="S1365" s="306">
        <v>2016</v>
      </c>
      <c r="T1365" s="306">
        <v>2017</v>
      </c>
      <c r="U1365" s="306">
        <v>2018</v>
      </c>
      <c r="V1365" s="306">
        <v>2019</v>
      </c>
      <c r="W1365" s="306" t="s">
        <v>154</v>
      </c>
    </row>
    <row r="1366" spans="1:23" x14ac:dyDescent="0.2">
      <c r="A1366" s="284" t="s">
        <v>194</v>
      </c>
      <c r="B1366" s="303"/>
      <c r="C1366" s="277"/>
      <c r="D1366" s="341">
        <v>0</v>
      </c>
      <c r="E1366" s="341">
        <v>0</v>
      </c>
      <c r="F1366" s="341">
        <v>0</v>
      </c>
      <c r="G1366" s="341">
        <v>0</v>
      </c>
      <c r="H1366" s="341">
        <v>0</v>
      </c>
      <c r="I1366" s="341">
        <v>0</v>
      </c>
      <c r="J1366" s="341">
        <v>0</v>
      </c>
      <c r="K1366" s="341">
        <v>0</v>
      </c>
      <c r="L1366" s="341">
        <v>0</v>
      </c>
      <c r="M1366" s="341">
        <v>0</v>
      </c>
      <c r="N1366" s="341">
        <v>0</v>
      </c>
      <c r="O1366" s="341">
        <v>0</v>
      </c>
      <c r="P1366" s="341">
        <v>0</v>
      </c>
      <c r="Q1366" s="341">
        <v>0</v>
      </c>
      <c r="R1366" s="341">
        <v>0</v>
      </c>
      <c r="S1366" s="341">
        <v>0</v>
      </c>
      <c r="T1366" s="341">
        <v>0</v>
      </c>
      <c r="U1366" s="341">
        <v>0</v>
      </c>
      <c r="V1366" s="341">
        <v>0</v>
      </c>
      <c r="W1366" s="341">
        <v>0</v>
      </c>
    </row>
    <row r="1367" spans="1:23" x14ac:dyDescent="0.2">
      <c r="A1367" s="284" t="s">
        <v>195</v>
      </c>
      <c r="B1367" s="303"/>
      <c r="C1367" s="277"/>
      <c r="D1367" s="341">
        <v>0</v>
      </c>
      <c r="E1367" s="341">
        <v>0</v>
      </c>
      <c r="F1367" s="341">
        <v>0</v>
      </c>
      <c r="G1367" s="341">
        <v>0</v>
      </c>
      <c r="H1367" s="341">
        <v>0</v>
      </c>
      <c r="I1367" s="341">
        <v>0</v>
      </c>
      <c r="J1367" s="341">
        <v>0</v>
      </c>
      <c r="K1367" s="341">
        <v>0</v>
      </c>
      <c r="L1367" s="341">
        <v>0</v>
      </c>
      <c r="M1367" s="341">
        <v>0</v>
      </c>
      <c r="N1367" s="341">
        <v>0</v>
      </c>
      <c r="O1367" s="341">
        <v>0</v>
      </c>
      <c r="P1367" s="341">
        <v>0</v>
      </c>
      <c r="Q1367" s="341">
        <v>0</v>
      </c>
      <c r="R1367" s="341">
        <v>0</v>
      </c>
      <c r="S1367" s="341">
        <v>0</v>
      </c>
      <c r="T1367" s="341">
        <v>0</v>
      </c>
      <c r="U1367" s="341">
        <v>0</v>
      </c>
      <c r="V1367" s="341">
        <v>0</v>
      </c>
      <c r="W1367" s="341">
        <v>0</v>
      </c>
    </row>
    <row r="1368" spans="1:23" x14ac:dyDescent="0.2">
      <c r="A1368" s="284" t="s">
        <v>196</v>
      </c>
      <c r="B1368" s="303"/>
      <c r="C1368" s="277"/>
      <c r="D1368" s="341">
        <v>0</v>
      </c>
      <c r="E1368" s="341">
        <v>0</v>
      </c>
      <c r="F1368" s="341">
        <v>0</v>
      </c>
      <c r="G1368" s="341">
        <v>0</v>
      </c>
      <c r="H1368" s="341">
        <v>0</v>
      </c>
      <c r="I1368" s="341">
        <v>0</v>
      </c>
      <c r="J1368" s="341">
        <v>0</v>
      </c>
      <c r="K1368" s="341">
        <v>0</v>
      </c>
      <c r="L1368" s="341">
        <v>0</v>
      </c>
      <c r="M1368" s="341">
        <v>0</v>
      </c>
      <c r="N1368" s="341">
        <v>0</v>
      </c>
      <c r="O1368" s="341">
        <v>0</v>
      </c>
      <c r="P1368" s="341">
        <v>0</v>
      </c>
      <c r="Q1368" s="341">
        <v>0</v>
      </c>
      <c r="R1368" s="341">
        <v>0</v>
      </c>
      <c r="S1368" s="341">
        <v>0</v>
      </c>
      <c r="T1368" s="341">
        <v>0</v>
      </c>
      <c r="U1368" s="341">
        <v>0</v>
      </c>
      <c r="V1368" s="341">
        <v>0</v>
      </c>
      <c r="W1368" s="341">
        <v>0</v>
      </c>
    </row>
    <row r="1369" spans="1:23" x14ac:dyDescent="0.2">
      <c r="A1369" s="284" t="s">
        <v>197</v>
      </c>
      <c r="B1369" s="303"/>
      <c r="C1369" s="277"/>
      <c r="D1369" s="342">
        <v>0</v>
      </c>
      <c r="E1369" s="342">
        <v>0</v>
      </c>
      <c r="F1369" s="342">
        <v>0</v>
      </c>
      <c r="G1369" s="342">
        <v>0</v>
      </c>
      <c r="H1369" s="342">
        <v>0</v>
      </c>
      <c r="I1369" s="342">
        <v>0</v>
      </c>
      <c r="J1369" s="342">
        <v>0</v>
      </c>
      <c r="K1369" s="342">
        <v>0</v>
      </c>
      <c r="L1369" s="342">
        <v>0</v>
      </c>
      <c r="M1369" s="342">
        <v>0</v>
      </c>
      <c r="N1369" s="342">
        <v>0</v>
      </c>
      <c r="O1369" s="342">
        <v>0</v>
      </c>
      <c r="P1369" s="342">
        <v>0</v>
      </c>
      <c r="Q1369" s="342">
        <v>0</v>
      </c>
      <c r="R1369" s="342">
        <v>0</v>
      </c>
      <c r="S1369" s="342">
        <v>0</v>
      </c>
      <c r="T1369" s="342">
        <v>0</v>
      </c>
      <c r="U1369" s="342">
        <v>0</v>
      </c>
      <c r="V1369" s="342">
        <v>0</v>
      </c>
      <c r="W1369" s="342">
        <v>0</v>
      </c>
    </row>
    <row r="1370" spans="1:23" ht="13.5" thickBot="1" x14ac:dyDescent="0.25">
      <c r="A1370" s="284" t="s">
        <v>198</v>
      </c>
      <c r="B1370" s="303"/>
      <c r="C1370" s="277"/>
      <c r="D1370" s="343">
        <v>0</v>
      </c>
      <c r="E1370" s="343">
        <v>0</v>
      </c>
      <c r="F1370" s="343">
        <v>0</v>
      </c>
      <c r="G1370" s="343">
        <v>0</v>
      </c>
      <c r="H1370" s="343">
        <v>0</v>
      </c>
      <c r="I1370" s="343">
        <v>0</v>
      </c>
      <c r="J1370" s="343">
        <v>0</v>
      </c>
      <c r="K1370" s="343">
        <v>0</v>
      </c>
      <c r="L1370" s="343">
        <v>0</v>
      </c>
      <c r="M1370" s="343">
        <v>0</v>
      </c>
      <c r="N1370" s="343">
        <v>0</v>
      </c>
      <c r="O1370" s="343">
        <v>0</v>
      </c>
      <c r="P1370" s="343">
        <v>0</v>
      </c>
      <c r="Q1370" s="343">
        <v>0</v>
      </c>
      <c r="R1370" s="343">
        <v>0</v>
      </c>
      <c r="S1370" s="343">
        <v>0</v>
      </c>
      <c r="T1370" s="343">
        <v>0</v>
      </c>
      <c r="U1370" s="343">
        <v>0</v>
      </c>
      <c r="V1370" s="343">
        <v>0</v>
      </c>
      <c r="W1370" s="343">
        <v>0</v>
      </c>
    </row>
    <row r="1371" spans="1:23" ht="13.5" thickTop="1" x14ac:dyDescent="0.2">
      <c r="A1371" s="284"/>
      <c r="B1371" s="303"/>
      <c r="C1371" s="277"/>
      <c r="D1371" s="341"/>
      <c r="E1371" s="341"/>
      <c r="F1371" s="341"/>
      <c r="G1371" s="341"/>
      <c r="H1371" s="341"/>
      <c r="I1371" s="341"/>
      <c r="J1371" s="341"/>
      <c r="K1371" s="341"/>
      <c r="L1371" s="341"/>
      <c r="M1371" s="341"/>
      <c r="N1371" s="341"/>
      <c r="O1371" s="341"/>
      <c r="P1371" s="341"/>
      <c r="Q1371" s="341"/>
      <c r="R1371" s="341"/>
      <c r="S1371" s="341"/>
      <c r="T1371" s="341"/>
      <c r="U1371" s="341"/>
      <c r="V1371" s="341"/>
      <c r="W1371" s="341"/>
    </row>
    <row r="1372" spans="1:23" x14ac:dyDescent="0.2">
      <c r="A1372" s="284" t="s">
        <v>199</v>
      </c>
      <c r="B1372" s="303"/>
      <c r="C1372" s="277"/>
      <c r="D1372" s="341">
        <v>0</v>
      </c>
      <c r="E1372" s="341">
        <v>0</v>
      </c>
      <c r="F1372" s="341">
        <v>0</v>
      </c>
      <c r="G1372" s="341">
        <v>0</v>
      </c>
      <c r="H1372" s="341">
        <v>0</v>
      </c>
      <c r="I1372" s="341">
        <v>0</v>
      </c>
      <c r="J1372" s="341">
        <v>0</v>
      </c>
      <c r="K1372" s="341">
        <v>0</v>
      </c>
      <c r="L1372" s="341">
        <v>0</v>
      </c>
      <c r="M1372" s="341">
        <v>0</v>
      </c>
      <c r="N1372" s="341">
        <v>0</v>
      </c>
      <c r="O1372" s="341">
        <v>0</v>
      </c>
      <c r="P1372" s="341">
        <v>0</v>
      </c>
      <c r="Q1372" s="341">
        <v>0</v>
      </c>
      <c r="R1372" s="341">
        <v>0</v>
      </c>
      <c r="S1372" s="341">
        <v>0</v>
      </c>
      <c r="T1372" s="341">
        <v>0</v>
      </c>
      <c r="U1372" s="341">
        <v>0</v>
      </c>
      <c r="V1372" s="341">
        <v>0</v>
      </c>
      <c r="W1372" s="341">
        <v>0</v>
      </c>
    </row>
    <row r="1373" spans="1:23" x14ac:dyDescent="0.2">
      <c r="A1373" s="284"/>
      <c r="B1373" s="303"/>
      <c r="C1373" s="277"/>
      <c r="D1373" s="277"/>
      <c r="E1373" s="277"/>
      <c r="F1373" s="277"/>
      <c r="G1373" s="277"/>
      <c r="H1373" s="277"/>
      <c r="I1373" s="277"/>
      <c r="J1373" s="277"/>
      <c r="K1373" s="277"/>
      <c r="L1373" s="277"/>
      <c r="M1373" s="277"/>
      <c r="N1373" s="277"/>
      <c r="O1373" s="277"/>
      <c r="P1373" s="277"/>
      <c r="Q1373" s="277"/>
      <c r="R1373" s="277"/>
      <c r="S1373" s="277"/>
      <c r="T1373" s="277"/>
      <c r="U1373" s="277"/>
      <c r="V1373" s="277"/>
      <c r="W1373" s="277"/>
    </row>
    <row r="1374" spans="1:23" x14ac:dyDescent="0.2">
      <c r="A1374" s="284" t="s">
        <v>200</v>
      </c>
      <c r="B1374" s="303"/>
      <c r="C1374" s="277"/>
      <c r="D1374" s="341">
        <v>0</v>
      </c>
      <c r="E1374" s="341">
        <v>0</v>
      </c>
      <c r="F1374" s="341">
        <v>0</v>
      </c>
      <c r="G1374" s="341">
        <v>0</v>
      </c>
      <c r="H1374" s="341">
        <v>0</v>
      </c>
      <c r="I1374" s="341">
        <v>0</v>
      </c>
      <c r="J1374" s="341">
        <v>0</v>
      </c>
      <c r="K1374" s="341">
        <v>0</v>
      </c>
      <c r="L1374" s="341">
        <v>0</v>
      </c>
      <c r="M1374" s="341">
        <v>0</v>
      </c>
      <c r="N1374" s="341">
        <v>0</v>
      </c>
      <c r="O1374" s="341">
        <v>0</v>
      </c>
      <c r="P1374" s="341">
        <v>0</v>
      </c>
      <c r="Q1374" s="341">
        <v>0</v>
      </c>
      <c r="R1374" s="341">
        <v>0</v>
      </c>
      <c r="S1374" s="341">
        <v>0</v>
      </c>
      <c r="T1374" s="341">
        <v>0</v>
      </c>
      <c r="U1374" s="341">
        <v>0</v>
      </c>
      <c r="V1374" s="341">
        <v>0</v>
      </c>
      <c r="W1374" s="341">
        <v>0</v>
      </c>
    </row>
    <row r="1375" spans="1:23" x14ac:dyDescent="0.2">
      <c r="A1375" s="277"/>
      <c r="B1375" s="303"/>
      <c r="C1375" s="277"/>
      <c r="D1375" s="277"/>
      <c r="E1375" s="277"/>
      <c r="F1375" s="277"/>
      <c r="G1375" s="277"/>
      <c r="H1375" s="277"/>
      <c r="I1375" s="277"/>
      <c r="J1375" s="277"/>
      <c r="K1375" s="277"/>
      <c r="L1375" s="277"/>
      <c r="M1375" s="277"/>
      <c r="N1375" s="277"/>
      <c r="O1375" s="277"/>
      <c r="P1375" s="277"/>
      <c r="Q1375" s="277"/>
      <c r="R1375" s="277"/>
      <c r="S1375" s="277"/>
      <c r="T1375" s="277"/>
      <c r="U1375" s="277"/>
      <c r="V1375" s="277"/>
      <c r="W1375" s="277"/>
    </row>
    <row r="1376" spans="1:23" x14ac:dyDescent="0.2">
      <c r="A1376" s="277"/>
      <c r="B1376" s="303"/>
      <c r="C1376" s="277"/>
      <c r="D1376" s="277"/>
      <c r="E1376" s="277"/>
      <c r="F1376" s="277"/>
      <c r="G1376" s="277"/>
      <c r="H1376" s="277"/>
      <c r="I1376" s="277"/>
      <c r="J1376" s="277"/>
      <c r="K1376" s="277"/>
      <c r="L1376" s="277"/>
      <c r="M1376" s="277"/>
      <c r="N1376" s="277"/>
      <c r="O1376" s="277"/>
      <c r="P1376" s="277"/>
      <c r="Q1376" s="277"/>
      <c r="R1376" s="277"/>
      <c r="S1376" s="277"/>
      <c r="T1376" s="277"/>
      <c r="U1376" s="277"/>
      <c r="V1376" s="277"/>
      <c r="W1376" s="277"/>
    </row>
    <row r="1377" spans="1:23" x14ac:dyDescent="0.2">
      <c r="A1377" s="284" t="s">
        <v>202</v>
      </c>
      <c r="B1377" s="279"/>
      <c r="C1377" s="278"/>
      <c r="D1377" s="435">
        <v>476150.51626919501</v>
      </c>
      <c r="E1377" s="435">
        <v>320811.60379754548</v>
      </c>
      <c r="F1377" s="435">
        <v>238467.05932124273</v>
      </c>
      <c r="G1377" s="435">
        <v>190433.81265239615</v>
      </c>
      <c r="H1377" s="435">
        <v>116423.14761191598</v>
      </c>
      <c r="I1377" s="435">
        <v>46914.084339941997</v>
      </c>
      <c r="J1377" s="435">
        <v>57270.838100918394</v>
      </c>
      <c r="K1377" s="435">
        <v>120324.8742696117</v>
      </c>
      <c r="L1377" s="435">
        <v>121921.44745070781</v>
      </c>
      <c r="M1377" s="435">
        <v>151367.15271160076</v>
      </c>
      <c r="N1377" s="435">
        <v>69969.254611536453</v>
      </c>
      <c r="O1377" s="435">
        <v>92736.506455679366</v>
      </c>
      <c r="P1377" s="435">
        <v>102039.52468764895</v>
      </c>
      <c r="Q1377" s="435">
        <v>137003.92783805775</v>
      </c>
      <c r="R1377" s="435">
        <v>75396.269587346891</v>
      </c>
      <c r="S1377" s="435">
        <v>20037.743657550469</v>
      </c>
      <c r="T1377" s="435">
        <v>53732.158622704359</v>
      </c>
      <c r="U1377" s="435">
        <v>74686.051562225039</v>
      </c>
      <c r="V1377" s="435">
        <v>15131.518166872629</v>
      </c>
      <c r="W1377" s="435">
        <v>486711.22674349853</v>
      </c>
    </row>
    <row r="1378" spans="1:23" x14ac:dyDescent="0.2">
      <c r="A1378" s="9"/>
      <c r="B1378" s="6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</row>
    <row r="1379" spans="1:23" x14ac:dyDescent="0.2">
      <c r="B1379" s="300"/>
      <c r="C1379" s="301"/>
      <c r="D1379" s="365"/>
      <c r="E1379" s="365"/>
      <c r="F1379" s="365"/>
      <c r="G1379" s="365"/>
      <c r="H1379" s="365"/>
      <c r="I1379" s="365"/>
      <c r="J1379" s="365"/>
      <c r="K1379" s="365"/>
      <c r="L1379" s="365"/>
      <c r="M1379" s="365"/>
      <c r="N1379" s="365"/>
      <c r="O1379" s="365"/>
      <c r="P1379" s="365"/>
      <c r="Q1379" s="365"/>
      <c r="R1379" s="365"/>
      <c r="S1379" s="365"/>
      <c r="T1379" s="365"/>
      <c r="U1379" s="365"/>
      <c r="V1379" s="365"/>
    </row>
    <row r="1380" spans="1:23" x14ac:dyDescent="0.2">
      <c r="B1380" s="289"/>
      <c r="C1380" s="354"/>
      <c r="D1380" s="366"/>
      <c r="E1380" s="366"/>
      <c r="F1380" s="366"/>
      <c r="G1380" s="366"/>
      <c r="H1380" s="366"/>
      <c r="I1380" s="366"/>
      <c r="J1380" s="366"/>
      <c r="K1380" s="366"/>
      <c r="L1380" s="366"/>
      <c r="M1380" s="366"/>
      <c r="N1380" s="366"/>
      <c r="O1380" s="366"/>
      <c r="P1380" s="366"/>
      <c r="Q1380" s="366"/>
      <c r="R1380" s="366"/>
      <c r="S1380" s="366"/>
      <c r="T1380" s="366"/>
      <c r="U1380" s="366"/>
      <c r="V1380" s="366"/>
    </row>
    <row r="1381" spans="1:23" x14ac:dyDescent="0.2">
      <c r="B1381" s="300"/>
      <c r="C1381" s="301"/>
      <c r="D1381" s="365"/>
      <c r="E1381" s="365"/>
      <c r="F1381" s="365"/>
      <c r="G1381" s="365"/>
      <c r="H1381" s="365"/>
      <c r="I1381" s="365"/>
      <c r="J1381" s="365"/>
      <c r="K1381" s="365"/>
      <c r="L1381" s="365"/>
      <c r="M1381" s="365"/>
      <c r="N1381" s="365"/>
      <c r="O1381" s="365"/>
      <c r="P1381" s="365"/>
      <c r="Q1381" s="365"/>
      <c r="R1381" s="365"/>
      <c r="S1381" s="365"/>
      <c r="T1381" s="365"/>
      <c r="U1381" s="365"/>
      <c r="V1381" s="365"/>
    </row>
    <row r="1382" spans="1:23" x14ac:dyDescent="0.2">
      <c r="C1382" s="354"/>
      <c r="E1382" s="363"/>
      <c r="F1382" s="313"/>
      <c r="G1382" s="322"/>
    </row>
    <row r="1383" spans="1:23" ht="15.75" x14ac:dyDescent="0.25">
      <c r="A1383" s="367"/>
      <c r="B1383" s="368"/>
    </row>
    <row r="1384" spans="1:23" x14ac:dyDescent="0.2">
      <c r="A1384" s="292"/>
      <c r="B1384" s="360"/>
      <c r="C1384" s="369"/>
      <c r="D1384" s="370"/>
      <c r="E1384" s="370"/>
      <c r="F1384" s="370"/>
      <c r="G1384" s="370"/>
      <c r="H1384" s="370"/>
      <c r="I1384" s="370"/>
      <c r="J1384" s="370"/>
      <c r="K1384" s="370"/>
      <c r="L1384" s="370"/>
      <c r="M1384" s="370"/>
      <c r="N1384" s="370"/>
      <c r="O1384" s="370"/>
      <c r="P1384" s="370"/>
      <c r="Q1384" s="370"/>
      <c r="R1384" s="370"/>
      <c r="S1384" s="370"/>
      <c r="T1384" s="370"/>
      <c r="U1384" s="370"/>
      <c r="V1384" s="370"/>
      <c r="W1384" s="370"/>
    </row>
    <row r="1385" spans="1:23" x14ac:dyDescent="0.2">
      <c r="A1385" s="292"/>
      <c r="B1385" s="360"/>
      <c r="C1385" s="371"/>
      <c r="D1385" s="370"/>
      <c r="E1385" s="370"/>
      <c r="F1385" s="370"/>
      <c r="G1385" s="370"/>
      <c r="H1385" s="370"/>
      <c r="I1385" s="370"/>
      <c r="J1385" s="370"/>
      <c r="K1385" s="370"/>
      <c r="L1385" s="370"/>
      <c r="M1385" s="370"/>
      <c r="N1385" s="370"/>
      <c r="O1385" s="370"/>
      <c r="P1385" s="370"/>
      <c r="Q1385" s="370"/>
      <c r="R1385" s="370"/>
      <c r="S1385" s="370"/>
      <c r="T1385" s="370"/>
      <c r="U1385" s="370"/>
      <c r="V1385" s="370"/>
      <c r="W1385" s="370"/>
    </row>
    <row r="1386" spans="1:23" ht="15.75" x14ac:dyDescent="0.25">
      <c r="A1386" s="302" t="s">
        <v>29</v>
      </c>
      <c r="B1386" s="305" t="s">
        <v>75</v>
      </c>
      <c r="C1386" s="306">
        <v>2000</v>
      </c>
      <c r="D1386" s="306">
        <v>2001</v>
      </c>
      <c r="E1386" s="306">
        <v>2002</v>
      </c>
      <c r="F1386" s="306">
        <v>2003</v>
      </c>
      <c r="G1386" s="306">
        <v>2004</v>
      </c>
      <c r="H1386" s="306">
        <v>2005</v>
      </c>
      <c r="I1386" s="306">
        <v>2006</v>
      </c>
      <c r="J1386" s="306">
        <v>2007</v>
      </c>
      <c r="K1386" s="306">
        <v>2008</v>
      </c>
      <c r="L1386" s="306">
        <v>2009</v>
      </c>
      <c r="M1386" s="306">
        <v>2010</v>
      </c>
      <c r="N1386" s="306">
        <v>2011</v>
      </c>
      <c r="O1386" s="306">
        <v>2012</v>
      </c>
      <c r="P1386" s="306">
        <v>2013</v>
      </c>
      <c r="Q1386" s="306">
        <v>2014</v>
      </c>
      <c r="R1386" s="306">
        <v>2015</v>
      </c>
      <c r="S1386" s="306">
        <v>2016</v>
      </c>
      <c r="T1386" s="306">
        <v>2017</v>
      </c>
      <c r="U1386" s="306">
        <v>2018</v>
      </c>
      <c r="V1386" s="306">
        <v>2019</v>
      </c>
      <c r="W1386" s="306" t="s">
        <v>154</v>
      </c>
    </row>
    <row r="1387" spans="1:23" x14ac:dyDescent="0.2">
      <c r="A1387" s="302" t="s">
        <v>26</v>
      </c>
      <c r="B1387" s="303">
        <v>30</v>
      </c>
      <c r="C1387" s="308"/>
      <c r="D1387" s="308"/>
      <c r="E1387" s="308"/>
      <c r="F1387" s="308"/>
      <c r="G1387" s="308"/>
      <c r="H1387" s="308"/>
      <c r="I1387" s="308"/>
      <c r="J1387" s="308"/>
      <c r="K1387" s="308"/>
      <c r="L1387" s="308"/>
      <c r="M1387" s="308"/>
      <c r="N1387" s="308"/>
      <c r="O1387" s="308"/>
      <c r="P1387" s="308"/>
      <c r="Q1387" s="308"/>
      <c r="R1387" s="308"/>
      <c r="S1387" s="308"/>
      <c r="T1387" s="308"/>
      <c r="U1387" s="308"/>
      <c r="V1387" s="308"/>
      <c r="W1387" s="308"/>
    </row>
    <row r="1388" spans="1:23" x14ac:dyDescent="0.2">
      <c r="A1388" s="9"/>
      <c r="B1388" s="309" t="s">
        <v>27</v>
      </c>
      <c r="C1388" s="443">
        <v>0</v>
      </c>
      <c r="D1388" s="404">
        <v>2126587.1080923979</v>
      </c>
      <c r="E1388" s="404">
        <v>1602470.6768170113</v>
      </c>
      <c r="F1388" s="404">
        <v>1198941.233614374</v>
      </c>
      <c r="G1388" s="404">
        <v>1068846.0874826619</v>
      </c>
      <c r="H1388" s="404">
        <v>1053281.7939834811</v>
      </c>
      <c r="I1388" s="404">
        <v>796475.20184324449</v>
      </c>
      <c r="J1388" s="404">
        <v>961391.52256441396</v>
      </c>
      <c r="K1388" s="404">
        <v>1464628.9932451539</v>
      </c>
      <c r="L1388" s="404">
        <v>1587338.4432750647</v>
      </c>
      <c r="M1388" s="404">
        <v>1678421.8136110539</v>
      </c>
      <c r="N1388" s="404">
        <v>1351204.0906235597</v>
      </c>
      <c r="O1388" s="404">
        <v>1446107.0123710041</v>
      </c>
      <c r="P1388" s="404">
        <v>1659439.0545511986</v>
      </c>
      <c r="Q1388" s="404">
        <v>2004584.9915431584</v>
      </c>
      <c r="R1388" s="404">
        <v>1677514.3010931045</v>
      </c>
      <c r="S1388" s="404">
        <v>1358426.5359635586</v>
      </c>
      <c r="T1388" s="404">
        <v>1753399.8070952923</v>
      </c>
      <c r="U1388" s="404">
        <v>1915117.7410095821</v>
      </c>
      <c r="V1388" s="404">
        <v>1625873.471072081</v>
      </c>
      <c r="W1388" s="327"/>
    </row>
    <row r="1389" spans="1:23" x14ac:dyDescent="0.2">
      <c r="A1389" s="9"/>
      <c r="B1389" s="309" t="s">
        <v>20</v>
      </c>
      <c r="C1389" s="443">
        <v>0</v>
      </c>
      <c r="D1389" s="404">
        <v>-310389.43696287024</v>
      </c>
      <c r="E1389" s="404">
        <v>-349113.84830769704</v>
      </c>
      <c r="F1389" s="404">
        <v>-264658.40683818312</v>
      </c>
      <c r="G1389" s="404">
        <v>-285978.62982593715</v>
      </c>
      <c r="H1389" s="404">
        <v>-357176.7231483935</v>
      </c>
      <c r="I1389" s="404">
        <v>-341375.81082810246</v>
      </c>
      <c r="J1389" s="404">
        <v>-444685.68214515958</v>
      </c>
      <c r="K1389" s="404">
        <v>-693970.05669517827</v>
      </c>
      <c r="L1389" s="404">
        <v>-778408.61186159181</v>
      </c>
      <c r="M1389" s="404">
        <v>-765468.76303215651</v>
      </c>
      <c r="N1389" s="404">
        <v>-743380.10925802926</v>
      </c>
      <c r="O1389" s="404">
        <v>-731586.58028921834</v>
      </c>
      <c r="P1389" s="404">
        <v>-891480.25301709515</v>
      </c>
      <c r="Q1389" s="404">
        <v>-1044140.5157080733</v>
      </c>
      <c r="R1389" s="404">
        <v>-928281.82178984652</v>
      </c>
      <c r="S1389" s="404">
        <v>-820540.77188256779</v>
      </c>
      <c r="T1389" s="404">
        <v>-1054507.2264227669</v>
      </c>
      <c r="U1389" s="404">
        <v>-1158747.3414009528</v>
      </c>
      <c r="V1389" s="404">
        <v>-1077217.7275900242</v>
      </c>
      <c r="W1389" s="327"/>
    </row>
    <row r="1390" spans="1:23" x14ac:dyDescent="0.2">
      <c r="A1390" s="9"/>
      <c r="B1390" s="309" t="s">
        <v>31</v>
      </c>
      <c r="C1390" s="443">
        <v>0</v>
      </c>
      <c r="D1390" s="404">
        <v>-13148.953091106738</v>
      </c>
      <c r="E1390" s="404">
        <v>-16384.39401519165</v>
      </c>
      <c r="F1390" s="404">
        <v>-13047.544985632841</v>
      </c>
      <c r="G1390" s="404">
        <v>-14294.959503231872</v>
      </c>
      <c r="H1390" s="404">
        <v>-18111.7045799714</v>
      </c>
      <c r="I1390" s="404">
        <v>-17310.467306540118</v>
      </c>
      <c r="J1390" s="404">
        <v>-22718.500800547125</v>
      </c>
      <c r="K1390" s="404">
        <v>-39068.253266381631</v>
      </c>
      <c r="L1390" s="404">
        <v>-43694.169013717896</v>
      </c>
      <c r="M1390" s="404">
        <v>-42287.916850179456</v>
      </c>
      <c r="N1390" s="404">
        <v>-40289.503338797847</v>
      </c>
      <c r="O1390" s="404">
        <v>-41449.905487238982</v>
      </c>
      <c r="P1390" s="404">
        <v>-48234.702361711104</v>
      </c>
      <c r="Q1390" s="404">
        <v>-58706.167453184324</v>
      </c>
      <c r="R1390" s="404">
        <v>-48738.289309395695</v>
      </c>
      <c r="S1390" s="404">
        <v>-41990.599954970407</v>
      </c>
      <c r="T1390" s="404">
        <v>-53526.756577687338</v>
      </c>
      <c r="U1390" s="404">
        <v>-56189.386692046472</v>
      </c>
      <c r="V1390" s="404">
        <v>-52712.019608476796</v>
      </c>
      <c r="W1390" s="327"/>
    </row>
    <row r="1391" spans="1:23" x14ac:dyDescent="0.2">
      <c r="A1391" s="9"/>
      <c r="B1391" s="309" t="s">
        <v>32</v>
      </c>
      <c r="C1391" s="443">
        <v>0</v>
      </c>
      <c r="D1391" s="404">
        <v>0</v>
      </c>
      <c r="E1391" s="404">
        <v>0</v>
      </c>
      <c r="F1391" s="404">
        <v>0</v>
      </c>
      <c r="G1391" s="404">
        <v>0</v>
      </c>
      <c r="H1391" s="404">
        <v>0</v>
      </c>
      <c r="I1391" s="404">
        <v>-4854.7261873313591</v>
      </c>
      <c r="J1391" s="404">
        <v>-6930.5960873833828</v>
      </c>
      <c r="K1391" s="404">
        <v>-13485.318992277545</v>
      </c>
      <c r="L1391" s="404">
        <v>-15520.710935982126</v>
      </c>
      <c r="M1391" s="404">
        <v>-16356.962383381495</v>
      </c>
      <c r="N1391" s="404">
        <v>-16884.816230957978</v>
      </c>
      <c r="O1391" s="404">
        <v>-18807.800813667825</v>
      </c>
      <c r="P1391" s="404">
        <v>-24035.579704568339</v>
      </c>
      <c r="Q1391" s="404">
        <v>-31968.094080876886</v>
      </c>
      <c r="R1391" s="404">
        <v>-28838.038879896259</v>
      </c>
      <c r="S1391" s="404">
        <v>-26715.030035743708</v>
      </c>
      <c r="T1391" s="404">
        <v>-32789.496443872602</v>
      </c>
      <c r="U1391" s="404">
        <v>-28858.94331045603</v>
      </c>
      <c r="V1391" s="404">
        <v>-27560.300820005541</v>
      </c>
      <c r="W1391" s="327"/>
    </row>
    <row r="1392" spans="1:23" ht="13.5" thickBot="1" x14ac:dyDescent="0.25">
      <c r="A1392" s="9"/>
      <c r="B1392" s="310" t="s">
        <v>33</v>
      </c>
      <c r="C1392" s="444">
        <v>0</v>
      </c>
      <c r="D1392" s="406">
        <v>0</v>
      </c>
      <c r="E1392" s="406">
        <v>0</v>
      </c>
      <c r="F1392" s="406">
        <v>0</v>
      </c>
      <c r="G1392" s="406">
        <v>0</v>
      </c>
      <c r="H1392" s="406">
        <v>0</v>
      </c>
      <c r="I1392" s="406">
        <v>-4854.7261873313591</v>
      </c>
      <c r="J1392" s="406">
        <v>-6930.5960873833828</v>
      </c>
      <c r="K1392" s="406">
        <v>-13485.318992277545</v>
      </c>
      <c r="L1392" s="406">
        <v>-15520.710935982126</v>
      </c>
      <c r="M1392" s="406">
        <v>-16356.962383381495</v>
      </c>
      <c r="N1392" s="406">
        <v>-16884.816230957978</v>
      </c>
      <c r="O1392" s="406">
        <v>-18807.800813667825</v>
      </c>
      <c r="P1392" s="406">
        <v>-24035.579704568339</v>
      </c>
      <c r="Q1392" s="406">
        <v>-31968.094080876886</v>
      </c>
      <c r="R1392" s="406">
        <v>-28838.038879896259</v>
      </c>
      <c r="S1392" s="406">
        <v>-26715.030035743708</v>
      </c>
      <c r="T1392" s="406">
        <v>-32789.496443872602</v>
      </c>
      <c r="U1392" s="406">
        <v>-28858.94331045603</v>
      </c>
      <c r="V1392" s="406">
        <v>-27560.300820005541</v>
      </c>
      <c r="W1392" s="327"/>
    </row>
    <row r="1393" spans="1:23" ht="13.5" thickTop="1" x14ac:dyDescent="0.2">
      <c r="A1393" s="9"/>
      <c r="B1393" s="311" t="s">
        <v>38</v>
      </c>
      <c r="C1393" s="445">
        <v>0</v>
      </c>
      <c r="D1393" s="408">
        <v>1803048.7180384209</v>
      </c>
      <c r="E1393" s="408">
        <v>1236972.4344941226</v>
      </c>
      <c r="F1393" s="408">
        <v>921235.28179055802</v>
      </c>
      <c r="G1393" s="408">
        <v>768572.49815349292</v>
      </c>
      <c r="H1393" s="408">
        <v>677993.3662551163</v>
      </c>
      <c r="I1393" s="408">
        <v>428079.47133393917</v>
      </c>
      <c r="J1393" s="408">
        <v>480126.14744394046</v>
      </c>
      <c r="K1393" s="408">
        <v>704620.04529903899</v>
      </c>
      <c r="L1393" s="408">
        <v>734194.24052779062</v>
      </c>
      <c r="M1393" s="408">
        <v>837951.20896195504</v>
      </c>
      <c r="N1393" s="408">
        <v>533764.84556481661</v>
      </c>
      <c r="O1393" s="408">
        <v>635454.92496721109</v>
      </c>
      <c r="P1393" s="408">
        <v>671652.93976325565</v>
      </c>
      <c r="Q1393" s="408">
        <v>837802.12022014696</v>
      </c>
      <c r="R1393" s="408">
        <v>642818.11223406973</v>
      </c>
      <c r="S1393" s="408">
        <v>442465.10405453295</v>
      </c>
      <c r="T1393" s="408">
        <v>579786.83120709285</v>
      </c>
      <c r="U1393" s="408">
        <v>642463.12629567087</v>
      </c>
      <c r="V1393" s="408">
        <v>440823.12223356892</v>
      </c>
      <c r="W1393" s="327"/>
    </row>
    <row r="1394" spans="1:23" x14ac:dyDescent="0.2">
      <c r="A1394" s="9"/>
      <c r="B1394" s="309" t="s">
        <v>34</v>
      </c>
      <c r="C1394" s="443">
        <v>0</v>
      </c>
      <c r="D1394" s="404">
        <v>-95881.418765655035</v>
      </c>
      <c r="E1394" s="404">
        <v>-97799.047140968134</v>
      </c>
      <c r="F1394" s="404">
        <v>-99755.028083787503</v>
      </c>
      <c r="G1394" s="404">
        <v>-101750.12864546325</v>
      </c>
      <c r="H1394" s="404">
        <v>-103785.13121837252</v>
      </c>
      <c r="I1394" s="404">
        <v>-105860.83384273997</v>
      </c>
      <c r="J1394" s="404">
        <v>-107978.05051959478</v>
      </c>
      <c r="K1394" s="404">
        <v>-110137.61152998668</v>
      </c>
      <c r="L1394" s="404">
        <v>-112340.36376058642</v>
      </c>
      <c r="M1394" s="404">
        <v>-114587.17103579815</v>
      </c>
      <c r="N1394" s="404">
        <v>-116878.91445651412</v>
      </c>
      <c r="O1394" s="404">
        <v>-119216.4927456444</v>
      </c>
      <c r="P1394" s="404">
        <v>-121600.82260055729</v>
      </c>
      <c r="Q1394" s="404">
        <v>-124032.83905256844</v>
      </c>
      <c r="R1394" s="404">
        <v>-126513.4958336198</v>
      </c>
      <c r="S1394" s="404">
        <v>-129043.76575029221</v>
      </c>
      <c r="T1394" s="404">
        <v>-131624.64106529806</v>
      </c>
      <c r="U1394" s="404">
        <v>-134257.13388660402</v>
      </c>
      <c r="V1394" s="404">
        <v>-136942.27656433609</v>
      </c>
      <c r="W1394" s="327"/>
    </row>
    <row r="1395" spans="1:23" x14ac:dyDescent="0.2">
      <c r="A1395" s="9"/>
      <c r="B1395" s="309" t="s">
        <v>35</v>
      </c>
      <c r="C1395" s="443">
        <v>0</v>
      </c>
      <c r="D1395" s="404">
        <v>-25448.602982352939</v>
      </c>
      <c r="E1395" s="404">
        <v>-25448.602982352939</v>
      </c>
      <c r="F1395" s="404">
        <v>-25448.602982352939</v>
      </c>
      <c r="G1395" s="404">
        <v>-25448.602982352939</v>
      </c>
      <c r="H1395" s="404">
        <v>-25448.602982352939</v>
      </c>
      <c r="I1395" s="404">
        <v>-25448.602982352939</v>
      </c>
      <c r="J1395" s="404">
        <v>-25448.602982352939</v>
      </c>
      <c r="K1395" s="404">
        <v>-25448.602982352939</v>
      </c>
      <c r="L1395" s="404">
        <v>-25448.602982352939</v>
      </c>
      <c r="M1395" s="404">
        <v>-25448.602982352939</v>
      </c>
      <c r="N1395" s="404">
        <v>-25448.602982352939</v>
      </c>
      <c r="O1395" s="404">
        <v>-25448.602982352939</v>
      </c>
      <c r="P1395" s="404">
        <v>-25448.602982352939</v>
      </c>
      <c r="Q1395" s="404">
        <v>-25448.602982352939</v>
      </c>
      <c r="R1395" s="404">
        <v>-25448.602982352939</v>
      </c>
      <c r="S1395" s="404">
        <v>-25448.602982352939</v>
      </c>
      <c r="T1395" s="404">
        <v>-25448.602982352939</v>
      </c>
      <c r="U1395" s="404">
        <v>-25448.602982352939</v>
      </c>
      <c r="V1395" s="404">
        <v>-25448.602982352939</v>
      </c>
      <c r="W1395" s="327"/>
    </row>
    <row r="1396" spans="1:23" ht="13.5" thickBot="1" x14ac:dyDescent="0.25">
      <c r="A1396" s="9"/>
      <c r="B1396" s="310" t="s">
        <v>36</v>
      </c>
      <c r="C1396" s="444">
        <v>0</v>
      </c>
      <c r="D1396" s="406">
        <v>-3652.5664182404298</v>
      </c>
      <c r="E1396" s="406">
        <v>-3729.63556966532</v>
      </c>
      <c r="F1396" s="406">
        <v>-3811.3145886409998</v>
      </c>
      <c r="G1396" s="406">
        <v>-3897.4502983442499</v>
      </c>
      <c r="H1396" s="406">
        <v>-3990.20961544486</v>
      </c>
      <c r="I1396" s="406">
        <v>-4090.2046695508502</v>
      </c>
      <c r="J1396" s="406">
        <v>-4191.6531401409502</v>
      </c>
      <c r="K1396" s="406">
        <v>-4297.7525434801701</v>
      </c>
      <c r="L1396" s="406">
        <v>-4403.9070313041402</v>
      </c>
      <c r="M1396" s="406">
        <v>-4516.20666060238</v>
      </c>
      <c r="N1396" s="406">
        <v>-4625.4988617889703</v>
      </c>
      <c r="O1396" s="406">
        <v>-4742.0614331060397</v>
      </c>
      <c r="P1396" s="406">
        <v>-4862.5097935069298</v>
      </c>
      <c r="Q1396" s="406">
        <v>-4984.0725383445997</v>
      </c>
      <c r="R1396" s="406">
        <v>-5109.1727590570499</v>
      </c>
      <c r="S1396" s="406">
        <v>-5236.9020780334804</v>
      </c>
      <c r="T1396" s="406">
        <v>-5366.7772495687004</v>
      </c>
      <c r="U1396" s="406">
        <v>-5501.4833585328897</v>
      </c>
      <c r="V1396" s="406">
        <v>-5639.5705908320597</v>
      </c>
      <c r="W1396" s="327"/>
    </row>
    <row r="1397" spans="1:23" ht="13.5" thickTop="1" x14ac:dyDescent="0.2">
      <c r="A1397" s="9"/>
      <c r="B1397" s="311" t="s">
        <v>220</v>
      </c>
      <c r="C1397" s="446">
        <v>0</v>
      </c>
      <c r="D1397" s="410">
        <v>1678066.1298721724</v>
      </c>
      <c r="E1397" s="410">
        <v>1109995.1488011363</v>
      </c>
      <c r="F1397" s="410">
        <v>792220.33613577648</v>
      </c>
      <c r="G1397" s="410">
        <v>637476.31622733246</v>
      </c>
      <c r="H1397" s="410">
        <v>544769.42243894597</v>
      </c>
      <c r="I1397" s="410">
        <v>292679.82983929536</v>
      </c>
      <c r="J1397" s="410">
        <v>342507.84080185182</v>
      </c>
      <c r="K1397" s="410">
        <v>564736.07824321918</v>
      </c>
      <c r="L1397" s="410">
        <v>592001.3667535471</v>
      </c>
      <c r="M1397" s="410">
        <v>693399.22828320158</v>
      </c>
      <c r="N1397" s="410">
        <v>386811.82926416059</v>
      </c>
      <c r="O1397" s="410">
        <v>486047.7678061077</v>
      </c>
      <c r="P1397" s="410">
        <v>519741.00438683853</v>
      </c>
      <c r="Q1397" s="410">
        <v>683336.60564688093</v>
      </c>
      <c r="R1397" s="410">
        <v>485746.84065903997</v>
      </c>
      <c r="S1397" s="410">
        <v>282735.83324385429</v>
      </c>
      <c r="T1397" s="410">
        <v>417346.80990987312</v>
      </c>
      <c r="U1397" s="410">
        <v>477255.90606818104</v>
      </c>
      <c r="V1397" s="410">
        <v>272792.67209604784</v>
      </c>
      <c r="W1397" s="327"/>
    </row>
    <row r="1398" spans="1:23" x14ac:dyDescent="0.2">
      <c r="A1398" s="9"/>
      <c r="B1398" s="309" t="s">
        <v>37</v>
      </c>
      <c r="C1398" s="443">
        <v>0</v>
      </c>
      <c r="D1398" s="404">
        <v>-168361.33607054193</v>
      </c>
      <c r="E1398" s="404">
        <v>-154519.9530873629</v>
      </c>
      <c r="F1398" s="404">
        <v>-134821.65461738346</v>
      </c>
      <c r="G1398" s="404">
        <v>-114854.12729364686</v>
      </c>
      <c r="H1398" s="404">
        <v>-106751.61665344334</v>
      </c>
      <c r="I1398" s="404">
        <v>-106607.35732462924</v>
      </c>
      <c r="J1398" s="404">
        <v>-113701.42884545858</v>
      </c>
      <c r="K1398" s="404">
        <v>-120305.21250662924</v>
      </c>
      <c r="L1398" s="404">
        <v>-126853.22212775858</v>
      </c>
      <c r="M1398" s="404">
        <v>-132968.18877944423</v>
      </c>
      <c r="N1398" s="404">
        <v>-130162.78963530177</v>
      </c>
      <c r="O1398" s="404">
        <v>-126942.41828731765</v>
      </c>
      <c r="P1398" s="404">
        <v>-133014.81386177582</v>
      </c>
      <c r="Q1398" s="404">
        <v>-100287.45837453086</v>
      </c>
      <c r="R1398" s="404">
        <v>-67875.226880618153</v>
      </c>
      <c r="S1398" s="404">
        <v>-74367.319107038682</v>
      </c>
      <c r="T1398" s="404">
        <v>-81054.174100251868</v>
      </c>
      <c r="U1398" s="404">
        <v>-87941.634743261413</v>
      </c>
      <c r="V1398" s="404">
        <v>-95035.719205561269</v>
      </c>
      <c r="W1398" s="327"/>
    </row>
    <row r="1399" spans="1:23" ht="13.5" thickBot="1" x14ac:dyDescent="0.25">
      <c r="A1399" s="9"/>
      <c r="B1399" s="310" t="s">
        <v>221</v>
      </c>
      <c r="C1399" s="444">
        <v>0</v>
      </c>
      <c r="D1399" s="406">
        <v>-603881.91752065218</v>
      </c>
      <c r="E1399" s="406">
        <v>-382190.07828550937</v>
      </c>
      <c r="F1399" s="406">
        <v>-262959.47260735719</v>
      </c>
      <c r="G1399" s="406">
        <v>-209048.87557347424</v>
      </c>
      <c r="H1399" s="406">
        <v>-175207.12231420109</v>
      </c>
      <c r="I1399" s="406">
        <v>-74428.989005866446</v>
      </c>
      <c r="J1399" s="406">
        <v>-91522.564782557311</v>
      </c>
      <c r="K1399" s="406">
        <v>-177772.34629463599</v>
      </c>
      <c r="L1399" s="406">
        <v>-186059.25785031542</v>
      </c>
      <c r="M1399" s="406">
        <v>-224172.41580150297</v>
      </c>
      <c r="N1399" s="406">
        <v>-102659.61585154354</v>
      </c>
      <c r="O1399" s="406">
        <v>-143642.13980751601</v>
      </c>
      <c r="P1399" s="406">
        <v>-154690.47621002511</v>
      </c>
      <c r="Q1399" s="406">
        <v>-233219.65890894004</v>
      </c>
      <c r="R1399" s="406">
        <v>-167148.64551136876</v>
      </c>
      <c r="S1399" s="406">
        <v>-83347.405654726259</v>
      </c>
      <c r="T1399" s="406">
        <v>-134517.05432384851</v>
      </c>
      <c r="U1399" s="406">
        <v>-155725.70852996787</v>
      </c>
      <c r="V1399" s="406">
        <v>-71102.781156194629</v>
      </c>
      <c r="W1399" s="327"/>
    </row>
    <row r="1400" spans="1:23" ht="13.5" thickTop="1" x14ac:dyDescent="0.2">
      <c r="A1400" s="9"/>
      <c r="B1400" s="311" t="s">
        <v>183</v>
      </c>
      <c r="C1400" s="446">
        <v>0</v>
      </c>
      <c r="D1400" s="410">
        <v>905822.87628097821</v>
      </c>
      <c r="E1400" s="410">
        <v>573285.117428264</v>
      </c>
      <c r="F1400" s="410">
        <v>394439.20891103579</v>
      </c>
      <c r="G1400" s="410">
        <v>313573.31336021132</v>
      </c>
      <c r="H1400" s="410">
        <v>262810.68347130157</v>
      </c>
      <c r="I1400" s="410">
        <v>111643.48350879968</v>
      </c>
      <c r="J1400" s="410">
        <v>137283.84717383594</v>
      </c>
      <c r="K1400" s="410">
        <v>266658.51944195398</v>
      </c>
      <c r="L1400" s="410">
        <v>279088.88677547313</v>
      </c>
      <c r="M1400" s="410">
        <v>336258.62370225438</v>
      </c>
      <c r="N1400" s="410">
        <v>153989.4237773153</v>
      </c>
      <c r="O1400" s="410">
        <v>215463.20971127402</v>
      </c>
      <c r="P1400" s="410">
        <v>232035.71431503762</v>
      </c>
      <c r="Q1400" s="410">
        <v>349829.48836341</v>
      </c>
      <c r="R1400" s="410">
        <v>250722.96826705307</v>
      </c>
      <c r="S1400" s="410">
        <v>125021.10848208936</v>
      </c>
      <c r="T1400" s="410">
        <v>201775.58148577274</v>
      </c>
      <c r="U1400" s="410">
        <v>233588.56279495178</v>
      </c>
      <c r="V1400" s="410">
        <v>106654.17173429194</v>
      </c>
      <c r="W1400" s="327"/>
    </row>
    <row r="1401" spans="1:23" x14ac:dyDescent="0.2">
      <c r="A1401" s="9"/>
      <c r="B1401" s="309" t="s">
        <v>37</v>
      </c>
      <c r="C1401" s="443">
        <v>0</v>
      </c>
      <c r="D1401" s="404">
        <v>168361.33607054193</v>
      </c>
      <c r="E1401" s="404">
        <v>154519.9530873629</v>
      </c>
      <c r="F1401" s="404">
        <v>134821.65461738346</v>
      </c>
      <c r="G1401" s="404">
        <v>114854.12729364686</v>
      </c>
      <c r="H1401" s="404">
        <v>106751.61665344334</v>
      </c>
      <c r="I1401" s="404">
        <v>106607.35732462924</v>
      </c>
      <c r="J1401" s="404">
        <v>113701.42884545858</v>
      </c>
      <c r="K1401" s="404">
        <v>120305.21250662924</v>
      </c>
      <c r="L1401" s="404">
        <v>126853.22212775858</v>
      </c>
      <c r="M1401" s="404">
        <v>132968.18877944423</v>
      </c>
      <c r="N1401" s="404">
        <v>130162.78963530177</v>
      </c>
      <c r="O1401" s="404">
        <v>126942.41828731765</v>
      </c>
      <c r="P1401" s="404">
        <v>133014.81386177582</v>
      </c>
      <c r="Q1401" s="404">
        <v>100287.45837453086</v>
      </c>
      <c r="R1401" s="404">
        <v>67875.226880618153</v>
      </c>
      <c r="S1401" s="404">
        <v>74367.319107038682</v>
      </c>
      <c r="T1401" s="404">
        <v>81054.174100251868</v>
      </c>
      <c r="U1401" s="404">
        <v>87941.634743261413</v>
      </c>
      <c r="V1401" s="404">
        <v>95035.719205561269</v>
      </c>
      <c r="W1401" s="327"/>
    </row>
    <row r="1402" spans="1:23" x14ac:dyDescent="0.2">
      <c r="A1402" s="9"/>
      <c r="B1402" s="309" t="s">
        <v>39</v>
      </c>
      <c r="C1402" s="443">
        <v>0</v>
      </c>
      <c r="D1402" s="404">
        <v>-907.34</v>
      </c>
      <c r="E1402" s="404">
        <v>-943.94</v>
      </c>
      <c r="F1402" s="404">
        <v>-982.06</v>
      </c>
      <c r="G1402" s="404">
        <v>-1025.72</v>
      </c>
      <c r="H1402" s="404">
        <v>-100000</v>
      </c>
      <c r="I1402" s="404">
        <v>-103000</v>
      </c>
      <c r="J1402" s="404">
        <v>-106090</v>
      </c>
      <c r="K1402" s="404">
        <v>-109272.7</v>
      </c>
      <c r="L1402" s="404">
        <v>-112550.88099999999</v>
      </c>
      <c r="M1402" s="404">
        <v>-115927.40742999999</v>
      </c>
      <c r="N1402" s="404">
        <v>-119405.2296529</v>
      </c>
      <c r="O1402" s="404">
        <v>-122987.386542487</v>
      </c>
      <c r="P1402" s="404">
        <v>-126677.00813876161</v>
      </c>
      <c r="Q1402" s="404">
        <v>-130477.31838292447</v>
      </c>
      <c r="R1402" s="404">
        <v>-134391.6379344122</v>
      </c>
      <c r="S1402" s="404">
        <v>-138423.38707244457</v>
      </c>
      <c r="T1402" s="404">
        <v>-142576.08868461792</v>
      </c>
      <c r="U1402" s="404">
        <v>-146853.37134515645</v>
      </c>
      <c r="V1402" s="404">
        <v>-151258.97248551116</v>
      </c>
      <c r="W1402" s="327"/>
    </row>
    <row r="1403" spans="1:23" ht="13.5" thickBot="1" x14ac:dyDescent="0.25">
      <c r="A1403" s="9"/>
      <c r="B1403" s="310" t="s">
        <v>40</v>
      </c>
      <c r="C1403" s="444">
        <v>0</v>
      </c>
      <c r="D1403" s="406">
        <v>0</v>
      </c>
      <c r="E1403" s="406">
        <v>0</v>
      </c>
      <c r="F1403" s="406">
        <v>0</v>
      </c>
      <c r="G1403" s="406">
        <v>0</v>
      </c>
      <c r="H1403" s="406">
        <v>0</v>
      </c>
      <c r="I1403" s="406">
        <v>0</v>
      </c>
      <c r="J1403" s="406">
        <v>0</v>
      </c>
      <c r="K1403" s="406">
        <v>0</v>
      </c>
      <c r="L1403" s="406">
        <v>0</v>
      </c>
      <c r="M1403" s="406">
        <v>0</v>
      </c>
      <c r="N1403" s="406">
        <v>0</v>
      </c>
      <c r="O1403" s="406">
        <v>0</v>
      </c>
      <c r="P1403" s="406">
        <v>0</v>
      </c>
      <c r="Q1403" s="406">
        <v>0</v>
      </c>
      <c r="R1403" s="406">
        <v>0</v>
      </c>
      <c r="S1403" s="406">
        <v>0</v>
      </c>
      <c r="T1403" s="406">
        <v>0</v>
      </c>
      <c r="U1403" s="406">
        <v>0</v>
      </c>
      <c r="V1403" s="406">
        <v>0</v>
      </c>
      <c r="W1403" s="327"/>
    </row>
    <row r="1404" spans="1:23" ht="13.5" thickTop="1" x14ac:dyDescent="0.2">
      <c r="A1404" s="9"/>
      <c r="B1404" s="309"/>
      <c r="C1404" s="447"/>
      <c r="D1404" s="327"/>
      <c r="E1404" s="327"/>
      <c r="F1404" s="327"/>
      <c r="G1404" s="327"/>
      <c r="H1404" s="327"/>
      <c r="I1404" s="327"/>
      <c r="J1404" s="327"/>
      <c r="K1404" s="327"/>
      <c r="L1404" s="327"/>
      <c r="M1404" s="327"/>
      <c r="N1404" s="327"/>
      <c r="O1404" s="327"/>
      <c r="P1404" s="327"/>
      <c r="Q1404" s="327"/>
      <c r="R1404" s="327"/>
      <c r="S1404" s="327"/>
      <c r="T1404" s="327"/>
      <c r="U1404" s="327"/>
      <c r="V1404" s="327"/>
      <c r="W1404" s="327"/>
    </row>
    <row r="1405" spans="1:23" x14ac:dyDescent="0.2">
      <c r="A1405" s="9"/>
      <c r="B1405" s="311" t="s">
        <v>233</v>
      </c>
      <c r="C1405" s="446">
        <v>0</v>
      </c>
      <c r="D1405" s="410">
        <v>1073276.87235152</v>
      </c>
      <c r="E1405" s="410">
        <v>726861.13051562698</v>
      </c>
      <c r="F1405" s="410">
        <v>528278.80352841923</v>
      </c>
      <c r="G1405" s="410">
        <v>427401.72065385821</v>
      </c>
      <c r="H1405" s="410">
        <v>269562.30012474488</v>
      </c>
      <c r="I1405" s="410">
        <v>115250.8408334289</v>
      </c>
      <c r="J1405" s="410">
        <v>144895.27601929451</v>
      </c>
      <c r="K1405" s="410">
        <v>277691.0319485832</v>
      </c>
      <c r="L1405" s="410">
        <v>293391.22790323169</v>
      </c>
      <c r="M1405" s="410">
        <v>353299.40505169856</v>
      </c>
      <c r="N1405" s="410">
        <v>164746.98375971708</v>
      </c>
      <c r="O1405" s="410">
        <v>219418.24145610462</v>
      </c>
      <c r="P1405" s="410">
        <v>238373.52003805182</v>
      </c>
      <c r="Q1405" s="410">
        <v>319639.62835501641</v>
      </c>
      <c r="R1405" s="410">
        <v>184206.55721325902</v>
      </c>
      <c r="S1405" s="410">
        <v>60965.040516683453</v>
      </c>
      <c r="T1405" s="410">
        <v>140253.66690140669</v>
      </c>
      <c r="U1405" s="410">
        <v>174676.82619305677</v>
      </c>
      <c r="V1405" s="410">
        <v>50430.918454342056</v>
      </c>
      <c r="W1405" s="408">
        <v>1171161.1190690314</v>
      </c>
    </row>
    <row r="1406" spans="1:23" x14ac:dyDescent="0.2">
      <c r="A1406" s="9"/>
      <c r="B1406" s="286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</row>
    <row r="1407" spans="1:23" x14ac:dyDescent="0.2">
      <c r="A1407" s="302" t="s">
        <v>218</v>
      </c>
      <c r="B1407" s="300" t="s">
        <v>170</v>
      </c>
      <c r="C1407" s="433">
        <v>2432619.715890951</v>
      </c>
      <c r="D1407" s="9"/>
      <c r="E1407" s="137" t="s">
        <v>219</v>
      </c>
      <c r="F1407" s="313" t="s">
        <v>170</v>
      </c>
      <c r="G1407" s="437">
        <v>2432619.715890951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</row>
    <row r="1408" spans="1:23" x14ac:dyDescent="0.2">
      <c r="A1408" s="9"/>
      <c r="B1408" s="300" t="s">
        <v>180</v>
      </c>
      <c r="C1408" s="433">
        <v>935246.39774975192</v>
      </c>
      <c r="D1408" s="9"/>
      <c r="E1408" s="315"/>
      <c r="F1408" s="313" t="s">
        <v>180</v>
      </c>
      <c r="G1408" s="437">
        <v>935246.39774975192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</row>
    <row r="1409" spans="1:23" ht="13.5" thickBot="1" x14ac:dyDescent="0.25">
      <c r="A1409" s="9"/>
      <c r="B1409" s="316" t="s">
        <v>137</v>
      </c>
      <c r="C1409" s="434">
        <v>174085.63773923673</v>
      </c>
      <c r="D1409" s="317"/>
      <c r="E1409" s="315"/>
      <c r="F1409" s="313" t="s">
        <v>137</v>
      </c>
      <c r="G1409" s="437">
        <v>174085.63773923673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</row>
    <row r="1410" spans="1:23" ht="14.25" thickTop="1" thickBot="1" x14ac:dyDescent="0.25">
      <c r="A1410" s="9"/>
      <c r="B1410" s="300" t="s">
        <v>28</v>
      </c>
      <c r="C1410" s="432">
        <v>3541951.7513799397</v>
      </c>
      <c r="D1410" s="299"/>
      <c r="E1410" s="315"/>
      <c r="F1410" s="318" t="s">
        <v>203</v>
      </c>
      <c r="G1410" s="319">
        <v>0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</row>
    <row r="1411" spans="1:23" ht="13.5" thickTop="1" x14ac:dyDescent="0.2">
      <c r="A1411" s="9"/>
      <c r="B1411" s="286"/>
      <c r="C1411" s="320"/>
      <c r="D1411" s="9"/>
      <c r="E1411" s="321"/>
      <c r="F1411" s="313" t="s">
        <v>28</v>
      </c>
      <c r="G1411" s="362">
        <v>3541951.7513799397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</row>
    <row r="1412" spans="1:23" x14ac:dyDescent="0.2">
      <c r="A1412" s="9"/>
      <c r="B1412" s="286"/>
      <c r="C1412" s="320"/>
      <c r="D1412" s="9"/>
      <c r="E1412" s="321"/>
      <c r="F1412" s="313"/>
      <c r="G1412" s="322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</row>
    <row r="1413" spans="1:23" x14ac:dyDescent="0.2">
      <c r="A1413" s="9"/>
      <c r="B1413" s="286"/>
      <c r="C1413" s="320"/>
      <c r="D1413" s="9"/>
      <c r="E1413" s="321"/>
      <c r="F1413" s="313"/>
      <c r="G1413" s="322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</row>
    <row r="1414" spans="1:23" x14ac:dyDescent="0.2">
      <c r="A1414" s="9"/>
      <c r="B1414" s="323" t="s">
        <v>222</v>
      </c>
      <c r="C1414" s="320"/>
      <c r="D1414" s="9"/>
      <c r="E1414" s="321"/>
      <c r="F1414" s="313"/>
      <c r="G1414" s="322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</row>
    <row r="1415" spans="1:23" x14ac:dyDescent="0.2">
      <c r="A1415" s="324" t="s">
        <v>224</v>
      </c>
      <c r="B1415" s="323" t="s">
        <v>223</v>
      </c>
      <c r="C1415" s="325"/>
      <c r="D1415" s="326">
        <v>905822.87628097821</v>
      </c>
      <c r="E1415" s="326">
        <v>573285.117428264</v>
      </c>
      <c r="F1415" s="326">
        <v>394439.20891103579</v>
      </c>
      <c r="G1415" s="326">
        <v>313573.31336021132</v>
      </c>
      <c r="H1415" s="326">
        <v>262810.68347130157</v>
      </c>
      <c r="I1415" s="326">
        <v>111643.48350879968</v>
      </c>
      <c r="J1415" s="326">
        <v>137283.84717383594</v>
      </c>
      <c r="K1415" s="326">
        <v>266658.51944195398</v>
      </c>
      <c r="L1415" s="326">
        <v>279088.88677547313</v>
      </c>
      <c r="M1415" s="326">
        <v>336258.62370225438</v>
      </c>
      <c r="N1415" s="326">
        <v>153989.4237773153</v>
      </c>
      <c r="O1415" s="326">
        <v>215463.20971127402</v>
      </c>
      <c r="P1415" s="326">
        <v>232035.71431503762</v>
      </c>
      <c r="Q1415" s="326">
        <v>349829.48836341</v>
      </c>
      <c r="R1415" s="326">
        <v>250722.96826705307</v>
      </c>
      <c r="S1415" s="326">
        <v>125021.10848208936</v>
      </c>
      <c r="T1415" s="326">
        <v>201775.58148577274</v>
      </c>
      <c r="U1415" s="326">
        <v>233588.56279495178</v>
      </c>
      <c r="V1415" s="326">
        <v>106654.17173429194</v>
      </c>
      <c r="W1415" s="9"/>
    </row>
    <row r="1416" spans="1:23" x14ac:dyDescent="0.2">
      <c r="A1416" s="9"/>
      <c r="B1416" s="286" t="s">
        <v>225</v>
      </c>
      <c r="C1416" s="320"/>
      <c r="D1416" s="327">
        <v>603881.91752065218</v>
      </c>
      <c r="E1416" s="327">
        <v>382190.07828550937</v>
      </c>
      <c r="F1416" s="327">
        <v>262959.47260735719</v>
      </c>
      <c r="G1416" s="327">
        <v>209048.87557347424</v>
      </c>
      <c r="H1416" s="327">
        <v>175207.12231420109</v>
      </c>
      <c r="I1416" s="327">
        <v>74428.989005866446</v>
      </c>
      <c r="J1416" s="327">
        <v>91522.564782557311</v>
      </c>
      <c r="K1416" s="327">
        <v>177772.34629463599</v>
      </c>
      <c r="L1416" s="327">
        <v>186059.25785031542</v>
      </c>
      <c r="M1416" s="327">
        <v>224172.41580150297</v>
      </c>
      <c r="N1416" s="327">
        <v>102659.61585154354</v>
      </c>
      <c r="O1416" s="327">
        <v>143642.13980751601</v>
      </c>
      <c r="P1416" s="327">
        <v>154690.47621002511</v>
      </c>
      <c r="Q1416" s="327">
        <v>233219.65890894004</v>
      </c>
      <c r="R1416" s="327">
        <v>167148.64551136876</v>
      </c>
      <c r="S1416" s="327">
        <v>83347.405654726259</v>
      </c>
      <c r="T1416" s="327">
        <v>134517.05432384851</v>
      </c>
      <c r="U1416" s="327">
        <v>155725.70852996787</v>
      </c>
      <c r="V1416" s="327">
        <v>71102.781156194629</v>
      </c>
      <c r="W1416" s="9"/>
    </row>
    <row r="1417" spans="1:23" x14ac:dyDescent="0.2">
      <c r="A1417" s="9"/>
      <c r="B1417" s="328" t="s">
        <v>226</v>
      </c>
      <c r="C1417" s="329"/>
      <c r="D1417" s="327">
        <v>168361.33607054193</v>
      </c>
      <c r="E1417" s="327">
        <v>154519.9530873629</v>
      </c>
      <c r="F1417" s="327">
        <v>134821.65461738346</v>
      </c>
      <c r="G1417" s="327">
        <v>114854.12729364686</v>
      </c>
      <c r="H1417" s="327">
        <v>106751.61665344334</v>
      </c>
      <c r="I1417" s="327">
        <v>106607.35732462924</v>
      </c>
      <c r="J1417" s="327">
        <v>113701.42884545858</v>
      </c>
      <c r="K1417" s="327">
        <v>120305.21250662924</v>
      </c>
      <c r="L1417" s="327">
        <v>126853.22212775858</v>
      </c>
      <c r="M1417" s="327">
        <v>132968.18877944423</v>
      </c>
      <c r="N1417" s="327">
        <v>130162.78963530177</v>
      </c>
      <c r="O1417" s="327">
        <v>126942.41828731765</v>
      </c>
      <c r="P1417" s="327">
        <v>133014.81386177582</v>
      </c>
      <c r="Q1417" s="327">
        <v>100287.45837453086</v>
      </c>
      <c r="R1417" s="327">
        <v>67875.226880618153</v>
      </c>
      <c r="S1417" s="327">
        <v>74367.319107038682</v>
      </c>
      <c r="T1417" s="327">
        <v>81054.174100251868</v>
      </c>
      <c r="U1417" s="327">
        <v>87941.634743261413</v>
      </c>
      <c r="V1417" s="327">
        <v>95035.719205561269</v>
      </c>
      <c r="W1417" s="9"/>
    </row>
    <row r="1418" spans="1:23" ht="13.5" thickBot="1" x14ac:dyDescent="0.25">
      <c r="A1418" s="9"/>
      <c r="B1418" s="330" t="s">
        <v>227</v>
      </c>
      <c r="C1418" s="331"/>
      <c r="D1418" s="332">
        <v>1678066.1298721724</v>
      </c>
      <c r="E1418" s="332">
        <v>1109995.1488011363</v>
      </c>
      <c r="F1418" s="332">
        <v>792220.33613577648</v>
      </c>
      <c r="G1418" s="332">
        <v>637476.31622733246</v>
      </c>
      <c r="H1418" s="332">
        <v>544769.42243894597</v>
      </c>
      <c r="I1418" s="332">
        <v>292679.82983929536</v>
      </c>
      <c r="J1418" s="332">
        <v>342507.84080185182</v>
      </c>
      <c r="K1418" s="332">
        <v>564736.07824321929</v>
      </c>
      <c r="L1418" s="332">
        <v>592001.3667535471</v>
      </c>
      <c r="M1418" s="332">
        <v>693399.22828320158</v>
      </c>
      <c r="N1418" s="332">
        <v>386811.82926416059</v>
      </c>
      <c r="O1418" s="332">
        <v>486047.76780610764</v>
      </c>
      <c r="P1418" s="332">
        <v>519741.00438683853</v>
      </c>
      <c r="Q1418" s="332">
        <v>683336.60564688093</v>
      </c>
      <c r="R1418" s="332">
        <v>485746.84065903997</v>
      </c>
      <c r="S1418" s="332">
        <v>282735.83324385429</v>
      </c>
      <c r="T1418" s="332">
        <v>417346.80990987312</v>
      </c>
      <c r="U1418" s="332">
        <v>477255.90606818104</v>
      </c>
      <c r="V1418" s="332">
        <v>272792.67209604784</v>
      </c>
      <c r="W1418" s="9"/>
    </row>
    <row r="1419" spans="1:23" ht="13.5" thickTop="1" x14ac:dyDescent="0.2">
      <c r="A1419" s="324" t="s">
        <v>228</v>
      </c>
      <c r="B1419" s="286" t="s">
        <v>229</v>
      </c>
      <c r="C1419" s="320"/>
      <c r="D1419" s="327">
        <v>-215397.14787204363</v>
      </c>
      <c r="E1419" s="327">
        <v>-215444.34487204364</v>
      </c>
      <c r="F1419" s="327">
        <v>-215493.44787204362</v>
      </c>
      <c r="G1419" s="327">
        <v>-202117.81096455472</v>
      </c>
      <c r="H1419" s="327">
        <v>-14460.214048255075</v>
      </c>
      <c r="I1419" s="327">
        <v>-19610.214048255075</v>
      </c>
      <c r="J1419" s="327">
        <v>-24914.714048255075</v>
      </c>
      <c r="K1419" s="327">
        <v>-30378.349048255077</v>
      </c>
      <c r="L1419" s="327">
        <v>-36005.893098255081</v>
      </c>
      <c r="M1419" s="327">
        <v>-41802.263469755075</v>
      </c>
      <c r="N1419" s="327">
        <v>-47772.524952400076</v>
      </c>
      <c r="O1419" s="327">
        <v>-53921.894279524429</v>
      </c>
      <c r="P1419" s="327">
        <v>-60255.744686462509</v>
      </c>
      <c r="Q1419" s="327">
        <v>-66779.61060560873</v>
      </c>
      <c r="R1419" s="327">
        <v>-73499.192502329344</v>
      </c>
      <c r="S1419" s="327">
        <v>-80420.361855951574</v>
      </c>
      <c r="T1419" s="327">
        <v>-87549.166290182475</v>
      </c>
      <c r="U1419" s="327">
        <v>-94891.834857440292</v>
      </c>
      <c r="V1419" s="327">
        <v>-102454.78348171584</v>
      </c>
      <c r="W1419" s="9"/>
    </row>
    <row r="1420" spans="1:23" x14ac:dyDescent="0.2">
      <c r="A1420" s="9"/>
      <c r="B1420" s="286" t="s">
        <v>230</v>
      </c>
      <c r="C1420" s="320"/>
      <c r="D1420" s="327">
        <v>0</v>
      </c>
      <c r="E1420" s="327">
        <v>0</v>
      </c>
      <c r="F1420" s="327">
        <v>0</v>
      </c>
      <c r="G1420" s="327">
        <v>0</v>
      </c>
      <c r="H1420" s="327">
        <v>0</v>
      </c>
      <c r="I1420" s="327">
        <v>0</v>
      </c>
      <c r="J1420" s="327">
        <v>0</v>
      </c>
      <c r="K1420" s="327">
        <v>0</v>
      </c>
      <c r="L1420" s="327">
        <v>0</v>
      </c>
      <c r="M1420" s="327">
        <v>0</v>
      </c>
      <c r="N1420" s="327">
        <v>0</v>
      </c>
      <c r="O1420" s="327">
        <v>0</v>
      </c>
      <c r="P1420" s="327">
        <v>0</v>
      </c>
      <c r="Q1420" s="327">
        <v>0</v>
      </c>
      <c r="R1420" s="327">
        <v>0</v>
      </c>
      <c r="S1420" s="327">
        <v>0</v>
      </c>
      <c r="T1420" s="327">
        <v>0</v>
      </c>
      <c r="U1420" s="327">
        <v>0</v>
      </c>
      <c r="V1420" s="327">
        <v>0</v>
      </c>
      <c r="W1420" s="9"/>
    </row>
    <row r="1421" spans="1:23" x14ac:dyDescent="0.2">
      <c r="A1421" s="9"/>
      <c r="B1421" s="323" t="s">
        <v>231</v>
      </c>
      <c r="C1421" s="325"/>
      <c r="D1421" s="326">
        <v>1462668.9820001288</v>
      </c>
      <c r="E1421" s="326">
        <v>894550.8039290926</v>
      </c>
      <c r="F1421" s="326">
        <v>576726.88826373289</v>
      </c>
      <c r="G1421" s="326">
        <v>435358.50526277773</v>
      </c>
      <c r="H1421" s="326">
        <v>530309.20839069085</v>
      </c>
      <c r="I1421" s="326">
        <v>273069.6157910403</v>
      </c>
      <c r="J1421" s="326">
        <v>317593.12675359676</v>
      </c>
      <c r="K1421" s="326">
        <v>534357.72919496417</v>
      </c>
      <c r="L1421" s="326">
        <v>555995.47365529207</v>
      </c>
      <c r="M1421" s="326">
        <v>651596.96481344651</v>
      </c>
      <c r="N1421" s="326">
        <v>339039.30431176053</v>
      </c>
      <c r="O1421" s="326">
        <v>432125.87352658319</v>
      </c>
      <c r="P1421" s="326">
        <v>459485.25970037602</v>
      </c>
      <c r="Q1421" s="326">
        <v>616556.99504127214</v>
      </c>
      <c r="R1421" s="326">
        <v>412247.64815671061</v>
      </c>
      <c r="S1421" s="326">
        <v>202315.47138790271</v>
      </c>
      <c r="T1421" s="326">
        <v>329797.64361969067</v>
      </c>
      <c r="U1421" s="326">
        <v>382364.07121074072</v>
      </c>
      <c r="V1421" s="326">
        <v>170337.88861433201</v>
      </c>
      <c r="W1421" s="9"/>
    </row>
    <row r="1422" spans="1:23" ht="13.5" thickBot="1" x14ac:dyDescent="0.25">
      <c r="A1422" s="9"/>
      <c r="B1422" s="333" t="s">
        <v>237</v>
      </c>
      <c r="C1422" s="334"/>
      <c r="D1422" s="335">
        <v>-585067.59280005156</v>
      </c>
      <c r="E1422" s="335">
        <v>-357820.32157163706</v>
      </c>
      <c r="F1422" s="335">
        <v>-230690.75530549316</v>
      </c>
      <c r="G1422" s="335">
        <v>-174143.4021051111</v>
      </c>
      <c r="H1422" s="335">
        <v>-212123.68335627636</v>
      </c>
      <c r="I1422" s="335">
        <v>-109227.84631641612</v>
      </c>
      <c r="J1422" s="335">
        <v>-127037.25070143871</v>
      </c>
      <c r="K1422" s="335">
        <v>-213743.09167798568</v>
      </c>
      <c r="L1422" s="335">
        <v>-222398.18946211683</v>
      </c>
      <c r="M1422" s="335">
        <v>-260638.78592537862</v>
      </c>
      <c r="N1422" s="335">
        <v>-135615.72172470423</v>
      </c>
      <c r="O1422" s="335">
        <v>-172850.34941063329</v>
      </c>
      <c r="P1422" s="335">
        <v>-183794.10388015042</v>
      </c>
      <c r="Q1422" s="335">
        <v>-246622.79801650887</v>
      </c>
      <c r="R1422" s="335">
        <v>-164899.05926268426</v>
      </c>
      <c r="S1422" s="335">
        <v>-80926.18855516109</v>
      </c>
      <c r="T1422" s="335">
        <v>-131919.05744787629</v>
      </c>
      <c r="U1422" s="335">
        <v>-152945.62848429629</v>
      </c>
      <c r="V1422" s="335">
        <v>-68135.155445732802</v>
      </c>
      <c r="W1422" s="9"/>
    </row>
    <row r="1423" spans="1:23" ht="13.5" thickTop="1" x14ac:dyDescent="0.2">
      <c r="A1423" s="9"/>
      <c r="B1423" s="323" t="s">
        <v>232</v>
      </c>
      <c r="C1423" s="325"/>
      <c r="D1423" s="326">
        <v>877601.38920007728</v>
      </c>
      <c r="E1423" s="326">
        <v>536730.48235745553</v>
      </c>
      <c r="F1423" s="326">
        <v>346036.13295823976</v>
      </c>
      <c r="G1423" s="326">
        <v>261215.10315766663</v>
      </c>
      <c r="H1423" s="326">
        <v>318185.52503441449</v>
      </c>
      <c r="I1423" s="326">
        <v>163841.76947462419</v>
      </c>
      <c r="J1423" s="326">
        <v>190555.87605215807</v>
      </c>
      <c r="K1423" s="326">
        <v>320614.63751697849</v>
      </c>
      <c r="L1423" s="326">
        <v>333597.28419317526</v>
      </c>
      <c r="M1423" s="326">
        <v>390958.17888806789</v>
      </c>
      <c r="N1423" s="326">
        <v>203423.5825870563</v>
      </c>
      <c r="O1423" s="326">
        <v>259275.5241159499</v>
      </c>
      <c r="P1423" s="326">
        <v>275691.1558202256</v>
      </c>
      <c r="Q1423" s="326">
        <v>369934.19702476327</v>
      </c>
      <c r="R1423" s="326">
        <v>247348.58889402635</v>
      </c>
      <c r="S1423" s="326">
        <v>121389.28283274162</v>
      </c>
      <c r="T1423" s="326">
        <v>197878.58617181439</v>
      </c>
      <c r="U1423" s="326">
        <v>229418.44272644442</v>
      </c>
      <c r="V1423" s="326">
        <v>102202.73316859921</v>
      </c>
      <c r="W1423" s="9"/>
    </row>
    <row r="1424" spans="1:23" x14ac:dyDescent="0.2">
      <c r="A1424" s="9"/>
      <c r="B1424" s="9"/>
      <c r="C1424" s="320"/>
      <c r="D1424" s="9"/>
      <c r="E1424" s="321"/>
      <c r="F1424" s="313"/>
      <c r="G1424" s="322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</row>
    <row r="1425" spans="1:23" ht="15.75" x14ac:dyDescent="0.25">
      <c r="A1425" s="336" t="s">
        <v>205</v>
      </c>
      <c r="B1425" s="337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</row>
    <row r="1426" spans="1:23" x14ac:dyDescent="0.2">
      <c r="A1426" s="284" t="s">
        <v>190</v>
      </c>
      <c r="B1426" s="303"/>
      <c r="C1426" s="338">
        <v>0</v>
      </c>
      <c r="D1426" s="277"/>
      <c r="E1426" s="277"/>
      <c r="F1426" s="277"/>
      <c r="G1426" s="277"/>
      <c r="H1426" s="277"/>
      <c r="I1426" s="277"/>
      <c r="J1426" s="277"/>
      <c r="K1426" s="277"/>
      <c r="L1426" s="277"/>
      <c r="M1426" s="277"/>
      <c r="N1426" s="277"/>
      <c r="O1426" s="277"/>
      <c r="P1426" s="277"/>
      <c r="Q1426" s="277"/>
      <c r="R1426" s="277"/>
      <c r="S1426" s="277"/>
      <c r="T1426" s="277"/>
      <c r="U1426" s="277"/>
      <c r="V1426" s="277"/>
      <c r="W1426" s="277"/>
    </row>
    <row r="1427" spans="1:23" x14ac:dyDescent="0.2">
      <c r="A1427" s="284" t="s">
        <v>191</v>
      </c>
      <c r="B1427" s="303"/>
      <c r="C1427" s="339">
        <v>0</v>
      </c>
      <c r="D1427" s="277"/>
      <c r="E1427" s="277"/>
      <c r="F1427" s="277"/>
      <c r="G1427" s="277"/>
      <c r="H1427" s="277"/>
      <c r="I1427" s="277"/>
      <c r="J1427" s="277"/>
      <c r="K1427" s="277"/>
      <c r="L1427" s="277"/>
      <c r="M1427" s="277"/>
      <c r="N1427" s="277"/>
      <c r="O1427" s="277"/>
      <c r="P1427" s="277"/>
      <c r="Q1427" s="277"/>
      <c r="R1427" s="277"/>
      <c r="S1427" s="277"/>
      <c r="T1427" s="277"/>
      <c r="U1427" s="277"/>
      <c r="V1427" s="277"/>
      <c r="W1427" s="277"/>
    </row>
    <row r="1428" spans="1:23" x14ac:dyDescent="0.2">
      <c r="A1428" s="284" t="s">
        <v>201</v>
      </c>
      <c r="B1428" s="303"/>
      <c r="C1428" s="284">
        <v>15</v>
      </c>
      <c r="D1428" s="277"/>
      <c r="E1428" s="277"/>
      <c r="F1428" s="277"/>
      <c r="G1428" s="277"/>
      <c r="H1428" s="277"/>
      <c r="I1428" s="277"/>
      <c r="J1428" s="277"/>
      <c r="K1428" s="277"/>
      <c r="L1428" s="277"/>
      <c r="M1428" s="277"/>
      <c r="N1428" s="277"/>
      <c r="O1428" s="277"/>
      <c r="P1428" s="277"/>
      <c r="Q1428" s="277"/>
      <c r="R1428" s="277"/>
      <c r="S1428" s="277"/>
      <c r="T1428" s="277"/>
      <c r="U1428" s="277"/>
      <c r="V1428" s="277"/>
      <c r="W1428" s="277"/>
    </row>
    <row r="1429" spans="1:23" x14ac:dyDescent="0.2">
      <c r="A1429" s="284" t="s">
        <v>192</v>
      </c>
      <c r="B1429" s="303"/>
      <c r="C1429" s="339">
        <v>0</v>
      </c>
      <c r="D1429" s="277"/>
      <c r="E1429" s="277"/>
      <c r="F1429" s="277"/>
      <c r="G1429" s="277"/>
      <c r="H1429" s="277"/>
      <c r="I1429" s="277"/>
      <c r="J1429" s="277"/>
      <c r="K1429" s="277"/>
      <c r="L1429" s="277"/>
      <c r="M1429" s="277"/>
      <c r="N1429" s="277"/>
      <c r="O1429" s="277"/>
      <c r="P1429" s="277"/>
      <c r="Q1429" s="277"/>
      <c r="R1429" s="277"/>
      <c r="S1429" s="277"/>
      <c r="T1429" s="277"/>
      <c r="U1429" s="277"/>
      <c r="V1429" s="277"/>
      <c r="W1429" s="277"/>
    </row>
    <row r="1430" spans="1:23" x14ac:dyDescent="0.2">
      <c r="A1430" s="284" t="s">
        <v>193</v>
      </c>
      <c r="B1430" s="303"/>
      <c r="C1430" s="340">
        <v>8.7499999999999994E-2</v>
      </c>
      <c r="D1430" s="277"/>
      <c r="E1430" s="277"/>
      <c r="F1430" s="277"/>
      <c r="G1430" s="277"/>
      <c r="H1430" s="277"/>
      <c r="I1430" s="277"/>
      <c r="J1430" s="277"/>
      <c r="K1430" s="277"/>
      <c r="L1430" s="277"/>
      <c r="M1430" s="277"/>
      <c r="N1430" s="277"/>
      <c r="O1430" s="277"/>
      <c r="P1430" s="277"/>
      <c r="Q1430" s="277"/>
      <c r="R1430" s="277"/>
      <c r="S1430" s="277"/>
      <c r="T1430" s="277"/>
      <c r="U1430" s="277"/>
      <c r="V1430" s="277"/>
      <c r="W1430" s="277"/>
    </row>
    <row r="1431" spans="1:23" x14ac:dyDescent="0.2">
      <c r="A1431" s="284"/>
      <c r="B1431" s="303"/>
      <c r="C1431" s="277"/>
      <c r="D1431" s="306">
        <v>2001</v>
      </c>
      <c r="E1431" s="306">
        <v>2002</v>
      </c>
      <c r="F1431" s="306">
        <v>2003</v>
      </c>
      <c r="G1431" s="306">
        <v>2004</v>
      </c>
      <c r="H1431" s="306">
        <v>2005</v>
      </c>
      <c r="I1431" s="306">
        <v>2006</v>
      </c>
      <c r="J1431" s="306">
        <v>2007</v>
      </c>
      <c r="K1431" s="306">
        <v>2008</v>
      </c>
      <c r="L1431" s="306">
        <v>2009</v>
      </c>
      <c r="M1431" s="306">
        <v>2010</v>
      </c>
      <c r="N1431" s="306">
        <v>2011</v>
      </c>
      <c r="O1431" s="306">
        <v>2012</v>
      </c>
      <c r="P1431" s="306">
        <v>2013</v>
      </c>
      <c r="Q1431" s="306">
        <v>2014</v>
      </c>
      <c r="R1431" s="306">
        <v>2015</v>
      </c>
      <c r="S1431" s="306">
        <v>2016</v>
      </c>
      <c r="T1431" s="306">
        <v>2017</v>
      </c>
      <c r="U1431" s="306">
        <v>2018</v>
      </c>
      <c r="V1431" s="306">
        <v>2019</v>
      </c>
      <c r="W1431" s="306" t="s">
        <v>154</v>
      </c>
    </row>
    <row r="1432" spans="1:23" x14ac:dyDescent="0.2">
      <c r="A1432" s="284" t="s">
        <v>194</v>
      </c>
      <c r="B1432" s="303"/>
      <c r="C1432" s="277"/>
      <c r="D1432" s="341">
        <v>0</v>
      </c>
      <c r="E1432" s="341">
        <v>0</v>
      </c>
      <c r="F1432" s="341">
        <v>0</v>
      </c>
      <c r="G1432" s="341">
        <v>0</v>
      </c>
      <c r="H1432" s="341">
        <v>0</v>
      </c>
      <c r="I1432" s="341">
        <v>0</v>
      </c>
      <c r="J1432" s="341">
        <v>0</v>
      </c>
      <c r="K1432" s="341">
        <v>0</v>
      </c>
      <c r="L1432" s="341">
        <v>0</v>
      </c>
      <c r="M1432" s="341">
        <v>0</v>
      </c>
      <c r="N1432" s="341">
        <v>0</v>
      </c>
      <c r="O1432" s="341">
        <v>0</v>
      </c>
      <c r="P1432" s="341">
        <v>0</v>
      </c>
      <c r="Q1432" s="341">
        <v>0</v>
      </c>
      <c r="R1432" s="341">
        <v>0</v>
      </c>
      <c r="S1432" s="341">
        <v>0</v>
      </c>
      <c r="T1432" s="341">
        <v>0</v>
      </c>
      <c r="U1432" s="341">
        <v>0</v>
      </c>
      <c r="V1432" s="341">
        <v>0</v>
      </c>
      <c r="W1432" s="341">
        <v>0</v>
      </c>
    </row>
    <row r="1433" spans="1:23" x14ac:dyDescent="0.2">
      <c r="A1433" s="284" t="s">
        <v>195</v>
      </c>
      <c r="B1433" s="303"/>
      <c r="C1433" s="277"/>
      <c r="D1433" s="341">
        <v>0</v>
      </c>
      <c r="E1433" s="341">
        <v>0</v>
      </c>
      <c r="F1433" s="341">
        <v>0</v>
      </c>
      <c r="G1433" s="341">
        <v>0</v>
      </c>
      <c r="H1433" s="341">
        <v>0</v>
      </c>
      <c r="I1433" s="341">
        <v>0</v>
      </c>
      <c r="J1433" s="341">
        <v>0</v>
      </c>
      <c r="K1433" s="341">
        <v>0</v>
      </c>
      <c r="L1433" s="341">
        <v>0</v>
      </c>
      <c r="M1433" s="341">
        <v>0</v>
      </c>
      <c r="N1433" s="341">
        <v>0</v>
      </c>
      <c r="O1433" s="341">
        <v>0</v>
      </c>
      <c r="P1433" s="341">
        <v>0</v>
      </c>
      <c r="Q1433" s="341">
        <v>0</v>
      </c>
      <c r="R1433" s="341">
        <v>0</v>
      </c>
      <c r="S1433" s="341">
        <v>0</v>
      </c>
      <c r="T1433" s="341">
        <v>0</v>
      </c>
      <c r="U1433" s="341">
        <v>0</v>
      </c>
      <c r="V1433" s="341">
        <v>0</v>
      </c>
      <c r="W1433" s="341">
        <v>0</v>
      </c>
    </row>
    <row r="1434" spans="1:23" x14ac:dyDescent="0.2">
      <c r="A1434" s="284" t="s">
        <v>196</v>
      </c>
      <c r="B1434" s="303"/>
      <c r="C1434" s="277"/>
      <c r="D1434" s="341">
        <v>0</v>
      </c>
      <c r="E1434" s="341">
        <v>0</v>
      </c>
      <c r="F1434" s="341">
        <v>0</v>
      </c>
      <c r="G1434" s="341">
        <v>0</v>
      </c>
      <c r="H1434" s="341">
        <v>0</v>
      </c>
      <c r="I1434" s="341">
        <v>0</v>
      </c>
      <c r="J1434" s="341">
        <v>0</v>
      </c>
      <c r="K1434" s="341">
        <v>0</v>
      </c>
      <c r="L1434" s="341">
        <v>0</v>
      </c>
      <c r="M1434" s="341">
        <v>0</v>
      </c>
      <c r="N1434" s="341">
        <v>0</v>
      </c>
      <c r="O1434" s="341">
        <v>0</v>
      </c>
      <c r="P1434" s="341">
        <v>0</v>
      </c>
      <c r="Q1434" s="341">
        <v>0</v>
      </c>
      <c r="R1434" s="341">
        <v>0</v>
      </c>
      <c r="S1434" s="341">
        <v>0</v>
      </c>
      <c r="T1434" s="341">
        <v>0</v>
      </c>
      <c r="U1434" s="341">
        <v>0</v>
      </c>
      <c r="V1434" s="341">
        <v>0</v>
      </c>
      <c r="W1434" s="341">
        <v>0</v>
      </c>
    </row>
    <row r="1435" spans="1:23" x14ac:dyDescent="0.2">
      <c r="A1435" s="284" t="s">
        <v>197</v>
      </c>
      <c r="B1435" s="303"/>
      <c r="C1435" s="277"/>
      <c r="D1435" s="342">
        <v>0</v>
      </c>
      <c r="E1435" s="342">
        <v>0</v>
      </c>
      <c r="F1435" s="342">
        <v>0</v>
      </c>
      <c r="G1435" s="342">
        <v>0</v>
      </c>
      <c r="H1435" s="342">
        <v>0</v>
      </c>
      <c r="I1435" s="342">
        <v>0</v>
      </c>
      <c r="J1435" s="342">
        <v>0</v>
      </c>
      <c r="K1435" s="342">
        <v>0</v>
      </c>
      <c r="L1435" s="342">
        <v>0</v>
      </c>
      <c r="M1435" s="342">
        <v>0</v>
      </c>
      <c r="N1435" s="342">
        <v>0</v>
      </c>
      <c r="O1435" s="342">
        <v>0</v>
      </c>
      <c r="P1435" s="342">
        <v>0</v>
      </c>
      <c r="Q1435" s="342">
        <v>0</v>
      </c>
      <c r="R1435" s="342">
        <v>0</v>
      </c>
      <c r="S1435" s="342">
        <v>0</v>
      </c>
      <c r="T1435" s="342">
        <v>0</v>
      </c>
      <c r="U1435" s="342">
        <v>0</v>
      </c>
      <c r="V1435" s="342">
        <v>0</v>
      </c>
      <c r="W1435" s="342">
        <v>0</v>
      </c>
    </row>
    <row r="1436" spans="1:23" ht="13.5" thickBot="1" x14ac:dyDescent="0.25">
      <c r="A1436" s="284" t="s">
        <v>198</v>
      </c>
      <c r="B1436" s="303"/>
      <c r="C1436" s="277"/>
      <c r="D1436" s="343">
        <v>0</v>
      </c>
      <c r="E1436" s="343">
        <v>0</v>
      </c>
      <c r="F1436" s="343">
        <v>0</v>
      </c>
      <c r="G1436" s="343">
        <v>0</v>
      </c>
      <c r="H1436" s="343">
        <v>0</v>
      </c>
      <c r="I1436" s="343">
        <v>0</v>
      </c>
      <c r="J1436" s="343">
        <v>0</v>
      </c>
      <c r="K1436" s="343">
        <v>0</v>
      </c>
      <c r="L1436" s="343">
        <v>0</v>
      </c>
      <c r="M1436" s="343">
        <v>0</v>
      </c>
      <c r="N1436" s="343">
        <v>0</v>
      </c>
      <c r="O1436" s="343">
        <v>0</v>
      </c>
      <c r="P1436" s="343">
        <v>0</v>
      </c>
      <c r="Q1436" s="343">
        <v>0</v>
      </c>
      <c r="R1436" s="343">
        <v>0</v>
      </c>
      <c r="S1436" s="343">
        <v>0</v>
      </c>
      <c r="T1436" s="343">
        <v>0</v>
      </c>
      <c r="U1436" s="343">
        <v>0</v>
      </c>
      <c r="V1436" s="343">
        <v>0</v>
      </c>
      <c r="W1436" s="343">
        <v>0</v>
      </c>
    </row>
    <row r="1437" spans="1:23" ht="13.5" thickTop="1" x14ac:dyDescent="0.2">
      <c r="A1437" s="284"/>
      <c r="B1437" s="303"/>
      <c r="C1437" s="277"/>
      <c r="D1437" s="341"/>
      <c r="E1437" s="341"/>
      <c r="F1437" s="341"/>
      <c r="G1437" s="341"/>
      <c r="H1437" s="341"/>
      <c r="I1437" s="341"/>
      <c r="J1437" s="341"/>
      <c r="K1437" s="341"/>
      <c r="L1437" s="341"/>
      <c r="M1437" s="341"/>
      <c r="N1437" s="341"/>
      <c r="O1437" s="341"/>
      <c r="P1437" s="341"/>
      <c r="Q1437" s="341"/>
      <c r="R1437" s="341"/>
      <c r="S1437" s="341"/>
      <c r="T1437" s="341"/>
      <c r="U1437" s="341"/>
      <c r="V1437" s="341"/>
      <c r="W1437" s="341"/>
    </row>
    <row r="1438" spans="1:23" x14ac:dyDescent="0.2">
      <c r="A1438" s="284" t="s">
        <v>199</v>
      </c>
      <c r="B1438" s="303"/>
      <c r="C1438" s="277"/>
      <c r="D1438" s="341">
        <v>0</v>
      </c>
      <c r="E1438" s="341">
        <v>0</v>
      </c>
      <c r="F1438" s="341">
        <v>0</v>
      </c>
      <c r="G1438" s="341">
        <v>0</v>
      </c>
      <c r="H1438" s="341">
        <v>0</v>
      </c>
      <c r="I1438" s="341">
        <v>0</v>
      </c>
      <c r="J1438" s="341">
        <v>0</v>
      </c>
      <c r="K1438" s="341">
        <v>0</v>
      </c>
      <c r="L1438" s="341">
        <v>0</v>
      </c>
      <c r="M1438" s="341">
        <v>0</v>
      </c>
      <c r="N1438" s="341">
        <v>0</v>
      </c>
      <c r="O1438" s="341">
        <v>0</v>
      </c>
      <c r="P1438" s="341">
        <v>0</v>
      </c>
      <c r="Q1438" s="341">
        <v>0</v>
      </c>
      <c r="R1438" s="341">
        <v>0</v>
      </c>
      <c r="S1438" s="341">
        <v>0</v>
      </c>
      <c r="T1438" s="341">
        <v>0</v>
      </c>
      <c r="U1438" s="341">
        <v>0</v>
      </c>
      <c r="V1438" s="341">
        <v>0</v>
      </c>
      <c r="W1438" s="341">
        <v>0</v>
      </c>
    </row>
    <row r="1439" spans="1:23" x14ac:dyDescent="0.2">
      <c r="A1439" s="284"/>
      <c r="B1439" s="303"/>
      <c r="C1439" s="277"/>
      <c r="D1439" s="277"/>
      <c r="E1439" s="277"/>
      <c r="F1439" s="277"/>
      <c r="G1439" s="277"/>
      <c r="H1439" s="277"/>
      <c r="I1439" s="277"/>
      <c r="J1439" s="277"/>
      <c r="K1439" s="277"/>
      <c r="L1439" s="277"/>
      <c r="M1439" s="277"/>
      <c r="N1439" s="277"/>
      <c r="O1439" s="277"/>
      <c r="P1439" s="277"/>
      <c r="Q1439" s="277"/>
      <c r="R1439" s="277"/>
      <c r="S1439" s="277"/>
      <c r="T1439" s="277"/>
      <c r="U1439" s="277"/>
      <c r="V1439" s="277"/>
      <c r="W1439" s="277"/>
    </row>
    <row r="1440" spans="1:23" x14ac:dyDescent="0.2">
      <c r="A1440" s="284" t="s">
        <v>200</v>
      </c>
      <c r="B1440" s="303"/>
      <c r="C1440" s="277"/>
      <c r="D1440" s="341">
        <v>0</v>
      </c>
      <c r="E1440" s="341">
        <v>0</v>
      </c>
      <c r="F1440" s="341">
        <v>0</v>
      </c>
      <c r="G1440" s="341">
        <v>0</v>
      </c>
      <c r="H1440" s="341">
        <v>0</v>
      </c>
      <c r="I1440" s="341">
        <v>0</v>
      </c>
      <c r="J1440" s="341">
        <v>0</v>
      </c>
      <c r="K1440" s="341">
        <v>0</v>
      </c>
      <c r="L1440" s="341">
        <v>0</v>
      </c>
      <c r="M1440" s="341">
        <v>0</v>
      </c>
      <c r="N1440" s="341">
        <v>0</v>
      </c>
      <c r="O1440" s="341">
        <v>0</v>
      </c>
      <c r="P1440" s="341">
        <v>0</v>
      </c>
      <c r="Q1440" s="341">
        <v>0</v>
      </c>
      <c r="R1440" s="341">
        <v>0</v>
      </c>
      <c r="S1440" s="341">
        <v>0</v>
      </c>
      <c r="T1440" s="341">
        <v>0</v>
      </c>
      <c r="U1440" s="341">
        <v>0</v>
      </c>
      <c r="V1440" s="341">
        <v>0</v>
      </c>
      <c r="W1440" s="341">
        <v>0</v>
      </c>
    </row>
    <row r="1441" spans="1:23" x14ac:dyDescent="0.2">
      <c r="A1441" s="277"/>
      <c r="B1441" s="303"/>
      <c r="C1441" s="277"/>
      <c r="D1441" s="277"/>
      <c r="E1441" s="277"/>
      <c r="F1441" s="277"/>
      <c r="G1441" s="277"/>
      <c r="H1441" s="277"/>
      <c r="I1441" s="277"/>
      <c r="J1441" s="277"/>
      <c r="K1441" s="277"/>
      <c r="L1441" s="277"/>
      <c r="M1441" s="277"/>
      <c r="N1441" s="277"/>
      <c r="O1441" s="277"/>
      <c r="P1441" s="277"/>
      <c r="Q1441" s="277"/>
      <c r="R1441" s="277"/>
      <c r="S1441" s="277"/>
      <c r="T1441" s="277"/>
      <c r="U1441" s="277"/>
      <c r="V1441" s="277"/>
      <c r="W1441" s="277"/>
    </row>
    <row r="1442" spans="1:23" x14ac:dyDescent="0.2">
      <c r="A1442" s="277"/>
      <c r="B1442" s="303"/>
      <c r="C1442" s="277"/>
      <c r="D1442" s="277"/>
      <c r="E1442" s="277"/>
      <c r="F1442" s="277"/>
      <c r="G1442" s="277"/>
      <c r="H1442" s="277"/>
      <c r="I1442" s="277"/>
      <c r="J1442" s="277"/>
      <c r="K1442" s="277"/>
      <c r="L1442" s="277"/>
      <c r="M1442" s="277"/>
      <c r="N1442" s="277"/>
      <c r="O1442" s="277"/>
      <c r="P1442" s="277"/>
      <c r="Q1442" s="277"/>
      <c r="R1442" s="277"/>
      <c r="S1442" s="277"/>
      <c r="T1442" s="277"/>
      <c r="U1442" s="277"/>
      <c r="V1442" s="277"/>
      <c r="W1442" s="277"/>
    </row>
    <row r="1443" spans="1:23" x14ac:dyDescent="0.2">
      <c r="A1443" s="284" t="s">
        <v>202</v>
      </c>
      <c r="B1443" s="279"/>
      <c r="C1443" s="278"/>
      <c r="D1443" s="435">
        <v>1073276.87235152</v>
      </c>
      <c r="E1443" s="435">
        <v>726861.13051562698</v>
      </c>
      <c r="F1443" s="435">
        <v>528278.80352841923</v>
      </c>
      <c r="G1443" s="435">
        <v>427401.72065385821</v>
      </c>
      <c r="H1443" s="435">
        <v>269562.30012474488</v>
      </c>
      <c r="I1443" s="435">
        <v>115250.8408334289</v>
      </c>
      <c r="J1443" s="435">
        <v>144895.27601929451</v>
      </c>
      <c r="K1443" s="435">
        <v>277691.0319485832</v>
      </c>
      <c r="L1443" s="435">
        <v>293391.22790323169</v>
      </c>
      <c r="M1443" s="435">
        <v>353299.40505169856</v>
      </c>
      <c r="N1443" s="435">
        <v>164746.98375971708</v>
      </c>
      <c r="O1443" s="435">
        <v>219418.24145610462</v>
      </c>
      <c r="P1443" s="435">
        <v>238373.52003805182</v>
      </c>
      <c r="Q1443" s="435">
        <v>319639.62835501641</v>
      </c>
      <c r="R1443" s="435">
        <v>184206.55721325902</v>
      </c>
      <c r="S1443" s="435">
        <v>60965.040516683453</v>
      </c>
      <c r="T1443" s="435">
        <v>140253.66690140669</v>
      </c>
      <c r="U1443" s="435">
        <v>174676.82619305677</v>
      </c>
      <c r="V1443" s="435">
        <v>50430.918454342056</v>
      </c>
      <c r="W1443" s="435">
        <v>1171161.1190690314</v>
      </c>
    </row>
    <row r="1444" spans="1:23" x14ac:dyDescent="0.2">
      <c r="A1444" s="9"/>
      <c r="B1444" s="6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</row>
    <row r="1445" spans="1:23" x14ac:dyDescent="0.2">
      <c r="B1445" s="300"/>
      <c r="C1445" s="301"/>
      <c r="D1445" s="365"/>
      <c r="E1445" s="365"/>
      <c r="F1445" s="365"/>
      <c r="G1445" s="365"/>
      <c r="H1445" s="365"/>
      <c r="I1445" s="365"/>
      <c r="J1445" s="365"/>
      <c r="K1445" s="365"/>
      <c r="L1445" s="365"/>
      <c r="M1445" s="365"/>
      <c r="N1445" s="365"/>
      <c r="O1445" s="365"/>
      <c r="P1445" s="365"/>
      <c r="Q1445" s="365"/>
      <c r="R1445" s="365"/>
      <c r="S1445" s="365"/>
      <c r="T1445" s="365"/>
      <c r="U1445" s="365"/>
      <c r="V1445" s="365"/>
    </row>
    <row r="1446" spans="1:23" x14ac:dyDescent="0.2">
      <c r="C1446" s="354"/>
      <c r="E1446" s="363"/>
      <c r="F1446" s="313"/>
      <c r="G1446" s="322"/>
    </row>
    <row r="1447" spans="1:23" ht="15.75" x14ac:dyDescent="0.25">
      <c r="A1447" s="367"/>
      <c r="B1447" s="368"/>
    </row>
    <row r="1448" spans="1:23" x14ac:dyDescent="0.2">
      <c r="A1448" s="292"/>
      <c r="B1448" s="360"/>
      <c r="C1448" s="369"/>
      <c r="D1448" s="370"/>
      <c r="E1448" s="370"/>
      <c r="F1448" s="370"/>
      <c r="G1448" s="370"/>
      <c r="H1448" s="370"/>
      <c r="I1448" s="370"/>
      <c r="J1448" s="370"/>
      <c r="K1448" s="370"/>
      <c r="L1448" s="370"/>
      <c r="M1448" s="370"/>
      <c r="N1448" s="370"/>
      <c r="O1448" s="370"/>
      <c r="P1448" s="370"/>
      <c r="Q1448" s="370"/>
      <c r="R1448" s="370"/>
      <c r="S1448" s="370"/>
      <c r="T1448" s="370"/>
      <c r="U1448" s="370"/>
      <c r="V1448" s="370"/>
      <c r="W1448" s="370"/>
    </row>
    <row r="1449" spans="1:23" x14ac:dyDescent="0.2">
      <c r="A1449" s="292"/>
      <c r="B1449" s="360"/>
      <c r="C1449" s="371"/>
      <c r="D1449" s="370"/>
      <c r="E1449" s="370"/>
      <c r="F1449" s="370"/>
      <c r="G1449" s="370"/>
      <c r="H1449" s="370"/>
      <c r="I1449" s="370"/>
      <c r="J1449" s="370"/>
      <c r="K1449" s="370"/>
      <c r="L1449" s="370"/>
      <c r="M1449" s="370"/>
      <c r="N1449" s="370"/>
      <c r="O1449" s="370"/>
      <c r="P1449" s="370"/>
      <c r="Q1449" s="370"/>
      <c r="R1449" s="370"/>
      <c r="S1449" s="370"/>
      <c r="T1449" s="370"/>
      <c r="U1449" s="370"/>
      <c r="V1449" s="370"/>
      <c r="W1449" s="370"/>
    </row>
    <row r="1450" spans="1:23" x14ac:dyDescent="0.2">
      <c r="A1450" s="292"/>
      <c r="B1450" s="360"/>
      <c r="C1450" s="292"/>
      <c r="D1450" s="370"/>
      <c r="E1450" s="370"/>
      <c r="F1450" s="370"/>
      <c r="G1450" s="370"/>
      <c r="H1450" s="370"/>
      <c r="I1450" s="370"/>
      <c r="J1450" s="370"/>
      <c r="K1450" s="370"/>
      <c r="L1450" s="370"/>
      <c r="M1450" s="370"/>
      <c r="N1450" s="370"/>
      <c r="O1450" s="370"/>
      <c r="P1450" s="370"/>
      <c r="Q1450" s="370"/>
      <c r="R1450" s="370"/>
      <c r="S1450" s="370"/>
      <c r="T1450" s="370"/>
      <c r="U1450" s="370"/>
      <c r="V1450" s="370"/>
      <c r="W1450" s="370"/>
    </row>
    <row r="1451" spans="1:23" x14ac:dyDescent="0.2">
      <c r="A1451" s="292"/>
      <c r="B1451" s="360"/>
      <c r="C1451" s="371"/>
      <c r="D1451" s="370"/>
      <c r="E1451" s="370"/>
      <c r="F1451" s="370"/>
      <c r="G1451" s="370"/>
      <c r="H1451" s="370"/>
      <c r="I1451" s="370"/>
      <c r="J1451" s="370"/>
      <c r="K1451" s="370"/>
      <c r="L1451" s="370"/>
      <c r="M1451" s="370"/>
      <c r="N1451" s="370"/>
      <c r="O1451" s="370"/>
      <c r="P1451" s="370"/>
      <c r="Q1451" s="370"/>
      <c r="R1451" s="370"/>
      <c r="S1451" s="370"/>
      <c r="T1451" s="370"/>
      <c r="U1451" s="370"/>
      <c r="V1451" s="370"/>
      <c r="W1451" s="370"/>
    </row>
    <row r="1452" spans="1:23" ht="15.75" x14ac:dyDescent="0.25">
      <c r="A1452" s="302" t="s">
        <v>29</v>
      </c>
      <c r="B1452" s="305" t="s">
        <v>86</v>
      </c>
      <c r="C1452" s="306">
        <v>2000</v>
      </c>
      <c r="D1452" s="306">
        <v>2001</v>
      </c>
      <c r="E1452" s="306">
        <v>2002</v>
      </c>
      <c r="F1452" s="306">
        <v>2003</v>
      </c>
      <c r="G1452" s="306">
        <v>2004</v>
      </c>
      <c r="H1452" s="306">
        <v>2005</v>
      </c>
      <c r="I1452" s="306">
        <v>2006</v>
      </c>
      <c r="J1452" s="306">
        <v>2007</v>
      </c>
      <c r="K1452" s="306">
        <v>2008</v>
      </c>
      <c r="L1452" s="306">
        <v>2009</v>
      </c>
      <c r="M1452" s="306">
        <v>2010</v>
      </c>
      <c r="N1452" s="306">
        <v>2011</v>
      </c>
      <c r="O1452" s="306">
        <v>2012</v>
      </c>
      <c r="P1452" s="306">
        <v>2013</v>
      </c>
      <c r="Q1452" s="306">
        <v>2014</v>
      </c>
      <c r="R1452" s="306">
        <v>2015</v>
      </c>
      <c r="S1452" s="306">
        <v>2016</v>
      </c>
      <c r="T1452" s="306">
        <v>2017</v>
      </c>
      <c r="U1452" s="306">
        <v>2018</v>
      </c>
      <c r="V1452" s="306">
        <v>2019</v>
      </c>
      <c r="W1452" s="306" t="s">
        <v>154</v>
      </c>
    </row>
    <row r="1453" spans="1:23" x14ac:dyDescent="0.2">
      <c r="A1453" s="302" t="s">
        <v>26</v>
      </c>
      <c r="B1453" s="303">
        <v>56.8</v>
      </c>
      <c r="C1453" s="308"/>
      <c r="D1453" s="308"/>
      <c r="E1453" s="308"/>
      <c r="F1453" s="308"/>
      <c r="G1453" s="308"/>
      <c r="H1453" s="308"/>
      <c r="I1453" s="308"/>
      <c r="J1453" s="308"/>
      <c r="K1453" s="308"/>
      <c r="L1453" s="308"/>
      <c r="M1453" s="308"/>
      <c r="N1453" s="308"/>
      <c r="O1453" s="308"/>
      <c r="P1453" s="308"/>
      <c r="Q1453" s="308"/>
      <c r="R1453" s="308"/>
      <c r="S1453" s="308"/>
      <c r="T1453" s="308"/>
      <c r="U1453" s="308"/>
      <c r="V1453" s="308"/>
      <c r="W1453" s="308"/>
    </row>
    <row r="1454" spans="1:23" x14ac:dyDescent="0.2">
      <c r="A1454" s="9"/>
      <c r="B1454" s="309" t="s">
        <v>27</v>
      </c>
      <c r="C1454" s="443">
        <v>0</v>
      </c>
      <c r="D1454" s="404">
        <v>3844271.3976076692</v>
      </c>
      <c r="E1454" s="404">
        <v>2931550.1729843342</v>
      </c>
      <c r="F1454" s="404">
        <v>2267996.8102525976</v>
      </c>
      <c r="G1454" s="404">
        <v>1925370.1471789833</v>
      </c>
      <c r="H1454" s="404">
        <v>2077472.8213556688</v>
      </c>
      <c r="I1454" s="404">
        <v>1610849.2391517628</v>
      </c>
      <c r="J1454" s="404">
        <v>1883387.5553121541</v>
      </c>
      <c r="K1454" s="404">
        <v>3095037.9112196951</v>
      </c>
      <c r="L1454" s="404">
        <v>2828916.8591954056</v>
      </c>
      <c r="M1454" s="404">
        <v>3162444.7992007206</v>
      </c>
      <c r="N1454" s="404">
        <v>2818399.4106238484</v>
      </c>
      <c r="O1454" s="404">
        <v>2913201.9639487532</v>
      </c>
      <c r="P1454" s="404">
        <v>3233273.4997435827</v>
      </c>
      <c r="Q1454" s="404">
        <v>4002044.2718783421</v>
      </c>
      <c r="R1454" s="404">
        <v>3150552.6367375818</v>
      </c>
      <c r="S1454" s="404">
        <v>2776098.1443542219</v>
      </c>
      <c r="T1454" s="404">
        <v>3333784.3631385579</v>
      </c>
      <c r="U1454" s="404">
        <v>4026995.2973889648</v>
      </c>
      <c r="V1454" s="404">
        <v>3649712.3485402628</v>
      </c>
      <c r="W1454" s="327"/>
    </row>
    <row r="1455" spans="1:23" x14ac:dyDescent="0.2">
      <c r="A1455" s="9"/>
      <c r="B1455" s="309" t="s">
        <v>20</v>
      </c>
      <c r="C1455" s="443">
        <v>0</v>
      </c>
      <c r="D1455" s="404">
        <v>-543837.69699475227</v>
      </c>
      <c r="E1455" s="404">
        <v>-630580.64586755901</v>
      </c>
      <c r="F1455" s="404">
        <v>-505386.52609308495</v>
      </c>
      <c r="G1455" s="404">
        <v>-461470.6444074855</v>
      </c>
      <c r="H1455" s="404">
        <v>-719220.55454408994</v>
      </c>
      <c r="I1455" s="404">
        <v>-685831.19370313827</v>
      </c>
      <c r="J1455" s="404">
        <v>-827132.39036262291</v>
      </c>
      <c r="K1455" s="404">
        <v>-1446222.9432869735</v>
      </c>
      <c r="L1455" s="404">
        <v>-1224826.631806463</v>
      </c>
      <c r="M1455" s="404">
        <v>-1322084.0535917992</v>
      </c>
      <c r="N1455" s="404">
        <v>-1458508.4250911807</v>
      </c>
      <c r="O1455" s="404">
        <v>-1394558.4644407462</v>
      </c>
      <c r="P1455" s="404">
        <v>-1592522.8168787279</v>
      </c>
      <c r="Q1455" s="404">
        <v>-1954819.5622290813</v>
      </c>
      <c r="R1455" s="404">
        <v>-1570817.643894325</v>
      </c>
      <c r="S1455" s="404">
        <v>-1559741.67595135</v>
      </c>
      <c r="T1455" s="404">
        <v>-1817164.1499340583</v>
      </c>
      <c r="U1455" s="404">
        <v>-2261084.972618158</v>
      </c>
      <c r="V1455" s="404">
        <v>-2301536.7951382808</v>
      </c>
      <c r="W1455" s="327"/>
    </row>
    <row r="1456" spans="1:23" x14ac:dyDescent="0.2">
      <c r="A1456" s="9"/>
      <c r="B1456" s="309" t="s">
        <v>31</v>
      </c>
      <c r="C1456" s="443">
        <v>0</v>
      </c>
      <c r="D1456" s="404">
        <v>-26149.532094815313</v>
      </c>
      <c r="E1456" s="404">
        <v>-33390.895590157626</v>
      </c>
      <c r="F1456" s="404">
        <v>-28324.083093311459</v>
      </c>
      <c r="G1456" s="404">
        <v>-26352.102382239533</v>
      </c>
      <c r="H1456" s="404">
        <v>-41083.901219458668</v>
      </c>
      <c r="I1456" s="404">
        <v>-39302.357253746362</v>
      </c>
      <c r="J1456" s="404">
        <v>-48486.859457319471</v>
      </c>
      <c r="K1456" s="404">
        <v>-92380.65013321233</v>
      </c>
      <c r="L1456" s="404">
        <v>-78534.075272713802</v>
      </c>
      <c r="M1456" s="404">
        <v>-83526.665296952633</v>
      </c>
      <c r="N1456" s="404">
        <v>-91137.956821924745</v>
      </c>
      <c r="O1456" s="404">
        <v>-89861.825555217118</v>
      </c>
      <c r="P1456" s="404">
        <v>-99058.835715257912</v>
      </c>
      <c r="Q1456" s="404">
        <v>-124763.5745752354</v>
      </c>
      <c r="R1456" s="404">
        <v>-94100.302674862978</v>
      </c>
      <c r="S1456" s="404">
        <v>-90745.515386400089</v>
      </c>
      <c r="T1456" s="404">
        <v>-105113.24000272561</v>
      </c>
      <c r="U1456" s="404">
        <v>-125306.17957826657</v>
      </c>
      <c r="V1456" s="404">
        <v>-127040.08053417761</v>
      </c>
      <c r="W1456" s="327"/>
    </row>
    <row r="1457" spans="1:23" x14ac:dyDescent="0.2">
      <c r="A1457" s="9"/>
      <c r="B1457" s="309" t="s">
        <v>32</v>
      </c>
      <c r="C1457" s="443">
        <v>0</v>
      </c>
      <c r="D1457" s="404">
        <v>0</v>
      </c>
      <c r="E1457" s="404">
        <v>0</v>
      </c>
      <c r="F1457" s="404">
        <v>0</v>
      </c>
      <c r="G1457" s="404">
        <v>0</v>
      </c>
      <c r="H1457" s="404">
        <v>0</v>
      </c>
      <c r="I1457" s="404">
        <v>-9627.7396608498184</v>
      </c>
      <c r="J1457" s="404">
        <v>-12912.810436283071</v>
      </c>
      <c r="K1457" s="404">
        <v>-27703.201911823624</v>
      </c>
      <c r="L1457" s="404">
        <v>-24366.231231228587</v>
      </c>
      <c r="M1457" s="404">
        <v>-28209.174739068127</v>
      </c>
      <c r="N1457" s="404">
        <v>-33333.507956217225</v>
      </c>
      <c r="O1457" s="404">
        <v>-35615.347905723494</v>
      </c>
      <c r="P1457" s="404">
        <v>-43127.439958454837</v>
      </c>
      <c r="Q1457" s="404">
        <v>-59365.379074690522</v>
      </c>
      <c r="R1457" s="404">
        <v>-48618.097493308611</v>
      </c>
      <c r="S1457" s="404">
        <v>-50425.707781761703</v>
      </c>
      <c r="T1457" s="404">
        <v>-56248.248381622332</v>
      </c>
      <c r="U1457" s="404">
        <v>-56203.934003148752</v>
      </c>
      <c r="V1457" s="404">
        <v>-58014.083706311532</v>
      </c>
      <c r="W1457" s="327"/>
    </row>
    <row r="1458" spans="1:23" ht="13.5" thickBot="1" x14ac:dyDescent="0.25">
      <c r="A1458" s="9"/>
      <c r="B1458" s="310" t="s">
        <v>33</v>
      </c>
      <c r="C1458" s="444">
        <v>0</v>
      </c>
      <c r="D1458" s="406">
        <v>0</v>
      </c>
      <c r="E1458" s="406">
        <v>0</v>
      </c>
      <c r="F1458" s="406">
        <v>0</v>
      </c>
      <c r="G1458" s="406">
        <v>0</v>
      </c>
      <c r="H1458" s="406">
        <v>0</v>
      </c>
      <c r="I1458" s="406">
        <v>-9627.7396608498184</v>
      </c>
      <c r="J1458" s="406">
        <v>-12912.810436283071</v>
      </c>
      <c r="K1458" s="406">
        <v>-27703.201911823624</v>
      </c>
      <c r="L1458" s="406">
        <v>-24366.231231228587</v>
      </c>
      <c r="M1458" s="406">
        <v>-28209.174739068127</v>
      </c>
      <c r="N1458" s="406">
        <v>-33333.507956217225</v>
      </c>
      <c r="O1458" s="406">
        <v>-35615.347905723494</v>
      </c>
      <c r="P1458" s="406">
        <v>-43127.439958454837</v>
      </c>
      <c r="Q1458" s="406">
        <v>-59365.379074690522</v>
      </c>
      <c r="R1458" s="406">
        <v>-48618.097493308611</v>
      </c>
      <c r="S1458" s="406">
        <v>-50425.707781761703</v>
      </c>
      <c r="T1458" s="406">
        <v>-56248.248381622332</v>
      </c>
      <c r="U1458" s="406">
        <v>-56203.934003148752</v>
      </c>
      <c r="V1458" s="406">
        <v>-58014.083706311532</v>
      </c>
      <c r="W1458" s="327"/>
    </row>
    <row r="1459" spans="1:23" ht="13.5" thickTop="1" x14ac:dyDescent="0.2">
      <c r="A1459" s="9"/>
      <c r="B1459" s="311" t="s">
        <v>38</v>
      </c>
      <c r="C1459" s="445">
        <v>0</v>
      </c>
      <c r="D1459" s="408">
        <v>3274284.1685181018</v>
      </c>
      <c r="E1459" s="408">
        <v>2267578.6315266173</v>
      </c>
      <c r="F1459" s="408">
        <v>1734286.2010662013</v>
      </c>
      <c r="G1459" s="408">
        <v>1437547.4003892583</v>
      </c>
      <c r="H1459" s="408">
        <v>1317168.3655921202</v>
      </c>
      <c r="I1459" s="408">
        <v>866460.20887317858</v>
      </c>
      <c r="J1459" s="408">
        <v>981942.68461964547</v>
      </c>
      <c r="K1459" s="408">
        <v>1501027.9139758621</v>
      </c>
      <c r="L1459" s="408">
        <v>1476823.6896537715</v>
      </c>
      <c r="M1459" s="408">
        <v>1700415.7308338324</v>
      </c>
      <c r="N1459" s="408">
        <v>1202086.0127983084</v>
      </c>
      <c r="O1459" s="408">
        <v>1357550.9781413428</v>
      </c>
      <c r="P1459" s="408">
        <v>1455436.9672326874</v>
      </c>
      <c r="Q1459" s="408">
        <v>1803730.3769246442</v>
      </c>
      <c r="R1459" s="408">
        <v>1388398.4951817766</v>
      </c>
      <c r="S1459" s="408">
        <v>1024759.5374529485</v>
      </c>
      <c r="T1459" s="408">
        <v>1299010.4764385293</v>
      </c>
      <c r="U1459" s="408">
        <v>1528196.2771862429</v>
      </c>
      <c r="V1459" s="408">
        <v>1105107.3054551813</v>
      </c>
      <c r="W1459" s="327"/>
    </row>
    <row r="1460" spans="1:23" x14ac:dyDescent="0.2">
      <c r="A1460" s="9"/>
      <c r="B1460" s="309" t="s">
        <v>34</v>
      </c>
      <c r="C1460" s="443">
        <v>0</v>
      </c>
      <c r="D1460" s="404">
        <v>-192749.91537550156</v>
      </c>
      <c r="E1460" s="404">
        <v>-196604.9136830116</v>
      </c>
      <c r="F1460" s="404">
        <v>-200537.01195667183</v>
      </c>
      <c r="G1460" s="404">
        <v>-204547.75219580528</v>
      </c>
      <c r="H1460" s="404">
        <v>-208638.70723972138</v>
      </c>
      <c r="I1460" s="404">
        <v>-212811.48138451582</v>
      </c>
      <c r="J1460" s="404">
        <v>-217067.71101220613</v>
      </c>
      <c r="K1460" s="404">
        <v>-221409.06523245026</v>
      </c>
      <c r="L1460" s="404">
        <v>-225837.24653709927</v>
      </c>
      <c r="M1460" s="404">
        <v>-230353.99146784126</v>
      </c>
      <c r="N1460" s="404">
        <v>-234961.0712971981</v>
      </c>
      <c r="O1460" s="404">
        <v>-239660.29272314208</v>
      </c>
      <c r="P1460" s="404">
        <v>-244453.49857760491</v>
      </c>
      <c r="Q1460" s="404">
        <v>-249342.568549157</v>
      </c>
      <c r="R1460" s="404">
        <v>-254329.41992014015</v>
      </c>
      <c r="S1460" s="404">
        <v>-259416.00831854297</v>
      </c>
      <c r="T1460" s="404">
        <v>-264604.32848491386</v>
      </c>
      <c r="U1460" s="404">
        <v>-269896.41505461215</v>
      </c>
      <c r="V1460" s="404">
        <v>-275294.34335570439</v>
      </c>
      <c r="W1460" s="327"/>
    </row>
    <row r="1461" spans="1:23" x14ac:dyDescent="0.2">
      <c r="A1461" s="9"/>
      <c r="B1461" s="309" t="s">
        <v>35</v>
      </c>
      <c r="C1461" s="443">
        <v>0</v>
      </c>
      <c r="D1461" s="404">
        <v>-59295.153725000004</v>
      </c>
      <c r="E1461" s="404">
        <v>-59295.153725000004</v>
      </c>
      <c r="F1461" s="404">
        <v>-59295.153725000004</v>
      </c>
      <c r="G1461" s="404">
        <v>-59295.153725000004</v>
      </c>
      <c r="H1461" s="404">
        <v>-59295.153725000004</v>
      </c>
      <c r="I1461" s="404">
        <v>-59295.153725000004</v>
      </c>
      <c r="J1461" s="404">
        <v>-59295.153725000004</v>
      </c>
      <c r="K1461" s="404">
        <v>-59295.153725000004</v>
      </c>
      <c r="L1461" s="404">
        <v>-59295.153725000004</v>
      </c>
      <c r="M1461" s="404">
        <v>-59295.153725000004</v>
      </c>
      <c r="N1461" s="404">
        <v>-59295.153725000004</v>
      </c>
      <c r="O1461" s="404">
        <v>-59295.153725000004</v>
      </c>
      <c r="P1461" s="404">
        <v>-59295.153725000004</v>
      </c>
      <c r="Q1461" s="404">
        <v>-59295.153725000004</v>
      </c>
      <c r="R1461" s="404">
        <v>-59295.153725000004</v>
      </c>
      <c r="S1461" s="404">
        <v>-59295.153725000004</v>
      </c>
      <c r="T1461" s="404">
        <v>-59295.153725000004</v>
      </c>
      <c r="U1461" s="404">
        <v>-59295.153725000004</v>
      </c>
      <c r="V1461" s="404">
        <v>-59295.153725000004</v>
      </c>
      <c r="W1461" s="327"/>
    </row>
    <row r="1462" spans="1:23" ht="13.5" thickBot="1" x14ac:dyDescent="0.25">
      <c r="A1462" s="9"/>
      <c r="B1462" s="310" t="s">
        <v>36</v>
      </c>
      <c r="C1462" s="444">
        <v>0</v>
      </c>
      <c r="D1462" s="406">
        <v>-5527.5505129371804</v>
      </c>
      <c r="E1462" s="406">
        <v>-5644.18182876019</v>
      </c>
      <c r="F1462" s="406">
        <v>-5767.78941081004</v>
      </c>
      <c r="G1462" s="406">
        <v>-5898.1414514943099</v>
      </c>
      <c r="H1462" s="406">
        <v>-6038.5172180398804</v>
      </c>
      <c r="I1462" s="406">
        <v>-6189.84306658695</v>
      </c>
      <c r="J1462" s="406">
        <v>-6343.3684187466297</v>
      </c>
      <c r="K1462" s="406">
        <v>-6503.9321824666604</v>
      </c>
      <c r="L1462" s="406">
        <v>-6664.5793073735904</v>
      </c>
      <c r="M1462" s="406">
        <v>-6834.5260797115898</v>
      </c>
      <c r="N1462" s="406">
        <v>-6999.9216108406499</v>
      </c>
      <c r="O1462" s="406">
        <v>-7176.3196354338097</v>
      </c>
      <c r="P1462" s="406">
        <v>-7358.5981541738101</v>
      </c>
      <c r="Q1462" s="406">
        <v>-7542.5631080281501</v>
      </c>
      <c r="R1462" s="406">
        <v>-7731.8814420396602</v>
      </c>
      <c r="S1462" s="406">
        <v>-7925.1784780906701</v>
      </c>
      <c r="T1462" s="406">
        <v>-8121.7229043472998</v>
      </c>
      <c r="U1462" s="406">
        <v>-8325.5781492464394</v>
      </c>
      <c r="V1462" s="406">
        <v>-8534.5501607925198</v>
      </c>
      <c r="W1462" s="327"/>
    </row>
    <row r="1463" spans="1:23" ht="13.5" thickTop="1" x14ac:dyDescent="0.2">
      <c r="A1463" s="9"/>
      <c r="B1463" s="311" t="s">
        <v>220</v>
      </c>
      <c r="C1463" s="446">
        <v>0</v>
      </c>
      <c r="D1463" s="410">
        <v>3016711.548904663</v>
      </c>
      <c r="E1463" s="410">
        <v>2006034.3822898455</v>
      </c>
      <c r="F1463" s="410">
        <v>1468686.2459737193</v>
      </c>
      <c r="G1463" s="410">
        <v>1167806.3530169586</v>
      </c>
      <c r="H1463" s="410">
        <v>1043195.9874093588</v>
      </c>
      <c r="I1463" s="410">
        <v>588163.73069707584</v>
      </c>
      <c r="J1463" s="410">
        <v>699236.45146369271</v>
      </c>
      <c r="K1463" s="410">
        <v>1213819.762835945</v>
      </c>
      <c r="L1463" s="410">
        <v>1185026.7100842984</v>
      </c>
      <c r="M1463" s="410">
        <v>1403932.0595612796</v>
      </c>
      <c r="N1463" s="410">
        <v>900829.86616526975</v>
      </c>
      <c r="O1463" s="410">
        <v>1051419.2120577667</v>
      </c>
      <c r="P1463" s="410">
        <v>1144329.7167759086</v>
      </c>
      <c r="Q1463" s="410">
        <v>1487550.0915424589</v>
      </c>
      <c r="R1463" s="410">
        <v>1067042.0400945966</v>
      </c>
      <c r="S1463" s="410">
        <v>698123.19693131489</v>
      </c>
      <c r="T1463" s="410">
        <v>966989.27132426819</v>
      </c>
      <c r="U1463" s="410">
        <v>1190679.1302573842</v>
      </c>
      <c r="V1463" s="410">
        <v>761983.25821368443</v>
      </c>
      <c r="W1463" s="327"/>
    </row>
    <row r="1464" spans="1:23" x14ac:dyDescent="0.2">
      <c r="A1464" s="9"/>
      <c r="B1464" s="309" t="s">
        <v>37</v>
      </c>
      <c r="C1464" s="443">
        <v>0</v>
      </c>
      <c r="D1464" s="404">
        <v>-302992.97743623261</v>
      </c>
      <c r="E1464" s="404">
        <v>-278092.36397697369</v>
      </c>
      <c r="F1464" s="404">
        <v>-242651.16683060993</v>
      </c>
      <c r="G1464" s="404">
        <v>-206725.22339663914</v>
      </c>
      <c r="H1464" s="404">
        <v>-192897.8676796986</v>
      </c>
      <c r="I1464" s="404">
        <v>-194104.78903993644</v>
      </c>
      <c r="J1464" s="404">
        <v>-208273.90027687381</v>
      </c>
      <c r="K1464" s="404">
        <v>-221502.79904793645</v>
      </c>
      <c r="L1464" s="404">
        <v>-234579.44146827381</v>
      </c>
      <c r="M1464" s="404">
        <v>-246830.16974236644</v>
      </c>
      <c r="N1464" s="404">
        <v>-242986.09678428384</v>
      </c>
      <c r="O1464" s="404">
        <v>-238358.33831750884</v>
      </c>
      <c r="P1464" s="404">
        <v>-250476.83892255556</v>
      </c>
      <c r="Q1464" s="404">
        <v>-192805.76486297941</v>
      </c>
      <c r="R1464" s="404">
        <v>-135738.58214803631</v>
      </c>
      <c r="S1464" s="404">
        <v>-148722.76660087737</v>
      </c>
      <c r="T1464" s="404">
        <v>-162096.47658730374</v>
      </c>
      <c r="U1464" s="404">
        <v>-175871.39787332283</v>
      </c>
      <c r="V1464" s="404">
        <v>-190059.56679792254</v>
      </c>
      <c r="W1464" s="327"/>
    </row>
    <row r="1465" spans="1:23" ht="13.5" thickBot="1" x14ac:dyDescent="0.25">
      <c r="A1465" s="9"/>
      <c r="B1465" s="310" t="s">
        <v>221</v>
      </c>
      <c r="C1465" s="444">
        <v>0</v>
      </c>
      <c r="D1465" s="406">
        <v>-1085487.4285873722</v>
      </c>
      <c r="E1465" s="406">
        <v>-691176.80732514884</v>
      </c>
      <c r="F1465" s="406">
        <v>-490414.03165724373</v>
      </c>
      <c r="G1465" s="406">
        <v>-384432.45184812782</v>
      </c>
      <c r="H1465" s="406">
        <v>-340119.2478918641</v>
      </c>
      <c r="I1465" s="406">
        <v>-157623.57666285578</v>
      </c>
      <c r="J1465" s="406">
        <v>-196385.02047472756</v>
      </c>
      <c r="K1465" s="406">
        <v>-396926.78551520343</v>
      </c>
      <c r="L1465" s="406">
        <v>-380178.90744640987</v>
      </c>
      <c r="M1465" s="406">
        <v>-462840.75592756527</v>
      </c>
      <c r="N1465" s="406">
        <v>-263137.50775239436</v>
      </c>
      <c r="O1465" s="406">
        <v>-325224.34949610318</v>
      </c>
      <c r="P1465" s="406">
        <v>-357541.15114134125</v>
      </c>
      <c r="Q1465" s="406">
        <v>-517897.73067179177</v>
      </c>
      <c r="R1465" s="406">
        <v>-372521.38317862409</v>
      </c>
      <c r="S1465" s="406">
        <v>-219760.17213217501</v>
      </c>
      <c r="T1465" s="406">
        <v>-321957.11789478577</v>
      </c>
      <c r="U1465" s="406">
        <v>-405923.09295362455</v>
      </c>
      <c r="V1465" s="406">
        <v>-228769.47656630474</v>
      </c>
      <c r="W1465" s="327"/>
    </row>
    <row r="1466" spans="1:23" ht="13.5" thickTop="1" x14ac:dyDescent="0.2">
      <c r="A1466" s="9"/>
      <c r="B1466" s="311" t="s">
        <v>183</v>
      </c>
      <c r="C1466" s="446">
        <v>0</v>
      </c>
      <c r="D1466" s="410">
        <v>1628231.1428810584</v>
      </c>
      <c r="E1466" s="410">
        <v>1036765.2109877231</v>
      </c>
      <c r="F1466" s="410">
        <v>735621.04748586554</v>
      </c>
      <c r="G1466" s="410">
        <v>576648.67777219159</v>
      </c>
      <c r="H1466" s="410">
        <v>510178.87183779612</v>
      </c>
      <c r="I1466" s="410">
        <v>236435.36499428362</v>
      </c>
      <c r="J1466" s="410">
        <v>294577.53071209131</v>
      </c>
      <c r="K1466" s="410">
        <v>595390.17827280518</v>
      </c>
      <c r="L1466" s="410">
        <v>570268.36116961483</v>
      </c>
      <c r="M1466" s="410">
        <v>694261.1338913478</v>
      </c>
      <c r="N1466" s="410">
        <v>394706.26162859151</v>
      </c>
      <c r="O1466" s="410">
        <v>487836.52424415475</v>
      </c>
      <c r="P1466" s="410">
        <v>536311.72671201173</v>
      </c>
      <c r="Q1466" s="410">
        <v>776846.59600768751</v>
      </c>
      <c r="R1466" s="410">
        <v>558782.07476793614</v>
      </c>
      <c r="S1466" s="410">
        <v>329640.25819826248</v>
      </c>
      <c r="T1466" s="410">
        <v>482935.67684217863</v>
      </c>
      <c r="U1466" s="410">
        <v>608884.63943043677</v>
      </c>
      <c r="V1466" s="410">
        <v>343154.21484945709</v>
      </c>
      <c r="W1466" s="327"/>
    </row>
    <row r="1467" spans="1:23" x14ac:dyDescent="0.2">
      <c r="A1467" s="9"/>
      <c r="B1467" s="309" t="s">
        <v>37</v>
      </c>
      <c r="C1467" s="443">
        <v>0</v>
      </c>
      <c r="D1467" s="404">
        <v>302992.97743623261</v>
      </c>
      <c r="E1467" s="404">
        <v>278092.36397697369</v>
      </c>
      <c r="F1467" s="404">
        <v>242651.16683060993</v>
      </c>
      <c r="G1467" s="404">
        <v>206725.22339663914</v>
      </c>
      <c r="H1467" s="404">
        <v>192897.8676796986</v>
      </c>
      <c r="I1467" s="404">
        <v>194104.78903993644</v>
      </c>
      <c r="J1467" s="404">
        <v>208273.90027687381</v>
      </c>
      <c r="K1467" s="404">
        <v>221502.79904793645</v>
      </c>
      <c r="L1467" s="404">
        <v>234579.44146827381</v>
      </c>
      <c r="M1467" s="404">
        <v>246830.16974236644</v>
      </c>
      <c r="N1467" s="404">
        <v>242986.09678428384</v>
      </c>
      <c r="O1467" s="404">
        <v>238358.33831750884</v>
      </c>
      <c r="P1467" s="404">
        <v>250476.83892255556</v>
      </c>
      <c r="Q1467" s="404">
        <v>192805.76486297941</v>
      </c>
      <c r="R1467" s="404">
        <v>135738.58214803631</v>
      </c>
      <c r="S1467" s="404">
        <v>148722.76660087737</v>
      </c>
      <c r="T1467" s="404">
        <v>162096.47658730374</v>
      </c>
      <c r="U1467" s="404">
        <v>175871.39787332283</v>
      </c>
      <c r="V1467" s="404">
        <v>190059.56679792254</v>
      </c>
      <c r="W1467" s="327"/>
    </row>
    <row r="1468" spans="1:23" x14ac:dyDescent="0.2">
      <c r="A1468" s="9"/>
      <c r="B1468" s="309" t="s">
        <v>39</v>
      </c>
      <c r="C1468" s="443">
        <v>0</v>
      </c>
      <c r="D1468" s="404">
        <v>-1752.08</v>
      </c>
      <c r="E1468" s="404">
        <v>-1822.8</v>
      </c>
      <c r="F1468" s="404">
        <v>-1896.4</v>
      </c>
      <c r="G1468" s="404">
        <v>-1980.72</v>
      </c>
      <c r="H1468" s="404">
        <v>-200000</v>
      </c>
      <c r="I1468" s="404">
        <v>-206000</v>
      </c>
      <c r="J1468" s="404">
        <v>-212180</v>
      </c>
      <c r="K1468" s="404">
        <v>-218545.4</v>
      </c>
      <c r="L1468" s="404">
        <v>-225101.76199999999</v>
      </c>
      <c r="M1468" s="404">
        <v>-231854.81485999998</v>
      </c>
      <c r="N1468" s="404">
        <v>-238810.4593058</v>
      </c>
      <c r="O1468" s="404">
        <v>-245974.773084974</v>
      </c>
      <c r="P1468" s="404">
        <v>-253354.01627752322</v>
      </c>
      <c r="Q1468" s="404">
        <v>-260954.63676584893</v>
      </c>
      <c r="R1468" s="404">
        <v>-268783.27586882439</v>
      </c>
      <c r="S1468" s="404">
        <v>-276846.77414488915</v>
      </c>
      <c r="T1468" s="404">
        <v>-285152.17736923584</v>
      </c>
      <c r="U1468" s="404">
        <v>-293706.74269031291</v>
      </c>
      <c r="V1468" s="404">
        <v>-302517.94497102231</v>
      </c>
      <c r="W1468" s="327"/>
    </row>
    <row r="1469" spans="1:23" ht="13.5" thickBot="1" x14ac:dyDescent="0.25">
      <c r="A1469" s="9"/>
      <c r="B1469" s="310" t="s">
        <v>40</v>
      </c>
      <c r="C1469" s="444">
        <v>0</v>
      </c>
      <c r="D1469" s="406">
        <v>0</v>
      </c>
      <c r="E1469" s="406">
        <v>0</v>
      </c>
      <c r="F1469" s="406">
        <v>0</v>
      </c>
      <c r="G1469" s="406">
        <v>0</v>
      </c>
      <c r="H1469" s="406">
        <v>0</v>
      </c>
      <c r="I1469" s="406">
        <v>0</v>
      </c>
      <c r="J1469" s="406">
        <v>0</v>
      </c>
      <c r="K1469" s="406">
        <v>0</v>
      </c>
      <c r="L1469" s="406">
        <v>0</v>
      </c>
      <c r="M1469" s="406">
        <v>0</v>
      </c>
      <c r="N1469" s="406">
        <v>0</v>
      </c>
      <c r="O1469" s="406">
        <v>0</v>
      </c>
      <c r="P1469" s="406">
        <v>0</v>
      </c>
      <c r="Q1469" s="406">
        <v>0</v>
      </c>
      <c r="R1469" s="406">
        <v>0</v>
      </c>
      <c r="S1469" s="406">
        <v>0</v>
      </c>
      <c r="T1469" s="406">
        <v>0</v>
      </c>
      <c r="U1469" s="406">
        <v>0</v>
      </c>
      <c r="V1469" s="406">
        <v>0</v>
      </c>
      <c r="W1469" s="327"/>
    </row>
    <row r="1470" spans="1:23" ht="13.5" thickTop="1" x14ac:dyDescent="0.2">
      <c r="A1470" s="9"/>
      <c r="B1470" s="309"/>
      <c r="C1470" s="447"/>
      <c r="D1470" s="327"/>
      <c r="E1470" s="327"/>
      <c r="F1470" s="327"/>
      <c r="G1470" s="327"/>
      <c r="H1470" s="327"/>
      <c r="I1470" s="327"/>
      <c r="J1470" s="327"/>
      <c r="K1470" s="327"/>
      <c r="L1470" s="327"/>
      <c r="M1470" s="327"/>
      <c r="N1470" s="327"/>
      <c r="O1470" s="327"/>
      <c r="P1470" s="327"/>
      <c r="Q1470" s="327"/>
      <c r="R1470" s="327"/>
      <c r="S1470" s="327"/>
      <c r="T1470" s="327"/>
      <c r="U1470" s="327"/>
      <c r="V1470" s="327"/>
      <c r="W1470" s="327"/>
    </row>
    <row r="1471" spans="1:23" x14ac:dyDescent="0.2">
      <c r="A1471" s="9"/>
      <c r="B1471" s="311" t="s">
        <v>233</v>
      </c>
      <c r="C1471" s="446">
        <v>0</v>
      </c>
      <c r="D1471" s="410">
        <v>1929472.0403172909</v>
      </c>
      <c r="E1471" s="410">
        <v>1313034.7749646967</v>
      </c>
      <c r="F1471" s="410">
        <v>976375.81431647541</v>
      </c>
      <c r="G1471" s="410">
        <v>781393.18116883072</v>
      </c>
      <c r="H1471" s="410">
        <v>503076.73951749469</v>
      </c>
      <c r="I1471" s="410">
        <v>224540.15403422003</v>
      </c>
      <c r="J1471" s="410">
        <v>290671.43098896509</v>
      </c>
      <c r="K1471" s="410">
        <v>598347.57732074161</v>
      </c>
      <c r="L1471" s="410">
        <v>579746.0406378886</v>
      </c>
      <c r="M1471" s="410">
        <v>709236.48877371429</v>
      </c>
      <c r="N1471" s="410">
        <v>398881.8991070753</v>
      </c>
      <c r="O1471" s="410">
        <v>480220.08947668958</v>
      </c>
      <c r="P1471" s="410">
        <v>533434.54935704404</v>
      </c>
      <c r="Q1471" s="410">
        <v>708697.72410481796</v>
      </c>
      <c r="R1471" s="410">
        <v>425737.38104714808</v>
      </c>
      <c r="S1471" s="410">
        <v>201516.25065425067</v>
      </c>
      <c r="T1471" s="410">
        <v>359879.97606024652</v>
      </c>
      <c r="U1471" s="410">
        <v>491049.29461344669</v>
      </c>
      <c r="V1471" s="410">
        <v>230695.83667635731</v>
      </c>
      <c r="W1471" s="408">
        <v>2789233.755675741</v>
      </c>
    </row>
    <row r="1472" spans="1:23" x14ac:dyDescent="0.2">
      <c r="A1472" s="9"/>
      <c r="B1472" s="286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</row>
    <row r="1473" spans="1:23" x14ac:dyDescent="0.2">
      <c r="A1473" s="302" t="s">
        <v>218</v>
      </c>
      <c r="B1473" s="300" t="s">
        <v>170</v>
      </c>
      <c r="C1473" s="433">
        <v>4418856.9296885449</v>
      </c>
      <c r="D1473" s="9"/>
      <c r="E1473" s="137" t="s">
        <v>219</v>
      </c>
      <c r="F1473" s="313" t="s">
        <v>170</v>
      </c>
      <c r="G1473" s="437">
        <v>4418856.9296885449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</row>
    <row r="1474" spans="1:23" x14ac:dyDescent="0.2">
      <c r="A1474" s="9"/>
      <c r="B1474" s="300" t="s">
        <v>180</v>
      </c>
      <c r="C1474" s="433">
        <v>2051323.5839760797</v>
      </c>
      <c r="D1474" s="9"/>
      <c r="E1474" s="315"/>
      <c r="F1474" s="313" t="s">
        <v>180</v>
      </c>
      <c r="G1474" s="437">
        <v>2051323.5839760797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</row>
    <row r="1475" spans="1:23" ht="13.5" thickBot="1" x14ac:dyDescent="0.25">
      <c r="A1475" s="9"/>
      <c r="B1475" s="316" t="s">
        <v>137</v>
      </c>
      <c r="C1475" s="434">
        <v>414601.82485104958</v>
      </c>
      <c r="D1475" s="317"/>
      <c r="E1475" s="315"/>
      <c r="F1475" s="313" t="s">
        <v>137</v>
      </c>
      <c r="G1475" s="437">
        <v>414601.82485104958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</row>
    <row r="1476" spans="1:23" ht="14.25" thickTop="1" thickBot="1" x14ac:dyDescent="0.25">
      <c r="A1476" s="9"/>
      <c r="B1476" s="300" t="s">
        <v>28</v>
      </c>
      <c r="C1476" s="432">
        <v>6884782.3385156747</v>
      </c>
      <c r="D1476" s="299"/>
      <c r="E1476" s="315"/>
      <c r="F1476" s="318" t="s">
        <v>203</v>
      </c>
      <c r="G1476" s="319">
        <v>0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</row>
    <row r="1477" spans="1:23" ht="13.5" thickTop="1" x14ac:dyDescent="0.2">
      <c r="A1477" s="9"/>
      <c r="B1477" s="286"/>
      <c r="C1477" s="320"/>
      <c r="D1477" s="9"/>
      <c r="E1477" s="321"/>
      <c r="F1477" s="313" t="s">
        <v>28</v>
      </c>
      <c r="G1477" s="362">
        <v>6884782.3385156747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</row>
    <row r="1478" spans="1:23" x14ac:dyDescent="0.2">
      <c r="A1478" s="9"/>
      <c r="B1478" s="286"/>
      <c r="C1478" s="320"/>
      <c r="D1478" s="9"/>
      <c r="E1478" s="321"/>
      <c r="F1478" s="313"/>
      <c r="G1478" s="322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</row>
    <row r="1479" spans="1:23" x14ac:dyDescent="0.2">
      <c r="A1479" s="9"/>
      <c r="B1479" s="286"/>
      <c r="C1479" s="320"/>
      <c r="D1479" s="9"/>
      <c r="E1479" s="321"/>
      <c r="F1479" s="313"/>
      <c r="G1479" s="322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</row>
    <row r="1480" spans="1:23" x14ac:dyDescent="0.2">
      <c r="A1480" s="9"/>
      <c r="B1480" s="323" t="s">
        <v>222</v>
      </c>
      <c r="C1480" s="320"/>
      <c r="D1480" s="9"/>
      <c r="E1480" s="321"/>
      <c r="F1480" s="313"/>
      <c r="G1480" s="322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</row>
    <row r="1481" spans="1:23" x14ac:dyDescent="0.2">
      <c r="A1481" s="324" t="s">
        <v>224</v>
      </c>
      <c r="B1481" s="323" t="s">
        <v>223</v>
      </c>
      <c r="C1481" s="325"/>
      <c r="D1481" s="326">
        <v>1628231.1428810584</v>
      </c>
      <c r="E1481" s="326">
        <v>1036765.2109877231</v>
      </c>
      <c r="F1481" s="326">
        <v>735621.04748586554</v>
      </c>
      <c r="G1481" s="326">
        <v>576648.67777219159</v>
      </c>
      <c r="H1481" s="326">
        <v>510178.87183779612</v>
      </c>
      <c r="I1481" s="326">
        <v>236435.36499428362</v>
      </c>
      <c r="J1481" s="326">
        <v>294577.53071209131</v>
      </c>
      <c r="K1481" s="326">
        <v>595390.17827280518</v>
      </c>
      <c r="L1481" s="326">
        <v>570268.36116961483</v>
      </c>
      <c r="M1481" s="326">
        <v>694261.1338913478</v>
      </c>
      <c r="N1481" s="326">
        <v>394706.26162859151</v>
      </c>
      <c r="O1481" s="326">
        <v>487836.52424415475</v>
      </c>
      <c r="P1481" s="326">
        <v>536311.72671201173</v>
      </c>
      <c r="Q1481" s="326">
        <v>776846.59600768751</v>
      </c>
      <c r="R1481" s="326">
        <v>558782.07476793614</v>
      </c>
      <c r="S1481" s="326">
        <v>329640.25819826248</v>
      </c>
      <c r="T1481" s="326">
        <v>482935.67684217863</v>
      </c>
      <c r="U1481" s="326">
        <v>608884.63943043677</v>
      </c>
      <c r="V1481" s="326">
        <v>343154.21484945709</v>
      </c>
      <c r="W1481" s="9"/>
    </row>
    <row r="1482" spans="1:23" x14ac:dyDescent="0.2">
      <c r="A1482" s="9"/>
      <c r="B1482" s="286" t="s">
        <v>225</v>
      </c>
      <c r="C1482" s="320"/>
      <c r="D1482" s="327">
        <v>1085487.4285873722</v>
      </c>
      <c r="E1482" s="327">
        <v>691176.80732514884</v>
      </c>
      <c r="F1482" s="327">
        <v>490414.03165724373</v>
      </c>
      <c r="G1482" s="327">
        <v>384432.45184812782</v>
      </c>
      <c r="H1482" s="327">
        <v>340119.2478918641</v>
      </c>
      <c r="I1482" s="327">
        <v>157623.57666285578</v>
      </c>
      <c r="J1482" s="327">
        <v>196385.02047472756</v>
      </c>
      <c r="K1482" s="327">
        <v>396926.78551520343</v>
      </c>
      <c r="L1482" s="327">
        <v>380178.90744640987</v>
      </c>
      <c r="M1482" s="327">
        <v>462840.75592756527</v>
      </c>
      <c r="N1482" s="327">
        <v>263137.50775239436</v>
      </c>
      <c r="O1482" s="327">
        <v>325224.34949610318</v>
      </c>
      <c r="P1482" s="327">
        <v>357541.15114134125</v>
      </c>
      <c r="Q1482" s="327">
        <v>517897.73067179177</v>
      </c>
      <c r="R1482" s="327">
        <v>372521.38317862409</v>
      </c>
      <c r="S1482" s="327">
        <v>219760.17213217501</v>
      </c>
      <c r="T1482" s="327">
        <v>321957.11789478577</v>
      </c>
      <c r="U1482" s="327">
        <v>405923.09295362455</v>
      </c>
      <c r="V1482" s="327">
        <v>228769.47656630474</v>
      </c>
      <c r="W1482" s="9"/>
    </row>
    <row r="1483" spans="1:23" x14ac:dyDescent="0.2">
      <c r="A1483" s="9"/>
      <c r="B1483" s="328" t="s">
        <v>226</v>
      </c>
      <c r="C1483" s="329"/>
      <c r="D1483" s="327">
        <v>302992.97743623261</v>
      </c>
      <c r="E1483" s="327">
        <v>278092.36397697369</v>
      </c>
      <c r="F1483" s="327">
        <v>242651.16683060993</v>
      </c>
      <c r="G1483" s="327">
        <v>206725.22339663914</v>
      </c>
      <c r="H1483" s="327">
        <v>192897.8676796986</v>
      </c>
      <c r="I1483" s="327">
        <v>194104.78903993644</v>
      </c>
      <c r="J1483" s="327">
        <v>208273.90027687381</v>
      </c>
      <c r="K1483" s="327">
        <v>221502.79904793645</v>
      </c>
      <c r="L1483" s="327">
        <v>234579.44146827381</v>
      </c>
      <c r="M1483" s="327">
        <v>246830.16974236644</v>
      </c>
      <c r="N1483" s="327">
        <v>242986.09678428384</v>
      </c>
      <c r="O1483" s="327">
        <v>238358.33831750884</v>
      </c>
      <c r="P1483" s="327">
        <v>250476.83892255556</v>
      </c>
      <c r="Q1483" s="327">
        <v>192805.76486297941</v>
      </c>
      <c r="R1483" s="327">
        <v>135738.58214803631</v>
      </c>
      <c r="S1483" s="327">
        <v>148722.76660087737</v>
      </c>
      <c r="T1483" s="327">
        <v>162096.47658730374</v>
      </c>
      <c r="U1483" s="327">
        <v>175871.39787332283</v>
      </c>
      <c r="V1483" s="327">
        <v>190059.56679792254</v>
      </c>
      <c r="W1483" s="9"/>
    </row>
    <row r="1484" spans="1:23" ht="13.5" thickBot="1" x14ac:dyDescent="0.25">
      <c r="A1484" s="9"/>
      <c r="B1484" s="330" t="s">
        <v>227</v>
      </c>
      <c r="C1484" s="331"/>
      <c r="D1484" s="332">
        <v>3016711.548904663</v>
      </c>
      <c r="E1484" s="332">
        <v>2006034.3822898455</v>
      </c>
      <c r="F1484" s="332">
        <v>1468686.2459737193</v>
      </c>
      <c r="G1484" s="332">
        <v>1167806.3530169586</v>
      </c>
      <c r="H1484" s="332">
        <v>1043195.9874093588</v>
      </c>
      <c r="I1484" s="332">
        <v>588163.73069707584</v>
      </c>
      <c r="J1484" s="332">
        <v>699236.45146369271</v>
      </c>
      <c r="K1484" s="332">
        <v>1213819.762835945</v>
      </c>
      <c r="L1484" s="332">
        <v>1185026.7100842984</v>
      </c>
      <c r="M1484" s="332">
        <v>1403932.0595612796</v>
      </c>
      <c r="N1484" s="332">
        <v>900829.86616526975</v>
      </c>
      <c r="O1484" s="332">
        <v>1051419.2120577667</v>
      </c>
      <c r="P1484" s="332">
        <v>1144329.7167759086</v>
      </c>
      <c r="Q1484" s="332">
        <v>1487550.0915424586</v>
      </c>
      <c r="R1484" s="332">
        <v>1067042.0400945966</v>
      </c>
      <c r="S1484" s="332">
        <v>698123.19693131489</v>
      </c>
      <c r="T1484" s="332">
        <v>966989.27132426808</v>
      </c>
      <c r="U1484" s="332">
        <v>1190679.1302573842</v>
      </c>
      <c r="V1484" s="332">
        <v>761983.25821368443</v>
      </c>
      <c r="W1484" s="9"/>
    </row>
    <row r="1485" spans="1:23" ht="13.5" thickTop="1" x14ac:dyDescent="0.2">
      <c r="A1485" s="324" t="s">
        <v>228</v>
      </c>
      <c r="B1485" s="286" t="s">
        <v>229</v>
      </c>
      <c r="C1485" s="320"/>
      <c r="D1485" s="327">
        <v>-625019.49955267261</v>
      </c>
      <c r="E1485" s="327">
        <v>-623803.93615194887</v>
      </c>
      <c r="F1485" s="327">
        <v>-619173.10373228521</v>
      </c>
      <c r="G1485" s="327">
        <v>-619206.34347776289</v>
      </c>
      <c r="H1485" s="327">
        <v>-629139.11483337055</v>
      </c>
      <c r="I1485" s="327">
        <v>-639439.11483337055</v>
      </c>
      <c r="J1485" s="327">
        <v>-552705.15300319321</v>
      </c>
      <c r="K1485" s="327">
        <v>-490171.32759566046</v>
      </c>
      <c r="L1485" s="327">
        <v>-466481.10595316201</v>
      </c>
      <c r="M1485" s="327">
        <v>-475040.28428713884</v>
      </c>
      <c r="N1485" s="327">
        <v>-486980.80725242884</v>
      </c>
      <c r="O1485" s="327">
        <v>-499279.54590667755</v>
      </c>
      <c r="P1485" s="327">
        <v>-428276.50966160547</v>
      </c>
      <c r="Q1485" s="327">
        <v>-327004.1591674863</v>
      </c>
      <c r="R1485" s="327">
        <v>-166675.02433568743</v>
      </c>
      <c r="S1485" s="327">
        <v>-169580.51035087041</v>
      </c>
      <c r="T1485" s="327">
        <v>-183091.6730563188</v>
      </c>
      <c r="U1485" s="327">
        <v>-197777.01019083444</v>
      </c>
      <c r="V1485" s="327">
        <v>-212264.50880137744</v>
      </c>
      <c r="W1485" s="9"/>
    </row>
    <row r="1486" spans="1:23" x14ac:dyDescent="0.2">
      <c r="A1486" s="9"/>
      <c r="B1486" s="286" t="s">
        <v>230</v>
      </c>
      <c r="C1486" s="320"/>
      <c r="D1486" s="327">
        <v>0</v>
      </c>
      <c r="E1486" s="327">
        <v>0</v>
      </c>
      <c r="F1486" s="327">
        <v>0</v>
      </c>
      <c r="G1486" s="327">
        <v>0</v>
      </c>
      <c r="H1486" s="327">
        <v>0</v>
      </c>
      <c r="I1486" s="327">
        <v>0</v>
      </c>
      <c r="J1486" s="327">
        <v>0</v>
      </c>
      <c r="K1486" s="327">
        <v>0</v>
      </c>
      <c r="L1486" s="327">
        <v>0</v>
      </c>
      <c r="M1486" s="327">
        <v>0</v>
      </c>
      <c r="N1486" s="327">
        <v>0</v>
      </c>
      <c r="O1486" s="327">
        <v>0</v>
      </c>
      <c r="P1486" s="327">
        <v>0</v>
      </c>
      <c r="Q1486" s="327">
        <v>0</v>
      </c>
      <c r="R1486" s="327">
        <v>0</v>
      </c>
      <c r="S1486" s="327">
        <v>0</v>
      </c>
      <c r="T1486" s="327">
        <v>0</v>
      </c>
      <c r="U1486" s="327">
        <v>0</v>
      </c>
      <c r="V1486" s="327">
        <v>0</v>
      </c>
      <c r="W1486" s="9"/>
    </row>
    <row r="1487" spans="1:23" x14ac:dyDescent="0.2">
      <c r="A1487" s="9"/>
      <c r="B1487" s="323" t="s">
        <v>231</v>
      </c>
      <c r="C1487" s="325"/>
      <c r="D1487" s="326">
        <v>2391692.0493519902</v>
      </c>
      <c r="E1487" s="326">
        <v>1382230.4461378967</v>
      </c>
      <c r="F1487" s="326">
        <v>849513.14224143408</v>
      </c>
      <c r="G1487" s="326">
        <v>548600.00953919569</v>
      </c>
      <c r="H1487" s="326">
        <v>414056.87257598829</v>
      </c>
      <c r="I1487" s="326">
        <v>-51275.384136294713</v>
      </c>
      <c r="J1487" s="326">
        <v>146531.2984604995</v>
      </c>
      <c r="K1487" s="326">
        <v>723648.43524028454</v>
      </c>
      <c r="L1487" s="326">
        <v>718545.60413113632</v>
      </c>
      <c r="M1487" s="326">
        <v>928891.77527414076</v>
      </c>
      <c r="N1487" s="326">
        <v>413849.0589128409</v>
      </c>
      <c r="O1487" s="326">
        <v>552139.66615108913</v>
      </c>
      <c r="P1487" s="326">
        <v>716053.20711430314</v>
      </c>
      <c r="Q1487" s="326">
        <v>1160545.9323749724</v>
      </c>
      <c r="R1487" s="326">
        <v>900367.01575890917</v>
      </c>
      <c r="S1487" s="326">
        <v>528542.68658044445</v>
      </c>
      <c r="T1487" s="326">
        <v>783897.5982679493</v>
      </c>
      <c r="U1487" s="326">
        <v>992902.12006654975</v>
      </c>
      <c r="V1487" s="326">
        <v>549718.74941230705</v>
      </c>
      <c r="W1487" s="9"/>
    </row>
    <row r="1488" spans="1:23" ht="13.5" thickBot="1" x14ac:dyDescent="0.25">
      <c r="A1488" s="9"/>
      <c r="B1488" s="333" t="s">
        <v>237</v>
      </c>
      <c r="C1488" s="334"/>
      <c r="D1488" s="335">
        <v>-956676.81974079611</v>
      </c>
      <c r="E1488" s="335">
        <v>-552892.17845515872</v>
      </c>
      <c r="F1488" s="335">
        <v>-339805.25689657364</v>
      </c>
      <c r="G1488" s="335">
        <v>-219440.0038156783</v>
      </c>
      <c r="H1488" s="335">
        <v>-165622.74903039532</v>
      </c>
      <c r="I1488" s="335">
        <v>20510.153654517886</v>
      </c>
      <c r="J1488" s="335">
        <v>-58612.519384199804</v>
      </c>
      <c r="K1488" s="335">
        <v>-289459.37409611384</v>
      </c>
      <c r="L1488" s="335">
        <v>-287418.24165245454</v>
      </c>
      <c r="M1488" s="335">
        <v>-371556.71010965633</v>
      </c>
      <c r="N1488" s="335">
        <v>-165539.62356513637</v>
      </c>
      <c r="O1488" s="335">
        <v>-220855.86646043567</v>
      </c>
      <c r="P1488" s="335">
        <v>-286421.28284572129</v>
      </c>
      <c r="Q1488" s="335">
        <v>-464218.37294998899</v>
      </c>
      <c r="R1488" s="335">
        <v>-360146.8063035637</v>
      </c>
      <c r="S1488" s="335">
        <v>-211417.0746321778</v>
      </c>
      <c r="T1488" s="335">
        <v>-313559.03930717974</v>
      </c>
      <c r="U1488" s="335">
        <v>-397160.84802661993</v>
      </c>
      <c r="V1488" s="335">
        <v>-219887.49976492283</v>
      </c>
      <c r="W1488" s="9"/>
    </row>
    <row r="1489" spans="1:23" ht="13.5" thickTop="1" x14ac:dyDescent="0.2">
      <c r="A1489" s="9"/>
      <c r="B1489" s="323" t="s">
        <v>232</v>
      </c>
      <c r="C1489" s="325"/>
      <c r="D1489" s="326">
        <v>1435015.2296111942</v>
      </c>
      <c r="E1489" s="326">
        <v>829338.26768273802</v>
      </c>
      <c r="F1489" s="326">
        <v>509707.88534486043</v>
      </c>
      <c r="G1489" s="326">
        <v>329160.00572351739</v>
      </c>
      <c r="H1489" s="326">
        <v>248434.12354559297</v>
      </c>
      <c r="I1489" s="326">
        <v>-30765.230481776827</v>
      </c>
      <c r="J1489" s="326">
        <v>87918.779076299688</v>
      </c>
      <c r="K1489" s="326">
        <v>434189.0611441707</v>
      </c>
      <c r="L1489" s="326">
        <v>431127.36247868178</v>
      </c>
      <c r="M1489" s="326">
        <v>557335.06516448443</v>
      </c>
      <c r="N1489" s="326">
        <v>248309.43534770454</v>
      </c>
      <c r="O1489" s="326">
        <v>331283.79969065345</v>
      </c>
      <c r="P1489" s="326">
        <v>429631.92426858185</v>
      </c>
      <c r="Q1489" s="326">
        <v>696327.55942498334</v>
      </c>
      <c r="R1489" s="326">
        <v>540220.20945534552</v>
      </c>
      <c r="S1489" s="326">
        <v>317125.61194826663</v>
      </c>
      <c r="T1489" s="326">
        <v>470338.55896076956</v>
      </c>
      <c r="U1489" s="326">
        <v>595741.27203992987</v>
      </c>
      <c r="V1489" s="326">
        <v>329831.24964738422</v>
      </c>
      <c r="W1489" s="9"/>
    </row>
    <row r="1490" spans="1:23" x14ac:dyDescent="0.2">
      <c r="A1490" s="9"/>
      <c r="B1490" s="9"/>
      <c r="C1490" s="320"/>
      <c r="D1490" s="9"/>
      <c r="E1490" s="321"/>
      <c r="F1490" s="313"/>
      <c r="G1490" s="322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</row>
    <row r="1491" spans="1:23" ht="15.75" x14ac:dyDescent="0.25">
      <c r="A1491" s="336" t="s">
        <v>205</v>
      </c>
      <c r="B1491" s="337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</row>
    <row r="1492" spans="1:23" x14ac:dyDescent="0.2">
      <c r="A1492" s="284" t="s">
        <v>190</v>
      </c>
      <c r="B1492" s="303"/>
      <c r="C1492" s="338">
        <v>0</v>
      </c>
      <c r="D1492" s="277"/>
      <c r="E1492" s="277"/>
      <c r="F1492" s="277"/>
      <c r="G1492" s="277"/>
      <c r="H1492" s="277"/>
      <c r="I1492" s="277"/>
      <c r="J1492" s="277"/>
      <c r="K1492" s="277"/>
      <c r="L1492" s="277"/>
      <c r="M1492" s="277"/>
      <c r="N1492" s="277"/>
      <c r="O1492" s="277"/>
      <c r="P1492" s="277"/>
      <c r="Q1492" s="277"/>
      <c r="R1492" s="277"/>
      <c r="S1492" s="277"/>
      <c r="T1492" s="277"/>
      <c r="U1492" s="277"/>
      <c r="V1492" s="277"/>
      <c r="W1492" s="277"/>
    </row>
    <row r="1493" spans="1:23" x14ac:dyDescent="0.2">
      <c r="A1493" s="284" t="s">
        <v>191</v>
      </c>
      <c r="B1493" s="303"/>
      <c r="C1493" s="339">
        <v>0</v>
      </c>
      <c r="D1493" s="277"/>
      <c r="E1493" s="277"/>
      <c r="F1493" s="277"/>
      <c r="G1493" s="277"/>
      <c r="H1493" s="277"/>
      <c r="I1493" s="277"/>
      <c r="J1493" s="277"/>
      <c r="K1493" s="277"/>
      <c r="L1493" s="277"/>
      <c r="M1493" s="277"/>
      <c r="N1493" s="277"/>
      <c r="O1493" s="277"/>
      <c r="P1493" s="277"/>
      <c r="Q1493" s="277"/>
      <c r="R1493" s="277"/>
      <c r="S1493" s="277"/>
      <c r="T1493" s="277"/>
      <c r="U1493" s="277"/>
      <c r="V1493" s="277"/>
      <c r="W1493" s="277"/>
    </row>
    <row r="1494" spans="1:23" x14ac:dyDescent="0.2">
      <c r="A1494" s="284" t="s">
        <v>201</v>
      </c>
      <c r="B1494" s="303"/>
      <c r="C1494" s="284">
        <v>15</v>
      </c>
      <c r="D1494" s="277"/>
      <c r="E1494" s="277"/>
      <c r="F1494" s="277"/>
      <c r="G1494" s="277"/>
      <c r="H1494" s="277"/>
      <c r="I1494" s="277"/>
      <c r="J1494" s="277"/>
      <c r="K1494" s="277"/>
      <c r="L1494" s="277"/>
      <c r="M1494" s="277"/>
      <c r="N1494" s="277"/>
      <c r="O1494" s="277"/>
      <c r="P1494" s="277"/>
      <c r="Q1494" s="277"/>
      <c r="R1494" s="277"/>
      <c r="S1494" s="277"/>
      <c r="T1494" s="277"/>
      <c r="U1494" s="277"/>
      <c r="V1494" s="277"/>
      <c r="W1494" s="277"/>
    </row>
    <row r="1495" spans="1:23" x14ac:dyDescent="0.2">
      <c r="A1495" s="284" t="s">
        <v>192</v>
      </c>
      <c r="B1495" s="303"/>
      <c r="C1495" s="339">
        <v>0</v>
      </c>
      <c r="D1495" s="277"/>
      <c r="E1495" s="277"/>
      <c r="F1495" s="277"/>
      <c r="G1495" s="277"/>
      <c r="H1495" s="277"/>
      <c r="I1495" s="277"/>
      <c r="J1495" s="277"/>
      <c r="K1495" s="277"/>
      <c r="L1495" s="277"/>
      <c r="M1495" s="277"/>
      <c r="N1495" s="277"/>
      <c r="O1495" s="277"/>
      <c r="P1495" s="277"/>
      <c r="Q1495" s="277"/>
      <c r="R1495" s="277"/>
      <c r="S1495" s="277"/>
      <c r="T1495" s="277"/>
      <c r="U1495" s="277"/>
      <c r="V1495" s="277"/>
      <c r="W1495" s="277"/>
    </row>
    <row r="1496" spans="1:23" x14ac:dyDescent="0.2">
      <c r="A1496" s="284" t="s">
        <v>193</v>
      </c>
      <c r="B1496" s="303"/>
      <c r="C1496" s="340">
        <v>8.7499999999999994E-2</v>
      </c>
      <c r="D1496" s="277"/>
      <c r="E1496" s="277"/>
      <c r="F1496" s="277"/>
      <c r="G1496" s="277"/>
      <c r="H1496" s="277"/>
      <c r="I1496" s="277"/>
      <c r="J1496" s="277"/>
      <c r="K1496" s="277"/>
      <c r="L1496" s="277"/>
      <c r="M1496" s="277"/>
      <c r="N1496" s="277"/>
      <c r="O1496" s="277"/>
      <c r="P1496" s="277"/>
      <c r="Q1496" s="277"/>
      <c r="R1496" s="277"/>
      <c r="S1496" s="277"/>
      <c r="T1496" s="277"/>
      <c r="U1496" s="277"/>
      <c r="V1496" s="277"/>
      <c r="W1496" s="277"/>
    </row>
    <row r="1497" spans="1:23" x14ac:dyDescent="0.2">
      <c r="A1497" s="284"/>
      <c r="B1497" s="303"/>
      <c r="C1497" s="277"/>
      <c r="D1497" s="306">
        <v>2001</v>
      </c>
      <c r="E1497" s="306">
        <v>2002</v>
      </c>
      <c r="F1497" s="306">
        <v>2003</v>
      </c>
      <c r="G1497" s="306">
        <v>2004</v>
      </c>
      <c r="H1497" s="306">
        <v>2005</v>
      </c>
      <c r="I1497" s="306">
        <v>2006</v>
      </c>
      <c r="J1497" s="306">
        <v>2007</v>
      </c>
      <c r="K1497" s="306">
        <v>2008</v>
      </c>
      <c r="L1497" s="306">
        <v>2009</v>
      </c>
      <c r="M1497" s="306">
        <v>2010</v>
      </c>
      <c r="N1497" s="306">
        <v>2011</v>
      </c>
      <c r="O1497" s="306">
        <v>2012</v>
      </c>
      <c r="P1497" s="306">
        <v>2013</v>
      </c>
      <c r="Q1497" s="306">
        <v>2014</v>
      </c>
      <c r="R1497" s="306">
        <v>2015</v>
      </c>
      <c r="S1497" s="306">
        <v>2016</v>
      </c>
      <c r="T1497" s="306">
        <v>2017</v>
      </c>
      <c r="U1497" s="306">
        <v>2018</v>
      </c>
      <c r="V1497" s="306">
        <v>2019</v>
      </c>
      <c r="W1497" s="306" t="s">
        <v>154</v>
      </c>
    </row>
    <row r="1498" spans="1:23" x14ac:dyDescent="0.2">
      <c r="A1498" s="284" t="s">
        <v>194</v>
      </c>
      <c r="B1498" s="303"/>
      <c r="C1498" s="277"/>
      <c r="D1498" s="341">
        <v>0</v>
      </c>
      <c r="E1498" s="341">
        <v>0</v>
      </c>
      <c r="F1498" s="341">
        <v>0</v>
      </c>
      <c r="G1498" s="341">
        <v>0</v>
      </c>
      <c r="H1498" s="341">
        <v>0</v>
      </c>
      <c r="I1498" s="341">
        <v>0</v>
      </c>
      <c r="J1498" s="341">
        <v>0</v>
      </c>
      <c r="K1498" s="341">
        <v>0</v>
      </c>
      <c r="L1498" s="341">
        <v>0</v>
      </c>
      <c r="M1498" s="341">
        <v>0</v>
      </c>
      <c r="N1498" s="341">
        <v>0</v>
      </c>
      <c r="O1498" s="341">
        <v>0</v>
      </c>
      <c r="P1498" s="341">
        <v>0</v>
      </c>
      <c r="Q1498" s="341">
        <v>0</v>
      </c>
      <c r="R1498" s="341">
        <v>0</v>
      </c>
      <c r="S1498" s="341">
        <v>0</v>
      </c>
      <c r="T1498" s="341">
        <v>0</v>
      </c>
      <c r="U1498" s="341">
        <v>0</v>
      </c>
      <c r="V1498" s="341">
        <v>0</v>
      </c>
      <c r="W1498" s="341">
        <v>0</v>
      </c>
    </row>
    <row r="1499" spans="1:23" x14ac:dyDescent="0.2">
      <c r="A1499" s="284" t="s">
        <v>195</v>
      </c>
      <c r="B1499" s="303"/>
      <c r="C1499" s="277"/>
      <c r="D1499" s="341">
        <v>0</v>
      </c>
      <c r="E1499" s="341">
        <v>0</v>
      </c>
      <c r="F1499" s="341">
        <v>0</v>
      </c>
      <c r="G1499" s="341">
        <v>0</v>
      </c>
      <c r="H1499" s="341">
        <v>0</v>
      </c>
      <c r="I1499" s="341">
        <v>0</v>
      </c>
      <c r="J1499" s="341">
        <v>0</v>
      </c>
      <c r="K1499" s="341">
        <v>0</v>
      </c>
      <c r="L1499" s="341">
        <v>0</v>
      </c>
      <c r="M1499" s="341">
        <v>0</v>
      </c>
      <c r="N1499" s="341">
        <v>0</v>
      </c>
      <c r="O1499" s="341">
        <v>0</v>
      </c>
      <c r="P1499" s="341">
        <v>0</v>
      </c>
      <c r="Q1499" s="341">
        <v>0</v>
      </c>
      <c r="R1499" s="341">
        <v>0</v>
      </c>
      <c r="S1499" s="341">
        <v>0</v>
      </c>
      <c r="T1499" s="341">
        <v>0</v>
      </c>
      <c r="U1499" s="341">
        <v>0</v>
      </c>
      <c r="V1499" s="341">
        <v>0</v>
      </c>
      <c r="W1499" s="341">
        <v>0</v>
      </c>
    </row>
    <row r="1500" spans="1:23" x14ac:dyDescent="0.2">
      <c r="A1500" s="284" t="s">
        <v>196</v>
      </c>
      <c r="B1500" s="303"/>
      <c r="C1500" s="277"/>
      <c r="D1500" s="341">
        <v>0</v>
      </c>
      <c r="E1500" s="341">
        <v>0</v>
      </c>
      <c r="F1500" s="341">
        <v>0</v>
      </c>
      <c r="G1500" s="341">
        <v>0</v>
      </c>
      <c r="H1500" s="341">
        <v>0</v>
      </c>
      <c r="I1500" s="341">
        <v>0</v>
      </c>
      <c r="J1500" s="341">
        <v>0</v>
      </c>
      <c r="K1500" s="341">
        <v>0</v>
      </c>
      <c r="L1500" s="341">
        <v>0</v>
      </c>
      <c r="M1500" s="341">
        <v>0</v>
      </c>
      <c r="N1500" s="341">
        <v>0</v>
      </c>
      <c r="O1500" s="341">
        <v>0</v>
      </c>
      <c r="P1500" s="341">
        <v>0</v>
      </c>
      <c r="Q1500" s="341">
        <v>0</v>
      </c>
      <c r="R1500" s="341">
        <v>0</v>
      </c>
      <c r="S1500" s="341">
        <v>0</v>
      </c>
      <c r="T1500" s="341">
        <v>0</v>
      </c>
      <c r="U1500" s="341">
        <v>0</v>
      </c>
      <c r="V1500" s="341">
        <v>0</v>
      </c>
      <c r="W1500" s="341">
        <v>0</v>
      </c>
    </row>
    <row r="1501" spans="1:23" x14ac:dyDescent="0.2">
      <c r="A1501" s="284" t="s">
        <v>197</v>
      </c>
      <c r="B1501" s="303"/>
      <c r="C1501" s="277"/>
      <c r="D1501" s="342">
        <v>0</v>
      </c>
      <c r="E1501" s="342">
        <v>0</v>
      </c>
      <c r="F1501" s="342">
        <v>0</v>
      </c>
      <c r="G1501" s="342">
        <v>0</v>
      </c>
      <c r="H1501" s="342">
        <v>0</v>
      </c>
      <c r="I1501" s="342">
        <v>0</v>
      </c>
      <c r="J1501" s="342">
        <v>0</v>
      </c>
      <c r="K1501" s="342">
        <v>0</v>
      </c>
      <c r="L1501" s="342">
        <v>0</v>
      </c>
      <c r="M1501" s="342">
        <v>0</v>
      </c>
      <c r="N1501" s="342">
        <v>0</v>
      </c>
      <c r="O1501" s="342">
        <v>0</v>
      </c>
      <c r="P1501" s="342">
        <v>0</v>
      </c>
      <c r="Q1501" s="342">
        <v>0</v>
      </c>
      <c r="R1501" s="342">
        <v>0</v>
      </c>
      <c r="S1501" s="342">
        <v>0</v>
      </c>
      <c r="T1501" s="342">
        <v>0</v>
      </c>
      <c r="U1501" s="342">
        <v>0</v>
      </c>
      <c r="V1501" s="342">
        <v>0</v>
      </c>
      <c r="W1501" s="342">
        <v>0</v>
      </c>
    </row>
    <row r="1502" spans="1:23" ht="13.5" thickBot="1" x14ac:dyDescent="0.25">
      <c r="A1502" s="284" t="s">
        <v>198</v>
      </c>
      <c r="B1502" s="303"/>
      <c r="C1502" s="277"/>
      <c r="D1502" s="343">
        <v>0</v>
      </c>
      <c r="E1502" s="343">
        <v>0</v>
      </c>
      <c r="F1502" s="343">
        <v>0</v>
      </c>
      <c r="G1502" s="343">
        <v>0</v>
      </c>
      <c r="H1502" s="343">
        <v>0</v>
      </c>
      <c r="I1502" s="343">
        <v>0</v>
      </c>
      <c r="J1502" s="343">
        <v>0</v>
      </c>
      <c r="K1502" s="343">
        <v>0</v>
      </c>
      <c r="L1502" s="343">
        <v>0</v>
      </c>
      <c r="M1502" s="343">
        <v>0</v>
      </c>
      <c r="N1502" s="343">
        <v>0</v>
      </c>
      <c r="O1502" s="343">
        <v>0</v>
      </c>
      <c r="P1502" s="343">
        <v>0</v>
      </c>
      <c r="Q1502" s="343">
        <v>0</v>
      </c>
      <c r="R1502" s="343">
        <v>0</v>
      </c>
      <c r="S1502" s="343">
        <v>0</v>
      </c>
      <c r="T1502" s="343">
        <v>0</v>
      </c>
      <c r="U1502" s="343">
        <v>0</v>
      </c>
      <c r="V1502" s="343">
        <v>0</v>
      </c>
      <c r="W1502" s="343">
        <v>0</v>
      </c>
    </row>
    <row r="1503" spans="1:23" ht="13.5" thickTop="1" x14ac:dyDescent="0.2">
      <c r="A1503" s="284"/>
      <c r="B1503" s="303"/>
      <c r="C1503" s="277"/>
      <c r="D1503" s="341"/>
      <c r="E1503" s="341"/>
      <c r="F1503" s="341"/>
      <c r="G1503" s="341"/>
      <c r="H1503" s="341"/>
      <c r="I1503" s="341"/>
      <c r="J1503" s="341"/>
      <c r="K1503" s="341"/>
      <c r="L1503" s="341"/>
      <c r="M1503" s="341"/>
      <c r="N1503" s="341"/>
      <c r="O1503" s="341"/>
      <c r="P1503" s="341"/>
      <c r="Q1503" s="341"/>
      <c r="R1503" s="341"/>
      <c r="S1503" s="341"/>
      <c r="T1503" s="341"/>
      <c r="U1503" s="341"/>
      <c r="V1503" s="341"/>
      <c r="W1503" s="341"/>
    </row>
    <row r="1504" spans="1:23" x14ac:dyDescent="0.2">
      <c r="A1504" s="284" t="s">
        <v>199</v>
      </c>
      <c r="B1504" s="303"/>
      <c r="C1504" s="277"/>
      <c r="D1504" s="341">
        <v>0</v>
      </c>
      <c r="E1504" s="341">
        <v>0</v>
      </c>
      <c r="F1504" s="341">
        <v>0</v>
      </c>
      <c r="G1504" s="341">
        <v>0</v>
      </c>
      <c r="H1504" s="341">
        <v>0</v>
      </c>
      <c r="I1504" s="341">
        <v>0</v>
      </c>
      <c r="J1504" s="341">
        <v>0</v>
      </c>
      <c r="K1504" s="341">
        <v>0</v>
      </c>
      <c r="L1504" s="341">
        <v>0</v>
      </c>
      <c r="M1504" s="341">
        <v>0</v>
      </c>
      <c r="N1504" s="341">
        <v>0</v>
      </c>
      <c r="O1504" s="341">
        <v>0</v>
      </c>
      <c r="P1504" s="341">
        <v>0</v>
      </c>
      <c r="Q1504" s="341">
        <v>0</v>
      </c>
      <c r="R1504" s="341">
        <v>0</v>
      </c>
      <c r="S1504" s="341">
        <v>0</v>
      </c>
      <c r="T1504" s="341">
        <v>0</v>
      </c>
      <c r="U1504" s="341">
        <v>0</v>
      </c>
      <c r="V1504" s="341">
        <v>0</v>
      </c>
      <c r="W1504" s="341">
        <v>0</v>
      </c>
    </row>
    <row r="1505" spans="1:23" x14ac:dyDescent="0.2">
      <c r="A1505" s="284"/>
      <c r="B1505" s="303"/>
      <c r="C1505" s="277"/>
      <c r="D1505" s="277"/>
      <c r="E1505" s="277"/>
      <c r="F1505" s="277"/>
      <c r="G1505" s="277"/>
      <c r="H1505" s="277"/>
      <c r="I1505" s="277"/>
      <c r="J1505" s="277"/>
      <c r="K1505" s="277"/>
      <c r="L1505" s="277"/>
      <c r="M1505" s="277"/>
      <c r="N1505" s="277"/>
      <c r="O1505" s="277"/>
      <c r="P1505" s="277"/>
      <c r="Q1505" s="277"/>
      <c r="R1505" s="277"/>
      <c r="S1505" s="277"/>
      <c r="T1505" s="277"/>
      <c r="U1505" s="277"/>
      <c r="V1505" s="277"/>
      <c r="W1505" s="277"/>
    </row>
    <row r="1506" spans="1:23" x14ac:dyDescent="0.2">
      <c r="A1506" s="284" t="s">
        <v>200</v>
      </c>
      <c r="B1506" s="303"/>
      <c r="C1506" s="277"/>
      <c r="D1506" s="341">
        <v>0</v>
      </c>
      <c r="E1506" s="341">
        <v>0</v>
      </c>
      <c r="F1506" s="341">
        <v>0</v>
      </c>
      <c r="G1506" s="341">
        <v>0</v>
      </c>
      <c r="H1506" s="341">
        <v>0</v>
      </c>
      <c r="I1506" s="341">
        <v>0</v>
      </c>
      <c r="J1506" s="341">
        <v>0</v>
      </c>
      <c r="K1506" s="341">
        <v>0</v>
      </c>
      <c r="L1506" s="341">
        <v>0</v>
      </c>
      <c r="M1506" s="341">
        <v>0</v>
      </c>
      <c r="N1506" s="341">
        <v>0</v>
      </c>
      <c r="O1506" s="341">
        <v>0</v>
      </c>
      <c r="P1506" s="341">
        <v>0</v>
      </c>
      <c r="Q1506" s="341">
        <v>0</v>
      </c>
      <c r="R1506" s="341">
        <v>0</v>
      </c>
      <c r="S1506" s="341">
        <v>0</v>
      </c>
      <c r="T1506" s="341">
        <v>0</v>
      </c>
      <c r="U1506" s="341">
        <v>0</v>
      </c>
      <c r="V1506" s="341">
        <v>0</v>
      </c>
      <c r="W1506" s="341">
        <v>0</v>
      </c>
    </row>
    <row r="1507" spans="1:23" x14ac:dyDescent="0.2">
      <c r="A1507" s="277"/>
      <c r="B1507" s="303"/>
      <c r="C1507" s="277"/>
      <c r="D1507" s="277"/>
      <c r="E1507" s="277"/>
      <c r="F1507" s="277"/>
      <c r="G1507" s="277"/>
      <c r="H1507" s="277"/>
      <c r="I1507" s="277"/>
      <c r="J1507" s="277"/>
      <c r="K1507" s="277"/>
      <c r="L1507" s="277"/>
      <c r="M1507" s="277"/>
      <c r="N1507" s="277"/>
      <c r="O1507" s="277"/>
      <c r="P1507" s="277"/>
      <c r="Q1507" s="277"/>
      <c r="R1507" s="277"/>
      <c r="S1507" s="277"/>
      <c r="T1507" s="277"/>
      <c r="U1507" s="277"/>
      <c r="V1507" s="277"/>
      <c r="W1507" s="277"/>
    </row>
    <row r="1508" spans="1:23" x14ac:dyDescent="0.2">
      <c r="A1508" s="277"/>
      <c r="B1508" s="303"/>
      <c r="C1508" s="277"/>
      <c r="D1508" s="277"/>
      <c r="E1508" s="277"/>
      <c r="F1508" s="277"/>
      <c r="G1508" s="277"/>
      <c r="H1508" s="277"/>
      <c r="I1508" s="277"/>
      <c r="J1508" s="277"/>
      <c r="K1508" s="277"/>
      <c r="L1508" s="277"/>
      <c r="M1508" s="277"/>
      <c r="N1508" s="277"/>
      <c r="O1508" s="277"/>
      <c r="P1508" s="277"/>
      <c r="Q1508" s="277"/>
      <c r="R1508" s="277"/>
      <c r="S1508" s="277"/>
      <c r="T1508" s="277"/>
      <c r="U1508" s="277"/>
      <c r="V1508" s="277"/>
      <c r="W1508" s="277"/>
    </row>
    <row r="1509" spans="1:23" x14ac:dyDescent="0.2">
      <c r="A1509" s="284" t="s">
        <v>202</v>
      </c>
      <c r="B1509" s="279"/>
      <c r="C1509" s="278"/>
      <c r="D1509" s="435">
        <v>1929472.0403172909</v>
      </c>
      <c r="E1509" s="435">
        <v>1313034.7749646967</v>
      </c>
      <c r="F1509" s="435">
        <v>976375.81431647541</v>
      </c>
      <c r="G1509" s="435">
        <v>781393.18116883072</v>
      </c>
      <c r="H1509" s="435">
        <v>503076.73951749469</v>
      </c>
      <c r="I1509" s="435">
        <v>224540.15403422003</v>
      </c>
      <c r="J1509" s="435">
        <v>290671.43098896509</v>
      </c>
      <c r="K1509" s="435">
        <v>598347.57732074161</v>
      </c>
      <c r="L1509" s="435">
        <v>579746.0406378886</v>
      </c>
      <c r="M1509" s="435">
        <v>709236.48877371429</v>
      </c>
      <c r="N1509" s="435">
        <v>398881.8991070753</v>
      </c>
      <c r="O1509" s="435">
        <v>480220.08947668958</v>
      </c>
      <c r="P1509" s="435">
        <v>533434.54935704404</v>
      </c>
      <c r="Q1509" s="435">
        <v>708697.72410481796</v>
      </c>
      <c r="R1509" s="435">
        <v>425737.38104714808</v>
      </c>
      <c r="S1509" s="435">
        <v>201516.25065425067</v>
      </c>
      <c r="T1509" s="435">
        <v>359879.97606024652</v>
      </c>
      <c r="U1509" s="435">
        <v>491049.29461344669</v>
      </c>
      <c r="V1509" s="435">
        <v>230695.83667635731</v>
      </c>
      <c r="W1509" s="435">
        <v>2789233.755675741</v>
      </c>
    </row>
    <row r="1510" spans="1:23" x14ac:dyDescent="0.2">
      <c r="A1510" s="9"/>
      <c r="B1510" s="6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</row>
    <row r="1511" spans="1:23" ht="15.75" x14ac:dyDescent="0.25">
      <c r="A1511" s="367"/>
      <c r="B1511" s="368"/>
    </row>
    <row r="1512" spans="1:23" x14ac:dyDescent="0.2">
      <c r="A1512" s="292"/>
      <c r="B1512" s="360"/>
      <c r="C1512" s="369"/>
      <c r="D1512" s="370"/>
      <c r="E1512" s="370"/>
      <c r="F1512" s="370"/>
      <c r="G1512" s="370"/>
      <c r="H1512" s="370"/>
      <c r="I1512" s="370"/>
      <c r="J1512" s="370"/>
      <c r="K1512" s="370"/>
      <c r="L1512" s="370"/>
      <c r="M1512" s="370"/>
      <c r="N1512" s="370"/>
      <c r="O1512" s="370"/>
      <c r="P1512" s="370"/>
      <c r="Q1512" s="370"/>
      <c r="R1512" s="370"/>
      <c r="S1512" s="370"/>
      <c r="T1512" s="370"/>
      <c r="U1512" s="370"/>
      <c r="V1512" s="370"/>
      <c r="W1512" s="370"/>
    </row>
    <row r="1513" spans="1:23" x14ac:dyDescent="0.2">
      <c r="A1513" s="292"/>
      <c r="B1513" s="360"/>
      <c r="C1513" s="371"/>
      <c r="D1513" s="370"/>
      <c r="E1513" s="370"/>
      <c r="F1513" s="370"/>
      <c r="G1513" s="370"/>
      <c r="H1513" s="370"/>
      <c r="I1513" s="370"/>
      <c r="J1513" s="370"/>
      <c r="K1513" s="370"/>
      <c r="L1513" s="370"/>
      <c r="M1513" s="370"/>
      <c r="N1513" s="370"/>
      <c r="O1513" s="370"/>
      <c r="P1513" s="370"/>
      <c r="Q1513" s="370"/>
      <c r="R1513" s="370"/>
      <c r="S1513" s="370"/>
      <c r="T1513" s="370"/>
      <c r="U1513" s="370"/>
      <c r="V1513" s="370"/>
      <c r="W1513" s="370"/>
    </row>
    <row r="1514" spans="1:23" x14ac:dyDescent="0.2">
      <c r="A1514" s="292"/>
      <c r="B1514" s="360"/>
      <c r="C1514" s="292"/>
      <c r="D1514" s="370"/>
      <c r="E1514" s="370"/>
      <c r="F1514" s="370"/>
      <c r="G1514" s="370"/>
      <c r="H1514" s="370"/>
      <c r="I1514" s="370"/>
      <c r="J1514" s="370"/>
      <c r="K1514" s="370"/>
      <c r="L1514" s="370"/>
      <c r="M1514" s="370"/>
      <c r="N1514" s="370"/>
      <c r="O1514" s="370"/>
      <c r="P1514" s="370"/>
      <c r="Q1514" s="370"/>
      <c r="R1514" s="370"/>
      <c r="S1514" s="370"/>
      <c r="T1514" s="370"/>
      <c r="U1514" s="370"/>
      <c r="V1514" s="370"/>
      <c r="W1514" s="370"/>
    </row>
    <row r="1515" spans="1:23" x14ac:dyDescent="0.2">
      <c r="A1515" s="292"/>
      <c r="B1515" s="360"/>
      <c r="C1515" s="371"/>
      <c r="D1515" s="370"/>
      <c r="E1515" s="370"/>
      <c r="F1515" s="370"/>
      <c r="G1515" s="370"/>
      <c r="H1515" s="370"/>
      <c r="I1515" s="370"/>
      <c r="J1515" s="370"/>
      <c r="K1515" s="370"/>
      <c r="L1515" s="370"/>
      <c r="M1515" s="370"/>
      <c r="N1515" s="370"/>
      <c r="O1515" s="370"/>
      <c r="P1515" s="370"/>
      <c r="Q1515" s="370"/>
      <c r="R1515" s="370"/>
      <c r="S1515" s="370"/>
      <c r="T1515" s="370"/>
      <c r="U1515" s="370"/>
      <c r="V1515" s="370"/>
      <c r="W1515" s="370"/>
    </row>
    <row r="1516" spans="1:23" x14ac:dyDescent="0.2">
      <c r="A1516" s="292"/>
      <c r="B1516" s="360"/>
      <c r="C1516" s="372"/>
      <c r="D1516" s="370"/>
      <c r="E1516" s="370"/>
      <c r="F1516" s="370"/>
      <c r="G1516" s="370"/>
      <c r="H1516" s="370"/>
      <c r="I1516" s="370"/>
      <c r="J1516" s="370"/>
      <c r="K1516" s="370"/>
      <c r="L1516" s="370"/>
      <c r="M1516" s="370"/>
      <c r="N1516" s="370"/>
      <c r="O1516" s="370"/>
      <c r="P1516" s="370"/>
      <c r="Q1516" s="370"/>
      <c r="R1516" s="370"/>
      <c r="S1516" s="370"/>
      <c r="T1516" s="370"/>
      <c r="U1516" s="370"/>
      <c r="V1516" s="370"/>
      <c r="W1516" s="370"/>
    </row>
    <row r="1517" spans="1:23" x14ac:dyDescent="0.2">
      <c r="A1517" s="292"/>
      <c r="B1517" s="360"/>
      <c r="C1517" s="370"/>
      <c r="D1517" s="347"/>
      <c r="E1517" s="347"/>
      <c r="F1517" s="347"/>
      <c r="G1517" s="347"/>
      <c r="H1517" s="347"/>
      <c r="I1517" s="347"/>
      <c r="J1517" s="347"/>
      <c r="K1517" s="347"/>
      <c r="L1517" s="347"/>
      <c r="M1517" s="347"/>
      <c r="N1517" s="347"/>
      <c r="O1517" s="347"/>
      <c r="P1517" s="347"/>
      <c r="Q1517" s="347"/>
      <c r="R1517" s="347"/>
      <c r="S1517" s="347"/>
      <c r="T1517" s="347"/>
      <c r="U1517" s="347"/>
      <c r="V1517" s="347"/>
      <c r="W1517" s="347"/>
    </row>
    <row r="1518" spans="1:23" ht="15.75" x14ac:dyDescent="0.25">
      <c r="A1518" s="302" t="s">
        <v>29</v>
      </c>
      <c r="B1518" s="305" t="s">
        <v>76</v>
      </c>
      <c r="C1518" s="306">
        <v>2000</v>
      </c>
      <c r="D1518" s="306">
        <v>2001</v>
      </c>
      <c r="E1518" s="306">
        <v>2002</v>
      </c>
      <c r="F1518" s="306">
        <v>2003</v>
      </c>
      <c r="G1518" s="306">
        <v>2004</v>
      </c>
      <c r="H1518" s="306">
        <v>2005</v>
      </c>
      <c r="I1518" s="306">
        <v>2006</v>
      </c>
      <c r="J1518" s="306">
        <v>2007</v>
      </c>
      <c r="K1518" s="306">
        <v>2008</v>
      </c>
      <c r="L1518" s="306">
        <v>2009</v>
      </c>
      <c r="M1518" s="306">
        <v>2010</v>
      </c>
      <c r="N1518" s="306">
        <v>2011</v>
      </c>
      <c r="O1518" s="306">
        <v>2012</v>
      </c>
      <c r="P1518" s="306">
        <v>2013</v>
      </c>
      <c r="Q1518" s="306">
        <v>2014</v>
      </c>
      <c r="R1518" s="306">
        <v>2015</v>
      </c>
      <c r="S1518" s="306">
        <v>2016</v>
      </c>
      <c r="T1518" s="306">
        <v>2017</v>
      </c>
      <c r="U1518" s="306">
        <v>2018</v>
      </c>
      <c r="V1518" s="306">
        <v>2019</v>
      </c>
      <c r="W1518" s="306" t="s">
        <v>154</v>
      </c>
    </row>
    <row r="1519" spans="1:23" x14ac:dyDescent="0.2">
      <c r="A1519" s="302" t="s">
        <v>26</v>
      </c>
      <c r="B1519" s="303">
        <v>51.225000000000001</v>
      </c>
      <c r="C1519" s="308"/>
      <c r="D1519" s="308"/>
      <c r="E1519" s="308"/>
      <c r="F1519" s="308"/>
      <c r="G1519" s="308"/>
      <c r="H1519" s="308"/>
      <c r="I1519" s="308"/>
      <c r="J1519" s="308"/>
      <c r="K1519" s="308"/>
      <c r="L1519" s="308"/>
      <c r="M1519" s="308"/>
      <c r="N1519" s="308"/>
      <c r="O1519" s="308"/>
      <c r="P1519" s="308"/>
      <c r="Q1519" s="308"/>
      <c r="R1519" s="308"/>
      <c r="S1519" s="308"/>
      <c r="T1519" s="308"/>
      <c r="U1519" s="308"/>
      <c r="V1519" s="308"/>
      <c r="W1519" s="308"/>
    </row>
    <row r="1520" spans="1:23" x14ac:dyDescent="0.2">
      <c r="A1520" s="9"/>
      <c r="B1520" s="309" t="s">
        <v>27</v>
      </c>
      <c r="C1520" s="443">
        <v>0</v>
      </c>
      <c r="D1520" s="404">
        <v>4173272.135473615</v>
      </c>
      <c r="E1520" s="404">
        <v>3336543.8193901638</v>
      </c>
      <c r="F1520" s="404">
        <v>2771530.811703233</v>
      </c>
      <c r="G1520" s="404">
        <v>2486417.3009925336</v>
      </c>
      <c r="H1520" s="404">
        <v>2957557.5101935477</v>
      </c>
      <c r="I1520" s="404">
        <v>2731177.540879806</v>
      </c>
      <c r="J1520" s="404">
        <v>2671668.7777746529</v>
      </c>
      <c r="K1520" s="404">
        <v>4099251.7252914133</v>
      </c>
      <c r="L1520" s="404">
        <v>4150887.3304538289</v>
      </c>
      <c r="M1520" s="404">
        <v>4383220.7144428911</v>
      </c>
      <c r="N1520" s="404">
        <v>3427575.6979343127</v>
      </c>
      <c r="O1520" s="404">
        <v>4360652.2988399481</v>
      </c>
      <c r="P1520" s="404">
        <v>3733289.0387665611</v>
      </c>
      <c r="Q1520" s="404">
        <v>4762503.0610550325</v>
      </c>
      <c r="R1520" s="404">
        <v>4233544.4419203447</v>
      </c>
      <c r="S1520" s="404">
        <v>3344910.620600868</v>
      </c>
      <c r="T1520" s="404">
        <v>3656345.5456330781</v>
      </c>
      <c r="U1520" s="404">
        <v>4710739.3380201031</v>
      </c>
      <c r="V1520" s="404">
        <v>5317042.1057829261</v>
      </c>
      <c r="W1520" s="327"/>
    </row>
    <row r="1521" spans="1:23" x14ac:dyDescent="0.2">
      <c r="A1521" s="9"/>
      <c r="B1521" s="309" t="s">
        <v>20</v>
      </c>
      <c r="C1521" s="443">
        <v>0</v>
      </c>
      <c r="D1521" s="404">
        <v>-1014828.7504076151</v>
      </c>
      <c r="E1521" s="404">
        <v>-1103189.6758056004</v>
      </c>
      <c r="F1521" s="404">
        <v>-960682.64683507406</v>
      </c>
      <c r="G1521" s="404">
        <v>-991659.70651136339</v>
      </c>
      <c r="H1521" s="404">
        <v>-1464368.7005883786</v>
      </c>
      <c r="I1521" s="404">
        <v>-1528562.5950665644</v>
      </c>
      <c r="J1521" s="404">
        <v>-1355653.2737954785</v>
      </c>
      <c r="K1521" s="404">
        <v>-2113963.2795831379</v>
      </c>
      <c r="L1521" s="404">
        <v>-2144949.2489353046</v>
      </c>
      <c r="M1521" s="404">
        <v>-2164648.4351855358</v>
      </c>
      <c r="N1521" s="404">
        <v>-1807332.6418929831</v>
      </c>
      <c r="O1521" s="404">
        <v>-2369988.2656391095</v>
      </c>
      <c r="P1521" s="404">
        <v>-1849371.4806239253</v>
      </c>
      <c r="Q1521" s="404">
        <v>-2401822.1982134199</v>
      </c>
      <c r="R1521" s="404">
        <v>-2286059.3056309149</v>
      </c>
      <c r="S1521" s="404">
        <v>-1829657.9906264753</v>
      </c>
      <c r="T1521" s="404">
        <v>-1917552.4195994532</v>
      </c>
      <c r="U1521" s="404">
        <v>-2579940.6358794854</v>
      </c>
      <c r="V1521" s="404">
        <v>-3469740.2191837477</v>
      </c>
      <c r="W1521" s="327"/>
    </row>
    <row r="1522" spans="1:23" x14ac:dyDescent="0.2">
      <c r="A1522" s="9"/>
      <c r="B1522" s="309" t="s">
        <v>31</v>
      </c>
      <c r="C1522" s="443">
        <v>0</v>
      </c>
      <c r="D1522" s="404">
        <v>-32661.709008007445</v>
      </c>
      <c r="E1522" s="404">
        <v>-40135.677572451532</v>
      </c>
      <c r="F1522" s="404">
        <v>-36577.732705488335</v>
      </c>
      <c r="G1522" s="404">
        <v>-37291.019230674334</v>
      </c>
      <c r="H1522" s="404">
        <v>-55519.947524179413</v>
      </c>
      <c r="I1522" s="404">
        <v>-60077.836040779497</v>
      </c>
      <c r="J1522" s="404">
        <v>-54305.224355537204</v>
      </c>
      <c r="K1522" s="404">
        <v>-92448.621863654014</v>
      </c>
      <c r="L1522" s="404">
        <v>-93901.676510381483</v>
      </c>
      <c r="M1522" s="404">
        <v>-92184.275781709279</v>
      </c>
      <c r="N1522" s="404">
        <v>-77753.02173522755</v>
      </c>
      <c r="O1522" s="404">
        <v>-103672.41806919631</v>
      </c>
      <c r="P1522" s="404">
        <v>-79173.005483192144</v>
      </c>
      <c r="Q1522" s="404">
        <v>-103660.33471006992</v>
      </c>
      <c r="R1522" s="404">
        <v>-92744.77415854072</v>
      </c>
      <c r="S1522" s="404">
        <v>-72717.023898329324</v>
      </c>
      <c r="T1522" s="404">
        <v>-75426.80569574752</v>
      </c>
      <c r="U1522" s="404">
        <v>-97037.32962618921</v>
      </c>
      <c r="V1522" s="404">
        <v>-129811.47328511369</v>
      </c>
      <c r="W1522" s="327"/>
    </row>
    <row r="1523" spans="1:23" x14ac:dyDescent="0.2">
      <c r="A1523" s="9"/>
      <c r="B1523" s="309" t="s">
        <v>32</v>
      </c>
      <c r="C1523" s="443">
        <v>0</v>
      </c>
      <c r="D1523" s="404">
        <v>0</v>
      </c>
      <c r="E1523" s="404">
        <v>0</v>
      </c>
      <c r="F1523" s="404">
        <v>0</v>
      </c>
      <c r="G1523" s="404">
        <v>0</v>
      </c>
      <c r="H1523" s="404">
        <v>0</v>
      </c>
      <c r="I1523" s="404">
        <v>-21176.66010559116</v>
      </c>
      <c r="J1523" s="404">
        <v>-20791.176711573826</v>
      </c>
      <c r="K1523" s="404">
        <v>-39807.118214209113</v>
      </c>
      <c r="L1523" s="404">
        <v>-41915.070394003727</v>
      </c>
      <c r="M1523" s="404">
        <v>-44865.437817208614</v>
      </c>
      <c r="N1523" s="404">
        <v>-40876.087906718771</v>
      </c>
      <c r="O1523" s="404">
        <v>-59183.915727549131</v>
      </c>
      <c r="P1523" s="404">
        <v>-49630.067064999646</v>
      </c>
      <c r="Q1523" s="404">
        <v>-70963.990362827637</v>
      </c>
      <c r="R1523" s="404">
        <v>-68907.715495013719</v>
      </c>
      <c r="S1523" s="404">
        <v>-58073.264535054957</v>
      </c>
      <c r="T1523" s="404">
        <v>-58137.824943472377</v>
      </c>
      <c r="U1523" s="404">
        <v>-62643.314655277485</v>
      </c>
      <c r="V1523" s="404">
        <v>-85243.084360858964</v>
      </c>
      <c r="W1523" s="327"/>
    </row>
    <row r="1524" spans="1:23" ht="13.5" thickBot="1" x14ac:dyDescent="0.25">
      <c r="A1524" s="9"/>
      <c r="B1524" s="310" t="s">
        <v>33</v>
      </c>
      <c r="C1524" s="444">
        <v>0</v>
      </c>
      <c r="D1524" s="406">
        <v>0</v>
      </c>
      <c r="E1524" s="406">
        <v>0</v>
      </c>
      <c r="F1524" s="406">
        <v>0</v>
      </c>
      <c r="G1524" s="406">
        <v>0</v>
      </c>
      <c r="H1524" s="406">
        <v>0</v>
      </c>
      <c r="I1524" s="406">
        <v>-21176.66010559116</v>
      </c>
      <c r="J1524" s="406">
        <v>-20791.176711573826</v>
      </c>
      <c r="K1524" s="406">
        <v>-39807.118214209113</v>
      </c>
      <c r="L1524" s="406">
        <v>-41915.070394003727</v>
      </c>
      <c r="M1524" s="406">
        <v>-44865.437817208614</v>
      </c>
      <c r="N1524" s="406">
        <v>-40876.087906718771</v>
      </c>
      <c r="O1524" s="406">
        <v>-59183.915727549131</v>
      </c>
      <c r="P1524" s="406">
        <v>-49630.067064999646</v>
      </c>
      <c r="Q1524" s="406">
        <v>-70963.990362827637</v>
      </c>
      <c r="R1524" s="406">
        <v>-68907.715495013719</v>
      </c>
      <c r="S1524" s="406">
        <v>-58073.264535054957</v>
      </c>
      <c r="T1524" s="406">
        <v>-58137.824943472377</v>
      </c>
      <c r="U1524" s="406">
        <v>-62643.314655277485</v>
      </c>
      <c r="V1524" s="406">
        <v>-85243.084360858964</v>
      </c>
      <c r="W1524" s="327"/>
    </row>
    <row r="1525" spans="1:23" ht="13.5" thickTop="1" x14ac:dyDescent="0.2">
      <c r="A1525" s="9"/>
      <c r="B1525" s="311" t="s">
        <v>38</v>
      </c>
      <c r="C1525" s="445">
        <v>0</v>
      </c>
      <c r="D1525" s="408">
        <v>3125781.6760579925</v>
      </c>
      <c r="E1525" s="408">
        <v>2193218.4660121119</v>
      </c>
      <c r="F1525" s="408">
        <v>1774270.4321626707</v>
      </c>
      <c r="G1525" s="408">
        <v>1457466.5752504959</v>
      </c>
      <c r="H1525" s="408">
        <v>1437668.8620809896</v>
      </c>
      <c r="I1525" s="408">
        <v>1100183.7895612798</v>
      </c>
      <c r="J1525" s="408">
        <v>1220127.9262004897</v>
      </c>
      <c r="K1525" s="408">
        <v>1813225.587416203</v>
      </c>
      <c r="L1525" s="408">
        <v>1828206.2642201353</v>
      </c>
      <c r="M1525" s="408">
        <v>2036657.1278412286</v>
      </c>
      <c r="N1525" s="408">
        <v>1460737.8584926645</v>
      </c>
      <c r="O1525" s="408">
        <v>1768623.7836765437</v>
      </c>
      <c r="P1525" s="408">
        <v>1705484.4185294444</v>
      </c>
      <c r="Q1525" s="408">
        <v>2115092.5474058874</v>
      </c>
      <c r="R1525" s="408">
        <v>1716924.9311408619</v>
      </c>
      <c r="S1525" s="408">
        <v>1326389.0770059533</v>
      </c>
      <c r="T1525" s="408">
        <v>1547090.6704509326</v>
      </c>
      <c r="U1525" s="408">
        <v>1908474.7432038735</v>
      </c>
      <c r="V1525" s="408">
        <v>1547004.2445923469</v>
      </c>
      <c r="W1525" s="327"/>
    </row>
    <row r="1526" spans="1:23" x14ac:dyDescent="0.2">
      <c r="A1526" s="9"/>
      <c r="B1526" s="309" t="s">
        <v>34</v>
      </c>
      <c r="C1526" s="443">
        <v>0</v>
      </c>
      <c r="D1526" s="404">
        <v>-91566.271378944657</v>
      </c>
      <c r="E1526" s="404">
        <v>-93397.59680652355</v>
      </c>
      <c r="F1526" s="404">
        <v>-95265.54874265402</v>
      </c>
      <c r="G1526" s="404">
        <v>-97170.859717507105</v>
      </c>
      <c r="H1526" s="404">
        <v>-99114.276911857247</v>
      </c>
      <c r="I1526" s="404">
        <v>-101096.5624500944</v>
      </c>
      <c r="J1526" s="404">
        <v>-103118.49369909629</v>
      </c>
      <c r="K1526" s="404">
        <v>-105180.86357307821</v>
      </c>
      <c r="L1526" s="404">
        <v>-107284.48084453978</v>
      </c>
      <c r="M1526" s="404">
        <v>-109430.17046143058</v>
      </c>
      <c r="N1526" s="404">
        <v>-111618.77387065919</v>
      </c>
      <c r="O1526" s="404">
        <v>-113851.14934807237</v>
      </c>
      <c r="P1526" s="404">
        <v>-116128.17233503383</v>
      </c>
      <c r="Q1526" s="404">
        <v>-118450.7357817345</v>
      </c>
      <c r="R1526" s="404">
        <v>-120819.7504973692</v>
      </c>
      <c r="S1526" s="404">
        <v>-123236.14550731659</v>
      </c>
      <c r="T1526" s="404">
        <v>-125700.86841746292</v>
      </c>
      <c r="U1526" s="404">
        <v>-128214.88578581218</v>
      </c>
      <c r="V1526" s="404">
        <v>-130779.18350152842</v>
      </c>
      <c r="W1526" s="327"/>
    </row>
    <row r="1527" spans="1:23" x14ac:dyDescent="0.2">
      <c r="A1527" s="9"/>
      <c r="B1527" s="309" t="s">
        <v>35</v>
      </c>
      <c r="C1527" s="443">
        <v>0</v>
      </c>
      <c r="D1527" s="404">
        <v>-45161.410471875002</v>
      </c>
      <c r="E1527" s="404">
        <v>-45161.410471875002</v>
      </c>
      <c r="F1527" s="404">
        <v>-45161.410471875002</v>
      </c>
      <c r="G1527" s="404">
        <v>-45161.410471875002</v>
      </c>
      <c r="H1527" s="404">
        <v>-45161.410471875002</v>
      </c>
      <c r="I1527" s="404">
        <v>-45161.410471875002</v>
      </c>
      <c r="J1527" s="404">
        <v>-45161.410471875002</v>
      </c>
      <c r="K1527" s="404">
        <v>-45161.410471875002</v>
      </c>
      <c r="L1527" s="404">
        <v>-45161.410471875002</v>
      </c>
      <c r="M1527" s="404">
        <v>-45161.410471875002</v>
      </c>
      <c r="N1527" s="404">
        <v>-45161.410471875002</v>
      </c>
      <c r="O1527" s="404">
        <v>-45161.410471875002</v>
      </c>
      <c r="P1527" s="404">
        <v>-45161.410471875002</v>
      </c>
      <c r="Q1527" s="404">
        <v>-45161.410471875002</v>
      </c>
      <c r="R1527" s="404">
        <v>-45161.410471875002</v>
      </c>
      <c r="S1527" s="404">
        <v>-45161.410471875002</v>
      </c>
      <c r="T1527" s="404">
        <v>-45161.410471875002</v>
      </c>
      <c r="U1527" s="404">
        <v>-45161.410471875002</v>
      </c>
      <c r="V1527" s="404">
        <v>-45161.410471875002</v>
      </c>
      <c r="W1527" s="327"/>
    </row>
    <row r="1528" spans="1:23" ht="13.5" thickBot="1" x14ac:dyDescent="0.25">
      <c r="A1528" s="9"/>
      <c r="B1528" s="310" t="s">
        <v>36</v>
      </c>
      <c r="C1528" s="444">
        <v>0</v>
      </c>
      <c r="D1528" s="406">
        <v>-4145.6628847028896</v>
      </c>
      <c r="E1528" s="406">
        <v>-4233.13637157014</v>
      </c>
      <c r="F1528" s="406">
        <v>-4325.8420581075297</v>
      </c>
      <c r="G1528" s="406">
        <v>-4423.6060886207297</v>
      </c>
      <c r="H1528" s="406">
        <v>-4528.8879135299103</v>
      </c>
      <c r="I1528" s="406">
        <v>-4642.38229994021</v>
      </c>
      <c r="J1528" s="406">
        <v>-4757.52631405997</v>
      </c>
      <c r="K1528" s="406">
        <v>-4877.9491368499903</v>
      </c>
      <c r="L1528" s="406">
        <v>-4998.4344805301898</v>
      </c>
      <c r="M1528" s="406">
        <v>-5125.8945597837001</v>
      </c>
      <c r="N1528" s="406">
        <v>-5249.9412081304899</v>
      </c>
      <c r="O1528" s="406">
        <v>-5382.2397265753598</v>
      </c>
      <c r="P1528" s="406">
        <v>-5518.9486156303601</v>
      </c>
      <c r="Q1528" s="406">
        <v>-5656.92233102112</v>
      </c>
      <c r="R1528" s="406">
        <v>-5798.9110815297499</v>
      </c>
      <c r="S1528" s="406">
        <v>-5943.8838585679996</v>
      </c>
      <c r="T1528" s="406">
        <v>-6091.2921782604799</v>
      </c>
      <c r="U1528" s="406">
        <v>-6244.18361193483</v>
      </c>
      <c r="V1528" s="406">
        <v>-6400.9126205943903</v>
      </c>
      <c r="W1528" s="327"/>
    </row>
    <row r="1529" spans="1:23" ht="13.5" thickTop="1" x14ac:dyDescent="0.2">
      <c r="A1529" s="9"/>
      <c r="B1529" s="311" t="s">
        <v>220</v>
      </c>
      <c r="C1529" s="446">
        <v>0</v>
      </c>
      <c r="D1529" s="410">
        <v>2984908.3313224697</v>
      </c>
      <c r="E1529" s="410">
        <v>2050426.3223621433</v>
      </c>
      <c r="F1529" s="410">
        <v>1629517.6308900341</v>
      </c>
      <c r="G1529" s="410">
        <v>1310710.6989724929</v>
      </c>
      <c r="H1529" s="410">
        <v>1288864.2867837274</v>
      </c>
      <c r="I1529" s="410">
        <v>949283.43433937023</v>
      </c>
      <c r="J1529" s="410">
        <v>1067090.4957154584</v>
      </c>
      <c r="K1529" s="410">
        <v>1658005.3642343997</v>
      </c>
      <c r="L1529" s="410">
        <v>1670761.9384231903</v>
      </c>
      <c r="M1529" s="410">
        <v>1876939.6523481393</v>
      </c>
      <c r="N1529" s="410">
        <v>1298707.7329419998</v>
      </c>
      <c r="O1529" s="410">
        <v>1604228.984130021</v>
      </c>
      <c r="P1529" s="410">
        <v>1538675.8871069052</v>
      </c>
      <c r="Q1529" s="410">
        <v>1945823.4788212567</v>
      </c>
      <c r="R1529" s="410">
        <v>1545144.8590900882</v>
      </c>
      <c r="S1529" s="410">
        <v>1152047.6371681937</v>
      </c>
      <c r="T1529" s="410">
        <v>1370137.0993833342</v>
      </c>
      <c r="U1529" s="410">
        <v>1728854.2633342515</v>
      </c>
      <c r="V1529" s="410">
        <v>1364662.7379983491</v>
      </c>
      <c r="W1529" s="327"/>
    </row>
    <row r="1530" spans="1:23" x14ac:dyDescent="0.2">
      <c r="A1530" s="9"/>
      <c r="B1530" s="309" t="s">
        <v>37</v>
      </c>
      <c r="C1530" s="443">
        <v>0</v>
      </c>
      <c r="D1530" s="404">
        <v>-256373.48737677658</v>
      </c>
      <c r="E1530" s="404">
        <v>-235299.63781481623</v>
      </c>
      <c r="F1530" s="404">
        <v>-205307.07945894302</v>
      </c>
      <c r="G1530" s="404">
        <v>-174904.47125886939</v>
      </c>
      <c r="H1530" s="404">
        <v>-160607.06942284212</v>
      </c>
      <c r="I1530" s="404">
        <v>-156554.00520463297</v>
      </c>
      <c r="J1530" s="404">
        <v>-163690.99180529558</v>
      </c>
      <c r="K1530" s="404">
        <v>-170232.88617273298</v>
      </c>
      <c r="L1530" s="404">
        <v>-176826.65684389556</v>
      </c>
      <c r="M1530" s="404">
        <v>-182884.16010594799</v>
      </c>
      <c r="N1530" s="404">
        <v>-175467.77021218458</v>
      </c>
      <c r="O1530" s="404">
        <v>-167517.17536217629</v>
      </c>
      <c r="P1530" s="404">
        <v>-173658.16151840443</v>
      </c>
      <c r="Q1530" s="404">
        <v>-120623.72577722732</v>
      </c>
      <c r="R1530" s="404">
        <v>-67973.177057618159</v>
      </c>
      <c r="S1530" s="404">
        <v>-74465.269284038688</v>
      </c>
      <c r="T1530" s="404">
        <v>-81152.124277251874</v>
      </c>
      <c r="U1530" s="404">
        <v>-88039.584920261419</v>
      </c>
      <c r="V1530" s="404">
        <v>-95133.669382561275</v>
      </c>
      <c r="W1530" s="327"/>
    </row>
    <row r="1531" spans="1:23" ht="13.5" thickBot="1" x14ac:dyDescent="0.25">
      <c r="A1531" s="9"/>
      <c r="B1531" s="310" t="s">
        <v>221</v>
      </c>
      <c r="C1531" s="444">
        <v>0</v>
      </c>
      <c r="D1531" s="406">
        <v>-1091413.9375782774</v>
      </c>
      <c r="E1531" s="406">
        <v>-726050.67381893087</v>
      </c>
      <c r="F1531" s="406">
        <v>-569684.22057243646</v>
      </c>
      <c r="G1531" s="406">
        <v>-454322.49108544947</v>
      </c>
      <c r="H1531" s="406">
        <v>-451302.88694435416</v>
      </c>
      <c r="I1531" s="406">
        <v>-317091.77165389492</v>
      </c>
      <c r="J1531" s="406">
        <v>-361359.80156406516</v>
      </c>
      <c r="K1531" s="406">
        <v>-595108.99122466671</v>
      </c>
      <c r="L1531" s="406">
        <v>-597574.11263171793</v>
      </c>
      <c r="M1531" s="406">
        <v>-677622.19689687667</v>
      </c>
      <c r="N1531" s="406">
        <v>-449295.98509192606</v>
      </c>
      <c r="O1531" s="406">
        <v>-574684.72350713785</v>
      </c>
      <c r="P1531" s="406">
        <v>-546007.09023540036</v>
      </c>
      <c r="Q1531" s="406">
        <v>-730079.90121761174</v>
      </c>
      <c r="R1531" s="406">
        <v>-590868.67281298805</v>
      </c>
      <c r="S1531" s="406">
        <v>-431032.94715366198</v>
      </c>
      <c r="T1531" s="406">
        <v>-515593.99004243297</v>
      </c>
      <c r="U1531" s="406">
        <v>-656325.87136559607</v>
      </c>
      <c r="V1531" s="406">
        <v>-507811.62744631519</v>
      </c>
      <c r="W1531" s="327"/>
    </row>
    <row r="1532" spans="1:23" ht="13.5" thickTop="1" x14ac:dyDescent="0.2">
      <c r="A1532" s="9"/>
      <c r="B1532" s="311" t="s">
        <v>183</v>
      </c>
      <c r="C1532" s="446">
        <v>0</v>
      </c>
      <c r="D1532" s="410">
        <v>1637120.9063674158</v>
      </c>
      <c r="E1532" s="410">
        <v>1089076.010728396</v>
      </c>
      <c r="F1532" s="410">
        <v>854526.33085865458</v>
      </c>
      <c r="G1532" s="410">
        <v>681483.73662817408</v>
      </c>
      <c r="H1532" s="410">
        <v>676954.33041653119</v>
      </c>
      <c r="I1532" s="410">
        <v>475637.65748084232</v>
      </c>
      <c r="J1532" s="410">
        <v>542039.70234609768</v>
      </c>
      <c r="K1532" s="410">
        <v>892663.486837</v>
      </c>
      <c r="L1532" s="410">
        <v>896361.16894757678</v>
      </c>
      <c r="M1532" s="410">
        <v>1016433.2953453148</v>
      </c>
      <c r="N1532" s="410">
        <v>673943.9776378891</v>
      </c>
      <c r="O1532" s="410">
        <v>862027.08526070684</v>
      </c>
      <c r="P1532" s="410">
        <v>819010.63535310037</v>
      </c>
      <c r="Q1532" s="410">
        <v>1095119.8518264175</v>
      </c>
      <c r="R1532" s="410">
        <v>886303.00921948208</v>
      </c>
      <c r="S1532" s="410">
        <v>646549.42073049292</v>
      </c>
      <c r="T1532" s="410">
        <v>773390.98506364948</v>
      </c>
      <c r="U1532" s="410">
        <v>984488.80704839388</v>
      </c>
      <c r="V1532" s="410">
        <v>761717.44116947264</v>
      </c>
      <c r="W1532" s="327"/>
    </row>
    <row r="1533" spans="1:23" x14ac:dyDescent="0.2">
      <c r="A1533" s="9"/>
      <c r="B1533" s="309" t="s">
        <v>37</v>
      </c>
      <c r="C1533" s="443">
        <v>0</v>
      </c>
      <c r="D1533" s="404">
        <v>256373.48737677658</v>
      </c>
      <c r="E1533" s="404">
        <v>235299.63781481623</v>
      </c>
      <c r="F1533" s="404">
        <v>205307.07945894302</v>
      </c>
      <c r="G1533" s="404">
        <v>174904.47125886939</v>
      </c>
      <c r="H1533" s="404">
        <v>160607.06942284212</v>
      </c>
      <c r="I1533" s="404">
        <v>156554.00520463297</v>
      </c>
      <c r="J1533" s="404">
        <v>163690.99180529558</v>
      </c>
      <c r="K1533" s="404">
        <v>170232.88617273298</v>
      </c>
      <c r="L1533" s="404">
        <v>176826.65684389556</v>
      </c>
      <c r="M1533" s="404">
        <v>182884.16010594799</v>
      </c>
      <c r="N1533" s="404">
        <v>175467.77021218458</v>
      </c>
      <c r="O1533" s="404">
        <v>167517.17536217629</v>
      </c>
      <c r="P1533" s="404">
        <v>173658.16151840443</v>
      </c>
      <c r="Q1533" s="404">
        <v>120623.72577722732</v>
      </c>
      <c r="R1533" s="404">
        <v>67973.177057618159</v>
      </c>
      <c r="S1533" s="404">
        <v>74465.269284038688</v>
      </c>
      <c r="T1533" s="404">
        <v>81152.124277251874</v>
      </c>
      <c r="U1533" s="404">
        <v>88039.584920261419</v>
      </c>
      <c r="V1533" s="404">
        <v>95133.669382561275</v>
      </c>
      <c r="W1533" s="327"/>
    </row>
    <row r="1534" spans="1:23" x14ac:dyDescent="0.2">
      <c r="A1534" s="9"/>
      <c r="B1534" s="309" t="s">
        <v>39</v>
      </c>
      <c r="C1534" s="443">
        <v>0</v>
      </c>
      <c r="D1534" s="404">
        <v>-1423.58</v>
      </c>
      <c r="E1534" s="404">
        <v>-1481.02</v>
      </c>
      <c r="F1534" s="404">
        <v>-1540.83</v>
      </c>
      <c r="G1534" s="404">
        <v>-1609.33</v>
      </c>
      <c r="H1534" s="404">
        <v>-100000</v>
      </c>
      <c r="I1534" s="404">
        <v>-103000</v>
      </c>
      <c r="J1534" s="404">
        <v>-106090</v>
      </c>
      <c r="K1534" s="404">
        <v>-109272.7</v>
      </c>
      <c r="L1534" s="404">
        <v>-112550.88099999999</v>
      </c>
      <c r="M1534" s="404">
        <v>-115927.40742999999</v>
      </c>
      <c r="N1534" s="404">
        <v>-119405.2296529</v>
      </c>
      <c r="O1534" s="404">
        <v>-122987.386542487</v>
      </c>
      <c r="P1534" s="404">
        <v>-126677.00813876161</v>
      </c>
      <c r="Q1534" s="404">
        <v>-130477.31838292447</v>
      </c>
      <c r="R1534" s="404">
        <v>-134391.6379344122</v>
      </c>
      <c r="S1534" s="404">
        <v>-138423.38707244457</v>
      </c>
      <c r="T1534" s="404">
        <v>-142576.08868461792</v>
      </c>
      <c r="U1534" s="404">
        <v>-146853.37134515645</v>
      </c>
      <c r="V1534" s="404">
        <v>-151258.97248551116</v>
      </c>
      <c r="W1534" s="327"/>
    </row>
    <row r="1535" spans="1:23" ht="13.5" thickBot="1" x14ac:dyDescent="0.25">
      <c r="A1535" s="9"/>
      <c r="B1535" s="310" t="s">
        <v>40</v>
      </c>
      <c r="C1535" s="444">
        <v>0</v>
      </c>
      <c r="D1535" s="406">
        <v>0</v>
      </c>
      <c r="E1535" s="406">
        <v>0</v>
      </c>
      <c r="F1535" s="406">
        <v>0</v>
      </c>
      <c r="G1535" s="406">
        <v>0</v>
      </c>
      <c r="H1535" s="406">
        <v>0</v>
      </c>
      <c r="I1535" s="406">
        <v>0</v>
      </c>
      <c r="J1535" s="406">
        <v>0</v>
      </c>
      <c r="K1535" s="406">
        <v>0</v>
      </c>
      <c r="L1535" s="406">
        <v>0</v>
      </c>
      <c r="M1535" s="406">
        <v>0</v>
      </c>
      <c r="N1535" s="406">
        <v>0</v>
      </c>
      <c r="O1535" s="406">
        <v>0</v>
      </c>
      <c r="P1535" s="406">
        <v>0</v>
      </c>
      <c r="Q1535" s="406">
        <v>0</v>
      </c>
      <c r="R1535" s="406">
        <v>0</v>
      </c>
      <c r="S1535" s="406">
        <v>0</v>
      </c>
      <c r="T1535" s="406">
        <v>0</v>
      </c>
      <c r="U1535" s="406">
        <v>0</v>
      </c>
      <c r="V1535" s="406">
        <v>0</v>
      </c>
      <c r="W1535" s="327"/>
    </row>
    <row r="1536" spans="1:23" ht="13.5" thickTop="1" x14ac:dyDescent="0.2">
      <c r="A1536" s="9"/>
      <c r="B1536" s="309"/>
      <c r="C1536" s="447"/>
      <c r="D1536" s="327"/>
      <c r="E1536" s="327"/>
      <c r="F1536" s="327"/>
      <c r="G1536" s="327"/>
      <c r="H1536" s="327"/>
      <c r="I1536" s="327"/>
      <c r="J1536" s="327"/>
      <c r="K1536" s="327"/>
      <c r="L1536" s="327"/>
      <c r="M1536" s="327"/>
      <c r="N1536" s="327"/>
      <c r="O1536" s="327"/>
      <c r="P1536" s="327"/>
      <c r="Q1536" s="327"/>
      <c r="R1536" s="327"/>
      <c r="S1536" s="327"/>
      <c r="T1536" s="327"/>
      <c r="U1536" s="327"/>
      <c r="V1536" s="327"/>
      <c r="W1536" s="327"/>
    </row>
    <row r="1537" spans="1:23" x14ac:dyDescent="0.2">
      <c r="A1537" s="9"/>
      <c r="B1537" s="311" t="s">
        <v>233</v>
      </c>
      <c r="C1537" s="446">
        <v>0</v>
      </c>
      <c r="D1537" s="410">
        <v>1892070.8137441922</v>
      </c>
      <c r="E1537" s="410">
        <v>1322894.6285432123</v>
      </c>
      <c r="F1537" s="410">
        <v>1058292.5803175976</v>
      </c>
      <c r="G1537" s="410">
        <v>854778.87788704352</v>
      </c>
      <c r="H1537" s="410">
        <v>737561.39983937331</v>
      </c>
      <c r="I1537" s="410">
        <v>529191.66268547531</v>
      </c>
      <c r="J1537" s="410">
        <v>599640.69415139325</v>
      </c>
      <c r="K1537" s="410">
        <v>953623.67300973297</v>
      </c>
      <c r="L1537" s="410">
        <v>960636.94479147228</v>
      </c>
      <c r="M1537" s="410">
        <v>1083390.0480212627</v>
      </c>
      <c r="N1537" s="410">
        <v>730006.51819717372</v>
      </c>
      <c r="O1537" s="410">
        <v>906556.87408039614</v>
      </c>
      <c r="P1537" s="410">
        <v>865991.78873274312</v>
      </c>
      <c r="Q1537" s="410">
        <v>1085266.2592207203</v>
      </c>
      <c r="R1537" s="410">
        <v>819884.54834268801</v>
      </c>
      <c r="S1537" s="410">
        <v>582591.30294208706</v>
      </c>
      <c r="T1537" s="410">
        <v>711967.02065628348</v>
      </c>
      <c r="U1537" s="410">
        <v>925675.02062349895</v>
      </c>
      <c r="V1537" s="410">
        <v>705592.13806652278</v>
      </c>
      <c r="W1537" s="408">
        <v>5171833.9096228713</v>
      </c>
    </row>
    <row r="1538" spans="1:23" x14ac:dyDescent="0.2">
      <c r="A1538" s="9"/>
      <c r="B1538" s="286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</row>
    <row r="1539" spans="1:23" x14ac:dyDescent="0.2">
      <c r="A1539" s="302" t="s">
        <v>218</v>
      </c>
      <c r="B1539" s="300" t="s">
        <v>170</v>
      </c>
      <c r="C1539" s="433">
        <v>4650269.6764958296</v>
      </c>
      <c r="D1539" s="9"/>
      <c r="E1539" s="137" t="s">
        <v>219</v>
      </c>
      <c r="F1539" s="313" t="s">
        <v>170</v>
      </c>
      <c r="G1539" s="437">
        <v>4650269.6764958296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</row>
    <row r="1540" spans="1:23" x14ac:dyDescent="0.2">
      <c r="A1540" s="9"/>
      <c r="B1540" s="300" t="s">
        <v>180</v>
      </c>
      <c r="C1540" s="433">
        <v>3703529.0668251244</v>
      </c>
      <c r="D1540" s="9"/>
      <c r="E1540" s="315"/>
      <c r="F1540" s="313" t="s">
        <v>180</v>
      </c>
      <c r="G1540" s="437">
        <v>3703529.0668251244</v>
      </c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</row>
    <row r="1541" spans="1:23" ht="13.5" thickBot="1" x14ac:dyDescent="0.25">
      <c r="A1541" s="9"/>
      <c r="B1541" s="316" t="s">
        <v>137</v>
      </c>
      <c r="C1541" s="434">
        <v>768760.15586463385</v>
      </c>
      <c r="D1541" s="317"/>
      <c r="E1541" s="315"/>
      <c r="F1541" s="313" t="s">
        <v>137</v>
      </c>
      <c r="G1541" s="437">
        <v>768760.15586463385</v>
      </c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</row>
    <row r="1542" spans="1:23" ht="14.25" thickTop="1" thickBot="1" x14ac:dyDescent="0.25">
      <c r="A1542" s="9"/>
      <c r="B1542" s="300" t="s">
        <v>28</v>
      </c>
      <c r="C1542" s="432">
        <v>9122558.8991855886</v>
      </c>
      <c r="D1542" s="299"/>
      <c r="E1542" s="315"/>
      <c r="F1542" s="318" t="s">
        <v>203</v>
      </c>
      <c r="G1542" s="319">
        <v>0</v>
      </c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</row>
    <row r="1543" spans="1:23" ht="13.5" thickTop="1" x14ac:dyDescent="0.2">
      <c r="A1543" s="9"/>
      <c r="B1543" s="286"/>
      <c r="C1543" s="320"/>
      <c r="D1543" s="9"/>
      <c r="E1543" s="321"/>
      <c r="F1543" s="313" t="s">
        <v>28</v>
      </c>
      <c r="G1543" s="362">
        <v>9122558.8991855886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</row>
    <row r="1544" spans="1:23" x14ac:dyDescent="0.2">
      <c r="A1544" s="9"/>
      <c r="B1544" s="286"/>
      <c r="C1544" s="320"/>
      <c r="D1544" s="9"/>
      <c r="E1544" s="321"/>
      <c r="F1544" s="313"/>
      <c r="G1544" s="322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</row>
    <row r="1545" spans="1:23" x14ac:dyDescent="0.2">
      <c r="A1545" s="9"/>
      <c r="B1545" s="286"/>
      <c r="C1545" s="320"/>
      <c r="D1545" s="9"/>
      <c r="E1545" s="321"/>
      <c r="F1545" s="313"/>
      <c r="G1545" s="322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</row>
    <row r="1546" spans="1:23" x14ac:dyDescent="0.2">
      <c r="A1546" s="9"/>
      <c r="B1546" s="323" t="s">
        <v>222</v>
      </c>
      <c r="C1546" s="320"/>
      <c r="D1546" s="9"/>
      <c r="E1546" s="321"/>
      <c r="F1546" s="313"/>
      <c r="G1546" s="322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</row>
    <row r="1547" spans="1:23" x14ac:dyDescent="0.2">
      <c r="A1547" s="324" t="s">
        <v>224</v>
      </c>
      <c r="B1547" s="323" t="s">
        <v>223</v>
      </c>
      <c r="C1547" s="325"/>
      <c r="D1547" s="326">
        <v>1637120.9063674158</v>
      </c>
      <c r="E1547" s="326">
        <v>1089076.010728396</v>
      </c>
      <c r="F1547" s="326">
        <v>854526.33085865458</v>
      </c>
      <c r="G1547" s="326">
        <v>681483.73662817408</v>
      </c>
      <c r="H1547" s="326">
        <v>676954.33041653119</v>
      </c>
      <c r="I1547" s="326">
        <v>475637.65748084232</v>
      </c>
      <c r="J1547" s="326">
        <v>542039.70234609768</v>
      </c>
      <c r="K1547" s="326">
        <v>892663.486837</v>
      </c>
      <c r="L1547" s="326">
        <v>896361.16894757678</v>
      </c>
      <c r="M1547" s="326">
        <v>1016433.2953453148</v>
      </c>
      <c r="N1547" s="326">
        <v>673943.9776378891</v>
      </c>
      <c r="O1547" s="326">
        <v>862027.08526070684</v>
      </c>
      <c r="P1547" s="326">
        <v>819010.63535310037</v>
      </c>
      <c r="Q1547" s="326">
        <v>1095119.8518264175</v>
      </c>
      <c r="R1547" s="326">
        <v>886303.00921948208</v>
      </c>
      <c r="S1547" s="326">
        <v>646549.42073049292</v>
      </c>
      <c r="T1547" s="326">
        <v>773390.98506364948</v>
      </c>
      <c r="U1547" s="326">
        <v>984488.80704839388</v>
      </c>
      <c r="V1547" s="326">
        <v>761717.44116947264</v>
      </c>
      <c r="W1547" s="9"/>
    </row>
    <row r="1548" spans="1:23" x14ac:dyDescent="0.2">
      <c r="A1548" s="9"/>
      <c r="B1548" s="286" t="s">
        <v>225</v>
      </c>
      <c r="C1548" s="320"/>
      <c r="D1548" s="327">
        <v>1091413.9375782774</v>
      </c>
      <c r="E1548" s="327">
        <v>726050.67381893087</v>
      </c>
      <c r="F1548" s="327">
        <v>569684.22057243646</v>
      </c>
      <c r="G1548" s="327">
        <v>454322.49108544947</v>
      </c>
      <c r="H1548" s="327">
        <v>451302.88694435416</v>
      </c>
      <c r="I1548" s="327">
        <v>317091.77165389492</v>
      </c>
      <c r="J1548" s="327">
        <v>361359.80156406516</v>
      </c>
      <c r="K1548" s="327">
        <v>595108.99122466671</v>
      </c>
      <c r="L1548" s="327">
        <v>597574.11263171793</v>
      </c>
      <c r="M1548" s="327">
        <v>677622.19689687667</v>
      </c>
      <c r="N1548" s="327">
        <v>449295.98509192606</v>
      </c>
      <c r="O1548" s="327">
        <v>574684.72350713785</v>
      </c>
      <c r="P1548" s="327">
        <v>546007.09023540036</v>
      </c>
      <c r="Q1548" s="327">
        <v>730079.90121761174</v>
      </c>
      <c r="R1548" s="327">
        <v>590868.67281298805</v>
      </c>
      <c r="S1548" s="327">
        <v>431032.94715366198</v>
      </c>
      <c r="T1548" s="327">
        <v>515593.99004243297</v>
      </c>
      <c r="U1548" s="327">
        <v>656325.87136559607</v>
      </c>
      <c r="V1548" s="327">
        <v>507811.62744631519</v>
      </c>
      <c r="W1548" s="9"/>
    </row>
    <row r="1549" spans="1:23" x14ac:dyDescent="0.2">
      <c r="A1549" s="9"/>
      <c r="B1549" s="328" t="s">
        <v>226</v>
      </c>
      <c r="C1549" s="329"/>
      <c r="D1549" s="327">
        <v>256373.48737677658</v>
      </c>
      <c r="E1549" s="327">
        <v>235299.63781481623</v>
      </c>
      <c r="F1549" s="327">
        <v>205307.07945894302</v>
      </c>
      <c r="G1549" s="327">
        <v>174904.47125886939</v>
      </c>
      <c r="H1549" s="327">
        <v>160607.06942284212</v>
      </c>
      <c r="I1549" s="327">
        <v>156554.00520463297</v>
      </c>
      <c r="J1549" s="327">
        <v>163690.99180529558</v>
      </c>
      <c r="K1549" s="327">
        <v>170232.88617273298</v>
      </c>
      <c r="L1549" s="327">
        <v>176826.65684389556</v>
      </c>
      <c r="M1549" s="327">
        <v>182884.16010594799</v>
      </c>
      <c r="N1549" s="327">
        <v>175467.77021218458</v>
      </c>
      <c r="O1549" s="327">
        <v>167517.17536217629</v>
      </c>
      <c r="P1549" s="327">
        <v>173658.16151840443</v>
      </c>
      <c r="Q1549" s="327">
        <v>120623.72577722732</v>
      </c>
      <c r="R1549" s="327">
        <v>67973.177057618159</v>
      </c>
      <c r="S1549" s="327">
        <v>74465.269284038688</v>
      </c>
      <c r="T1549" s="327">
        <v>81152.124277251874</v>
      </c>
      <c r="U1549" s="327">
        <v>88039.584920261419</v>
      </c>
      <c r="V1549" s="327">
        <v>95133.669382561275</v>
      </c>
      <c r="W1549" s="9"/>
    </row>
    <row r="1550" spans="1:23" ht="13.5" thickBot="1" x14ac:dyDescent="0.25">
      <c r="A1550" s="9"/>
      <c r="B1550" s="330" t="s">
        <v>227</v>
      </c>
      <c r="C1550" s="331"/>
      <c r="D1550" s="332">
        <v>2984908.3313224697</v>
      </c>
      <c r="E1550" s="332">
        <v>2050426.3223621433</v>
      </c>
      <c r="F1550" s="332">
        <v>1629517.6308900341</v>
      </c>
      <c r="G1550" s="332">
        <v>1310710.6989724929</v>
      </c>
      <c r="H1550" s="332">
        <v>1288864.2867837274</v>
      </c>
      <c r="I1550" s="332">
        <v>949283.43433937023</v>
      </c>
      <c r="J1550" s="332">
        <v>1067090.4957154584</v>
      </c>
      <c r="K1550" s="332">
        <v>1658005.3642343997</v>
      </c>
      <c r="L1550" s="332">
        <v>1670761.9384231903</v>
      </c>
      <c r="M1550" s="332">
        <v>1876939.6523481393</v>
      </c>
      <c r="N1550" s="332">
        <v>1298707.7329419998</v>
      </c>
      <c r="O1550" s="332">
        <v>1604228.984130021</v>
      </c>
      <c r="P1550" s="332">
        <v>1538675.8871069052</v>
      </c>
      <c r="Q1550" s="332">
        <v>1945823.4788212567</v>
      </c>
      <c r="R1550" s="332">
        <v>1545144.8590900884</v>
      </c>
      <c r="S1550" s="332">
        <v>1152047.6371681937</v>
      </c>
      <c r="T1550" s="332">
        <v>1370137.0993833342</v>
      </c>
      <c r="U1550" s="332">
        <v>1728854.2633342515</v>
      </c>
      <c r="V1550" s="332">
        <v>1364662.7379983491</v>
      </c>
      <c r="W1550" s="9"/>
    </row>
    <row r="1551" spans="1:23" ht="13.5" thickTop="1" x14ac:dyDescent="0.2">
      <c r="A1551" s="324" t="s">
        <v>228</v>
      </c>
      <c r="B1551" s="286" t="s">
        <v>229</v>
      </c>
      <c r="C1551" s="320"/>
      <c r="D1551" s="327">
        <v>-572072.6856983226</v>
      </c>
      <c r="E1551" s="327">
        <v>-571105.994308152</v>
      </c>
      <c r="F1551" s="327">
        <v>-567419.22315439081</v>
      </c>
      <c r="G1551" s="327">
        <v>-551343.67461045913</v>
      </c>
      <c r="H1551" s="327">
        <v>-509959.22651103698</v>
      </c>
      <c r="I1551" s="327">
        <v>-515109.22651103698</v>
      </c>
      <c r="J1551" s="327">
        <v>-297727.48179906013</v>
      </c>
      <c r="K1551" s="327">
        <v>-109683.59723414935</v>
      </c>
      <c r="L1551" s="327">
        <v>-115116.44440495</v>
      </c>
      <c r="M1551" s="327">
        <v>-113527.91955679125</v>
      </c>
      <c r="N1551" s="327">
        <v>-63875.927684645911</v>
      </c>
      <c r="O1551" s="327">
        <v>-70025.29701177025</v>
      </c>
      <c r="P1551" s="327">
        <v>-76359.147418708337</v>
      </c>
      <c r="Q1551" s="327">
        <v>-82883.013337854558</v>
      </c>
      <c r="R1551" s="327">
        <v>-89602.595234575158</v>
      </c>
      <c r="S1551" s="327">
        <v>-96173.377212357518</v>
      </c>
      <c r="T1551" s="327">
        <v>-102354.9396233774</v>
      </c>
      <c r="U1551" s="327">
        <v>-109697.60819063522</v>
      </c>
      <c r="V1551" s="327">
        <v>-117260.55681491077</v>
      </c>
      <c r="W1551" s="9"/>
    </row>
    <row r="1552" spans="1:23" x14ac:dyDescent="0.2">
      <c r="A1552" s="9"/>
      <c r="B1552" s="286" t="s">
        <v>230</v>
      </c>
      <c r="C1552" s="320"/>
      <c r="D1552" s="327">
        <v>0</v>
      </c>
      <c r="E1552" s="327">
        <v>0</v>
      </c>
      <c r="F1552" s="327">
        <v>0</v>
      </c>
      <c r="G1552" s="327">
        <v>0</v>
      </c>
      <c r="H1552" s="327">
        <v>0</v>
      </c>
      <c r="I1552" s="327">
        <v>0</v>
      </c>
      <c r="J1552" s="327">
        <v>0</v>
      </c>
      <c r="K1552" s="327">
        <v>0</v>
      </c>
      <c r="L1552" s="327">
        <v>0</v>
      </c>
      <c r="M1552" s="327">
        <v>0</v>
      </c>
      <c r="N1552" s="327">
        <v>0</v>
      </c>
      <c r="O1552" s="327">
        <v>0</v>
      </c>
      <c r="P1552" s="327">
        <v>0</v>
      </c>
      <c r="Q1552" s="327">
        <v>0</v>
      </c>
      <c r="R1552" s="327">
        <v>0</v>
      </c>
      <c r="S1552" s="327">
        <v>0</v>
      </c>
      <c r="T1552" s="327">
        <v>0</v>
      </c>
      <c r="U1552" s="327">
        <v>0</v>
      </c>
      <c r="V1552" s="327">
        <v>0</v>
      </c>
      <c r="W1552" s="9"/>
    </row>
    <row r="1553" spans="1:23" x14ac:dyDescent="0.2">
      <c r="A1553" s="9"/>
      <c r="B1553" s="323" t="s">
        <v>231</v>
      </c>
      <c r="C1553" s="325"/>
      <c r="D1553" s="326">
        <v>2412835.6456241473</v>
      </c>
      <c r="E1553" s="326">
        <v>1479320.3280539913</v>
      </c>
      <c r="F1553" s="326">
        <v>1062098.4077356434</v>
      </c>
      <c r="G1553" s="326">
        <v>759367.02436203382</v>
      </c>
      <c r="H1553" s="326">
        <v>778905.06027269037</v>
      </c>
      <c r="I1553" s="326">
        <v>434174.20782833325</v>
      </c>
      <c r="J1553" s="326">
        <v>769363.01391639828</v>
      </c>
      <c r="K1553" s="326">
        <v>1548321.7670002505</v>
      </c>
      <c r="L1553" s="326">
        <v>1555645.4940182404</v>
      </c>
      <c r="M1553" s="326">
        <v>1763411.7327913481</v>
      </c>
      <c r="N1553" s="326">
        <v>1234831.8052573539</v>
      </c>
      <c r="O1553" s="326">
        <v>1534203.6871182506</v>
      </c>
      <c r="P1553" s="326">
        <v>1462316.7396881969</v>
      </c>
      <c r="Q1553" s="326">
        <v>1862940.4654834021</v>
      </c>
      <c r="R1553" s="326">
        <v>1455542.2638555132</v>
      </c>
      <c r="S1553" s="326">
        <v>1055874.2599558362</v>
      </c>
      <c r="T1553" s="326">
        <v>1267782.1597599569</v>
      </c>
      <c r="U1553" s="326">
        <v>1619156.6551436163</v>
      </c>
      <c r="V1553" s="326">
        <v>1247402.1811834383</v>
      </c>
      <c r="W1553" s="9"/>
    </row>
    <row r="1554" spans="1:23" ht="13.5" thickBot="1" x14ac:dyDescent="0.25">
      <c r="A1554" s="9"/>
      <c r="B1554" s="333" t="s">
        <v>237</v>
      </c>
      <c r="C1554" s="334"/>
      <c r="D1554" s="335">
        <v>-965134.25824965897</v>
      </c>
      <c r="E1554" s="335">
        <v>-591728.1312215965</v>
      </c>
      <c r="F1554" s="335">
        <v>-424839.36309425742</v>
      </c>
      <c r="G1554" s="335">
        <v>-303746.80974481354</v>
      </c>
      <c r="H1554" s="335">
        <v>-311562.02410907618</v>
      </c>
      <c r="I1554" s="335">
        <v>-173669.68313133332</v>
      </c>
      <c r="J1554" s="335">
        <v>-307745.20556655934</v>
      </c>
      <c r="K1554" s="335">
        <v>-619328.70680010028</v>
      </c>
      <c r="L1554" s="335">
        <v>-622258.19760729617</v>
      </c>
      <c r="M1554" s="335">
        <v>-705364.69311653927</v>
      </c>
      <c r="N1554" s="335">
        <v>-493932.7221029416</v>
      </c>
      <c r="O1554" s="335">
        <v>-613681.47484730033</v>
      </c>
      <c r="P1554" s="335">
        <v>-584926.69587527879</v>
      </c>
      <c r="Q1554" s="335">
        <v>-745176.18619336095</v>
      </c>
      <c r="R1554" s="335">
        <v>-582216.90554220532</v>
      </c>
      <c r="S1554" s="335">
        <v>-422349.70398233453</v>
      </c>
      <c r="T1554" s="335">
        <v>-507112.8639039828</v>
      </c>
      <c r="U1554" s="335">
        <v>-647662.66205744655</v>
      </c>
      <c r="V1554" s="335">
        <v>-498960.87247337535</v>
      </c>
      <c r="W1554" s="9"/>
    </row>
    <row r="1555" spans="1:23" ht="13.5" thickTop="1" x14ac:dyDescent="0.2">
      <c r="A1555" s="9"/>
      <c r="B1555" s="323" t="s">
        <v>232</v>
      </c>
      <c r="C1555" s="325"/>
      <c r="D1555" s="326">
        <v>1447701.3873744882</v>
      </c>
      <c r="E1555" s="326">
        <v>887592.19683239481</v>
      </c>
      <c r="F1555" s="326">
        <v>637259.04464138602</v>
      </c>
      <c r="G1555" s="326">
        <v>455620.21461722028</v>
      </c>
      <c r="H1555" s="326">
        <v>467343.03616361419</v>
      </c>
      <c r="I1555" s="326">
        <v>260504.52469699993</v>
      </c>
      <c r="J1555" s="326">
        <v>461617.80834983895</v>
      </c>
      <c r="K1555" s="326">
        <v>928993.06020015024</v>
      </c>
      <c r="L1555" s="326">
        <v>933387.2964109442</v>
      </c>
      <c r="M1555" s="326">
        <v>1058047.0396748087</v>
      </c>
      <c r="N1555" s="326">
        <v>740899.08315441234</v>
      </c>
      <c r="O1555" s="326">
        <v>920522.21227095032</v>
      </c>
      <c r="P1555" s="326">
        <v>877390.04381291813</v>
      </c>
      <c r="Q1555" s="326">
        <v>1117764.2792900412</v>
      </c>
      <c r="R1555" s="326">
        <v>873325.35831330786</v>
      </c>
      <c r="S1555" s="326">
        <v>633524.55597350164</v>
      </c>
      <c r="T1555" s="326">
        <v>760669.29585597408</v>
      </c>
      <c r="U1555" s="326">
        <v>971493.99308616971</v>
      </c>
      <c r="V1555" s="326">
        <v>748441.30871006288</v>
      </c>
      <c r="W1555" s="9"/>
    </row>
    <row r="1556" spans="1:23" x14ac:dyDescent="0.2">
      <c r="A1556" s="9"/>
      <c r="B1556" s="9"/>
      <c r="C1556" s="320"/>
      <c r="D1556" s="9"/>
      <c r="E1556" s="321"/>
      <c r="F1556" s="313"/>
      <c r="G1556" s="322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</row>
    <row r="1557" spans="1:23" ht="15.75" x14ac:dyDescent="0.25">
      <c r="A1557" s="336" t="s">
        <v>205</v>
      </c>
      <c r="B1557" s="337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</row>
    <row r="1558" spans="1:23" x14ac:dyDescent="0.2">
      <c r="A1558" s="284" t="s">
        <v>190</v>
      </c>
      <c r="B1558" s="303"/>
      <c r="C1558" s="338">
        <v>0</v>
      </c>
      <c r="D1558" s="277"/>
      <c r="E1558" s="277"/>
      <c r="F1558" s="277"/>
      <c r="G1558" s="277"/>
      <c r="H1558" s="277"/>
      <c r="I1558" s="277"/>
      <c r="J1558" s="277"/>
      <c r="K1558" s="277"/>
      <c r="L1558" s="277"/>
      <c r="M1558" s="277"/>
      <c r="N1558" s="277"/>
      <c r="O1558" s="277"/>
      <c r="P1558" s="277"/>
      <c r="Q1558" s="277"/>
      <c r="R1558" s="277"/>
      <c r="S1558" s="277"/>
      <c r="T1558" s="277"/>
      <c r="U1558" s="277"/>
      <c r="V1558" s="277"/>
      <c r="W1558" s="277"/>
    </row>
    <row r="1559" spans="1:23" x14ac:dyDescent="0.2">
      <c r="A1559" s="284" t="s">
        <v>191</v>
      </c>
      <c r="B1559" s="303"/>
      <c r="C1559" s="339">
        <v>0</v>
      </c>
      <c r="D1559" s="277"/>
      <c r="E1559" s="277"/>
      <c r="F1559" s="277"/>
      <c r="G1559" s="277"/>
      <c r="H1559" s="277"/>
      <c r="I1559" s="277"/>
      <c r="J1559" s="277"/>
      <c r="K1559" s="277"/>
      <c r="L1559" s="277"/>
      <c r="M1559" s="277"/>
      <c r="N1559" s="277"/>
      <c r="O1559" s="277"/>
      <c r="P1559" s="277"/>
      <c r="Q1559" s="277"/>
      <c r="R1559" s="277"/>
      <c r="S1559" s="277"/>
      <c r="T1559" s="277"/>
      <c r="U1559" s="277"/>
      <c r="V1559" s="277"/>
      <c r="W1559" s="277"/>
    </row>
    <row r="1560" spans="1:23" x14ac:dyDescent="0.2">
      <c r="A1560" s="284" t="s">
        <v>201</v>
      </c>
      <c r="B1560" s="303"/>
      <c r="C1560" s="284">
        <v>15</v>
      </c>
      <c r="D1560" s="277"/>
      <c r="E1560" s="277"/>
      <c r="F1560" s="277"/>
      <c r="G1560" s="277"/>
      <c r="H1560" s="277"/>
      <c r="I1560" s="277"/>
      <c r="J1560" s="277"/>
      <c r="K1560" s="277"/>
      <c r="L1560" s="277"/>
      <c r="M1560" s="277"/>
      <c r="N1560" s="277"/>
      <c r="O1560" s="277"/>
      <c r="P1560" s="277"/>
      <c r="Q1560" s="277"/>
      <c r="R1560" s="277"/>
      <c r="S1560" s="277"/>
      <c r="T1560" s="277"/>
      <c r="U1560" s="277"/>
      <c r="V1560" s="277"/>
      <c r="W1560" s="277"/>
    </row>
    <row r="1561" spans="1:23" x14ac:dyDescent="0.2">
      <c r="A1561" s="284" t="s">
        <v>192</v>
      </c>
      <c r="B1561" s="303"/>
      <c r="C1561" s="339">
        <v>0</v>
      </c>
      <c r="D1561" s="277"/>
      <c r="E1561" s="277"/>
      <c r="F1561" s="277"/>
      <c r="G1561" s="277"/>
      <c r="H1561" s="277"/>
      <c r="I1561" s="277"/>
      <c r="J1561" s="277"/>
      <c r="K1561" s="277"/>
      <c r="L1561" s="277"/>
      <c r="M1561" s="277"/>
      <c r="N1561" s="277"/>
      <c r="O1561" s="277"/>
      <c r="P1561" s="277"/>
      <c r="Q1561" s="277"/>
      <c r="R1561" s="277"/>
      <c r="S1561" s="277"/>
      <c r="T1561" s="277"/>
      <c r="U1561" s="277"/>
      <c r="V1561" s="277"/>
      <c r="W1561" s="277"/>
    </row>
    <row r="1562" spans="1:23" x14ac:dyDescent="0.2">
      <c r="A1562" s="284" t="s">
        <v>193</v>
      </c>
      <c r="B1562" s="303"/>
      <c r="C1562" s="340">
        <v>8.7499999999999994E-2</v>
      </c>
      <c r="D1562" s="277"/>
      <c r="E1562" s="277"/>
      <c r="F1562" s="277"/>
      <c r="G1562" s="277"/>
      <c r="H1562" s="277"/>
      <c r="I1562" s="277"/>
      <c r="J1562" s="277"/>
      <c r="K1562" s="277"/>
      <c r="L1562" s="277"/>
      <c r="M1562" s="277"/>
      <c r="N1562" s="277"/>
      <c r="O1562" s="277"/>
      <c r="P1562" s="277"/>
      <c r="Q1562" s="277"/>
      <c r="R1562" s="277"/>
      <c r="S1562" s="277"/>
      <c r="T1562" s="277"/>
      <c r="U1562" s="277"/>
      <c r="V1562" s="277"/>
      <c r="W1562" s="277"/>
    </row>
    <row r="1563" spans="1:23" x14ac:dyDescent="0.2">
      <c r="A1563" s="284"/>
      <c r="B1563" s="303"/>
      <c r="C1563" s="277"/>
      <c r="D1563" s="306">
        <v>2001</v>
      </c>
      <c r="E1563" s="306">
        <v>2002</v>
      </c>
      <c r="F1563" s="306">
        <v>2003</v>
      </c>
      <c r="G1563" s="306">
        <v>2004</v>
      </c>
      <c r="H1563" s="306">
        <v>2005</v>
      </c>
      <c r="I1563" s="306">
        <v>2006</v>
      </c>
      <c r="J1563" s="306">
        <v>2007</v>
      </c>
      <c r="K1563" s="306">
        <v>2008</v>
      </c>
      <c r="L1563" s="306">
        <v>2009</v>
      </c>
      <c r="M1563" s="306">
        <v>2010</v>
      </c>
      <c r="N1563" s="306">
        <v>2011</v>
      </c>
      <c r="O1563" s="306">
        <v>2012</v>
      </c>
      <c r="P1563" s="306">
        <v>2013</v>
      </c>
      <c r="Q1563" s="306">
        <v>2014</v>
      </c>
      <c r="R1563" s="306">
        <v>2015</v>
      </c>
      <c r="S1563" s="306">
        <v>2016</v>
      </c>
      <c r="T1563" s="306">
        <v>2017</v>
      </c>
      <c r="U1563" s="306">
        <v>2018</v>
      </c>
      <c r="V1563" s="306">
        <v>2019</v>
      </c>
      <c r="W1563" s="306" t="s">
        <v>154</v>
      </c>
    </row>
    <row r="1564" spans="1:23" x14ac:dyDescent="0.2">
      <c r="A1564" s="284" t="s">
        <v>194</v>
      </c>
      <c r="B1564" s="303"/>
      <c r="C1564" s="277"/>
      <c r="D1564" s="341">
        <v>0</v>
      </c>
      <c r="E1564" s="341">
        <v>0</v>
      </c>
      <c r="F1564" s="341">
        <v>0</v>
      </c>
      <c r="G1564" s="341">
        <v>0</v>
      </c>
      <c r="H1564" s="341">
        <v>0</v>
      </c>
      <c r="I1564" s="341">
        <v>0</v>
      </c>
      <c r="J1564" s="341">
        <v>0</v>
      </c>
      <c r="K1564" s="341">
        <v>0</v>
      </c>
      <c r="L1564" s="341">
        <v>0</v>
      </c>
      <c r="M1564" s="341">
        <v>0</v>
      </c>
      <c r="N1564" s="341">
        <v>0</v>
      </c>
      <c r="O1564" s="341">
        <v>0</v>
      </c>
      <c r="P1564" s="341">
        <v>0</v>
      </c>
      <c r="Q1564" s="341">
        <v>0</v>
      </c>
      <c r="R1564" s="341">
        <v>0</v>
      </c>
      <c r="S1564" s="341">
        <v>0</v>
      </c>
      <c r="T1564" s="341">
        <v>0</v>
      </c>
      <c r="U1564" s="341">
        <v>0</v>
      </c>
      <c r="V1564" s="341">
        <v>0</v>
      </c>
      <c r="W1564" s="341">
        <v>0</v>
      </c>
    </row>
    <row r="1565" spans="1:23" x14ac:dyDescent="0.2">
      <c r="A1565" s="284" t="s">
        <v>195</v>
      </c>
      <c r="B1565" s="303"/>
      <c r="C1565" s="277"/>
      <c r="D1565" s="341">
        <v>0</v>
      </c>
      <c r="E1565" s="341">
        <v>0</v>
      </c>
      <c r="F1565" s="341">
        <v>0</v>
      </c>
      <c r="G1565" s="341">
        <v>0</v>
      </c>
      <c r="H1565" s="341">
        <v>0</v>
      </c>
      <c r="I1565" s="341">
        <v>0</v>
      </c>
      <c r="J1565" s="341">
        <v>0</v>
      </c>
      <c r="K1565" s="341">
        <v>0</v>
      </c>
      <c r="L1565" s="341">
        <v>0</v>
      </c>
      <c r="M1565" s="341">
        <v>0</v>
      </c>
      <c r="N1565" s="341">
        <v>0</v>
      </c>
      <c r="O1565" s="341">
        <v>0</v>
      </c>
      <c r="P1565" s="341">
        <v>0</v>
      </c>
      <c r="Q1565" s="341">
        <v>0</v>
      </c>
      <c r="R1565" s="341">
        <v>0</v>
      </c>
      <c r="S1565" s="341">
        <v>0</v>
      </c>
      <c r="T1565" s="341">
        <v>0</v>
      </c>
      <c r="U1565" s="341">
        <v>0</v>
      </c>
      <c r="V1565" s="341">
        <v>0</v>
      </c>
      <c r="W1565" s="341">
        <v>0</v>
      </c>
    </row>
    <row r="1566" spans="1:23" x14ac:dyDescent="0.2">
      <c r="A1566" s="284" t="s">
        <v>196</v>
      </c>
      <c r="B1566" s="303"/>
      <c r="C1566" s="277"/>
      <c r="D1566" s="341">
        <v>0</v>
      </c>
      <c r="E1566" s="341">
        <v>0</v>
      </c>
      <c r="F1566" s="341">
        <v>0</v>
      </c>
      <c r="G1566" s="341">
        <v>0</v>
      </c>
      <c r="H1566" s="341">
        <v>0</v>
      </c>
      <c r="I1566" s="341">
        <v>0</v>
      </c>
      <c r="J1566" s="341">
        <v>0</v>
      </c>
      <c r="K1566" s="341">
        <v>0</v>
      </c>
      <c r="L1566" s="341">
        <v>0</v>
      </c>
      <c r="M1566" s="341">
        <v>0</v>
      </c>
      <c r="N1566" s="341">
        <v>0</v>
      </c>
      <c r="O1566" s="341">
        <v>0</v>
      </c>
      <c r="P1566" s="341">
        <v>0</v>
      </c>
      <c r="Q1566" s="341">
        <v>0</v>
      </c>
      <c r="R1566" s="341">
        <v>0</v>
      </c>
      <c r="S1566" s="341">
        <v>0</v>
      </c>
      <c r="T1566" s="341">
        <v>0</v>
      </c>
      <c r="U1566" s="341">
        <v>0</v>
      </c>
      <c r="V1566" s="341">
        <v>0</v>
      </c>
      <c r="W1566" s="341">
        <v>0</v>
      </c>
    </row>
    <row r="1567" spans="1:23" x14ac:dyDescent="0.2">
      <c r="A1567" s="284" t="s">
        <v>197</v>
      </c>
      <c r="B1567" s="303"/>
      <c r="C1567" s="277"/>
      <c r="D1567" s="342">
        <v>0</v>
      </c>
      <c r="E1567" s="342">
        <v>0</v>
      </c>
      <c r="F1567" s="342">
        <v>0</v>
      </c>
      <c r="G1567" s="342">
        <v>0</v>
      </c>
      <c r="H1567" s="342">
        <v>0</v>
      </c>
      <c r="I1567" s="342">
        <v>0</v>
      </c>
      <c r="J1567" s="342">
        <v>0</v>
      </c>
      <c r="K1567" s="342">
        <v>0</v>
      </c>
      <c r="L1567" s="342">
        <v>0</v>
      </c>
      <c r="M1567" s="342">
        <v>0</v>
      </c>
      <c r="N1567" s="342">
        <v>0</v>
      </c>
      <c r="O1567" s="342">
        <v>0</v>
      </c>
      <c r="P1567" s="342">
        <v>0</v>
      </c>
      <c r="Q1567" s="342">
        <v>0</v>
      </c>
      <c r="R1567" s="342">
        <v>0</v>
      </c>
      <c r="S1567" s="342">
        <v>0</v>
      </c>
      <c r="T1567" s="342">
        <v>0</v>
      </c>
      <c r="U1567" s="342">
        <v>0</v>
      </c>
      <c r="V1567" s="342">
        <v>0</v>
      </c>
      <c r="W1567" s="342">
        <v>0</v>
      </c>
    </row>
    <row r="1568" spans="1:23" ht="13.5" thickBot="1" x14ac:dyDescent="0.25">
      <c r="A1568" s="284" t="s">
        <v>198</v>
      </c>
      <c r="B1568" s="303"/>
      <c r="C1568" s="277"/>
      <c r="D1568" s="343">
        <v>0</v>
      </c>
      <c r="E1568" s="343">
        <v>0</v>
      </c>
      <c r="F1568" s="343">
        <v>0</v>
      </c>
      <c r="G1568" s="343">
        <v>0</v>
      </c>
      <c r="H1568" s="343">
        <v>0</v>
      </c>
      <c r="I1568" s="343">
        <v>0</v>
      </c>
      <c r="J1568" s="343">
        <v>0</v>
      </c>
      <c r="K1568" s="343">
        <v>0</v>
      </c>
      <c r="L1568" s="343">
        <v>0</v>
      </c>
      <c r="M1568" s="343">
        <v>0</v>
      </c>
      <c r="N1568" s="343">
        <v>0</v>
      </c>
      <c r="O1568" s="343">
        <v>0</v>
      </c>
      <c r="P1568" s="343">
        <v>0</v>
      </c>
      <c r="Q1568" s="343">
        <v>0</v>
      </c>
      <c r="R1568" s="343">
        <v>0</v>
      </c>
      <c r="S1568" s="343">
        <v>0</v>
      </c>
      <c r="T1568" s="343">
        <v>0</v>
      </c>
      <c r="U1568" s="343">
        <v>0</v>
      </c>
      <c r="V1568" s="343">
        <v>0</v>
      </c>
      <c r="W1568" s="343">
        <v>0</v>
      </c>
    </row>
    <row r="1569" spans="1:23" ht="13.5" thickTop="1" x14ac:dyDescent="0.2">
      <c r="A1569" s="284"/>
      <c r="B1569" s="303"/>
      <c r="C1569" s="277"/>
      <c r="D1569" s="341"/>
      <c r="E1569" s="341"/>
      <c r="F1569" s="341"/>
      <c r="G1569" s="341"/>
      <c r="H1569" s="341"/>
      <c r="I1569" s="341"/>
      <c r="J1569" s="341"/>
      <c r="K1569" s="341"/>
      <c r="L1569" s="341"/>
      <c r="M1569" s="341"/>
      <c r="N1569" s="341"/>
      <c r="O1569" s="341"/>
      <c r="P1569" s="341"/>
      <c r="Q1569" s="341"/>
      <c r="R1569" s="341"/>
      <c r="S1569" s="341"/>
      <c r="T1569" s="341"/>
      <c r="U1569" s="341"/>
      <c r="V1569" s="341"/>
      <c r="W1569" s="341"/>
    </row>
    <row r="1570" spans="1:23" x14ac:dyDescent="0.2">
      <c r="A1570" s="284" t="s">
        <v>199</v>
      </c>
      <c r="B1570" s="303"/>
      <c r="C1570" s="277"/>
      <c r="D1570" s="341">
        <v>0</v>
      </c>
      <c r="E1570" s="341">
        <v>0</v>
      </c>
      <c r="F1570" s="341">
        <v>0</v>
      </c>
      <c r="G1570" s="341">
        <v>0</v>
      </c>
      <c r="H1570" s="341">
        <v>0</v>
      </c>
      <c r="I1570" s="341">
        <v>0</v>
      </c>
      <c r="J1570" s="341">
        <v>0</v>
      </c>
      <c r="K1570" s="341">
        <v>0</v>
      </c>
      <c r="L1570" s="341">
        <v>0</v>
      </c>
      <c r="M1570" s="341">
        <v>0</v>
      </c>
      <c r="N1570" s="341">
        <v>0</v>
      </c>
      <c r="O1570" s="341">
        <v>0</v>
      </c>
      <c r="P1570" s="341">
        <v>0</v>
      </c>
      <c r="Q1570" s="341">
        <v>0</v>
      </c>
      <c r="R1570" s="341">
        <v>0</v>
      </c>
      <c r="S1570" s="341">
        <v>0</v>
      </c>
      <c r="T1570" s="341">
        <v>0</v>
      </c>
      <c r="U1570" s="341">
        <v>0</v>
      </c>
      <c r="V1570" s="341">
        <v>0</v>
      </c>
      <c r="W1570" s="341">
        <v>0</v>
      </c>
    </row>
    <row r="1571" spans="1:23" x14ac:dyDescent="0.2">
      <c r="A1571" s="284"/>
      <c r="B1571" s="303"/>
      <c r="C1571" s="277"/>
      <c r="D1571" s="277"/>
      <c r="E1571" s="277"/>
      <c r="F1571" s="277"/>
      <c r="G1571" s="277"/>
      <c r="H1571" s="277"/>
      <c r="I1571" s="277"/>
      <c r="J1571" s="277"/>
      <c r="K1571" s="277"/>
      <c r="L1571" s="277"/>
      <c r="M1571" s="277"/>
      <c r="N1571" s="277"/>
      <c r="O1571" s="277"/>
      <c r="P1571" s="277"/>
      <c r="Q1571" s="277"/>
      <c r="R1571" s="277"/>
      <c r="S1571" s="277"/>
      <c r="T1571" s="277"/>
      <c r="U1571" s="277"/>
      <c r="V1571" s="277"/>
      <c r="W1571" s="277"/>
    </row>
    <row r="1572" spans="1:23" x14ac:dyDescent="0.2">
      <c r="A1572" s="284" t="s">
        <v>200</v>
      </c>
      <c r="B1572" s="303"/>
      <c r="C1572" s="277"/>
      <c r="D1572" s="341">
        <v>0</v>
      </c>
      <c r="E1572" s="341">
        <v>0</v>
      </c>
      <c r="F1572" s="341">
        <v>0</v>
      </c>
      <c r="G1572" s="341">
        <v>0</v>
      </c>
      <c r="H1572" s="341">
        <v>0</v>
      </c>
      <c r="I1572" s="341">
        <v>0</v>
      </c>
      <c r="J1572" s="341">
        <v>0</v>
      </c>
      <c r="K1572" s="341">
        <v>0</v>
      </c>
      <c r="L1572" s="341">
        <v>0</v>
      </c>
      <c r="M1572" s="341">
        <v>0</v>
      </c>
      <c r="N1572" s="341">
        <v>0</v>
      </c>
      <c r="O1572" s="341">
        <v>0</v>
      </c>
      <c r="P1572" s="341">
        <v>0</v>
      </c>
      <c r="Q1572" s="341">
        <v>0</v>
      </c>
      <c r="R1572" s="341">
        <v>0</v>
      </c>
      <c r="S1572" s="341">
        <v>0</v>
      </c>
      <c r="T1572" s="341">
        <v>0</v>
      </c>
      <c r="U1572" s="341">
        <v>0</v>
      </c>
      <c r="V1572" s="341">
        <v>0</v>
      </c>
      <c r="W1572" s="341">
        <v>0</v>
      </c>
    </row>
    <row r="1573" spans="1:23" x14ac:dyDescent="0.2">
      <c r="A1573" s="277"/>
      <c r="B1573" s="303"/>
      <c r="C1573" s="277"/>
      <c r="D1573" s="277"/>
      <c r="E1573" s="277"/>
      <c r="F1573" s="277"/>
      <c r="G1573" s="277"/>
      <c r="H1573" s="277"/>
      <c r="I1573" s="277"/>
      <c r="J1573" s="277"/>
      <c r="K1573" s="277"/>
      <c r="L1573" s="277"/>
      <c r="M1573" s="277"/>
      <c r="N1573" s="277"/>
      <c r="O1573" s="277"/>
      <c r="P1573" s="277"/>
      <c r="Q1573" s="277"/>
      <c r="R1573" s="277"/>
      <c r="S1573" s="277"/>
      <c r="T1573" s="277"/>
      <c r="U1573" s="277"/>
      <c r="V1573" s="277"/>
      <c r="W1573" s="277"/>
    </row>
    <row r="1574" spans="1:23" x14ac:dyDescent="0.2">
      <c r="A1574" s="277"/>
      <c r="B1574" s="303"/>
      <c r="C1574" s="277"/>
      <c r="D1574" s="277"/>
      <c r="E1574" s="277"/>
      <c r="F1574" s="277"/>
      <c r="G1574" s="277"/>
      <c r="H1574" s="277"/>
      <c r="I1574" s="277"/>
      <c r="J1574" s="277"/>
      <c r="K1574" s="277"/>
      <c r="L1574" s="277"/>
      <c r="M1574" s="277"/>
      <c r="N1574" s="277"/>
      <c r="O1574" s="277"/>
      <c r="P1574" s="277"/>
      <c r="Q1574" s="277"/>
      <c r="R1574" s="277"/>
      <c r="S1574" s="277"/>
      <c r="T1574" s="277"/>
      <c r="U1574" s="277"/>
      <c r="V1574" s="277"/>
      <c r="W1574" s="277"/>
    </row>
    <row r="1575" spans="1:23" x14ac:dyDescent="0.2">
      <c r="A1575" s="284" t="s">
        <v>202</v>
      </c>
      <c r="B1575" s="279"/>
      <c r="C1575" s="278"/>
      <c r="D1575" s="435">
        <v>1892070.8137441922</v>
      </c>
      <c r="E1575" s="435">
        <v>1322894.6285432123</v>
      </c>
      <c r="F1575" s="435">
        <v>1058292.5803175976</v>
      </c>
      <c r="G1575" s="435">
        <v>854778.87788704352</v>
      </c>
      <c r="H1575" s="435">
        <v>737561.39983937331</v>
      </c>
      <c r="I1575" s="435">
        <v>529191.66268547531</v>
      </c>
      <c r="J1575" s="435">
        <v>599640.69415139325</v>
      </c>
      <c r="K1575" s="435">
        <v>953623.67300973297</v>
      </c>
      <c r="L1575" s="435">
        <v>960636.94479147228</v>
      </c>
      <c r="M1575" s="435">
        <v>1083390.0480212627</v>
      </c>
      <c r="N1575" s="435">
        <v>730006.51819717372</v>
      </c>
      <c r="O1575" s="435">
        <v>906556.87408039614</v>
      </c>
      <c r="P1575" s="435">
        <v>865991.78873274312</v>
      </c>
      <c r="Q1575" s="435">
        <v>1085266.2592207203</v>
      </c>
      <c r="R1575" s="435">
        <v>819884.54834268801</v>
      </c>
      <c r="S1575" s="435">
        <v>582591.30294208706</v>
      </c>
      <c r="T1575" s="435">
        <v>711967.02065628348</v>
      </c>
      <c r="U1575" s="435">
        <v>925675.02062349895</v>
      </c>
      <c r="V1575" s="435">
        <v>705592.13806652278</v>
      </c>
      <c r="W1575" s="435">
        <v>5171833.9096228713</v>
      </c>
    </row>
    <row r="1576" spans="1:23" x14ac:dyDescent="0.2">
      <c r="A1576" s="9"/>
      <c r="B1576" s="6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</row>
    <row r="1577" spans="1:23" x14ac:dyDescent="0.2">
      <c r="A1577" s="292"/>
      <c r="B1577" s="360"/>
      <c r="C1577" s="371"/>
      <c r="D1577" s="370"/>
      <c r="E1577" s="370"/>
      <c r="F1577" s="370"/>
      <c r="G1577" s="370"/>
      <c r="H1577" s="370"/>
      <c r="I1577" s="370"/>
      <c r="J1577" s="370"/>
      <c r="K1577" s="370"/>
      <c r="L1577" s="370"/>
      <c r="M1577" s="370"/>
      <c r="N1577" s="370"/>
      <c r="O1577" s="370"/>
      <c r="P1577" s="370"/>
      <c r="Q1577" s="370"/>
      <c r="R1577" s="370"/>
      <c r="S1577" s="370"/>
      <c r="T1577" s="370"/>
      <c r="U1577" s="370"/>
      <c r="V1577" s="370"/>
      <c r="W1577" s="370"/>
    </row>
    <row r="1578" spans="1:23" x14ac:dyDescent="0.2">
      <c r="A1578" s="292"/>
      <c r="B1578" s="360"/>
      <c r="C1578" s="292"/>
      <c r="D1578" s="370"/>
      <c r="E1578" s="370"/>
      <c r="F1578" s="370"/>
      <c r="G1578" s="370"/>
      <c r="H1578" s="370"/>
      <c r="I1578" s="370"/>
      <c r="J1578" s="370"/>
      <c r="K1578" s="370"/>
      <c r="L1578" s="370"/>
      <c r="M1578" s="370"/>
      <c r="N1578" s="370"/>
      <c r="O1578" s="370"/>
      <c r="P1578" s="370"/>
      <c r="Q1578" s="370"/>
      <c r="R1578" s="370"/>
      <c r="S1578" s="370"/>
      <c r="T1578" s="370"/>
      <c r="U1578" s="370"/>
      <c r="V1578" s="370"/>
      <c r="W1578" s="370"/>
    </row>
    <row r="1579" spans="1:23" x14ac:dyDescent="0.2">
      <c r="A1579" s="292"/>
      <c r="B1579" s="360"/>
      <c r="C1579" s="371"/>
      <c r="D1579" s="370"/>
      <c r="E1579" s="370"/>
      <c r="F1579" s="370"/>
      <c r="G1579" s="370"/>
      <c r="H1579" s="370"/>
      <c r="I1579" s="370"/>
      <c r="J1579" s="370"/>
      <c r="K1579" s="370"/>
      <c r="L1579" s="370"/>
      <c r="M1579" s="370"/>
      <c r="N1579" s="370"/>
      <c r="O1579" s="370"/>
      <c r="P1579" s="370"/>
      <c r="Q1579" s="370"/>
      <c r="R1579" s="370"/>
      <c r="S1579" s="370"/>
      <c r="T1579" s="370"/>
      <c r="U1579" s="370"/>
      <c r="V1579" s="370"/>
      <c r="W1579" s="370"/>
    </row>
    <row r="1580" spans="1:23" x14ac:dyDescent="0.2">
      <c r="A1580" s="292"/>
      <c r="B1580" s="360"/>
      <c r="C1580" s="372"/>
      <c r="D1580" s="370"/>
      <c r="E1580" s="370"/>
      <c r="F1580" s="370"/>
      <c r="G1580" s="370"/>
      <c r="H1580" s="370"/>
      <c r="I1580" s="370"/>
      <c r="J1580" s="370"/>
      <c r="K1580" s="370"/>
      <c r="L1580" s="370"/>
      <c r="M1580" s="370"/>
      <c r="N1580" s="370"/>
      <c r="O1580" s="370"/>
      <c r="P1580" s="370"/>
      <c r="Q1580" s="370"/>
      <c r="R1580" s="370"/>
      <c r="S1580" s="370"/>
      <c r="T1580" s="370"/>
      <c r="U1580" s="370"/>
      <c r="V1580" s="370"/>
      <c r="W1580" s="370"/>
    </row>
    <row r="1581" spans="1:23" x14ac:dyDescent="0.2">
      <c r="A1581" s="292"/>
      <c r="B1581" s="360"/>
      <c r="C1581" s="370"/>
      <c r="D1581" s="347"/>
      <c r="E1581" s="347"/>
      <c r="F1581" s="347"/>
      <c r="G1581" s="347"/>
      <c r="H1581" s="347"/>
      <c r="I1581" s="347"/>
      <c r="J1581" s="347"/>
      <c r="K1581" s="347"/>
      <c r="L1581" s="347"/>
      <c r="M1581" s="347"/>
      <c r="N1581" s="347"/>
      <c r="O1581" s="347"/>
      <c r="P1581" s="347"/>
      <c r="Q1581" s="347"/>
      <c r="R1581" s="347"/>
      <c r="S1581" s="347"/>
      <c r="T1581" s="347"/>
      <c r="U1581" s="347"/>
      <c r="V1581" s="347"/>
      <c r="W1581" s="347"/>
    </row>
    <row r="1582" spans="1:23" x14ac:dyDescent="0.2">
      <c r="A1582" s="292"/>
      <c r="B1582" s="360"/>
      <c r="C1582" s="370"/>
      <c r="D1582" s="68"/>
      <c r="E1582" s="68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68"/>
      <c r="T1582" s="68"/>
      <c r="U1582" s="68"/>
      <c r="V1582" s="68"/>
      <c r="W1582" s="68"/>
    </row>
    <row r="1583" spans="1:23" x14ac:dyDescent="0.2">
      <c r="A1583" s="292"/>
      <c r="B1583" s="360"/>
      <c r="C1583" s="370"/>
      <c r="D1583" s="68"/>
      <c r="E1583" s="68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68"/>
      <c r="T1583" s="68"/>
      <c r="U1583" s="68"/>
      <c r="V1583" s="68"/>
      <c r="W1583" s="68"/>
    </row>
    <row r="1584" spans="1:23" ht="15.75" x14ac:dyDescent="0.25">
      <c r="A1584" s="302" t="s">
        <v>29</v>
      </c>
      <c r="B1584" s="305" t="s">
        <v>77</v>
      </c>
      <c r="C1584" s="306">
        <v>2000</v>
      </c>
      <c r="D1584" s="306">
        <v>2001</v>
      </c>
      <c r="E1584" s="306">
        <v>2002</v>
      </c>
      <c r="F1584" s="306">
        <v>2003</v>
      </c>
      <c r="G1584" s="306">
        <v>2004</v>
      </c>
      <c r="H1584" s="306">
        <v>2005</v>
      </c>
      <c r="I1584" s="306">
        <v>2006</v>
      </c>
      <c r="J1584" s="306">
        <v>2007</v>
      </c>
      <c r="K1584" s="306">
        <v>2008</v>
      </c>
      <c r="L1584" s="306">
        <v>2009</v>
      </c>
      <c r="M1584" s="306">
        <v>2010</v>
      </c>
      <c r="N1584" s="306">
        <v>2011</v>
      </c>
      <c r="O1584" s="306">
        <v>2012</v>
      </c>
      <c r="P1584" s="306">
        <v>2013</v>
      </c>
      <c r="Q1584" s="306">
        <v>2014</v>
      </c>
      <c r="R1584" s="306">
        <v>2015</v>
      </c>
      <c r="S1584" s="306">
        <v>2016</v>
      </c>
      <c r="T1584" s="306">
        <v>2017</v>
      </c>
      <c r="U1584" s="306">
        <v>2018</v>
      </c>
      <c r="V1584" s="306">
        <v>2019</v>
      </c>
      <c r="W1584" s="306" t="s">
        <v>154</v>
      </c>
    </row>
    <row r="1585" spans="1:23" x14ac:dyDescent="0.2">
      <c r="A1585" s="302" t="s">
        <v>26</v>
      </c>
      <c r="B1585" s="303">
        <v>51.225000000000001</v>
      </c>
      <c r="C1585" s="308"/>
      <c r="D1585" s="308"/>
      <c r="E1585" s="308"/>
      <c r="F1585" s="308"/>
      <c r="G1585" s="308"/>
      <c r="H1585" s="308"/>
      <c r="I1585" s="308"/>
      <c r="J1585" s="308"/>
      <c r="K1585" s="308"/>
      <c r="L1585" s="308"/>
      <c r="M1585" s="308"/>
      <c r="N1585" s="308"/>
      <c r="O1585" s="308"/>
      <c r="P1585" s="308"/>
      <c r="Q1585" s="308"/>
      <c r="R1585" s="308"/>
      <c r="S1585" s="308"/>
      <c r="T1585" s="308"/>
      <c r="U1585" s="308"/>
      <c r="V1585" s="308"/>
      <c r="W1585" s="308"/>
    </row>
    <row r="1586" spans="1:23" x14ac:dyDescent="0.2">
      <c r="A1586" s="9"/>
      <c r="B1586" s="309" t="s">
        <v>27</v>
      </c>
      <c r="C1586" s="443">
        <v>0</v>
      </c>
      <c r="D1586" s="404">
        <v>4173272.135473615</v>
      </c>
      <c r="E1586" s="404">
        <v>3336543.8193901638</v>
      </c>
      <c r="F1586" s="404">
        <v>2771530.811703233</v>
      </c>
      <c r="G1586" s="404">
        <v>2486417.3009925336</v>
      </c>
      <c r="H1586" s="404">
        <v>2957557.5101935477</v>
      </c>
      <c r="I1586" s="404">
        <v>2731177.540879806</v>
      </c>
      <c r="J1586" s="404">
        <v>2671668.7777746529</v>
      </c>
      <c r="K1586" s="404">
        <v>4099251.7252914133</v>
      </c>
      <c r="L1586" s="404">
        <v>4150887.3304538289</v>
      </c>
      <c r="M1586" s="404">
        <v>4383220.7144428911</v>
      </c>
      <c r="N1586" s="404">
        <v>3427575.6979343127</v>
      </c>
      <c r="O1586" s="404">
        <v>4360652.2988399481</v>
      </c>
      <c r="P1586" s="404">
        <v>3733289.0387665611</v>
      </c>
      <c r="Q1586" s="404">
        <v>4762503.0610550325</v>
      </c>
      <c r="R1586" s="404">
        <v>4233544.4419203447</v>
      </c>
      <c r="S1586" s="404">
        <v>3344910.620600868</v>
      </c>
      <c r="T1586" s="404">
        <v>3656345.5456330781</v>
      </c>
      <c r="U1586" s="404">
        <v>4710739.3380201031</v>
      </c>
      <c r="V1586" s="404">
        <v>5317042.1057829261</v>
      </c>
      <c r="W1586" s="327"/>
    </row>
    <row r="1587" spans="1:23" x14ac:dyDescent="0.2">
      <c r="A1587" s="9"/>
      <c r="B1587" s="309" t="s">
        <v>20</v>
      </c>
      <c r="C1587" s="443">
        <v>0</v>
      </c>
      <c r="D1587" s="404">
        <v>-1014828.7504076151</v>
      </c>
      <c r="E1587" s="404">
        <v>-1103189.6758056004</v>
      </c>
      <c r="F1587" s="404">
        <v>-960682.64683507406</v>
      </c>
      <c r="G1587" s="404">
        <v>-991659.70651136339</v>
      </c>
      <c r="H1587" s="404">
        <v>-1464368.7005883786</v>
      </c>
      <c r="I1587" s="404">
        <v>-1528562.5950665644</v>
      </c>
      <c r="J1587" s="404">
        <v>-1355653.2737954785</v>
      </c>
      <c r="K1587" s="404">
        <v>-2113963.2795831379</v>
      </c>
      <c r="L1587" s="404">
        <v>-2144949.2489353046</v>
      </c>
      <c r="M1587" s="404">
        <v>-2164648.4351855358</v>
      </c>
      <c r="N1587" s="404">
        <v>-1807332.6418929831</v>
      </c>
      <c r="O1587" s="404">
        <v>-2369988.2656391095</v>
      </c>
      <c r="P1587" s="404">
        <v>-1849371.4806239253</v>
      </c>
      <c r="Q1587" s="404">
        <v>-2401822.1982134199</v>
      </c>
      <c r="R1587" s="404">
        <v>-2286059.3056309149</v>
      </c>
      <c r="S1587" s="404">
        <v>-1829657.9906264753</v>
      </c>
      <c r="T1587" s="404">
        <v>-1917552.4195994532</v>
      </c>
      <c r="U1587" s="404">
        <v>-2579940.6358794854</v>
      </c>
      <c r="V1587" s="404">
        <v>-3469740.2191837477</v>
      </c>
      <c r="W1587" s="327"/>
    </row>
    <row r="1588" spans="1:23" x14ac:dyDescent="0.2">
      <c r="A1588" s="9"/>
      <c r="B1588" s="309" t="s">
        <v>31</v>
      </c>
      <c r="C1588" s="443">
        <v>0</v>
      </c>
      <c r="D1588" s="404">
        <v>-32661.709008007445</v>
      </c>
      <c r="E1588" s="404">
        <v>-40135.677572451532</v>
      </c>
      <c r="F1588" s="404">
        <v>-36577.732705488335</v>
      </c>
      <c r="G1588" s="404">
        <v>-37291.019230674334</v>
      </c>
      <c r="H1588" s="404">
        <v>-55519.947524179413</v>
      </c>
      <c r="I1588" s="404">
        <v>-60077.836040779497</v>
      </c>
      <c r="J1588" s="404">
        <v>-54305.224355537204</v>
      </c>
      <c r="K1588" s="404">
        <v>-92448.621863654014</v>
      </c>
      <c r="L1588" s="404">
        <v>-93901.676510381483</v>
      </c>
      <c r="M1588" s="404">
        <v>-92184.275781709279</v>
      </c>
      <c r="N1588" s="404">
        <v>-77753.02173522755</v>
      </c>
      <c r="O1588" s="404">
        <v>-103672.41806919631</v>
      </c>
      <c r="P1588" s="404">
        <v>-79173.005483192144</v>
      </c>
      <c r="Q1588" s="404">
        <v>-103660.33471006992</v>
      </c>
      <c r="R1588" s="404">
        <v>-92744.77415854072</v>
      </c>
      <c r="S1588" s="404">
        <v>-72717.023898329324</v>
      </c>
      <c r="T1588" s="404">
        <v>-75426.80569574752</v>
      </c>
      <c r="U1588" s="404">
        <v>-97037.32962618921</v>
      </c>
      <c r="V1588" s="404">
        <v>-129811.47328511369</v>
      </c>
      <c r="W1588" s="327"/>
    </row>
    <row r="1589" spans="1:23" x14ac:dyDescent="0.2">
      <c r="A1589" s="9"/>
      <c r="B1589" s="309" t="s">
        <v>32</v>
      </c>
      <c r="C1589" s="443">
        <v>0</v>
      </c>
      <c r="D1589" s="404">
        <v>0</v>
      </c>
      <c r="E1589" s="404">
        <v>0</v>
      </c>
      <c r="F1589" s="404">
        <v>0</v>
      </c>
      <c r="G1589" s="404">
        <v>0</v>
      </c>
      <c r="H1589" s="404">
        <v>0</v>
      </c>
      <c r="I1589" s="404">
        <v>-21176.66010559116</v>
      </c>
      <c r="J1589" s="404">
        <v>-20791.176711573826</v>
      </c>
      <c r="K1589" s="404">
        <v>-39807.118214209113</v>
      </c>
      <c r="L1589" s="404">
        <v>-41915.070394003727</v>
      </c>
      <c r="M1589" s="404">
        <v>-44865.437817208614</v>
      </c>
      <c r="N1589" s="404">
        <v>-40876.087906718771</v>
      </c>
      <c r="O1589" s="404">
        <v>-59183.915727549131</v>
      </c>
      <c r="P1589" s="404">
        <v>-49630.067064999646</v>
      </c>
      <c r="Q1589" s="404">
        <v>-70963.990362827637</v>
      </c>
      <c r="R1589" s="404">
        <v>-68907.715495013719</v>
      </c>
      <c r="S1589" s="404">
        <v>-58073.264535054957</v>
      </c>
      <c r="T1589" s="404">
        <v>-58137.824943472377</v>
      </c>
      <c r="U1589" s="404">
        <v>-62643.314655277485</v>
      </c>
      <c r="V1589" s="404">
        <v>-85243.084360858964</v>
      </c>
      <c r="W1589" s="327"/>
    </row>
    <row r="1590" spans="1:23" ht="13.5" thickBot="1" x14ac:dyDescent="0.25">
      <c r="A1590" s="9"/>
      <c r="B1590" s="310" t="s">
        <v>33</v>
      </c>
      <c r="C1590" s="444">
        <v>0</v>
      </c>
      <c r="D1590" s="406">
        <v>0</v>
      </c>
      <c r="E1590" s="406">
        <v>0</v>
      </c>
      <c r="F1590" s="406">
        <v>0</v>
      </c>
      <c r="G1590" s="406">
        <v>0</v>
      </c>
      <c r="H1590" s="406">
        <v>0</v>
      </c>
      <c r="I1590" s="406">
        <v>-21176.66010559116</v>
      </c>
      <c r="J1590" s="406">
        <v>-20791.176711573826</v>
      </c>
      <c r="K1590" s="406">
        <v>-39807.118214209113</v>
      </c>
      <c r="L1590" s="406">
        <v>-41915.070394003727</v>
      </c>
      <c r="M1590" s="406">
        <v>-44865.437817208614</v>
      </c>
      <c r="N1590" s="406">
        <v>-40876.087906718771</v>
      </c>
      <c r="O1590" s="406">
        <v>-59183.915727549131</v>
      </c>
      <c r="P1590" s="406">
        <v>-49630.067064999646</v>
      </c>
      <c r="Q1590" s="406">
        <v>-70963.990362827637</v>
      </c>
      <c r="R1590" s="406">
        <v>-68907.715495013719</v>
      </c>
      <c r="S1590" s="406">
        <v>-58073.264535054957</v>
      </c>
      <c r="T1590" s="406">
        <v>-58137.824943472377</v>
      </c>
      <c r="U1590" s="406">
        <v>-62643.314655277485</v>
      </c>
      <c r="V1590" s="406">
        <v>-85243.084360858964</v>
      </c>
      <c r="W1590" s="327"/>
    </row>
    <row r="1591" spans="1:23" ht="13.5" thickTop="1" x14ac:dyDescent="0.2">
      <c r="A1591" s="9"/>
      <c r="B1591" s="311" t="s">
        <v>38</v>
      </c>
      <c r="C1591" s="445">
        <v>0</v>
      </c>
      <c r="D1591" s="408">
        <v>3125781.6760579925</v>
      </c>
      <c r="E1591" s="408">
        <v>2193218.4660121119</v>
      </c>
      <c r="F1591" s="408">
        <v>1774270.4321626707</v>
      </c>
      <c r="G1591" s="408">
        <v>1457466.5752504959</v>
      </c>
      <c r="H1591" s="408">
        <v>1437668.8620809896</v>
      </c>
      <c r="I1591" s="408">
        <v>1100183.7895612798</v>
      </c>
      <c r="J1591" s="408">
        <v>1220127.9262004897</v>
      </c>
      <c r="K1591" s="408">
        <v>1813225.587416203</v>
      </c>
      <c r="L1591" s="408">
        <v>1828206.2642201353</v>
      </c>
      <c r="M1591" s="408">
        <v>2036657.1278412286</v>
      </c>
      <c r="N1591" s="408">
        <v>1460737.8584926645</v>
      </c>
      <c r="O1591" s="408">
        <v>1768623.7836765437</v>
      </c>
      <c r="P1591" s="408">
        <v>1705484.4185294444</v>
      </c>
      <c r="Q1591" s="408">
        <v>2115092.5474058874</v>
      </c>
      <c r="R1591" s="408">
        <v>1716924.9311408619</v>
      </c>
      <c r="S1591" s="408">
        <v>1326389.0770059533</v>
      </c>
      <c r="T1591" s="408">
        <v>1547090.6704509326</v>
      </c>
      <c r="U1591" s="408">
        <v>1908474.7432038735</v>
      </c>
      <c r="V1591" s="408">
        <v>1547004.2445923469</v>
      </c>
      <c r="W1591" s="327"/>
    </row>
    <row r="1592" spans="1:23" x14ac:dyDescent="0.2">
      <c r="A1592" s="9"/>
      <c r="B1592" s="309" t="s">
        <v>34</v>
      </c>
      <c r="C1592" s="443">
        <v>0</v>
      </c>
      <c r="D1592" s="404">
        <v>-91566.271378944657</v>
      </c>
      <c r="E1592" s="404">
        <v>-93397.59680652355</v>
      </c>
      <c r="F1592" s="404">
        <v>-95265.54874265402</v>
      </c>
      <c r="G1592" s="404">
        <v>-97170.859717507105</v>
      </c>
      <c r="H1592" s="404">
        <v>-99114.276911857247</v>
      </c>
      <c r="I1592" s="404">
        <v>-101096.5624500944</v>
      </c>
      <c r="J1592" s="404">
        <v>-103118.49369909629</v>
      </c>
      <c r="K1592" s="404">
        <v>-105180.86357307821</v>
      </c>
      <c r="L1592" s="404">
        <v>-107284.48084453978</v>
      </c>
      <c r="M1592" s="404">
        <v>-109430.17046143058</v>
      </c>
      <c r="N1592" s="404">
        <v>-111618.77387065919</v>
      </c>
      <c r="O1592" s="404">
        <v>-113851.14934807237</v>
      </c>
      <c r="P1592" s="404">
        <v>-116128.17233503383</v>
      </c>
      <c r="Q1592" s="404">
        <v>-118450.7357817345</v>
      </c>
      <c r="R1592" s="404">
        <v>-120819.7504973692</v>
      </c>
      <c r="S1592" s="404">
        <v>-123236.14550731659</v>
      </c>
      <c r="T1592" s="404">
        <v>-125700.86841746292</v>
      </c>
      <c r="U1592" s="404">
        <v>-128214.88578581218</v>
      </c>
      <c r="V1592" s="404">
        <v>-130779.18350152842</v>
      </c>
      <c r="W1592" s="327"/>
    </row>
    <row r="1593" spans="1:23" x14ac:dyDescent="0.2">
      <c r="A1593" s="9"/>
      <c r="B1593" s="309" t="s">
        <v>35</v>
      </c>
      <c r="C1593" s="443">
        <v>0</v>
      </c>
      <c r="D1593" s="404">
        <v>-45161.410471875002</v>
      </c>
      <c r="E1593" s="404">
        <v>-45161.410471875002</v>
      </c>
      <c r="F1593" s="404">
        <v>-45161.410471875002</v>
      </c>
      <c r="G1593" s="404">
        <v>-45161.410471875002</v>
      </c>
      <c r="H1593" s="404">
        <v>-45161.410471875002</v>
      </c>
      <c r="I1593" s="404">
        <v>-45161.410471875002</v>
      </c>
      <c r="J1593" s="404">
        <v>-45161.410471875002</v>
      </c>
      <c r="K1593" s="404">
        <v>-45161.410471875002</v>
      </c>
      <c r="L1593" s="404">
        <v>-45161.410471875002</v>
      </c>
      <c r="M1593" s="404">
        <v>-45161.410471875002</v>
      </c>
      <c r="N1593" s="404">
        <v>-45161.410471875002</v>
      </c>
      <c r="O1593" s="404">
        <v>-45161.410471875002</v>
      </c>
      <c r="P1593" s="404">
        <v>-45161.410471875002</v>
      </c>
      <c r="Q1593" s="404">
        <v>-45161.410471875002</v>
      </c>
      <c r="R1593" s="404">
        <v>-45161.410471875002</v>
      </c>
      <c r="S1593" s="404">
        <v>-45161.410471875002</v>
      </c>
      <c r="T1593" s="404">
        <v>-45161.410471875002</v>
      </c>
      <c r="U1593" s="404">
        <v>-45161.410471875002</v>
      </c>
      <c r="V1593" s="404">
        <v>-45161.410471875002</v>
      </c>
      <c r="W1593" s="327"/>
    </row>
    <row r="1594" spans="1:23" ht="13.5" thickBot="1" x14ac:dyDescent="0.25">
      <c r="A1594" s="9"/>
      <c r="B1594" s="310" t="s">
        <v>36</v>
      </c>
      <c r="C1594" s="444">
        <v>0</v>
      </c>
      <c r="D1594" s="406">
        <v>-4145.6628847028896</v>
      </c>
      <c r="E1594" s="406">
        <v>-4233.13637157014</v>
      </c>
      <c r="F1594" s="406">
        <v>-4325.8420581075297</v>
      </c>
      <c r="G1594" s="406">
        <v>-4423.6060886207297</v>
      </c>
      <c r="H1594" s="406">
        <v>-4528.8879135299103</v>
      </c>
      <c r="I1594" s="406">
        <v>-4642.38229994021</v>
      </c>
      <c r="J1594" s="406">
        <v>-4757.52631405997</v>
      </c>
      <c r="K1594" s="406">
        <v>-4877.9491368499903</v>
      </c>
      <c r="L1594" s="406">
        <v>-4998.4344805301898</v>
      </c>
      <c r="M1594" s="406">
        <v>-5125.8945597837001</v>
      </c>
      <c r="N1594" s="406">
        <v>-5249.9412081304899</v>
      </c>
      <c r="O1594" s="406">
        <v>-5382.2397265753598</v>
      </c>
      <c r="P1594" s="406">
        <v>-5518.9486156303601</v>
      </c>
      <c r="Q1594" s="406">
        <v>-5656.92233102112</v>
      </c>
      <c r="R1594" s="406">
        <v>-5798.9110815297499</v>
      </c>
      <c r="S1594" s="406">
        <v>-5943.8838585679996</v>
      </c>
      <c r="T1594" s="406">
        <v>-6091.2921782604799</v>
      </c>
      <c r="U1594" s="406">
        <v>-6244.18361193483</v>
      </c>
      <c r="V1594" s="406">
        <v>-6400.9126205943903</v>
      </c>
      <c r="W1594" s="327"/>
    </row>
    <row r="1595" spans="1:23" ht="13.5" thickTop="1" x14ac:dyDescent="0.2">
      <c r="A1595" s="9"/>
      <c r="B1595" s="311" t="s">
        <v>220</v>
      </c>
      <c r="C1595" s="446">
        <v>0</v>
      </c>
      <c r="D1595" s="410">
        <v>2984908.3313224697</v>
      </c>
      <c r="E1595" s="410">
        <v>2050426.3223621433</v>
      </c>
      <c r="F1595" s="410">
        <v>1629517.6308900341</v>
      </c>
      <c r="G1595" s="410">
        <v>1310710.6989724929</v>
      </c>
      <c r="H1595" s="410">
        <v>1288864.2867837274</v>
      </c>
      <c r="I1595" s="410">
        <v>949283.43433937023</v>
      </c>
      <c r="J1595" s="410">
        <v>1067090.4957154584</v>
      </c>
      <c r="K1595" s="410">
        <v>1658005.3642343997</v>
      </c>
      <c r="L1595" s="410">
        <v>1670761.9384231903</v>
      </c>
      <c r="M1595" s="410">
        <v>1876939.6523481393</v>
      </c>
      <c r="N1595" s="410">
        <v>1298707.7329419998</v>
      </c>
      <c r="O1595" s="410">
        <v>1604228.984130021</v>
      </c>
      <c r="P1595" s="410">
        <v>1538675.8871069052</v>
      </c>
      <c r="Q1595" s="410">
        <v>1945823.4788212567</v>
      </c>
      <c r="R1595" s="410">
        <v>1545144.8590900882</v>
      </c>
      <c r="S1595" s="410">
        <v>1152047.6371681937</v>
      </c>
      <c r="T1595" s="410">
        <v>1370137.0993833342</v>
      </c>
      <c r="U1595" s="410">
        <v>1728854.2633342515</v>
      </c>
      <c r="V1595" s="410">
        <v>1364662.7379983491</v>
      </c>
      <c r="W1595" s="327"/>
    </row>
    <row r="1596" spans="1:23" x14ac:dyDescent="0.2">
      <c r="A1596" s="9"/>
      <c r="B1596" s="309" t="s">
        <v>37</v>
      </c>
      <c r="C1596" s="443">
        <v>0</v>
      </c>
      <c r="D1596" s="404">
        <v>-256373.48737677658</v>
      </c>
      <c r="E1596" s="404">
        <v>-235299.63781481623</v>
      </c>
      <c r="F1596" s="404">
        <v>-205307.07945894302</v>
      </c>
      <c r="G1596" s="404">
        <v>-174904.47125886939</v>
      </c>
      <c r="H1596" s="404">
        <v>-160607.06942284212</v>
      </c>
      <c r="I1596" s="404">
        <v>-156554.00520463297</v>
      </c>
      <c r="J1596" s="404">
        <v>-163690.99180529558</v>
      </c>
      <c r="K1596" s="404">
        <v>-170232.88617273298</v>
      </c>
      <c r="L1596" s="404">
        <v>-176826.65684389556</v>
      </c>
      <c r="M1596" s="404">
        <v>-182884.16010594799</v>
      </c>
      <c r="N1596" s="404">
        <v>-175467.77021218458</v>
      </c>
      <c r="O1596" s="404">
        <v>-167517.17536217629</v>
      </c>
      <c r="P1596" s="404">
        <v>-173658.16151840443</v>
      </c>
      <c r="Q1596" s="404">
        <v>-120623.72577722732</v>
      </c>
      <c r="R1596" s="404">
        <v>-67973.177057618159</v>
      </c>
      <c r="S1596" s="404">
        <v>-74465.269284038688</v>
      </c>
      <c r="T1596" s="404">
        <v>-81152.124277251874</v>
      </c>
      <c r="U1596" s="404">
        <v>-88039.584920261419</v>
      </c>
      <c r="V1596" s="404">
        <v>-95133.669382561275</v>
      </c>
      <c r="W1596" s="327"/>
    </row>
    <row r="1597" spans="1:23" ht="13.5" thickBot="1" x14ac:dyDescent="0.25">
      <c r="A1597" s="9"/>
      <c r="B1597" s="310" t="s">
        <v>221</v>
      </c>
      <c r="C1597" s="444">
        <v>0</v>
      </c>
      <c r="D1597" s="406">
        <v>-1091413.9375782774</v>
      </c>
      <c r="E1597" s="406">
        <v>-726050.67381893087</v>
      </c>
      <c r="F1597" s="406">
        <v>-569684.22057243646</v>
      </c>
      <c r="G1597" s="406">
        <v>-454322.49108544947</v>
      </c>
      <c r="H1597" s="406">
        <v>-451302.88694435416</v>
      </c>
      <c r="I1597" s="406">
        <v>-317091.77165389492</v>
      </c>
      <c r="J1597" s="406">
        <v>-361359.80156406516</v>
      </c>
      <c r="K1597" s="406">
        <v>-595108.99122466671</v>
      </c>
      <c r="L1597" s="406">
        <v>-597574.11263171793</v>
      </c>
      <c r="M1597" s="406">
        <v>-677622.19689687667</v>
      </c>
      <c r="N1597" s="406">
        <v>-449295.98509192606</v>
      </c>
      <c r="O1597" s="406">
        <v>-574684.72350713785</v>
      </c>
      <c r="P1597" s="406">
        <v>-546007.09023540036</v>
      </c>
      <c r="Q1597" s="406">
        <v>-730079.90121761174</v>
      </c>
      <c r="R1597" s="406">
        <v>-590868.67281298805</v>
      </c>
      <c r="S1597" s="406">
        <v>-431032.94715366198</v>
      </c>
      <c r="T1597" s="406">
        <v>-515593.99004243297</v>
      </c>
      <c r="U1597" s="406">
        <v>-656325.87136559607</v>
      </c>
      <c r="V1597" s="406">
        <v>-507811.62744631519</v>
      </c>
      <c r="W1597" s="327"/>
    </row>
    <row r="1598" spans="1:23" ht="13.5" thickTop="1" x14ac:dyDescent="0.2">
      <c r="A1598" s="9"/>
      <c r="B1598" s="311" t="s">
        <v>183</v>
      </c>
      <c r="C1598" s="446">
        <v>0</v>
      </c>
      <c r="D1598" s="410">
        <v>1637120.9063674158</v>
      </c>
      <c r="E1598" s="410">
        <v>1089076.010728396</v>
      </c>
      <c r="F1598" s="410">
        <v>854526.33085865458</v>
      </c>
      <c r="G1598" s="410">
        <v>681483.73662817408</v>
      </c>
      <c r="H1598" s="410">
        <v>676954.33041653119</v>
      </c>
      <c r="I1598" s="410">
        <v>475637.65748084232</v>
      </c>
      <c r="J1598" s="410">
        <v>542039.70234609768</v>
      </c>
      <c r="K1598" s="410">
        <v>892663.486837</v>
      </c>
      <c r="L1598" s="410">
        <v>896361.16894757678</v>
      </c>
      <c r="M1598" s="410">
        <v>1016433.2953453148</v>
      </c>
      <c r="N1598" s="410">
        <v>673943.9776378891</v>
      </c>
      <c r="O1598" s="410">
        <v>862027.08526070684</v>
      </c>
      <c r="P1598" s="410">
        <v>819010.63535310037</v>
      </c>
      <c r="Q1598" s="410">
        <v>1095119.8518264175</v>
      </c>
      <c r="R1598" s="410">
        <v>886303.00921948208</v>
      </c>
      <c r="S1598" s="410">
        <v>646549.42073049292</v>
      </c>
      <c r="T1598" s="410">
        <v>773390.98506364948</v>
      </c>
      <c r="U1598" s="410">
        <v>984488.80704839388</v>
      </c>
      <c r="V1598" s="410">
        <v>761717.44116947264</v>
      </c>
      <c r="W1598" s="327"/>
    </row>
    <row r="1599" spans="1:23" x14ac:dyDescent="0.2">
      <c r="A1599" s="9"/>
      <c r="B1599" s="309" t="s">
        <v>37</v>
      </c>
      <c r="C1599" s="443">
        <v>0</v>
      </c>
      <c r="D1599" s="404">
        <v>256373.48737677658</v>
      </c>
      <c r="E1599" s="404">
        <v>235299.63781481623</v>
      </c>
      <c r="F1599" s="404">
        <v>205307.07945894302</v>
      </c>
      <c r="G1599" s="404">
        <v>174904.47125886939</v>
      </c>
      <c r="H1599" s="404">
        <v>160607.06942284212</v>
      </c>
      <c r="I1599" s="404">
        <v>156554.00520463297</v>
      </c>
      <c r="J1599" s="404">
        <v>163690.99180529558</v>
      </c>
      <c r="K1599" s="404">
        <v>170232.88617273298</v>
      </c>
      <c r="L1599" s="404">
        <v>176826.65684389556</v>
      </c>
      <c r="M1599" s="404">
        <v>182884.16010594799</v>
      </c>
      <c r="N1599" s="404">
        <v>175467.77021218458</v>
      </c>
      <c r="O1599" s="404">
        <v>167517.17536217629</v>
      </c>
      <c r="P1599" s="404">
        <v>173658.16151840443</v>
      </c>
      <c r="Q1599" s="404">
        <v>120623.72577722732</v>
      </c>
      <c r="R1599" s="404">
        <v>67973.177057618159</v>
      </c>
      <c r="S1599" s="404">
        <v>74465.269284038688</v>
      </c>
      <c r="T1599" s="404">
        <v>81152.124277251874</v>
      </c>
      <c r="U1599" s="404">
        <v>88039.584920261419</v>
      </c>
      <c r="V1599" s="404">
        <v>95133.669382561275</v>
      </c>
      <c r="W1599" s="327"/>
    </row>
    <row r="1600" spans="1:23" x14ac:dyDescent="0.2">
      <c r="A1600" s="9"/>
      <c r="B1600" s="309" t="s">
        <v>39</v>
      </c>
      <c r="C1600" s="443">
        <v>0</v>
      </c>
      <c r="D1600" s="404">
        <v>-1423.58</v>
      </c>
      <c r="E1600" s="404">
        <v>-1481.02</v>
      </c>
      <c r="F1600" s="404">
        <v>-1540.83</v>
      </c>
      <c r="G1600" s="404">
        <v>-1609.33</v>
      </c>
      <c r="H1600" s="404">
        <v>-100000</v>
      </c>
      <c r="I1600" s="404">
        <v>-103000</v>
      </c>
      <c r="J1600" s="404">
        <v>-106090</v>
      </c>
      <c r="K1600" s="404">
        <v>-109272.7</v>
      </c>
      <c r="L1600" s="404">
        <v>-112550.88099999999</v>
      </c>
      <c r="M1600" s="404">
        <v>-115927.40742999999</v>
      </c>
      <c r="N1600" s="404">
        <v>-119405.2296529</v>
      </c>
      <c r="O1600" s="404">
        <v>-122987.386542487</v>
      </c>
      <c r="P1600" s="404">
        <v>-126677.00813876161</v>
      </c>
      <c r="Q1600" s="404">
        <v>-130477.31838292447</v>
      </c>
      <c r="R1600" s="404">
        <v>-134391.6379344122</v>
      </c>
      <c r="S1600" s="404">
        <v>-138423.38707244457</v>
      </c>
      <c r="T1600" s="404">
        <v>-142576.08868461792</v>
      </c>
      <c r="U1600" s="404">
        <v>-146853.37134515645</v>
      </c>
      <c r="V1600" s="404">
        <v>-151258.97248551116</v>
      </c>
      <c r="W1600" s="327"/>
    </row>
    <row r="1601" spans="1:23" ht="13.5" thickBot="1" x14ac:dyDescent="0.25">
      <c r="A1601" s="9"/>
      <c r="B1601" s="310" t="s">
        <v>40</v>
      </c>
      <c r="C1601" s="444">
        <v>0</v>
      </c>
      <c r="D1601" s="406">
        <v>0</v>
      </c>
      <c r="E1601" s="406">
        <v>0</v>
      </c>
      <c r="F1601" s="406">
        <v>0</v>
      </c>
      <c r="G1601" s="406">
        <v>0</v>
      </c>
      <c r="H1601" s="406">
        <v>0</v>
      </c>
      <c r="I1601" s="406">
        <v>0</v>
      </c>
      <c r="J1601" s="406">
        <v>0</v>
      </c>
      <c r="K1601" s="406">
        <v>0</v>
      </c>
      <c r="L1601" s="406">
        <v>0</v>
      </c>
      <c r="M1601" s="406">
        <v>0</v>
      </c>
      <c r="N1601" s="406">
        <v>0</v>
      </c>
      <c r="O1601" s="406">
        <v>0</v>
      </c>
      <c r="P1601" s="406">
        <v>0</v>
      </c>
      <c r="Q1601" s="406">
        <v>0</v>
      </c>
      <c r="R1601" s="406">
        <v>0</v>
      </c>
      <c r="S1601" s="406">
        <v>0</v>
      </c>
      <c r="T1601" s="406">
        <v>0</v>
      </c>
      <c r="U1601" s="406">
        <v>0</v>
      </c>
      <c r="V1601" s="406">
        <v>0</v>
      </c>
      <c r="W1601" s="327"/>
    </row>
    <row r="1602" spans="1:23" ht="13.5" thickTop="1" x14ac:dyDescent="0.2">
      <c r="A1602" s="9"/>
      <c r="B1602" s="309"/>
      <c r="C1602" s="447"/>
      <c r="D1602" s="327"/>
      <c r="E1602" s="327"/>
      <c r="F1602" s="327"/>
      <c r="G1602" s="327"/>
      <c r="H1602" s="327"/>
      <c r="I1602" s="327"/>
      <c r="J1602" s="327"/>
      <c r="K1602" s="327"/>
      <c r="L1602" s="327"/>
      <c r="M1602" s="327"/>
      <c r="N1602" s="327"/>
      <c r="O1602" s="327"/>
      <c r="P1602" s="327"/>
      <c r="Q1602" s="327"/>
      <c r="R1602" s="327"/>
      <c r="S1602" s="327"/>
      <c r="T1602" s="327"/>
      <c r="U1602" s="327"/>
      <c r="V1602" s="327"/>
      <c r="W1602" s="327"/>
    </row>
    <row r="1603" spans="1:23" x14ac:dyDescent="0.2">
      <c r="A1603" s="9"/>
      <c r="B1603" s="311" t="s">
        <v>233</v>
      </c>
      <c r="C1603" s="446">
        <v>0</v>
      </c>
      <c r="D1603" s="410">
        <v>1892070.8137441922</v>
      </c>
      <c r="E1603" s="410">
        <v>1322894.6285432123</v>
      </c>
      <c r="F1603" s="410">
        <v>1058292.5803175976</v>
      </c>
      <c r="G1603" s="410">
        <v>854778.87788704352</v>
      </c>
      <c r="H1603" s="410">
        <v>737561.39983937331</v>
      </c>
      <c r="I1603" s="410">
        <v>529191.66268547531</v>
      </c>
      <c r="J1603" s="410">
        <v>599640.69415139325</v>
      </c>
      <c r="K1603" s="410">
        <v>953623.67300973297</v>
      </c>
      <c r="L1603" s="410">
        <v>960636.94479147228</v>
      </c>
      <c r="M1603" s="410">
        <v>1083390.0480212627</v>
      </c>
      <c r="N1603" s="410">
        <v>730006.51819717372</v>
      </c>
      <c r="O1603" s="410">
        <v>906556.87408039614</v>
      </c>
      <c r="P1603" s="410">
        <v>865991.78873274312</v>
      </c>
      <c r="Q1603" s="410">
        <v>1085266.2592207203</v>
      </c>
      <c r="R1603" s="410">
        <v>819884.54834268801</v>
      </c>
      <c r="S1603" s="410">
        <v>582591.30294208706</v>
      </c>
      <c r="T1603" s="410">
        <v>711967.02065628348</v>
      </c>
      <c r="U1603" s="410">
        <v>925675.02062349895</v>
      </c>
      <c r="V1603" s="410">
        <v>705592.13806652278</v>
      </c>
      <c r="W1603" s="408">
        <v>5171833.9096228713</v>
      </c>
    </row>
    <row r="1604" spans="1:23" x14ac:dyDescent="0.2">
      <c r="A1604" s="9"/>
      <c r="B1604" s="286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</row>
    <row r="1605" spans="1:23" x14ac:dyDescent="0.2">
      <c r="A1605" s="302" t="s">
        <v>218</v>
      </c>
      <c r="B1605" s="300" t="s">
        <v>170</v>
      </c>
      <c r="C1605" s="433">
        <v>4650269.6764958296</v>
      </c>
      <c r="D1605" s="9"/>
      <c r="E1605" s="137" t="s">
        <v>219</v>
      </c>
      <c r="F1605" s="313" t="s">
        <v>170</v>
      </c>
      <c r="G1605" s="437">
        <v>4650269.6764958296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</row>
    <row r="1606" spans="1:23" x14ac:dyDescent="0.2">
      <c r="A1606" s="9"/>
      <c r="B1606" s="300" t="s">
        <v>180</v>
      </c>
      <c r="C1606" s="433">
        <v>3703529.0668251244</v>
      </c>
      <c r="D1606" s="9"/>
      <c r="E1606" s="315"/>
      <c r="F1606" s="313" t="s">
        <v>180</v>
      </c>
      <c r="G1606" s="437">
        <v>3703529.0668251244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</row>
    <row r="1607" spans="1:23" ht="13.5" thickBot="1" x14ac:dyDescent="0.25">
      <c r="A1607" s="9"/>
      <c r="B1607" s="316" t="s">
        <v>137</v>
      </c>
      <c r="C1607" s="434">
        <v>768760.15586463385</v>
      </c>
      <c r="D1607" s="317"/>
      <c r="E1607" s="315"/>
      <c r="F1607" s="313" t="s">
        <v>137</v>
      </c>
      <c r="G1607" s="437">
        <v>768760.15586463385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</row>
    <row r="1608" spans="1:23" ht="14.25" thickTop="1" thickBot="1" x14ac:dyDescent="0.25">
      <c r="A1608" s="9"/>
      <c r="B1608" s="300" t="s">
        <v>28</v>
      </c>
      <c r="C1608" s="432">
        <v>9122558.8991855886</v>
      </c>
      <c r="D1608" s="299"/>
      <c r="E1608" s="315"/>
      <c r="F1608" s="318" t="s">
        <v>203</v>
      </c>
      <c r="G1608" s="319">
        <v>0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</row>
    <row r="1609" spans="1:23" ht="13.5" thickTop="1" x14ac:dyDescent="0.2">
      <c r="A1609" s="9"/>
      <c r="B1609" s="286"/>
      <c r="C1609" s="320"/>
      <c r="D1609" s="9"/>
      <c r="E1609" s="321"/>
      <c r="F1609" s="313" t="s">
        <v>28</v>
      </c>
      <c r="G1609" s="362">
        <v>9122558.8991855886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</row>
    <row r="1610" spans="1:23" x14ac:dyDescent="0.2">
      <c r="A1610" s="9"/>
      <c r="B1610" s="286"/>
      <c r="C1610" s="320"/>
      <c r="D1610" s="9"/>
      <c r="E1610" s="321"/>
      <c r="F1610" s="313"/>
      <c r="G1610" s="322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</row>
    <row r="1611" spans="1:23" x14ac:dyDescent="0.2">
      <c r="A1611" s="9"/>
      <c r="B1611" s="286"/>
      <c r="C1611" s="320"/>
      <c r="D1611" s="9"/>
      <c r="E1611" s="321"/>
      <c r="F1611" s="313"/>
      <c r="G1611" s="322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</row>
    <row r="1612" spans="1:23" x14ac:dyDescent="0.2">
      <c r="A1612" s="9"/>
      <c r="B1612" s="323" t="s">
        <v>222</v>
      </c>
      <c r="C1612" s="320"/>
      <c r="D1612" s="9"/>
      <c r="E1612" s="321"/>
      <c r="F1612" s="313"/>
      <c r="G1612" s="322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</row>
    <row r="1613" spans="1:23" x14ac:dyDescent="0.2">
      <c r="A1613" s="324" t="s">
        <v>224</v>
      </c>
      <c r="B1613" s="323" t="s">
        <v>223</v>
      </c>
      <c r="C1613" s="325"/>
      <c r="D1613" s="326">
        <v>1637120.9063674158</v>
      </c>
      <c r="E1613" s="326">
        <v>1089076.010728396</v>
      </c>
      <c r="F1613" s="326">
        <v>854526.33085865458</v>
      </c>
      <c r="G1613" s="326">
        <v>681483.73662817408</v>
      </c>
      <c r="H1613" s="326">
        <v>676954.33041653119</v>
      </c>
      <c r="I1613" s="326">
        <v>475637.65748084232</v>
      </c>
      <c r="J1613" s="326">
        <v>542039.70234609768</v>
      </c>
      <c r="K1613" s="326">
        <v>892663.486837</v>
      </c>
      <c r="L1613" s="326">
        <v>896361.16894757678</v>
      </c>
      <c r="M1613" s="326">
        <v>1016433.2953453148</v>
      </c>
      <c r="N1613" s="326">
        <v>673943.9776378891</v>
      </c>
      <c r="O1613" s="326">
        <v>862027.08526070684</v>
      </c>
      <c r="P1613" s="326">
        <v>819010.63535310037</v>
      </c>
      <c r="Q1613" s="326">
        <v>1095119.8518264175</v>
      </c>
      <c r="R1613" s="326">
        <v>886303.00921948208</v>
      </c>
      <c r="S1613" s="326">
        <v>646549.42073049292</v>
      </c>
      <c r="T1613" s="326">
        <v>773390.98506364948</v>
      </c>
      <c r="U1613" s="326">
        <v>984488.80704839388</v>
      </c>
      <c r="V1613" s="326">
        <v>761717.44116947264</v>
      </c>
      <c r="W1613" s="9"/>
    </row>
    <row r="1614" spans="1:23" x14ac:dyDescent="0.2">
      <c r="A1614" s="9"/>
      <c r="B1614" s="286" t="s">
        <v>225</v>
      </c>
      <c r="C1614" s="320"/>
      <c r="D1614" s="327">
        <v>1091413.9375782774</v>
      </c>
      <c r="E1614" s="327">
        <v>726050.67381893087</v>
      </c>
      <c r="F1614" s="327">
        <v>569684.22057243646</v>
      </c>
      <c r="G1614" s="327">
        <v>454322.49108544947</v>
      </c>
      <c r="H1614" s="327">
        <v>451302.88694435416</v>
      </c>
      <c r="I1614" s="327">
        <v>317091.77165389492</v>
      </c>
      <c r="J1614" s="327">
        <v>361359.80156406516</v>
      </c>
      <c r="K1614" s="327">
        <v>595108.99122466671</v>
      </c>
      <c r="L1614" s="327">
        <v>597574.11263171793</v>
      </c>
      <c r="M1614" s="327">
        <v>677622.19689687667</v>
      </c>
      <c r="N1614" s="327">
        <v>449295.98509192606</v>
      </c>
      <c r="O1614" s="327">
        <v>574684.72350713785</v>
      </c>
      <c r="P1614" s="327">
        <v>546007.09023540036</v>
      </c>
      <c r="Q1614" s="327">
        <v>730079.90121761174</v>
      </c>
      <c r="R1614" s="327">
        <v>590868.67281298805</v>
      </c>
      <c r="S1614" s="327">
        <v>431032.94715366198</v>
      </c>
      <c r="T1614" s="327">
        <v>515593.99004243297</v>
      </c>
      <c r="U1614" s="327">
        <v>656325.87136559607</v>
      </c>
      <c r="V1614" s="327">
        <v>507811.62744631519</v>
      </c>
      <c r="W1614" s="9"/>
    </row>
    <row r="1615" spans="1:23" x14ac:dyDescent="0.2">
      <c r="A1615" s="9"/>
      <c r="B1615" s="328" t="s">
        <v>226</v>
      </c>
      <c r="C1615" s="329"/>
      <c r="D1615" s="327">
        <v>256373.48737677658</v>
      </c>
      <c r="E1615" s="327">
        <v>235299.63781481623</v>
      </c>
      <c r="F1615" s="327">
        <v>205307.07945894302</v>
      </c>
      <c r="G1615" s="327">
        <v>174904.47125886939</v>
      </c>
      <c r="H1615" s="327">
        <v>160607.06942284212</v>
      </c>
      <c r="I1615" s="327">
        <v>156554.00520463297</v>
      </c>
      <c r="J1615" s="327">
        <v>163690.99180529558</v>
      </c>
      <c r="K1615" s="327">
        <v>170232.88617273298</v>
      </c>
      <c r="L1615" s="327">
        <v>176826.65684389556</v>
      </c>
      <c r="M1615" s="327">
        <v>182884.16010594799</v>
      </c>
      <c r="N1615" s="327">
        <v>175467.77021218458</v>
      </c>
      <c r="O1615" s="327">
        <v>167517.17536217629</v>
      </c>
      <c r="P1615" s="327">
        <v>173658.16151840443</v>
      </c>
      <c r="Q1615" s="327">
        <v>120623.72577722732</v>
      </c>
      <c r="R1615" s="327">
        <v>67973.177057618159</v>
      </c>
      <c r="S1615" s="327">
        <v>74465.269284038688</v>
      </c>
      <c r="T1615" s="327">
        <v>81152.124277251874</v>
      </c>
      <c r="U1615" s="327">
        <v>88039.584920261419</v>
      </c>
      <c r="V1615" s="327">
        <v>95133.669382561275</v>
      </c>
      <c r="W1615" s="9"/>
    </row>
    <row r="1616" spans="1:23" ht="13.5" thickBot="1" x14ac:dyDescent="0.25">
      <c r="A1616" s="9"/>
      <c r="B1616" s="330" t="s">
        <v>227</v>
      </c>
      <c r="C1616" s="331"/>
      <c r="D1616" s="332">
        <v>2984908.3313224697</v>
      </c>
      <c r="E1616" s="332">
        <v>2050426.3223621433</v>
      </c>
      <c r="F1616" s="332">
        <v>1629517.6308900341</v>
      </c>
      <c r="G1616" s="332">
        <v>1310710.6989724929</v>
      </c>
      <c r="H1616" s="332">
        <v>1288864.2867837274</v>
      </c>
      <c r="I1616" s="332">
        <v>949283.43433937023</v>
      </c>
      <c r="J1616" s="332">
        <v>1067090.4957154584</v>
      </c>
      <c r="K1616" s="332">
        <v>1658005.3642343997</v>
      </c>
      <c r="L1616" s="332">
        <v>1670761.9384231903</v>
      </c>
      <c r="M1616" s="332">
        <v>1876939.6523481393</v>
      </c>
      <c r="N1616" s="332">
        <v>1298707.7329419998</v>
      </c>
      <c r="O1616" s="332">
        <v>1604228.984130021</v>
      </c>
      <c r="P1616" s="332">
        <v>1538675.8871069052</v>
      </c>
      <c r="Q1616" s="332">
        <v>1945823.4788212567</v>
      </c>
      <c r="R1616" s="332">
        <v>1545144.8590900884</v>
      </c>
      <c r="S1616" s="332">
        <v>1152047.6371681937</v>
      </c>
      <c r="T1616" s="332">
        <v>1370137.0993833342</v>
      </c>
      <c r="U1616" s="332">
        <v>1728854.2633342515</v>
      </c>
      <c r="V1616" s="332">
        <v>1364662.7379983491</v>
      </c>
      <c r="W1616" s="9"/>
    </row>
    <row r="1617" spans="1:23" ht="13.5" thickTop="1" x14ac:dyDescent="0.2">
      <c r="A1617" s="324" t="s">
        <v>228</v>
      </c>
      <c r="B1617" s="286" t="s">
        <v>229</v>
      </c>
      <c r="C1617" s="320"/>
      <c r="D1617" s="327">
        <v>-572072.6856983226</v>
      </c>
      <c r="E1617" s="327">
        <v>-571105.994308152</v>
      </c>
      <c r="F1617" s="327">
        <v>-567419.22315439081</v>
      </c>
      <c r="G1617" s="327">
        <v>-551343.67461045913</v>
      </c>
      <c r="H1617" s="327">
        <v>-509959.22651103698</v>
      </c>
      <c r="I1617" s="327">
        <v>-515109.22651103698</v>
      </c>
      <c r="J1617" s="327">
        <v>-297727.48179906013</v>
      </c>
      <c r="K1617" s="327">
        <v>-109683.59723414935</v>
      </c>
      <c r="L1617" s="327">
        <v>-115116.44440495</v>
      </c>
      <c r="M1617" s="327">
        <v>-113527.91955679125</v>
      </c>
      <c r="N1617" s="327">
        <v>-63875.927684645911</v>
      </c>
      <c r="O1617" s="327">
        <v>-70025.29701177025</v>
      </c>
      <c r="P1617" s="327">
        <v>-76359.147418708337</v>
      </c>
      <c r="Q1617" s="327">
        <v>-82883.013337854558</v>
      </c>
      <c r="R1617" s="327">
        <v>-89602.595234575158</v>
      </c>
      <c r="S1617" s="327">
        <v>-96173.377212357518</v>
      </c>
      <c r="T1617" s="327">
        <v>-102354.9396233774</v>
      </c>
      <c r="U1617" s="327">
        <v>-109697.60819063522</v>
      </c>
      <c r="V1617" s="327">
        <v>-117260.55681491077</v>
      </c>
      <c r="W1617" s="9"/>
    </row>
    <row r="1618" spans="1:23" x14ac:dyDescent="0.2">
      <c r="A1618" s="9"/>
      <c r="B1618" s="286" t="s">
        <v>230</v>
      </c>
      <c r="C1618" s="320"/>
      <c r="D1618" s="327">
        <v>0</v>
      </c>
      <c r="E1618" s="327">
        <v>0</v>
      </c>
      <c r="F1618" s="327">
        <v>0</v>
      </c>
      <c r="G1618" s="327">
        <v>0</v>
      </c>
      <c r="H1618" s="327">
        <v>0</v>
      </c>
      <c r="I1618" s="327">
        <v>0</v>
      </c>
      <c r="J1618" s="327">
        <v>0</v>
      </c>
      <c r="K1618" s="327">
        <v>0</v>
      </c>
      <c r="L1618" s="327">
        <v>0</v>
      </c>
      <c r="M1618" s="327">
        <v>0</v>
      </c>
      <c r="N1618" s="327">
        <v>0</v>
      </c>
      <c r="O1618" s="327">
        <v>0</v>
      </c>
      <c r="P1618" s="327">
        <v>0</v>
      </c>
      <c r="Q1618" s="327">
        <v>0</v>
      </c>
      <c r="R1618" s="327">
        <v>0</v>
      </c>
      <c r="S1618" s="327">
        <v>0</v>
      </c>
      <c r="T1618" s="327">
        <v>0</v>
      </c>
      <c r="U1618" s="327">
        <v>0</v>
      </c>
      <c r="V1618" s="327">
        <v>0</v>
      </c>
      <c r="W1618" s="9"/>
    </row>
    <row r="1619" spans="1:23" x14ac:dyDescent="0.2">
      <c r="A1619" s="9"/>
      <c r="B1619" s="323" t="s">
        <v>231</v>
      </c>
      <c r="C1619" s="325"/>
      <c r="D1619" s="326">
        <v>2412835.6456241473</v>
      </c>
      <c r="E1619" s="326">
        <v>1479320.3280539913</v>
      </c>
      <c r="F1619" s="326">
        <v>1062098.4077356434</v>
      </c>
      <c r="G1619" s="326">
        <v>759367.02436203382</v>
      </c>
      <c r="H1619" s="326">
        <v>778905.06027269037</v>
      </c>
      <c r="I1619" s="326">
        <v>434174.20782833325</v>
      </c>
      <c r="J1619" s="326">
        <v>769363.01391639828</v>
      </c>
      <c r="K1619" s="326">
        <v>1548321.7670002505</v>
      </c>
      <c r="L1619" s="326">
        <v>1555645.4940182404</v>
      </c>
      <c r="M1619" s="326">
        <v>1763411.7327913481</v>
      </c>
      <c r="N1619" s="326">
        <v>1234831.8052573539</v>
      </c>
      <c r="O1619" s="326">
        <v>1534203.6871182506</v>
      </c>
      <c r="P1619" s="326">
        <v>1462316.7396881969</v>
      </c>
      <c r="Q1619" s="326">
        <v>1862940.4654834021</v>
      </c>
      <c r="R1619" s="326">
        <v>1455542.2638555132</v>
      </c>
      <c r="S1619" s="326">
        <v>1055874.2599558362</v>
      </c>
      <c r="T1619" s="326">
        <v>1267782.1597599569</v>
      </c>
      <c r="U1619" s="326">
        <v>1619156.6551436163</v>
      </c>
      <c r="V1619" s="326">
        <v>1247402.1811834383</v>
      </c>
      <c r="W1619" s="9"/>
    </row>
    <row r="1620" spans="1:23" ht="13.5" thickBot="1" x14ac:dyDescent="0.25">
      <c r="A1620" s="9"/>
      <c r="B1620" s="333" t="s">
        <v>237</v>
      </c>
      <c r="C1620" s="334"/>
      <c r="D1620" s="335">
        <v>-965134.25824965897</v>
      </c>
      <c r="E1620" s="335">
        <v>-591728.1312215965</v>
      </c>
      <c r="F1620" s="335">
        <v>-424839.36309425742</v>
      </c>
      <c r="G1620" s="335">
        <v>-303746.80974481354</v>
      </c>
      <c r="H1620" s="335">
        <v>-311562.02410907618</v>
      </c>
      <c r="I1620" s="335">
        <v>-173669.68313133332</v>
      </c>
      <c r="J1620" s="335">
        <v>-307745.20556655934</v>
      </c>
      <c r="K1620" s="335">
        <v>-619328.70680010028</v>
      </c>
      <c r="L1620" s="335">
        <v>-622258.19760729617</v>
      </c>
      <c r="M1620" s="335">
        <v>-705364.69311653927</v>
      </c>
      <c r="N1620" s="335">
        <v>-493932.7221029416</v>
      </c>
      <c r="O1620" s="335">
        <v>-613681.47484730033</v>
      </c>
      <c r="P1620" s="335">
        <v>-584926.69587527879</v>
      </c>
      <c r="Q1620" s="335">
        <v>-745176.18619336095</v>
      </c>
      <c r="R1620" s="335">
        <v>-582216.90554220532</v>
      </c>
      <c r="S1620" s="335">
        <v>-422349.70398233453</v>
      </c>
      <c r="T1620" s="335">
        <v>-507112.8639039828</v>
      </c>
      <c r="U1620" s="335">
        <v>-647662.66205744655</v>
      </c>
      <c r="V1620" s="335">
        <v>-498960.87247337535</v>
      </c>
      <c r="W1620" s="9"/>
    </row>
    <row r="1621" spans="1:23" ht="13.5" thickTop="1" x14ac:dyDescent="0.2">
      <c r="A1621" s="9"/>
      <c r="B1621" s="323" t="s">
        <v>232</v>
      </c>
      <c r="C1621" s="325"/>
      <c r="D1621" s="326">
        <v>1447701.3873744882</v>
      </c>
      <c r="E1621" s="326">
        <v>887592.19683239481</v>
      </c>
      <c r="F1621" s="326">
        <v>637259.04464138602</v>
      </c>
      <c r="G1621" s="326">
        <v>455620.21461722028</v>
      </c>
      <c r="H1621" s="326">
        <v>467343.03616361419</v>
      </c>
      <c r="I1621" s="326">
        <v>260504.52469699993</v>
      </c>
      <c r="J1621" s="326">
        <v>461617.80834983895</v>
      </c>
      <c r="K1621" s="326">
        <v>928993.06020015024</v>
      </c>
      <c r="L1621" s="326">
        <v>933387.2964109442</v>
      </c>
      <c r="M1621" s="326">
        <v>1058047.0396748087</v>
      </c>
      <c r="N1621" s="326">
        <v>740899.08315441234</v>
      </c>
      <c r="O1621" s="326">
        <v>920522.21227095032</v>
      </c>
      <c r="P1621" s="326">
        <v>877390.04381291813</v>
      </c>
      <c r="Q1621" s="326">
        <v>1117764.2792900412</v>
      </c>
      <c r="R1621" s="326">
        <v>873325.35831330786</v>
      </c>
      <c r="S1621" s="326">
        <v>633524.55597350164</v>
      </c>
      <c r="T1621" s="326">
        <v>760669.29585597408</v>
      </c>
      <c r="U1621" s="326">
        <v>971493.99308616971</v>
      </c>
      <c r="V1621" s="326">
        <v>748441.30871006288</v>
      </c>
      <c r="W1621" s="9"/>
    </row>
    <row r="1622" spans="1:23" x14ac:dyDescent="0.2">
      <c r="A1622" s="9"/>
      <c r="B1622" s="9"/>
      <c r="C1622" s="320"/>
      <c r="D1622" s="9"/>
      <c r="E1622" s="321"/>
      <c r="F1622" s="313"/>
      <c r="G1622" s="322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</row>
    <row r="1623" spans="1:23" ht="15.75" x14ac:dyDescent="0.25">
      <c r="A1623" s="336" t="s">
        <v>205</v>
      </c>
      <c r="B1623" s="337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</row>
    <row r="1624" spans="1:23" x14ac:dyDescent="0.2">
      <c r="A1624" s="284" t="s">
        <v>190</v>
      </c>
      <c r="B1624" s="303"/>
      <c r="C1624" s="338">
        <v>0</v>
      </c>
      <c r="D1624" s="277"/>
      <c r="E1624" s="277"/>
      <c r="F1624" s="277"/>
      <c r="G1624" s="277"/>
      <c r="H1624" s="277"/>
      <c r="I1624" s="277"/>
      <c r="J1624" s="277"/>
      <c r="K1624" s="277"/>
      <c r="L1624" s="277"/>
      <c r="M1624" s="277"/>
      <c r="N1624" s="277"/>
      <c r="O1624" s="277"/>
      <c r="P1624" s="277"/>
      <c r="Q1624" s="277"/>
      <c r="R1624" s="277"/>
      <c r="S1624" s="277"/>
      <c r="T1624" s="277"/>
      <c r="U1624" s="277"/>
      <c r="V1624" s="277"/>
      <c r="W1624" s="277"/>
    </row>
    <row r="1625" spans="1:23" x14ac:dyDescent="0.2">
      <c r="A1625" s="284" t="s">
        <v>191</v>
      </c>
      <c r="B1625" s="303"/>
      <c r="C1625" s="339">
        <v>0</v>
      </c>
      <c r="D1625" s="277"/>
      <c r="E1625" s="277"/>
      <c r="F1625" s="277"/>
      <c r="G1625" s="277"/>
      <c r="H1625" s="277"/>
      <c r="I1625" s="277"/>
      <c r="J1625" s="277"/>
      <c r="K1625" s="277"/>
      <c r="L1625" s="277"/>
      <c r="M1625" s="277"/>
      <c r="N1625" s="277"/>
      <c r="O1625" s="277"/>
      <c r="P1625" s="277"/>
      <c r="Q1625" s="277"/>
      <c r="R1625" s="277"/>
      <c r="S1625" s="277"/>
      <c r="T1625" s="277"/>
      <c r="U1625" s="277"/>
      <c r="V1625" s="277"/>
      <c r="W1625" s="277"/>
    </row>
    <row r="1626" spans="1:23" x14ac:dyDescent="0.2">
      <c r="A1626" s="284" t="s">
        <v>201</v>
      </c>
      <c r="B1626" s="303"/>
      <c r="C1626" s="284">
        <v>15</v>
      </c>
      <c r="D1626" s="277"/>
      <c r="E1626" s="277"/>
      <c r="F1626" s="277"/>
      <c r="G1626" s="277"/>
      <c r="H1626" s="277"/>
      <c r="I1626" s="277"/>
      <c r="J1626" s="277"/>
      <c r="K1626" s="277"/>
      <c r="L1626" s="277"/>
      <c r="M1626" s="277"/>
      <c r="N1626" s="277"/>
      <c r="O1626" s="277"/>
      <c r="P1626" s="277"/>
      <c r="Q1626" s="277"/>
      <c r="R1626" s="277"/>
      <c r="S1626" s="277"/>
      <c r="T1626" s="277"/>
      <c r="U1626" s="277"/>
      <c r="V1626" s="277"/>
      <c r="W1626" s="277"/>
    </row>
    <row r="1627" spans="1:23" x14ac:dyDescent="0.2">
      <c r="A1627" s="284" t="s">
        <v>192</v>
      </c>
      <c r="B1627" s="303"/>
      <c r="C1627" s="339">
        <v>0</v>
      </c>
      <c r="D1627" s="277"/>
      <c r="E1627" s="277"/>
      <c r="F1627" s="277"/>
      <c r="G1627" s="277"/>
      <c r="H1627" s="277"/>
      <c r="I1627" s="277"/>
      <c r="J1627" s="277"/>
      <c r="K1627" s="277"/>
      <c r="L1627" s="277"/>
      <c r="M1627" s="277"/>
      <c r="N1627" s="277"/>
      <c r="O1627" s="277"/>
      <c r="P1627" s="277"/>
      <c r="Q1627" s="277"/>
      <c r="R1627" s="277"/>
      <c r="S1627" s="277"/>
      <c r="T1627" s="277"/>
      <c r="U1627" s="277"/>
      <c r="V1627" s="277"/>
      <c r="W1627" s="277"/>
    </row>
    <row r="1628" spans="1:23" x14ac:dyDescent="0.2">
      <c r="A1628" s="284" t="s">
        <v>193</v>
      </c>
      <c r="B1628" s="303"/>
      <c r="C1628" s="340">
        <v>8.7499999999999994E-2</v>
      </c>
      <c r="D1628" s="277"/>
      <c r="E1628" s="277"/>
      <c r="F1628" s="277"/>
      <c r="G1628" s="277"/>
      <c r="H1628" s="277"/>
      <c r="I1628" s="277"/>
      <c r="J1628" s="277"/>
      <c r="K1628" s="277"/>
      <c r="L1628" s="277"/>
      <c r="M1628" s="277"/>
      <c r="N1628" s="277"/>
      <c r="O1628" s="277"/>
      <c r="P1628" s="277"/>
      <c r="Q1628" s="277"/>
      <c r="R1628" s="277"/>
      <c r="S1628" s="277"/>
      <c r="T1628" s="277"/>
      <c r="U1628" s="277"/>
      <c r="V1628" s="277"/>
      <c r="W1628" s="277"/>
    </row>
    <row r="1629" spans="1:23" x14ac:dyDescent="0.2">
      <c r="A1629" s="284"/>
      <c r="B1629" s="303"/>
      <c r="C1629" s="277"/>
      <c r="D1629" s="306">
        <v>2001</v>
      </c>
      <c r="E1629" s="306">
        <v>2002</v>
      </c>
      <c r="F1629" s="306">
        <v>2003</v>
      </c>
      <c r="G1629" s="306">
        <v>2004</v>
      </c>
      <c r="H1629" s="306">
        <v>2005</v>
      </c>
      <c r="I1629" s="306">
        <v>2006</v>
      </c>
      <c r="J1629" s="306">
        <v>2007</v>
      </c>
      <c r="K1629" s="306">
        <v>2008</v>
      </c>
      <c r="L1629" s="306">
        <v>2009</v>
      </c>
      <c r="M1629" s="306">
        <v>2010</v>
      </c>
      <c r="N1629" s="306">
        <v>2011</v>
      </c>
      <c r="O1629" s="306">
        <v>2012</v>
      </c>
      <c r="P1629" s="306">
        <v>2013</v>
      </c>
      <c r="Q1629" s="306">
        <v>2014</v>
      </c>
      <c r="R1629" s="306">
        <v>2015</v>
      </c>
      <c r="S1629" s="306">
        <v>2016</v>
      </c>
      <c r="T1629" s="306">
        <v>2017</v>
      </c>
      <c r="U1629" s="306">
        <v>2018</v>
      </c>
      <c r="V1629" s="306">
        <v>2019</v>
      </c>
      <c r="W1629" s="306" t="s">
        <v>154</v>
      </c>
    </row>
    <row r="1630" spans="1:23" x14ac:dyDescent="0.2">
      <c r="A1630" s="284" t="s">
        <v>194</v>
      </c>
      <c r="B1630" s="303"/>
      <c r="C1630" s="277"/>
      <c r="D1630" s="341">
        <v>0</v>
      </c>
      <c r="E1630" s="341">
        <v>0</v>
      </c>
      <c r="F1630" s="341">
        <v>0</v>
      </c>
      <c r="G1630" s="341">
        <v>0</v>
      </c>
      <c r="H1630" s="341">
        <v>0</v>
      </c>
      <c r="I1630" s="341">
        <v>0</v>
      </c>
      <c r="J1630" s="341">
        <v>0</v>
      </c>
      <c r="K1630" s="341">
        <v>0</v>
      </c>
      <c r="L1630" s="341">
        <v>0</v>
      </c>
      <c r="M1630" s="341">
        <v>0</v>
      </c>
      <c r="N1630" s="341">
        <v>0</v>
      </c>
      <c r="O1630" s="341">
        <v>0</v>
      </c>
      <c r="P1630" s="341">
        <v>0</v>
      </c>
      <c r="Q1630" s="341">
        <v>0</v>
      </c>
      <c r="R1630" s="341">
        <v>0</v>
      </c>
      <c r="S1630" s="341">
        <v>0</v>
      </c>
      <c r="T1630" s="341">
        <v>0</v>
      </c>
      <c r="U1630" s="341">
        <v>0</v>
      </c>
      <c r="V1630" s="341">
        <v>0</v>
      </c>
      <c r="W1630" s="341">
        <v>0</v>
      </c>
    </row>
    <row r="1631" spans="1:23" x14ac:dyDescent="0.2">
      <c r="A1631" s="284" t="s">
        <v>195</v>
      </c>
      <c r="B1631" s="303"/>
      <c r="C1631" s="277"/>
      <c r="D1631" s="341">
        <v>0</v>
      </c>
      <c r="E1631" s="341">
        <v>0</v>
      </c>
      <c r="F1631" s="341">
        <v>0</v>
      </c>
      <c r="G1631" s="341">
        <v>0</v>
      </c>
      <c r="H1631" s="341">
        <v>0</v>
      </c>
      <c r="I1631" s="341">
        <v>0</v>
      </c>
      <c r="J1631" s="341">
        <v>0</v>
      </c>
      <c r="K1631" s="341">
        <v>0</v>
      </c>
      <c r="L1631" s="341">
        <v>0</v>
      </c>
      <c r="M1631" s="341">
        <v>0</v>
      </c>
      <c r="N1631" s="341">
        <v>0</v>
      </c>
      <c r="O1631" s="341">
        <v>0</v>
      </c>
      <c r="P1631" s="341">
        <v>0</v>
      </c>
      <c r="Q1631" s="341">
        <v>0</v>
      </c>
      <c r="R1631" s="341">
        <v>0</v>
      </c>
      <c r="S1631" s="341">
        <v>0</v>
      </c>
      <c r="T1631" s="341">
        <v>0</v>
      </c>
      <c r="U1631" s="341">
        <v>0</v>
      </c>
      <c r="V1631" s="341">
        <v>0</v>
      </c>
      <c r="W1631" s="341">
        <v>0</v>
      </c>
    </row>
    <row r="1632" spans="1:23" x14ac:dyDescent="0.2">
      <c r="A1632" s="284" t="s">
        <v>196</v>
      </c>
      <c r="B1632" s="303"/>
      <c r="C1632" s="277"/>
      <c r="D1632" s="341">
        <v>0</v>
      </c>
      <c r="E1632" s="341">
        <v>0</v>
      </c>
      <c r="F1632" s="341">
        <v>0</v>
      </c>
      <c r="G1632" s="341">
        <v>0</v>
      </c>
      <c r="H1632" s="341">
        <v>0</v>
      </c>
      <c r="I1632" s="341">
        <v>0</v>
      </c>
      <c r="J1632" s="341">
        <v>0</v>
      </c>
      <c r="K1632" s="341">
        <v>0</v>
      </c>
      <c r="L1632" s="341">
        <v>0</v>
      </c>
      <c r="M1632" s="341">
        <v>0</v>
      </c>
      <c r="N1632" s="341">
        <v>0</v>
      </c>
      <c r="O1632" s="341">
        <v>0</v>
      </c>
      <c r="P1632" s="341">
        <v>0</v>
      </c>
      <c r="Q1632" s="341">
        <v>0</v>
      </c>
      <c r="R1632" s="341">
        <v>0</v>
      </c>
      <c r="S1632" s="341">
        <v>0</v>
      </c>
      <c r="T1632" s="341">
        <v>0</v>
      </c>
      <c r="U1632" s="341">
        <v>0</v>
      </c>
      <c r="V1632" s="341">
        <v>0</v>
      </c>
      <c r="W1632" s="341">
        <v>0</v>
      </c>
    </row>
    <row r="1633" spans="1:23" x14ac:dyDescent="0.2">
      <c r="A1633" s="284" t="s">
        <v>197</v>
      </c>
      <c r="B1633" s="303"/>
      <c r="C1633" s="277"/>
      <c r="D1633" s="342">
        <v>0</v>
      </c>
      <c r="E1633" s="342">
        <v>0</v>
      </c>
      <c r="F1633" s="342">
        <v>0</v>
      </c>
      <c r="G1633" s="342">
        <v>0</v>
      </c>
      <c r="H1633" s="342">
        <v>0</v>
      </c>
      <c r="I1633" s="342">
        <v>0</v>
      </c>
      <c r="J1633" s="342">
        <v>0</v>
      </c>
      <c r="K1633" s="342">
        <v>0</v>
      </c>
      <c r="L1633" s="342">
        <v>0</v>
      </c>
      <c r="M1633" s="342">
        <v>0</v>
      </c>
      <c r="N1633" s="342">
        <v>0</v>
      </c>
      <c r="O1633" s="342">
        <v>0</v>
      </c>
      <c r="P1633" s="342">
        <v>0</v>
      </c>
      <c r="Q1633" s="342">
        <v>0</v>
      </c>
      <c r="R1633" s="342">
        <v>0</v>
      </c>
      <c r="S1633" s="342">
        <v>0</v>
      </c>
      <c r="T1633" s="342">
        <v>0</v>
      </c>
      <c r="U1633" s="342">
        <v>0</v>
      </c>
      <c r="V1633" s="342">
        <v>0</v>
      </c>
      <c r="W1633" s="342">
        <v>0</v>
      </c>
    </row>
    <row r="1634" spans="1:23" ht="13.5" thickBot="1" x14ac:dyDescent="0.25">
      <c r="A1634" s="284" t="s">
        <v>198</v>
      </c>
      <c r="B1634" s="303"/>
      <c r="C1634" s="277"/>
      <c r="D1634" s="343">
        <v>0</v>
      </c>
      <c r="E1634" s="343">
        <v>0</v>
      </c>
      <c r="F1634" s="343">
        <v>0</v>
      </c>
      <c r="G1634" s="343">
        <v>0</v>
      </c>
      <c r="H1634" s="343">
        <v>0</v>
      </c>
      <c r="I1634" s="343">
        <v>0</v>
      </c>
      <c r="J1634" s="343">
        <v>0</v>
      </c>
      <c r="K1634" s="343">
        <v>0</v>
      </c>
      <c r="L1634" s="343">
        <v>0</v>
      </c>
      <c r="M1634" s="343">
        <v>0</v>
      </c>
      <c r="N1634" s="343">
        <v>0</v>
      </c>
      <c r="O1634" s="343">
        <v>0</v>
      </c>
      <c r="P1634" s="343">
        <v>0</v>
      </c>
      <c r="Q1634" s="343">
        <v>0</v>
      </c>
      <c r="R1634" s="343">
        <v>0</v>
      </c>
      <c r="S1634" s="343">
        <v>0</v>
      </c>
      <c r="T1634" s="343">
        <v>0</v>
      </c>
      <c r="U1634" s="343">
        <v>0</v>
      </c>
      <c r="V1634" s="343">
        <v>0</v>
      </c>
      <c r="W1634" s="343">
        <v>0</v>
      </c>
    </row>
    <row r="1635" spans="1:23" ht="13.5" thickTop="1" x14ac:dyDescent="0.2">
      <c r="A1635" s="284"/>
      <c r="B1635" s="303"/>
      <c r="C1635" s="277"/>
      <c r="D1635" s="341"/>
      <c r="E1635" s="341"/>
      <c r="F1635" s="341"/>
      <c r="G1635" s="341"/>
      <c r="H1635" s="341"/>
      <c r="I1635" s="341"/>
      <c r="J1635" s="341"/>
      <c r="K1635" s="341"/>
      <c r="L1635" s="341"/>
      <c r="M1635" s="341"/>
      <c r="N1635" s="341"/>
      <c r="O1635" s="341"/>
      <c r="P1635" s="341"/>
      <c r="Q1635" s="341"/>
      <c r="R1635" s="341"/>
      <c r="S1635" s="341"/>
      <c r="T1635" s="341"/>
      <c r="U1635" s="341"/>
      <c r="V1635" s="341"/>
      <c r="W1635" s="341"/>
    </row>
    <row r="1636" spans="1:23" x14ac:dyDescent="0.2">
      <c r="A1636" s="284" t="s">
        <v>199</v>
      </c>
      <c r="B1636" s="303"/>
      <c r="C1636" s="277"/>
      <c r="D1636" s="341">
        <v>0</v>
      </c>
      <c r="E1636" s="341">
        <v>0</v>
      </c>
      <c r="F1636" s="341">
        <v>0</v>
      </c>
      <c r="G1636" s="341">
        <v>0</v>
      </c>
      <c r="H1636" s="341">
        <v>0</v>
      </c>
      <c r="I1636" s="341">
        <v>0</v>
      </c>
      <c r="J1636" s="341">
        <v>0</v>
      </c>
      <c r="K1636" s="341">
        <v>0</v>
      </c>
      <c r="L1636" s="341">
        <v>0</v>
      </c>
      <c r="M1636" s="341">
        <v>0</v>
      </c>
      <c r="N1636" s="341">
        <v>0</v>
      </c>
      <c r="O1636" s="341">
        <v>0</v>
      </c>
      <c r="P1636" s="341">
        <v>0</v>
      </c>
      <c r="Q1636" s="341">
        <v>0</v>
      </c>
      <c r="R1636" s="341">
        <v>0</v>
      </c>
      <c r="S1636" s="341">
        <v>0</v>
      </c>
      <c r="T1636" s="341">
        <v>0</v>
      </c>
      <c r="U1636" s="341">
        <v>0</v>
      </c>
      <c r="V1636" s="341">
        <v>0</v>
      </c>
      <c r="W1636" s="341">
        <v>0</v>
      </c>
    </row>
    <row r="1637" spans="1:23" x14ac:dyDescent="0.2">
      <c r="A1637" s="284"/>
      <c r="B1637" s="303"/>
      <c r="C1637" s="277"/>
      <c r="D1637" s="277"/>
      <c r="E1637" s="277"/>
      <c r="F1637" s="277"/>
      <c r="G1637" s="277"/>
      <c r="H1637" s="277"/>
      <c r="I1637" s="277"/>
      <c r="J1637" s="277"/>
      <c r="K1637" s="277"/>
      <c r="L1637" s="277"/>
      <c r="M1637" s="277"/>
      <c r="N1637" s="277"/>
      <c r="O1637" s="277"/>
      <c r="P1637" s="277"/>
      <c r="Q1637" s="277"/>
      <c r="R1637" s="277"/>
      <c r="S1637" s="277"/>
      <c r="T1637" s="277"/>
      <c r="U1637" s="277"/>
      <c r="V1637" s="277"/>
      <c r="W1637" s="277"/>
    </row>
    <row r="1638" spans="1:23" x14ac:dyDescent="0.2">
      <c r="A1638" s="284" t="s">
        <v>200</v>
      </c>
      <c r="B1638" s="303"/>
      <c r="C1638" s="277"/>
      <c r="D1638" s="341">
        <v>0</v>
      </c>
      <c r="E1638" s="341">
        <v>0</v>
      </c>
      <c r="F1638" s="341">
        <v>0</v>
      </c>
      <c r="G1638" s="341">
        <v>0</v>
      </c>
      <c r="H1638" s="341">
        <v>0</v>
      </c>
      <c r="I1638" s="341">
        <v>0</v>
      </c>
      <c r="J1638" s="341">
        <v>0</v>
      </c>
      <c r="K1638" s="341">
        <v>0</v>
      </c>
      <c r="L1638" s="341">
        <v>0</v>
      </c>
      <c r="M1638" s="341">
        <v>0</v>
      </c>
      <c r="N1638" s="341">
        <v>0</v>
      </c>
      <c r="O1638" s="341">
        <v>0</v>
      </c>
      <c r="P1638" s="341">
        <v>0</v>
      </c>
      <c r="Q1638" s="341">
        <v>0</v>
      </c>
      <c r="R1638" s="341">
        <v>0</v>
      </c>
      <c r="S1638" s="341">
        <v>0</v>
      </c>
      <c r="T1638" s="341">
        <v>0</v>
      </c>
      <c r="U1638" s="341">
        <v>0</v>
      </c>
      <c r="V1638" s="341">
        <v>0</v>
      </c>
      <c r="W1638" s="341">
        <v>0</v>
      </c>
    </row>
    <row r="1639" spans="1:23" x14ac:dyDescent="0.2">
      <c r="A1639" s="277"/>
      <c r="B1639" s="303"/>
      <c r="C1639" s="277"/>
      <c r="D1639" s="277"/>
      <c r="E1639" s="277"/>
      <c r="F1639" s="277"/>
      <c r="G1639" s="277"/>
      <c r="H1639" s="277"/>
      <c r="I1639" s="277"/>
      <c r="J1639" s="277"/>
      <c r="K1639" s="277"/>
      <c r="L1639" s="277"/>
      <c r="M1639" s="277"/>
      <c r="N1639" s="277"/>
      <c r="O1639" s="277"/>
      <c r="P1639" s="277"/>
      <c r="Q1639" s="277"/>
      <c r="R1639" s="277"/>
      <c r="S1639" s="277"/>
      <c r="T1639" s="277"/>
      <c r="U1639" s="277"/>
      <c r="V1639" s="277"/>
      <c r="W1639" s="277"/>
    </row>
    <row r="1640" spans="1:23" x14ac:dyDescent="0.2">
      <c r="A1640" s="277"/>
      <c r="B1640" s="303"/>
      <c r="C1640" s="277"/>
      <c r="D1640" s="277"/>
      <c r="E1640" s="277"/>
      <c r="F1640" s="277"/>
      <c r="G1640" s="277"/>
      <c r="H1640" s="277"/>
      <c r="I1640" s="277"/>
      <c r="J1640" s="277"/>
      <c r="K1640" s="277"/>
      <c r="L1640" s="277"/>
      <c r="M1640" s="277"/>
      <c r="N1640" s="277"/>
      <c r="O1640" s="277"/>
      <c r="P1640" s="277"/>
      <c r="Q1640" s="277"/>
      <c r="R1640" s="277"/>
      <c r="S1640" s="277"/>
      <c r="T1640" s="277"/>
      <c r="U1640" s="277"/>
      <c r="V1640" s="277"/>
      <c r="W1640" s="277"/>
    </row>
    <row r="1641" spans="1:23" x14ac:dyDescent="0.2">
      <c r="A1641" s="284" t="s">
        <v>202</v>
      </c>
      <c r="B1641" s="279"/>
      <c r="C1641" s="278"/>
      <c r="D1641" s="435">
        <v>1892070.8137441922</v>
      </c>
      <c r="E1641" s="435">
        <v>1322894.6285432123</v>
      </c>
      <c r="F1641" s="435">
        <v>1058292.5803175976</v>
      </c>
      <c r="G1641" s="435">
        <v>854778.87788704352</v>
      </c>
      <c r="H1641" s="435">
        <v>737561.39983937331</v>
      </c>
      <c r="I1641" s="435">
        <v>529191.66268547531</v>
      </c>
      <c r="J1641" s="435">
        <v>599640.69415139325</v>
      </c>
      <c r="K1641" s="435">
        <v>953623.67300973297</v>
      </c>
      <c r="L1641" s="435">
        <v>960636.94479147228</v>
      </c>
      <c r="M1641" s="435">
        <v>1083390.0480212627</v>
      </c>
      <c r="N1641" s="435">
        <v>730006.51819717372</v>
      </c>
      <c r="O1641" s="435">
        <v>906556.87408039614</v>
      </c>
      <c r="P1641" s="435">
        <v>865991.78873274312</v>
      </c>
      <c r="Q1641" s="435">
        <v>1085266.2592207203</v>
      </c>
      <c r="R1641" s="435">
        <v>819884.54834268801</v>
      </c>
      <c r="S1641" s="435">
        <v>582591.30294208706</v>
      </c>
      <c r="T1641" s="435">
        <v>711967.02065628348</v>
      </c>
      <c r="U1641" s="435">
        <v>925675.02062349895</v>
      </c>
      <c r="V1641" s="435">
        <v>705592.13806652278</v>
      </c>
      <c r="W1641" s="435">
        <v>5171833.9096228713</v>
      </c>
    </row>
    <row r="1642" spans="1:23" x14ac:dyDescent="0.2">
      <c r="A1642" s="9"/>
      <c r="B1642" s="6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</row>
    <row r="1643" spans="1:23" x14ac:dyDescent="0.2">
      <c r="A1643" s="292"/>
      <c r="B1643" s="360"/>
      <c r="C1643" s="371"/>
      <c r="D1643" s="370"/>
      <c r="E1643" s="370"/>
      <c r="F1643" s="370"/>
      <c r="G1643" s="370"/>
      <c r="H1643" s="370"/>
      <c r="I1643" s="370"/>
      <c r="J1643" s="370"/>
      <c r="K1643" s="370"/>
      <c r="L1643" s="370"/>
      <c r="M1643" s="370"/>
      <c r="N1643" s="370"/>
      <c r="O1643" s="370"/>
      <c r="P1643" s="370"/>
      <c r="Q1643" s="370"/>
      <c r="R1643" s="370"/>
      <c r="S1643" s="370"/>
      <c r="T1643" s="370"/>
      <c r="U1643" s="370"/>
      <c r="V1643" s="370"/>
      <c r="W1643" s="370"/>
    </row>
    <row r="1644" spans="1:23" x14ac:dyDescent="0.2">
      <c r="A1644" s="292"/>
      <c r="B1644" s="360"/>
      <c r="C1644" s="372"/>
      <c r="D1644" s="370"/>
      <c r="E1644" s="370"/>
      <c r="F1644" s="370"/>
      <c r="G1644" s="370"/>
      <c r="H1644" s="370"/>
      <c r="I1644" s="370"/>
      <c r="J1644" s="370"/>
      <c r="K1644" s="370"/>
      <c r="L1644" s="370"/>
      <c r="M1644" s="370"/>
      <c r="N1644" s="370"/>
      <c r="O1644" s="370"/>
      <c r="P1644" s="370"/>
      <c r="Q1644" s="370"/>
      <c r="R1644" s="370"/>
      <c r="S1644" s="370"/>
      <c r="T1644" s="370"/>
      <c r="U1644" s="370"/>
      <c r="V1644" s="370"/>
      <c r="W1644" s="370"/>
    </row>
    <row r="1645" spans="1:23" x14ac:dyDescent="0.2">
      <c r="A1645" s="292"/>
      <c r="B1645" s="360"/>
      <c r="C1645" s="370"/>
      <c r="D1645" s="347"/>
      <c r="E1645" s="347"/>
      <c r="F1645" s="347"/>
      <c r="G1645" s="347"/>
      <c r="H1645" s="347"/>
      <c r="I1645" s="347"/>
      <c r="J1645" s="347"/>
      <c r="K1645" s="347"/>
      <c r="L1645" s="347"/>
      <c r="M1645" s="347"/>
      <c r="N1645" s="347"/>
      <c r="O1645" s="347"/>
      <c r="P1645" s="347"/>
      <c r="Q1645" s="347"/>
      <c r="R1645" s="347"/>
      <c r="S1645" s="347"/>
      <c r="T1645" s="347"/>
      <c r="U1645" s="347"/>
      <c r="V1645" s="347"/>
      <c r="W1645" s="347"/>
    </row>
    <row r="1646" spans="1:23" x14ac:dyDescent="0.2">
      <c r="A1646" s="292"/>
      <c r="B1646" s="360"/>
      <c r="C1646" s="370"/>
      <c r="D1646" s="68"/>
      <c r="E1646" s="68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68"/>
      <c r="T1646" s="68"/>
      <c r="U1646" s="68"/>
      <c r="V1646" s="68"/>
      <c r="W1646" s="68"/>
    </row>
    <row r="1647" spans="1:23" x14ac:dyDescent="0.2">
      <c r="A1647" s="292"/>
      <c r="B1647" s="360"/>
      <c r="C1647" s="370"/>
      <c r="D1647" s="68"/>
      <c r="E1647" s="68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68"/>
      <c r="T1647" s="68"/>
      <c r="U1647" s="68"/>
      <c r="V1647" s="68"/>
      <c r="W1647" s="68"/>
    </row>
    <row r="1648" spans="1:23" x14ac:dyDescent="0.2">
      <c r="A1648" s="292"/>
      <c r="B1648" s="360"/>
      <c r="C1648" s="370"/>
      <c r="D1648" s="68"/>
      <c r="E1648" s="68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68"/>
      <c r="T1648" s="68"/>
      <c r="U1648" s="68"/>
      <c r="V1648" s="68"/>
      <c r="W1648" s="68"/>
    </row>
    <row r="1649" spans="1:23" x14ac:dyDescent="0.2">
      <c r="A1649" s="292"/>
      <c r="B1649" s="360"/>
      <c r="C1649" s="370"/>
      <c r="D1649" s="68"/>
      <c r="E1649" s="68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68"/>
      <c r="T1649" s="68"/>
      <c r="U1649" s="68"/>
      <c r="V1649" s="68"/>
      <c r="W1649" s="68"/>
    </row>
    <row r="1650" spans="1:23" ht="15.75" x14ac:dyDescent="0.25">
      <c r="A1650" s="302" t="s">
        <v>29</v>
      </c>
      <c r="B1650" s="305" t="s">
        <v>78</v>
      </c>
      <c r="C1650" s="306">
        <v>2000</v>
      </c>
      <c r="D1650" s="306">
        <v>2001</v>
      </c>
      <c r="E1650" s="306">
        <v>2002</v>
      </c>
      <c r="F1650" s="306">
        <v>2003</v>
      </c>
      <c r="G1650" s="306">
        <v>2004</v>
      </c>
      <c r="H1650" s="306">
        <v>2005</v>
      </c>
      <c r="I1650" s="306">
        <v>2006</v>
      </c>
      <c r="J1650" s="306">
        <v>2007</v>
      </c>
      <c r="K1650" s="306">
        <v>2008</v>
      </c>
      <c r="L1650" s="306">
        <v>2009</v>
      </c>
      <c r="M1650" s="306">
        <v>2010</v>
      </c>
      <c r="N1650" s="306">
        <v>2011</v>
      </c>
      <c r="O1650" s="306">
        <v>2012</v>
      </c>
      <c r="P1650" s="306">
        <v>2013</v>
      </c>
      <c r="Q1650" s="306">
        <v>2014</v>
      </c>
      <c r="R1650" s="306">
        <v>2015</v>
      </c>
      <c r="S1650" s="306">
        <v>2016</v>
      </c>
      <c r="T1650" s="306">
        <v>2017</v>
      </c>
      <c r="U1650" s="306">
        <v>2018</v>
      </c>
      <c r="V1650" s="306">
        <v>2019</v>
      </c>
      <c r="W1650" s="306" t="s">
        <v>154</v>
      </c>
    </row>
    <row r="1651" spans="1:23" x14ac:dyDescent="0.2">
      <c r="A1651" s="302" t="s">
        <v>26</v>
      </c>
      <c r="B1651" s="303">
        <v>51.225000000000001</v>
      </c>
      <c r="C1651" s="308"/>
      <c r="D1651" s="308"/>
      <c r="E1651" s="308"/>
      <c r="F1651" s="308"/>
      <c r="G1651" s="308"/>
      <c r="H1651" s="308"/>
      <c r="I1651" s="308"/>
      <c r="J1651" s="308"/>
      <c r="K1651" s="308"/>
      <c r="L1651" s="308"/>
      <c r="M1651" s="308"/>
      <c r="N1651" s="308"/>
      <c r="O1651" s="308"/>
      <c r="P1651" s="308"/>
      <c r="Q1651" s="308"/>
      <c r="R1651" s="308"/>
      <c r="S1651" s="308"/>
      <c r="T1651" s="308"/>
      <c r="U1651" s="308"/>
      <c r="V1651" s="308"/>
      <c r="W1651" s="308"/>
    </row>
    <row r="1652" spans="1:23" x14ac:dyDescent="0.2">
      <c r="A1652" s="9"/>
      <c r="B1652" s="309" t="s">
        <v>27</v>
      </c>
      <c r="C1652" s="443">
        <v>0</v>
      </c>
      <c r="D1652" s="404">
        <v>4173272.135473615</v>
      </c>
      <c r="E1652" s="404">
        <v>3336543.8193901638</v>
      </c>
      <c r="F1652" s="404">
        <v>2771530.811703233</v>
      </c>
      <c r="G1652" s="404">
        <v>2486417.3009925336</v>
      </c>
      <c r="H1652" s="404">
        <v>2957557.5101935477</v>
      </c>
      <c r="I1652" s="404">
        <v>2731177.540879806</v>
      </c>
      <c r="J1652" s="404">
        <v>2671668.7777746529</v>
      </c>
      <c r="K1652" s="404">
        <v>4099251.7252914133</v>
      </c>
      <c r="L1652" s="404">
        <v>4150887.3304538289</v>
      </c>
      <c r="M1652" s="404">
        <v>4383220.7144428911</v>
      </c>
      <c r="N1652" s="404">
        <v>3427575.6979343127</v>
      </c>
      <c r="O1652" s="404">
        <v>4360652.2988399481</v>
      </c>
      <c r="P1652" s="404">
        <v>3733289.0387665611</v>
      </c>
      <c r="Q1652" s="404">
        <v>4762503.0610550325</v>
      </c>
      <c r="R1652" s="404">
        <v>4233544.4419203447</v>
      </c>
      <c r="S1652" s="404">
        <v>3344910.620600868</v>
      </c>
      <c r="T1652" s="404">
        <v>3656345.5456330781</v>
      </c>
      <c r="U1652" s="404">
        <v>4710739.3380201031</v>
      </c>
      <c r="V1652" s="404">
        <v>5317042.1057829261</v>
      </c>
      <c r="W1652" s="327"/>
    </row>
    <row r="1653" spans="1:23" x14ac:dyDescent="0.2">
      <c r="A1653" s="9"/>
      <c r="B1653" s="309" t="s">
        <v>20</v>
      </c>
      <c r="C1653" s="443">
        <v>0</v>
      </c>
      <c r="D1653" s="404">
        <v>-1014828.7504076151</v>
      </c>
      <c r="E1653" s="404">
        <v>-1103189.6758056004</v>
      </c>
      <c r="F1653" s="404">
        <v>-960682.64683507406</v>
      </c>
      <c r="G1653" s="404">
        <v>-991659.70651136339</v>
      </c>
      <c r="H1653" s="404">
        <v>-1464368.7005883786</v>
      </c>
      <c r="I1653" s="404">
        <v>-1528562.5950665644</v>
      </c>
      <c r="J1653" s="404">
        <v>-1355653.2737954785</v>
      </c>
      <c r="K1653" s="404">
        <v>-2113963.2795831379</v>
      </c>
      <c r="L1653" s="404">
        <v>-2144949.2489353046</v>
      </c>
      <c r="M1653" s="404">
        <v>-2164648.4351855358</v>
      </c>
      <c r="N1653" s="404">
        <v>-1807332.6418929831</v>
      </c>
      <c r="O1653" s="404">
        <v>-2369988.2656391095</v>
      </c>
      <c r="P1653" s="404">
        <v>-1849371.4806239253</v>
      </c>
      <c r="Q1653" s="404">
        <v>-2401822.1982134199</v>
      </c>
      <c r="R1653" s="404">
        <v>-2286059.3056309149</v>
      </c>
      <c r="S1653" s="404">
        <v>-1829657.9906264753</v>
      </c>
      <c r="T1653" s="404">
        <v>-1917552.4195994532</v>
      </c>
      <c r="U1653" s="404">
        <v>-2579940.6358794854</v>
      </c>
      <c r="V1653" s="404">
        <v>-3469740.2191837477</v>
      </c>
      <c r="W1653" s="327"/>
    </row>
    <row r="1654" spans="1:23" x14ac:dyDescent="0.2">
      <c r="A1654" s="9"/>
      <c r="B1654" s="309" t="s">
        <v>31</v>
      </c>
      <c r="C1654" s="443">
        <v>0</v>
      </c>
      <c r="D1654" s="404">
        <v>-32661.709008007445</v>
      </c>
      <c r="E1654" s="404">
        <v>-40135.677572451532</v>
      </c>
      <c r="F1654" s="404">
        <v>-36577.732705488335</v>
      </c>
      <c r="G1654" s="404">
        <v>-37291.019230674334</v>
      </c>
      <c r="H1654" s="404">
        <v>-55519.947524179413</v>
      </c>
      <c r="I1654" s="404">
        <v>-60077.836040779497</v>
      </c>
      <c r="J1654" s="404">
        <v>-54305.224355537204</v>
      </c>
      <c r="K1654" s="404">
        <v>-92448.621863654014</v>
      </c>
      <c r="L1654" s="404">
        <v>-93901.676510381483</v>
      </c>
      <c r="M1654" s="404">
        <v>-92184.275781709279</v>
      </c>
      <c r="N1654" s="404">
        <v>-77753.02173522755</v>
      </c>
      <c r="O1654" s="404">
        <v>-103672.41806919631</v>
      </c>
      <c r="P1654" s="404">
        <v>-79173.005483192144</v>
      </c>
      <c r="Q1654" s="404">
        <v>-103660.33471006992</v>
      </c>
      <c r="R1654" s="404">
        <v>-92744.77415854072</v>
      </c>
      <c r="S1654" s="404">
        <v>-72717.023898329324</v>
      </c>
      <c r="T1654" s="404">
        <v>-75426.80569574752</v>
      </c>
      <c r="U1654" s="404">
        <v>-97037.32962618921</v>
      </c>
      <c r="V1654" s="404">
        <v>-129811.47328511369</v>
      </c>
      <c r="W1654" s="327"/>
    </row>
    <row r="1655" spans="1:23" x14ac:dyDescent="0.2">
      <c r="A1655" s="9"/>
      <c r="B1655" s="309" t="s">
        <v>32</v>
      </c>
      <c r="C1655" s="443">
        <v>0</v>
      </c>
      <c r="D1655" s="404">
        <v>0</v>
      </c>
      <c r="E1655" s="404">
        <v>0</v>
      </c>
      <c r="F1655" s="404">
        <v>0</v>
      </c>
      <c r="G1655" s="404">
        <v>0</v>
      </c>
      <c r="H1655" s="404">
        <v>0</v>
      </c>
      <c r="I1655" s="404">
        <v>-21176.66010559116</v>
      </c>
      <c r="J1655" s="404">
        <v>-20791.176711573826</v>
      </c>
      <c r="K1655" s="404">
        <v>-39807.118214209113</v>
      </c>
      <c r="L1655" s="404">
        <v>-41915.070394003727</v>
      </c>
      <c r="M1655" s="404">
        <v>-44865.437817208614</v>
      </c>
      <c r="N1655" s="404">
        <v>-40876.087906718771</v>
      </c>
      <c r="O1655" s="404">
        <v>-59183.915727549131</v>
      </c>
      <c r="P1655" s="404">
        <v>-49630.067064999646</v>
      </c>
      <c r="Q1655" s="404">
        <v>-70963.990362827637</v>
      </c>
      <c r="R1655" s="404">
        <v>-68907.715495013719</v>
      </c>
      <c r="S1655" s="404">
        <v>-58073.264535054957</v>
      </c>
      <c r="T1655" s="404">
        <v>-58137.824943472377</v>
      </c>
      <c r="U1655" s="404">
        <v>-62643.314655277485</v>
      </c>
      <c r="V1655" s="404">
        <v>-85243.084360858964</v>
      </c>
      <c r="W1655" s="327"/>
    </row>
    <row r="1656" spans="1:23" ht="13.5" thickBot="1" x14ac:dyDescent="0.25">
      <c r="A1656" s="9"/>
      <c r="B1656" s="310" t="s">
        <v>33</v>
      </c>
      <c r="C1656" s="444">
        <v>0</v>
      </c>
      <c r="D1656" s="406">
        <v>0</v>
      </c>
      <c r="E1656" s="406">
        <v>0</v>
      </c>
      <c r="F1656" s="406">
        <v>0</v>
      </c>
      <c r="G1656" s="406">
        <v>0</v>
      </c>
      <c r="H1656" s="406">
        <v>0</v>
      </c>
      <c r="I1656" s="406">
        <v>-21176.66010559116</v>
      </c>
      <c r="J1656" s="406">
        <v>-20791.176711573826</v>
      </c>
      <c r="K1656" s="406">
        <v>-39807.118214209113</v>
      </c>
      <c r="L1656" s="406">
        <v>-41915.070394003727</v>
      </c>
      <c r="M1656" s="406">
        <v>-44865.437817208614</v>
      </c>
      <c r="N1656" s="406">
        <v>-40876.087906718771</v>
      </c>
      <c r="O1656" s="406">
        <v>-59183.915727549131</v>
      </c>
      <c r="P1656" s="406">
        <v>-49630.067064999646</v>
      </c>
      <c r="Q1656" s="406">
        <v>-70963.990362827637</v>
      </c>
      <c r="R1656" s="406">
        <v>-68907.715495013719</v>
      </c>
      <c r="S1656" s="406">
        <v>-58073.264535054957</v>
      </c>
      <c r="T1656" s="406">
        <v>-58137.824943472377</v>
      </c>
      <c r="U1656" s="406">
        <v>-62643.314655277485</v>
      </c>
      <c r="V1656" s="406">
        <v>-85243.084360858964</v>
      </c>
      <c r="W1656" s="327"/>
    </row>
    <row r="1657" spans="1:23" ht="13.5" thickTop="1" x14ac:dyDescent="0.2">
      <c r="A1657" s="9"/>
      <c r="B1657" s="311" t="s">
        <v>38</v>
      </c>
      <c r="C1657" s="445">
        <v>0</v>
      </c>
      <c r="D1657" s="408">
        <v>3125781.6760579925</v>
      </c>
      <c r="E1657" s="408">
        <v>2193218.4660121119</v>
      </c>
      <c r="F1657" s="408">
        <v>1774270.4321626707</v>
      </c>
      <c r="G1657" s="408">
        <v>1457466.5752504959</v>
      </c>
      <c r="H1657" s="408">
        <v>1437668.8620809896</v>
      </c>
      <c r="I1657" s="408">
        <v>1100183.7895612798</v>
      </c>
      <c r="J1657" s="408">
        <v>1220127.9262004897</v>
      </c>
      <c r="K1657" s="408">
        <v>1813225.587416203</v>
      </c>
      <c r="L1657" s="408">
        <v>1828206.2642201353</v>
      </c>
      <c r="M1657" s="408">
        <v>2036657.1278412286</v>
      </c>
      <c r="N1657" s="408">
        <v>1460737.8584926645</v>
      </c>
      <c r="O1657" s="408">
        <v>1768623.7836765437</v>
      </c>
      <c r="P1657" s="408">
        <v>1705484.4185294444</v>
      </c>
      <c r="Q1657" s="408">
        <v>2115092.5474058874</v>
      </c>
      <c r="R1657" s="408">
        <v>1716924.9311408619</v>
      </c>
      <c r="S1657" s="408">
        <v>1326389.0770059533</v>
      </c>
      <c r="T1657" s="408">
        <v>1547090.6704509326</v>
      </c>
      <c r="U1657" s="408">
        <v>1908474.7432038735</v>
      </c>
      <c r="V1657" s="408">
        <v>1547004.2445923469</v>
      </c>
      <c r="W1657" s="327"/>
    </row>
    <row r="1658" spans="1:23" x14ac:dyDescent="0.2">
      <c r="A1658" s="9"/>
      <c r="B1658" s="309" t="s">
        <v>34</v>
      </c>
      <c r="C1658" s="443">
        <v>0</v>
      </c>
      <c r="D1658" s="404">
        <v>-91566.271378944657</v>
      </c>
      <c r="E1658" s="404">
        <v>-93397.59680652355</v>
      </c>
      <c r="F1658" s="404">
        <v>-95265.54874265402</v>
      </c>
      <c r="G1658" s="404">
        <v>-97170.859717507105</v>
      </c>
      <c r="H1658" s="404">
        <v>-99114.276911857247</v>
      </c>
      <c r="I1658" s="404">
        <v>-101096.5624500944</v>
      </c>
      <c r="J1658" s="404">
        <v>-103118.49369909629</v>
      </c>
      <c r="K1658" s="404">
        <v>-105180.86357307821</v>
      </c>
      <c r="L1658" s="404">
        <v>-107284.48084453978</v>
      </c>
      <c r="M1658" s="404">
        <v>-109430.17046143058</v>
      </c>
      <c r="N1658" s="404">
        <v>-111618.77387065919</v>
      </c>
      <c r="O1658" s="404">
        <v>-113851.14934807237</v>
      </c>
      <c r="P1658" s="404">
        <v>-116128.17233503383</v>
      </c>
      <c r="Q1658" s="404">
        <v>-118450.7357817345</v>
      </c>
      <c r="R1658" s="404">
        <v>-120819.7504973692</v>
      </c>
      <c r="S1658" s="404">
        <v>-123236.14550731659</v>
      </c>
      <c r="T1658" s="404">
        <v>-125700.86841746292</v>
      </c>
      <c r="U1658" s="404">
        <v>-128214.88578581218</v>
      </c>
      <c r="V1658" s="404">
        <v>-130779.18350152842</v>
      </c>
      <c r="W1658" s="327"/>
    </row>
    <row r="1659" spans="1:23" x14ac:dyDescent="0.2">
      <c r="A1659" s="9"/>
      <c r="B1659" s="309" t="s">
        <v>35</v>
      </c>
      <c r="C1659" s="443">
        <v>0</v>
      </c>
      <c r="D1659" s="404">
        <v>-45161.410471875002</v>
      </c>
      <c r="E1659" s="404">
        <v>-45161.410471875002</v>
      </c>
      <c r="F1659" s="404">
        <v>-45161.410471875002</v>
      </c>
      <c r="G1659" s="404">
        <v>-45161.410471875002</v>
      </c>
      <c r="H1659" s="404">
        <v>-45161.410471875002</v>
      </c>
      <c r="I1659" s="404">
        <v>-45161.410471875002</v>
      </c>
      <c r="J1659" s="404">
        <v>-45161.410471875002</v>
      </c>
      <c r="K1659" s="404">
        <v>-45161.410471875002</v>
      </c>
      <c r="L1659" s="404">
        <v>-45161.410471875002</v>
      </c>
      <c r="M1659" s="404">
        <v>-45161.410471875002</v>
      </c>
      <c r="N1659" s="404">
        <v>-45161.410471875002</v>
      </c>
      <c r="O1659" s="404">
        <v>-45161.410471875002</v>
      </c>
      <c r="P1659" s="404">
        <v>-45161.410471875002</v>
      </c>
      <c r="Q1659" s="404">
        <v>-45161.410471875002</v>
      </c>
      <c r="R1659" s="404">
        <v>-45161.410471875002</v>
      </c>
      <c r="S1659" s="404">
        <v>-45161.410471875002</v>
      </c>
      <c r="T1659" s="404">
        <v>-45161.410471875002</v>
      </c>
      <c r="U1659" s="404">
        <v>-45161.410471875002</v>
      </c>
      <c r="V1659" s="404">
        <v>-45161.410471875002</v>
      </c>
      <c r="W1659" s="327"/>
    </row>
    <row r="1660" spans="1:23" ht="13.5" thickBot="1" x14ac:dyDescent="0.25">
      <c r="A1660" s="9"/>
      <c r="B1660" s="310" t="s">
        <v>36</v>
      </c>
      <c r="C1660" s="444">
        <v>0</v>
      </c>
      <c r="D1660" s="406">
        <v>-4145.6628847028896</v>
      </c>
      <c r="E1660" s="406">
        <v>-4233.13637157014</v>
      </c>
      <c r="F1660" s="406">
        <v>-4325.8420581075297</v>
      </c>
      <c r="G1660" s="406">
        <v>-4423.6060886207297</v>
      </c>
      <c r="H1660" s="406">
        <v>-4528.8879135299103</v>
      </c>
      <c r="I1660" s="406">
        <v>-4642.38229994021</v>
      </c>
      <c r="J1660" s="406">
        <v>-4757.52631405997</v>
      </c>
      <c r="K1660" s="406">
        <v>-4877.9491368499903</v>
      </c>
      <c r="L1660" s="406">
        <v>-4998.4344805301898</v>
      </c>
      <c r="M1660" s="406">
        <v>-5125.8945597837001</v>
      </c>
      <c r="N1660" s="406">
        <v>-5249.9412081304899</v>
      </c>
      <c r="O1660" s="406">
        <v>-5382.2397265753598</v>
      </c>
      <c r="P1660" s="406">
        <v>-5518.9486156303601</v>
      </c>
      <c r="Q1660" s="406">
        <v>-5656.92233102112</v>
      </c>
      <c r="R1660" s="406">
        <v>-5798.9110815297499</v>
      </c>
      <c r="S1660" s="406">
        <v>-5943.8838585679996</v>
      </c>
      <c r="T1660" s="406">
        <v>-6091.2921782604799</v>
      </c>
      <c r="U1660" s="406">
        <v>-6244.18361193483</v>
      </c>
      <c r="V1660" s="406">
        <v>-6400.9126205943903</v>
      </c>
      <c r="W1660" s="327"/>
    </row>
    <row r="1661" spans="1:23" ht="13.5" thickTop="1" x14ac:dyDescent="0.2">
      <c r="A1661" s="9"/>
      <c r="B1661" s="311" t="s">
        <v>220</v>
      </c>
      <c r="C1661" s="446">
        <v>0</v>
      </c>
      <c r="D1661" s="410">
        <v>2984908.3313224697</v>
      </c>
      <c r="E1661" s="410">
        <v>2050426.3223621433</v>
      </c>
      <c r="F1661" s="410">
        <v>1629517.6308900341</v>
      </c>
      <c r="G1661" s="410">
        <v>1310710.6989724929</v>
      </c>
      <c r="H1661" s="410">
        <v>1288864.2867837274</v>
      </c>
      <c r="I1661" s="410">
        <v>949283.43433937023</v>
      </c>
      <c r="J1661" s="410">
        <v>1067090.4957154584</v>
      </c>
      <c r="K1661" s="410">
        <v>1658005.3642343997</v>
      </c>
      <c r="L1661" s="410">
        <v>1670761.9384231903</v>
      </c>
      <c r="M1661" s="410">
        <v>1876939.6523481393</v>
      </c>
      <c r="N1661" s="410">
        <v>1298707.7329419998</v>
      </c>
      <c r="O1661" s="410">
        <v>1604228.984130021</v>
      </c>
      <c r="P1661" s="410">
        <v>1538675.8871069052</v>
      </c>
      <c r="Q1661" s="410">
        <v>1945823.4788212567</v>
      </c>
      <c r="R1661" s="410">
        <v>1545144.8590900882</v>
      </c>
      <c r="S1661" s="410">
        <v>1152047.6371681937</v>
      </c>
      <c r="T1661" s="410">
        <v>1370137.0993833342</v>
      </c>
      <c r="U1661" s="410">
        <v>1728854.2633342515</v>
      </c>
      <c r="V1661" s="410">
        <v>1364662.7379983491</v>
      </c>
      <c r="W1661" s="327"/>
    </row>
    <row r="1662" spans="1:23" x14ac:dyDescent="0.2">
      <c r="A1662" s="9"/>
      <c r="B1662" s="309" t="s">
        <v>37</v>
      </c>
      <c r="C1662" s="443">
        <v>0</v>
      </c>
      <c r="D1662" s="404">
        <v>-256373.48737677658</v>
      </c>
      <c r="E1662" s="404">
        <v>-235299.63781481623</v>
      </c>
      <c r="F1662" s="404">
        <v>-205307.07945894302</v>
      </c>
      <c r="G1662" s="404">
        <v>-174904.47125886939</v>
      </c>
      <c r="H1662" s="404">
        <v>-160607.06942284212</v>
      </c>
      <c r="I1662" s="404">
        <v>-156554.00520463297</v>
      </c>
      <c r="J1662" s="404">
        <v>-163690.99180529558</v>
      </c>
      <c r="K1662" s="404">
        <v>-170232.88617273298</v>
      </c>
      <c r="L1662" s="404">
        <v>-176826.65684389556</v>
      </c>
      <c r="M1662" s="404">
        <v>-182884.16010594799</v>
      </c>
      <c r="N1662" s="404">
        <v>-175467.77021218458</v>
      </c>
      <c r="O1662" s="404">
        <v>-167517.17536217629</v>
      </c>
      <c r="P1662" s="404">
        <v>-173658.16151840443</v>
      </c>
      <c r="Q1662" s="404">
        <v>-120623.72577722732</v>
      </c>
      <c r="R1662" s="404">
        <v>-67973.177057618159</v>
      </c>
      <c r="S1662" s="404">
        <v>-74465.269284038688</v>
      </c>
      <c r="T1662" s="404">
        <v>-81152.124277251874</v>
      </c>
      <c r="U1662" s="404">
        <v>-88039.584920261419</v>
      </c>
      <c r="V1662" s="404">
        <v>-95133.669382561275</v>
      </c>
      <c r="W1662" s="327"/>
    </row>
    <row r="1663" spans="1:23" ht="13.5" thickBot="1" x14ac:dyDescent="0.25">
      <c r="A1663" s="9"/>
      <c r="B1663" s="310" t="s">
        <v>221</v>
      </c>
      <c r="C1663" s="444">
        <v>0</v>
      </c>
      <c r="D1663" s="406">
        <v>-1091413.9375782774</v>
      </c>
      <c r="E1663" s="406">
        <v>-726050.67381893087</v>
      </c>
      <c r="F1663" s="406">
        <v>-569684.22057243646</v>
      </c>
      <c r="G1663" s="406">
        <v>-454322.49108544947</v>
      </c>
      <c r="H1663" s="406">
        <v>-451302.88694435416</v>
      </c>
      <c r="I1663" s="406">
        <v>-317091.77165389492</v>
      </c>
      <c r="J1663" s="406">
        <v>-361359.80156406516</v>
      </c>
      <c r="K1663" s="406">
        <v>-595108.99122466671</v>
      </c>
      <c r="L1663" s="406">
        <v>-597574.11263171793</v>
      </c>
      <c r="M1663" s="406">
        <v>-677622.19689687667</v>
      </c>
      <c r="N1663" s="406">
        <v>-449295.98509192606</v>
      </c>
      <c r="O1663" s="406">
        <v>-574684.72350713785</v>
      </c>
      <c r="P1663" s="406">
        <v>-546007.09023540036</v>
      </c>
      <c r="Q1663" s="406">
        <v>-730079.90121761174</v>
      </c>
      <c r="R1663" s="406">
        <v>-590868.67281298805</v>
      </c>
      <c r="S1663" s="406">
        <v>-431032.94715366198</v>
      </c>
      <c r="T1663" s="406">
        <v>-515593.99004243297</v>
      </c>
      <c r="U1663" s="406">
        <v>-656325.87136559607</v>
      </c>
      <c r="V1663" s="406">
        <v>-507811.62744631519</v>
      </c>
      <c r="W1663" s="327"/>
    </row>
    <row r="1664" spans="1:23" ht="13.5" thickTop="1" x14ac:dyDescent="0.2">
      <c r="A1664" s="9"/>
      <c r="B1664" s="311" t="s">
        <v>183</v>
      </c>
      <c r="C1664" s="446">
        <v>0</v>
      </c>
      <c r="D1664" s="410">
        <v>1637120.9063674158</v>
      </c>
      <c r="E1664" s="410">
        <v>1089076.010728396</v>
      </c>
      <c r="F1664" s="410">
        <v>854526.33085865458</v>
      </c>
      <c r="G1664" s="410">
        <v>681483.73662817408</v>
      </c>
      <c r="H1664" s="410">
        <v>676954.33041653119</v>
      </c>
      <c r="I1664" s="410">
        <v>475637.65748084232</v>
      </c>
      <c r="J1664" s="410">
        <v>542039.70234609768</v>
      </c>
      <c r="K1664" s="410">
        <v>892663.486837</v>
      </c>
      <c r="L1664" s="410">
        <v>896361.16894757678</v>
      </c>
      <c r="M1664" s="410">
        <v>1016433.2953453148</v>
      </c>
      <c r="N1664" s="410">
        <v>673943.9776378891</v>
      </c>
      <c r="O1664" s="410">
        <v>862027.08526070684</v>
      </c>
      <c r="P1664" s="410">
        <v>819010.63535310037</v>
      </c>
      <c r="Q1664" s="410">
        <v>1095119.8518264175</v>
      </c>
      <c r="R1664" s="410">
        <v>886303.00921948208</v>
      </c>
      <c r="S1664" s="410">
        <v>646549.42073049292</v>
      </c>
      <c r="T1664" s="410">
        <v>773390.98506364948</v>
      </c>
      <c r="U1664" s="410">
        <v>984488.80704839388</v>
      </c>
      <c r="V1664" s="410">
        <v>761717.44116947264</v>
      </c>
      <c r="W1664" s="327"/>
    </row>
    <row r="1665" spans="1:23" x14ac:dyDescent="0.2">
      <c r="A1665" s="9"/>
      <c r="B1665" s="309" t="s">
        <v>37</v>
      </c>
      <c r="C1665" s="443">
        <v>0</v>
      </c>
      <c r="D1665" s="404">
        <v>256373.48737677658</v>
      </c>
      <c r="E1665" s="404">
        <v>235299.63781481623</v>
      </c>
      <c r="F1665" s="404">
        <v>205307.07945894302</v>
      </c>
      <c r="G1665" s="404">
        <v>174904.47125886939</v>
      </c>
      <c r="H1665" s="404">
        <v>160607.06942284212</v>
      </c>
      <c r="I1665" s="404">
        <v>156554.00520463297</v>
      </c>
      <c r="J1665" s="404">
        <v>163690.99180529558</v>
      </c>
      <c r="K1665" s="404">
        <v>170232.88617273298</v>
      </c>
      <c r="L1665" s="404">
        <v>176826.65684389556</v>
      </c>
      <c r="M1665" s="404">
        <v>182884.16010594799</v>
      </c>
      <c r="N1665" s="404">
        <v>175467.77021218458</v>
      </c>
      <c r="O1665" s="404">
        <v>167517.17536217629</v>
      </c>
      <c r="P1665" s="404">
        <v>173658.16151840443</v>
      </c>
      <c r="Q1665" s="404">
        <v>120623.72577722732</v>
      </c>
      <c r="R1665" s="404">
        <v>67973.177057618159</v>
      </c>
      <c r="S1665" s="404">
        <v>74465.269284038688</v>
      </c>
      <c r="T1665" s="404">
        <v>81152.124277251874</v>
      </c>
      <c r="U1665" s="404">
        <v>88039.584920261419</v>
      </c>
      <c r="V1665" s="404">
        <v>95133.669382561275</v>
      </c>
      <c r="W1665" s="327"/>
    </row>
    <row r="1666" spans="1:23" x14ac:dyDescent="0.2">
      <c r="A1666" s="9"/>
      <c r="B1666" s="309" t="s">
        <v>39</v>
      </c>
      <c r="C1666" s="443">
        <v>0</v>
      </c>
      <c r="D1666" s="404">
        <v>-1423.58</v>
      </c>
      <c r="E1666" s="404">
        <v>-1481.02</v>
      </c>
      <c r="F1666" s="404">
        <v>-1540.83</v>
      </c>
      <c r="G1666" s="404">
        <v>-1609.33</v>
      </c>
      <c r="H1666" s="404">
        <v>-100000</v>
      </c>
      <c r="I1666" s="404">
        <v>-103000</v>
      </c>
      <c r="J1666" s="404">
        <v>-106090</v>
      </c>
      <c r="K1666" s="404">
        <v>-109272.7</v>
      </c>
      <c r="L1666" s="404">
        <v>-112550.88099999999</v>
      </c>
      <c r="M1666" s="404">
        <v>-115927.40742999999</v>
      </c>
      <c r="N1666" s="404">
        <v>-119405.2296529</v>
      </c>
      <c r="O1666" s="404">
        <v>-122987.386542487</v>
      </c>
      <c r="P1666" s="404">
        <v>-126677.00813876161</v>
      </c>
      <c r="Q1666" s="404">
        <v>-130477.31838292447</v>
      </c>
      <c r="R1666" s="404">
        <v>-134391.6379344122</v>
      </c>
      <c r="S1666" s="404">
        <v>-138423.38707244457</v>
      </c>
      <c r="T1666" s="404">
        <v>-142576.08868461792</v>
      </c>
      <c r="U1666" s="404">
        <v>-146853.37134515645</v>
      </c>
      <c r="V1666" s="404">
        <v>-151258.97248551116</v>
      </c>
      <c r="W1666" s="327"/>
    </row>
    <row r="1667" spans="1:23" ht="13.5" thickBot="1" x14ac:dyDescent="0.25">
      <c r="A1667" s="9"/>
      <c r="B1667" s="310" t="s">
        <v>40</v>
      </c>
      <c r="C1667" s="444">
        <v>0</v>
      </c>
      <c r="D1667" s="406">
        <v>0</v>
      </c>
      <c r="E1667" s="406">
        <v>0</v>
      </c>
      <c r="F1667" s="406">
        <v>0</v>
      </c>
      <c r="G1667" s="406">
        <v>0</v>
      </c>
      <c r="H1667" s="406">
        <v>0</v>
      </c>
      <c r="I1667" s="406">
        <v>0</v>
      </c>
      <c r="J1667" s="406">
        <v>0</v>
      </c>
      <c r="K1667" s="406">
        <v>0</v>
      </c>
      <c r="L1667" s="406">
        <v>0</v>
      </c>
      <c r="M1667" s="406">
        <v>0</v>
      </c>
      <c r="N1667" s="406">
        <v>0</v>
      </c>
      <c r="O1667" s="406">
        <v>0</v>
      </c>
      <c r="P1667" s="406">
        <v>0</v>
      </c>
      <c r="Q1667" s="406">
        <v>0</v>
      </c>
      <c r="R1667" s="406">
        <v>0</v>
      </c>
      <c r="S1667" s="406">
        <v>0</v>
      </c>
      <c r="T1667" s="406">
        <v>0</v>
      </c>
      <c r="U1667" s="406">
        <v>0</v>
      </c>
      <c r="V1667" s="406">
        <v>0</v>
      </c>
      <c r="W1667" s="327"/>
    </row>
    <row r="1668" spans="1:23" ht="13.5" thickTop="1" x14ac:dyDescent="0.2">
      <c r="A1668" s="9"/>
      <c r="B1668" s="309"/>
      <c r="C1668" s="447"/>
      <c r="D1668" s="327"/>
      <c r="E1668" s="327"/>
      <c r="F1668" s="327"/>
      <c r="G1668" s="327"/>
      <c r="H1668" s="327"/>
      <c r="I1668" s="327"/>
      <c r="J1668" s="327"/>
      <c r="K1668" s="327"/>
      <c r="L1668" s="327"/>
      <c r="M1668" s="327"/>
      <c r="N1668" s="327"/>
      <c r="O1668" s="327"/>
      <c r="P1668" s="327"/>
      <c r="Q1668" s="327"/>
      <c r="R1668" s="327"/>
      <c r="S1668" s="327"/>
      <c r="T1668" s="327"/>
      <c r="U1668" s="327"/>
      <c r="V1668" s="327"/>
      <c r="W1668" s="327"/>
    </row>
    <row r="1669" spans="1:23" x14ac:dyDescent="0.2">
      <c r="A1669" s="9"/>
      <c r="B1669" s="311" t="s">
        <v>233</v>
      </c>
      <c r="C1669" s="446">
        <v>0</v>
      </c>
      <c r="D1669" s="410">
        <v>1892070.8137441922</v>
      </c>
      <c r="E1669" s="410">
        <v>1322894.6285432123</v>
      </c>
      <c r="F1669" s="410">
        <v>1058292.5803175976</v>
      </c>
      <c r="G1669" s="410">
        <v>854778.87788704352</v>
      </c>
      <c r="H1669" s="410">
        <v>737561.39983937331</v>
      </c>
      <c r="I1669" s="410">
        <v>529191.66268547531</v>
      </c>
      <c r="J1669" s="410">
        <v>599640.69415139325</v>
      </c>
      <c r="K1669" s="410">
        <v>953623.67300973297</v>
      </c>
      <c r="L1669" s="410">
        <v>960636.94479147228</v>
      </c>
      <c r="M1669" s="410">
        <v>1083390.0480212627</v>
      </c>
      <c r="N1669" s="410">
        <v>730006.51819717372</v>
      </c>
      <c r="O1669" s="410">
        <v>906556.87408039614</v>
      </c>
      <c r="P1669" s="410">
        <v>865991.78873274312</v>
      </c>
      <c r="Q1669" s="410">
        <v>1085266.2592207203</v>
      </c>
      <c r="R1669" s="410">
        <v>819884.54834268801</v>
      </c>
      <c r="S1669" s="410">
        <v>582591.30294208706</v>
      </c>
      <c r="T1669" s="410">
        <v>711967.02065628348</v>
      </c>
      <c r="U1669" s="410">
        <v>925675.02062349895</v>
      </c>
      <c r="V1669" s="410">
        <v>705592.13806652278</v>
      </c>
      <c r="W1669" s="408">
        <v>5171833.9096228713</v>
      </c>
    </row>
    <row r="1670" spans="1:23" x14ac:dyDescent="0.2">
      <c r="A1670" s="9"/>
      <c r="B1670" s="286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</row>
    <row r="1671" spans="1:23" x14ac:dyDescent="0.2">
      <c r="A1671" s="302" t="s">
        <v>218</v>
      </c>
      <c r="B1671" s="300" t="s">
        <v>170</v>
      </c>
      <c r="C1671" s="433">
        <v>4650269.6764958296</v>
      </c>
      <c r="D1671" s="9"/>
      <c r="E1671" s="137" t="s">
        <v>219</v>
      </c>
      <c r="F1671" s="313" t="s">
        <v>170</v>
      </c>
      <c r="G1671" s="437">
        <v>4650269.6764958296</v>
      </c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</row>
    <row r="1672" spans="1:23" x14ac:dyDescent="0.2">
      <c r="A1672" s="9"/>
      <c r="B1672" s="300" t="s">
        <v>180</v>
      </c>
      <c r="C1672" s="433">
        <v>3703529.0668251244</v>
      </c>
      <c r="D1672" s="9"/>
      <c r="E1672" s="315"/>
      <c r="F1672" s="313" t="s">
        <v>180</v>
      </c>
      <c r="G1672" s="437">
        <v>3703529.0668251244</v>
      </c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</row>
    <row r="1673" spans="1:23" ht="13.5" thickBot="1" x14ac:dyDescent="0.25">
      <c r="A1673" s="9"/>
      <c r="B1673" s="316" t="s">
        <v>137</v>
      </c>
      <c r="C1673" s="434">
        <v>768760.15586463385</v>
      </c>
      <c r="D1673" s="317"/>
      <c r="E1673" s="315"/>
      <c r="F1673" s="313" t="s">
        <v>137</v>
      </c>
      <c r="G1673" s="437">
        <v>768760.15586463385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</row>
    <row r="1674" spans="1:23" ht="14.25" thickTop="1" thickBot="1" x14ac:dyDescent="0.25">
      <c r="A1674" s="9"/>
      <c r="B1674" s="300" t="s">
        <v>28</v>
      </c>
      <c r="C1674" s="432">
        <v>9122558.8991855886</v>
      </c>
      <c r="D1674" s="299"/>
      <c r="E1674" s="315"/>
      <c r="F1674" s="318" t="s">
        <v>203</v>
      </c>
      <c r="G1674" s="319">
        <v>0</v>
      </c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</row>
    <row r="1675" spans="1:23" ht="13.5" thickTop="1" x14ac:dyDescent="0.2">
      <c r="A1675" s="9"/>
      <c r="B1675" s="286"/>
      <c r="C1675" s="320"/>
      <c r="D1675" s="9"/>
      <c r="E1675" s="321"/>
      <c r="F1675" s="313" t="s">
        <v>28</v>
      </c>
      <c r="G1675" s="362">
        <v>9122558.8991855886</v>
      </c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</row>
    <row r="1676" spans="1:23" x14ac:dyDescent="0.2">
      <c r="A1676" s="9"/>
      <c r="B1676" s="286"/>
      <c r="C1676" s="320"/>
      <c r="D1676" s="9"/>
      <c r="E1676" s="321"/>
      <c r="F1676" s="313"/>
      <c r="G1676" s="322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</row>
    <row r="1677" spans="1:23" x14ac:dyDescent="0.2">
      <c r="A1677" s="9"/>
      <c r="B1677" s="286"/>
      <c r="C1677" s="320"/>
      <c r="D1677" s="9"/>
      <c r="E1677" s="321"/>
      <c r="F1677" s="313"/>
      <c r="G1677" s="322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</row>
    <row r="1678" spans="1:23" x14ac:dyDescent="0.2">
      <c r="A1678" s="9"/>
      <c r="B1678" s="323" t="s">
        <v>222</v>
      </c>
      <c r="C1678" s="320"/>
      <c r="D1678" s="9"/>
      <c r="E1678" s="321"/>
      <c r="F1678" s="313"/>
      <c r="G1678" s="322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</row>
    <row r="1679" spans="1:23" x14ac:dyDescent="0.2">
      <c r="A1679" s="324" t="s">
        <v>224</v>
      </c>
      <c r="B1679" s="323" t="s">
        <v>223</v>
      </c>
      <c r="C1679" s="325"/>
      <c r="D1679" s="326">
        <v>1637120.9063674158</v>
      </c>
      <c r="E1679" s="326">
        <v>1089076.010728396</v>
      </c>
      <c r="F1679" s="326">
        <v>854526.33085865458</v>
      </c>
      <c r="G1679" s="326">
        <v>681483.73662817408</v>
      </c>
      <c r="H1679" s="326">
        <v>676954.33041653119</v>
      </c>
      <c r="I1679" s="326">
        <v>475637.65748084232</v>
      </c>
      <c r="J1679" s="326">
        <v>542039.70234609768</v>
      </c>
      <c r="K1679" s="326">
        <v>892663.486837</v>
      </c>
      <c r="L1679" s="326">
        <v>896361.16894757678</v>
      </c>
      <c r="M1679" s="326">
        <v>1016433.2953453148</v>
      </c>
      <c r="N1679" s="326">
        <v>673943.9776378891</v>
      </c>
      <c r="O1679" s="326">
        <v>862027.08526070684</v>
      </c>
      <c r="P1679" s="326">
        <v>819010.63535310037</v>
      </c>
      <c r="Q1679" s="326">
        <v>1095119.8518264175</v>
      </c>
      <c r="R1679" s="326">
        <v>886303.00921948208</v>
      </c>
      <c r="S1679" s="326">
        <v>646549.42073049292</v>
      </c>
      <c r="T1679" s="326">
        <v>773390.98506364948</v>
      </c>
      <c r="U1679" s="326">
        <v>984488.80704839388</v>
      </c>
      <c r="V1679" s="326">
        <v>761717.44116947264</v>
      </c>
      <c r="W1679" s="9"/>
    </row>
    <row r="1680" spans="1:23" x14ac:dyDescent="0.2">
      <c r="A1680" s="9"/>
      <c r="B1680" s="286" t="s">
        <v>225</v>
      </c>
      <c r="C1680" s="320"/>
      <c r="D1680" s="327">
        <v>1091413.9375782774</v>
      </c>
      <c r="E1680" s="327">
        <v>726050.67381893087</v>
      </c>
      <c r="F1680" s="327">
        <v>569684.22057243646</v>
      </c>
      <c r="G1680" s="327">
        <v>454322.49108544947</v>
      </c>
      <c r="H1680" s="327">
        <v>451302.88694435416</v>
      </c>
      <c r="I1680" s="327">
        <v>317091.77165389492</v>
      </c>
      <c r="J1680" s="327">
        <v>361359.80156406516</v>
      </c>
      <c r="K1680" s="327">
        <v>595108.99122466671</v>
      </c>
      <c r="L1680" s="327">
        <v>597574.11263171793</v>
      </c>
      <c r="M1680" s="327">
        <v>677622.19689687667</v>
      </c>
      <c r="N1680" s="327">
        <v>449295.98509192606</v>
      </c>
      <c r="O1680" s="327">
        <v>574684.72350713785</v>
      </c>
      <c r="P1680" s="327">
        <v>546007.09023540036</v>
      </c>
      <c r="Q1680" s="327">
        <v>730079.90121761174</v>
      </c>
      <c r="R1680" s="327">
        <v>590868.67281298805</v>
      </c>
      <c r="S1680" s="327">
        <v>431032.94715366198</v>
      </c>
      <c r="T1680" s="327">
        <v>515593.99004243297</v>
      </c>
      <c r="U1680" s="327">
        <v>656325.87136559607</v>
      </c>
      <c r="V1680" s="327">
        <v>507811.62744631519</v>
      </c>
      <c r="W1680" s="9"/>
    </row>
    <row r="1681" spans="1:23" x14ac:dyDescent="0.2">
      <c r="A1681" s="9"/>
      <c r="B1681" s="328" t="s">
        <v>226</v>
      </c>
      <c r="C1681" s="329"/>
      <c r="D1681" s="327">
        <v>256373.48737677658</v>
      </c>
      <c r="E1681" s="327">
        <v>235299.63781481623</v>
      </c>
      <c r="F1681" s="327">
        <v>205307.07945894302</v>
      </c>
      <c r="G1681" s="327">
        <v>174904.47125886939</v>
      </c>
      <c r="H1681" s="327">
        <v>160607.06942284212</v>
      </c>
      <c r="I1681" s="327">
        <v>156554.00520463297</v>
      </c>
      <c r="J1681" s="327">
        <v>163690.99180529558</v>
      </c>
      <c r="K1681" s="327">
        <v>170232.88617273298</v>
      </c>
      <c r="L1681" s="327">
        <v>176826.65684389556</v>
      </c>
      <c r="M1681" s="327">
        <v>182884.16010594799</v>
      </c>
      <c r="N1681" s="327">
        <v>175467.77021218458</v>
      </c>
      <c r="O1681" s="327">
        <v>167517.17536217629</v>
      </c>
      <c r="P1681" s="327">
        <v>173658.16151840443</v>
      </c>
      <c r="Q1681" s="327">
        <v>120623.72577722732</v>
      </c>
      <c r="R1681" s="327">
        <v>67973.177057618159</v>
      </c>
      <c r="S1681" s="327">
        <v>74465.269284038688</v>
      </c>
      <c r="T1681" s="327">
        <v>81152.124277251874</v>
      </c>
      <c r="U1681" s="327">
        <v>88039.584920261419</v>
      </c>
      <c r="V1681" s="327">
        <v>95133.669382561275</v>
      </c>
      <c r="W1681" s="9"/>
    </row>
    <row r="1682" spans="1:23" ht="13.5" thickBot="1" x14ac:dyDescent="0.25">
      <c r="A1682" s="9"/>
      <c r="B1682" s="330" t="s">
        <v>227</v>
      </c>
      <c r="C1682" s="331"/>
      <c r="D1682" s="332">
        <v>2984908.3313224697</v>
      </c>
      <c r="E1682" s="332">
        <v>2050426.3223621433</v>
      </c>
      <c r="F1682" s="332">
        <v>1629517.6308900341</v>
      </c>
      <c r="G1682" s="332">
        <v>1310710.6989724929</v>
      </c>
      <c r="H1682" s="332">
        <v>1288864.2867837274</v>
      </c>
      <c r="I1682" s="332">
        <v>949283.43433937023</v>
      </c>
      <c r="J1682" s="332">
        <v>1067090.4957154584</v>
      </c>
      <c r="K1682" s="332">
        <v>1658005.3642343997</v>
      </c>
      <c r="L1682" s="332">
        <v>1670761.9384231903</v>
      </c>
      <c r="M1682" s="332">
        <v>1876939.6523481393</v>
      </c>
      <c r="N1682" s="332">
        <v>1298707.7329419998</v>
      </c>
      <c r="O1682" s="332">
        <v>1604228.984130021</v>
      </c>
      <c r="P1682" s="332">
        <v>1538675.8871069052</v>
      </c>
      <c r="Q1682" s="332">
        <v>1945823.4788212567</v>
      </c>
      <c r="R1682" s="332">
        <v>1545144.8590900884</v>
      </c>
      <c r="S1682" s="332">
        <v>1152047.6371681937</v>
      </c>
      <c r="T1682" s="332">
        <v>1370137.0993833342</v>
      </c>
      <c r="U1682" s="332">
        <v>1728854.2633342515</v>
      </c>
      <c r="V1682" s="332">
        <v>1364662.7379983491</v>
      </c>
      <c r="W1682" s="9"/>
    </row>
    <row r="1683" spans="1:23" ht="13.5" thickTop="1" x14ac:dyDescent="0.2">
      <c r="A1683" s="324" t="s">
        <v>228</v>
      </c>
      <c r="B1683" s="286" t="s">
        <v>229</v>
      </c>
      <c r="C1683" s="320"/>
      <c r="D1683" s="327">
        <v>-572072.6856983226</v>
      </c>
      <c r="E1683" s="327">
        <v>-571105.994308152</v>
      </c>
      <c r="F1683" s="327">
        <v>-567419.22315439081</v>
      </c>
      <c r="G1683" s="327">
        <v>-551343.67461045913</v>
      </c>
      <c r="H1683" s="327">
        <v>-509959.22651103698</v>
      </c>
      <c r="I1683" s="327">
        <v>-515109.22651103698</v>
      </c>
      <c r="J1683" s="327">
        <v>-297727.48179906013</v>
      </c>
      <c r="K1683" s="327">
        <v>-109683.59723414935</v>
      </c>
      <c r="L1683" s="327">
        <v>-115116.44440495</v>
      </c>
      <c r="M1683" s="327">
        <v>-113527.91955679125</v>
      </c>
      <c r="N1683" s="327">
        <v>-63875.927684645911</v>
      </c>
      <c r="O1683" s="327">
        <v>-70025.29701177025</v>
      </c>
      <c r="P1683" s="327">
        <v>-76359.147418708337</v>
      </c>
      <c r="Q1683" s="327">
        <v>-82883.013337854558</v>
      </c>
      <c r="R1683" s="327">
        <v>-89602.595234575158</v>
      </c>
      <c r="S1683" s="327">
        <v>-96173.377212357518</v>
      </c>
      <c r="T1683" s="327">
        <v>-102354.9396233774</v>
      </c>
      <c r="U1683" s="327">
        <v>-109697.60819063522</v>
      </c>
      <c r="V1683" s="327">
        <v>-117260.55681491077</v>
      </c>
      <c r="W1683" s="9"/>
    </row>
    <row r="1684" spans="1:23" x14ac:dyDescent="0.2">
      <c r="A1684" s="9"/>
      <c r="B1684" s="286" t="s">
        <v>230</v>
      </c>
      <c r="C1684" s="320"/>
      <c r="D1684" s="327">
        <v>0</v>
      </c>
      <c r="E1684" s="327">
        <v>0</v>
      </c>
      <c r="F1684" s="327">
        <v>0</v>
      </c>
      <c r="G1684" s="327">
        <v>0</v>
      </c>
      <c r="H1684" s="327">
        <v>0</v>
      </c>
      <c r="I1684" s="327">
        <v>0</v>
      </c>
      <c r="J1684" s="327">
        <v>0</v>
      </c>
      <c r="K1684" s="327">
        <v>0</v>
      </c>
      <c r="L1684" s="327">
        <v>0</v>
      </c>
      <c r="M1684" s="327">
        <v>0</v>
      </c>
      <c r="N1684" s="327">
        <v>0</v>
      </c>
      <c r="O1684" s="327">
        <v>0</v>
      </c>
      <c r="P1684" s="327">
        <v>0</v>
      </c>
      <c r="Q1684" s="327">
        <v>0</v>
      </c>
      <c r="R1684" s="327">
        <v>0</v>
      </c>
      <c r="S1684" s="327">
        <v>0</v>
      </c>
      <c r="T1684" s="327">
        <v>0</v>
      </c>
      <c r="U1684" s="327">
        <v>0</v>
      </c>
      <c r="V1684" s="327">
        <v>0</v>
      </c>
      <c r="W1684" s="9"/>
    </row>
    <row r="1685" spans="1:23" x14ac:dyDescent="0.2">
      <c r="A1685" s="9"/>
      <c r="B1685" s="323" t="s">
        <v>231</v>
      </c>
      <c r="C1685" s="325"/>
      <c r="D1685" s="326">
        <v>2412835.6456241473</v>
      </c>
      <c r="E1685" s="326">
        <v>1479320.3280539913</v>
      </c>
      <c r="F1685" s="326">
        <v>1062098.4077356434</v>
      </c>
      <c r="G1685" s="326">
        <v>759367.02436203382</v>
      </c>
      <c r="H1685" s="326">
        <v>778905.06027269037</v>
      </c>
      <c r="I1685" s="326">
        <v>434174.20782833325</v>
      </c>
      <c r="J1685" s="326">
        <v>769363.01391639828</v>
      </c>
      <c r="K1685" s="326">
        <v>1548321.7670002505</v>
      </c>
      <c r="L1685" s="326">
        <v>1555645.4940182404</v>
      </c>
      <c r="M1685" s="326">
        <v>1763411.7327913481</v>
      </c>
      <c r="N1685" s="326">
        <v>1234831.8052573539</v>
      </c>
      <c r="O1685" s="326">
        <v>1534203.6871182506</v>
      </c>
      <c r="P1685" s="326">
        <v>1462316.7396881969</v>
      </c>
      <c r="Q1685" s="326">
        <v>1862940.4654834021</v>
      </c>
      <c r="R1685" s="326">
        <v>1455542.2638555132</v>
      </c>
      <c r="S1685" s="326">
        <v>1055874.2599558362</v>
      </c>
      <c r="T1685" s="326">
        <v>1267782.1597599569</v>
      </c>
      <c r="U1685" s="326">
        <v>1619156.6551436163</v>
      </c>
      <c r="V1685" s="326">
        <v>1247402.1811834383</v>
      </c>
      <c r="W1685" s="9"/>
    </row>
    <row r="1686" spans="1:23" ht="13.5" thickBot="1" x14ac:dyDescent="0.25">
      <c r="A1686" s="9"/>
      <c r="B1686" s="333" t="s">
        <v>237</v>
      </c>
      <c r="C1686" s="334"/>
      <c r="D1686" s="335">
        <v>-965134.25824965897</v>
      </c>
      <c r="E1686" s="335">
        <v>-591728.1312215965</v>
      </c>
      <c r="F1686" s="335">
        <v>-424839.36309425742</v>
      </c>
      <c r="G1686" s="335">
        <v>-303746.80974481354</v>
      </c>
      <c r="H1686" s="335">
        <v>-311562.02410907618</v>
      </c>
      <c r="I1686" s="335">
        <v>-173669.68313133332</v>
      </c>
      <c r="J1686" s="335">
        <v>-307745.20556655934</v>
      </c>
      <c r="K1686" s="335">
        <v>-619328.70680010028</v>
      </c>
      <c r="L1686" s="335">
        <v>-622258.19760729617</v>
      </c>
      <c r="M1686" s="335">
        <v>-705364.69311653927</v>
      </c>
      <c r="N1686" s="335">
        <v>-493932.7221029416</v>
      </c>
      <c r="O1686" s="335">
        <v>-613681.47484730033</v>
      </c>
      <c r="P1686" s="335">
        <v>-584926.69587527879</v>
      </c>
      <c r="Q1686" s="335">
        <v>-745176.18619336095</v>
      </c>
      <c r="R1686" s="335">
        <v>-582216.90554220532</v>
      </c>
      <c r="S1686" s="335">
        <v>-422349.70398233453</v>
      </c>
      <c r="T1686" s="335">
        <v>-507112.8639039828</v>
      </c>
      <c r="U1686" s="335">
        <v>-647662.66205744655</v>
      </c>
      <c r="V1686" s="335">
        <v>-498960.87247337535</v>
      </c>
      <c r="W1686" s="9"/>
    </row>
    <row r="1687" spans="1:23" ht="13.5" thickTop="1" x14ac:dyDescent="0.2">
      <c r="A1687" s="9"/>
      <c r="B1687" s="323" t="s">
        <v>232</v>
      </c>
      <c r="C1687" s="325"/>
      <c r="D1687" s="326">
        <v>1447701.3873744882</v>
      </c>
      <c r="E1687" s="326">
        <v>887592.19683239481</v>
      </c>
      <c r="F1687" s="326">
        <v>637259.04464138602</v>
      </c>
      <c r="G1687" s="326">
        <v>455620.21461722028</v>
      </c>
      <c r="H1687" s="326">
        <v>467343.03616361419</v>
      </c>
      <c r="I1687" s="326">
        <v>260504.52469699993</v>
      </c>
      <c r="J1687" s="326">
        <v>461617.80834983895</v>
      </c>
      <c r="K1687" s="326">
        <v>928993.06020015024</v>
      </c>
      <c r="L1687" s="326">
        <v>933387.2964109442</v>
      </c>
      <c r="M1687" s="326">
        <v>1058047.0396748087</v>
      </c>
      <c r="N1687" s="326">
        <v>740899.08315441234</v>
      </c>
      <c r="O1687" s="326">
        <v>920522.21227095032</v>
      </c>
      <c r="P1687" s="326">
        <v>877390.04381291813</v>
      </c>
      <c r="Q1687" s="326">
        <v>1117764.2792900412</v>
      </c>
      <c r="R1687" s="326">
        <v>873325.35831330786</v>
      </c>
      <c r="S1687" s="326">
        <v>633524.55597350164</v>
      </c>
      <c r="T1687" s="326">
        <v>760669.29585597408</v>
      </c>
      <c r="U1687" s="326">
        <v>971493.99308616971</v>
      </c>
      <c r="V1687" s="326">
        <v>748441.30871006288</v>
      </c>
      <c r="W1687" s="9"/>
    </row>
    <row r="1688" spans="1:23" x14ac:dyDescent="0.2">
      <c r="A1688" s="9"/>
      <c r="B1688" s="9"/>
      <c r="C1688" s="320"/>
      <c r="D1688" s="9"/>
      <c r="E1688" s="321"/>
      <c r="F1688" s="313"/>
      <c r="G1688" s="322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</row>
    <row r="1689" spans="1:23" ht="15.75" x14ac:dyDescent="0.25">
      <c r="A1689" s="336" t="s">
        <v>205</v>
      </c>
      <c r="B1689" s="337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</row>
    <row r="1690" spans="1:23" x14ac:dyDescent="0.2">
      <c r="A1690" s="284" t="s">
        <v>190</v>
      </c>
      <c r="B1690" s="303"/>
      <c r="C1690" s="338">
        <v>0</v>
      </c>
      <c r="D1690" s="277"/>
      <c r="E1690" s="277"/>
      <c r="F1690" s="277"/>
      <c r="G1690" s="277"/>
      <c r="H1690" s="277"/>
      <c r="I1690" s="277"/>
      <c r="J1690" s="277"/>
      <c r="K1690" s="277"/>
      <c r="L1690" s="277"/>
      <c r="M1690" s="277"/>
      <c r="N1690" s="277"/>
      <c r="O1690" s="277"/>
      <c r="P1690" s="277"/>
      <c r="Q1690" s="277"/>
      <c r="R1690" s="277"/>
      <c r="S1690" s="277"/>
      <c r="T1690" s="277"/>
      <c r="U1690" s="277"/>
      <c r="V1690" s="277"/>
      <c r="W1690" s="277"/>
    </row>
    <row r="1691" spans="1:23" x14ac:dyDescent="0.2">
      <c r="A1691" s="284" t="s">
        <v>191</v>
      </c>
      <c r="B1691" s="303"/>
      <c r="C1691" s="339">
        <v>0</v>
      </c>
      <c r="D1691" s="277"/>
      <c r="E1691" s="277"/>
      <c r="F1691" s="277"/>
      <c r="G1691" s="277"/>
      <c r="H1691" s="277"/>
      <c r="I1691" s="277"/>
      <c r="J1691" s="277"/>
      <c r="K1691" s="277"/>
      <c r="L1691" s="277"/>
      <c r="M1691" s="277"/>
      <c r="N1691" s="277"/>
      <c r="O1691" s="277"/>
      <c r="P1691" s="277"/>
      <c r="Q1691" s="277"/>
      <c r="R1691" s="277"/>
      <c r="S1691" s="277"/>
      <c r="T1691" s="277"/>
      <c r="U1691" s="277"/>
      <c r="V1691" s="277"/>
      <c r="W1691" s="277"/>
    </row>
    <row r="1692" spans="1:23" x14ac:dyDescent="0.2">
      <c r="A1692" s="284" t="s">
        <v>201</v>
      </c>
      <c r="B1692" s="303"/>
      <c r="C1692" s="284">
        <v>15</v>
      </c>
      <c r="D1692" s="277"/>
      <c r="E1692" s="277"/>
      <c r="F1692" s="277"/>
      <c r="G1692" s="277"/>
      <c r="H1692" s="277"/>
      <c r="I1692" s="277"/>
      <c r="J1692" s="277"/>
      <c r="K1692" s="277"/>
      <c r="L1692" s="277"/>
      <c r="M1692" s="277"/>
      <c r="N1692" s="277"/>
      <c r="O1692" s="277"/>
      <c r="P1692" s="277"/>
      <c r="Q1692" s="277"/>
      <c r="R1692" s="277"/>
      <c r="S1692" s="277"/>
      <c r="T1692" s="277"/>
      <c r="U1692" s="277"/>
      <c r="V1692" s="277"/>
      <c r="W1692" s="277"/>
    </row>
    <row r="1693" spans="1:23" x14ac:dyDescent="0.2">
      <c r="A1693" s="284" t="s">
        <v>192</v>
      </c>
      <c r="B1693" s="303"/>
      <c r="C1693" s="339">
        <v>0</v>
      </c>
      <c r="D1693" s="277"/>
      <c r="E1693" s="277"/>
      <c r="F1693" s="277"/>
      <c r="G1693" s="277"/>
      <c r="H1693" s="277"/>
      <c r="I1693" s="277"/>
      <c r="J1693" s="277"/>
      <c r="K1693" s="277"/>
      <c r="L1693" s="277"/>
      <c r="M1693" s="277"/>
      <c r="N1693" s="277"/>
      <c r="O1693" s="277"/>
      <c r="P1693" s="277"/>
      <c r="Q1693" s="277"/>
      <c r="R1693" s="277"/>
      <c r="S1693" s="277"/>
      <c r="T1693" s="277"/>
      <c r="U1693" s="277"/>
      <c r="V1693" s="277"/>
      <c r="W1693" s="277"/>
    </row>
    <row r="1694" spans="1:23" x14ac:dyDescent="0.2">
      <c r="A1694" s="284" t="s">
        <v>193</v>
      </c>
      <c r="B1694" s="303"/>
      <c r="C1694" s="340">
        <v>8.7499999999999994E-2</v>
      </c>
      <c r="D1694" s="277"/>
      <c r="E1694" s="277"/>
      <c r="F1694" s="277"/>
      <c r="G1694" s="277"/>
      <c r="H1694" s="277"/>
      <c r="I1694" s="277"/>
      <c r="J1694" s="277"/>
      <c r="K1694" s="277"/>
      <c r="L1694" s="277"/>
      <c r="M1694" s="277"/>
      <c r="N1694" s="277"/>
      <c r="O1694" s="277"/>
      <c r="P1694" s="277"/>
      <c r="Q1694" s="277"/>
      <c r="R1694" s="277"/>
      <c r="S1694" s="277"/>
      <c r="T1694" s="277"/>
      <c r="U1694" s="277"/>
      <c r="V1694" s="277"/>
      <c r="W1694" s="277"/>
    </row>
    <row r="1695" spans="1:23" x14ac:dyDescent="0.2">
      <c r="A1695" s="284"/>
      <c r="B1695" s="303"/>
      <c r="C1695" s="277"/>
      <c r="D1695" s="306">
        <v>2001</v>
      </c>
      <c r="E1695" s="306">
        <v>2002</v>
      </c>
      <c r="F1695" s="306">
        <v>2003</v>
      </c>
      <c r="G1695" s="306">
        <v>2004</v>
      </c>
      <c r="H1695" s="306">
        <v>2005</v>
      </c>
      <c r="I1695" s="306">
        <v>2006</v>
      </c>
      <c r="J1695" s="306">
        <v>2007</v>
      </c>
      <c r="K1695" s="306">
        <v>2008</v>
      </c>
      <c r="L1695" s="306">
        <v>2009</v>
      </c>
      <c r="M1695" s="306">
        <v>2010</v>
      </c>
      <c r="N1695" s="306">
        <v>2011</v>
      </c>
      <c r="O1695" s="306">
        <v>2012</v>
      </c>
      <c r="P1695" s="306">
        <v>2013</v>
      </c>
      <c r="Q1695" s="306">
        <v>2014</v>
      </c>
      <c r="R1695" s="306">
        <v>2015</v>
      </c>
      <c r="S1695" s="306">
        <v>2016</v>
      </c>
      <c r="T1695" s="306">
        <v>2017</v>
      </c>
      <c r="U1695" s="306">
        <v>2018</v>
      </c>
      <c r="V1695" s="306">
        <v>2019</v>
      </c>
      <c r="W1695" s="306" t="s">
        <v>154</v>
      </c>
    </row>
    <row r="1696" spans="1:23" x14ac:dyDescent="0.2">
      <c r="A1696" s="284" t="s">
        <v>194</v>
      </c>
      <c r="B1696" s="303"/>
      <c r="C1696" s="277"/>
      <c r="D1696" s="341">
        <v>0</v>
      </c>
      <c r="E1696" s="341">
        <v>0</v>
      </c>
      <c r="F1696" s="341">
        <v>0</v>
      </c>
      <c r="G1696" s="341">
        <v>0</v>
      </c>
      <c r="H1696" s="341">
        <v>0</v>
      </c>
      <c r="I1696" s="341">
        <v>0</v>
      </c>
      <c r="J1696" s="341">
        <v>0</v>
      </c>
      <c r="K1696" s="341">
        <v>0</v>
      </c>
      <c r="L1696" s="341">
        <v>0</v>
      </c>
      <c r="M1696" s="341">
        <v>0</v>
      </c>
      <c r="N1696" s="341">
        <v>0</v>
      </c>
      <c r="O1696" s="341">
        <v>0</v>
      </c>
      <c r="P1696" s="341">
        <v>0</v>
      </c>
      <c r="Q1696" s="341">
        <v>0</v>
      </c>
      <c r="R1696" s="341">
        <v>0</v>
      </c>
      <c r="S1696" s="341">
        <v>0</v>
      </c>
      <c r="T1696" s="341">
        <v>0</v>
      </c>
      <c r="U1696" s="341">
        <v>0</v>
      </c>
      <c r="V1696" s="341">
        <v>0</v>
      </c>
      <c r="W1696" s="341">
        <v>0</v>
      </c>
    </row>
    <row r="1697" spans="1:23" x14ac:dyDescent="0.2">
      <c r="A1697" s="284" t="s">
        <v>195</v>
      </c>
      <c r="B1697" s="303"/>
      <c r="C1697" s="277"/>
      <c r="D1697" s="341">
        <v>0</v>
      </c>
      <c r="E1697" s="341">
        <v>0</v>
      </c>
      <c r="F1697" s="341">
        <v>0</v>
      </c>
      <c r="G1697" s="341">
        <v>0</v>
      </c>
      <c r="H1697" s="341">
        <v>0</v>
      </c>
      <c r="I1697" s="341">
        <v>0</v>
      </c>
      <c r="J1697" s="341">
        <v>0</v>
      </c>
      <c r="K1697" s="341">
        <v>0</v>
      </c>
      <c r="L1697" s="341">
        <v>0</v>
      </c>
      <c r="M1697" s="341">
        <v>0</v>
      </c>
      <c r="N1697" s="341">
        <v>0</v>
      </c>
      <c r="O1697" s="341">
        <v>0</v>
      </c>
      <c r="P1697" s="341">
        <v>0</v>
      </c>
      <c r="Q1697" s="341">
        <v>0</v>
      </c>
      <c r="R1697" s="341">
        <v>0</v>
      </c>
      <c r="S1697" s="341">
        <v>0</v>
      </c>
      <c r="T1697" s="341">
        <v>0</v>
      </c>
      <c r="U1697" s="341">
        <v>0</v>
      </c>
      <c r="V1697" s="341">
        <v>0</v>
      </c>
      <c r="W1697" s="341">
        <v>0</v>
      </c>
    </row>
    <row r="1698" spans="1:23" x14ac:dyDescent="0.2">
      <c r="A1698" s="284" t="s">
        <v>196</v>
      </c>
      <c r="B1698" s="303"/>
      <c r="C1698" s="277"/>
      <c r="D1698" s="341">
        <v>0</v>
      </c>
      <c r="E1698" s="341">
        <v>0</v>
      </c>
      <c r="F1698" s="341">
        <v>0</v>
      </c>
      <c r="G1698" s="341">
        <v>0</v>
      </c>
      <c r="H1698" s="341">
        <v>0</v>
      </c>
      <c r="I1698" s="341">
        <v>0</v>
      </c>
      <c r="J1698" s="341">
        <v>0</v>
      </c>
      <c r="K1698" s="341">
        <v>0</v>
      </c>
      <c r="L1698" s="341">
        <v>0</v>
      </c>
      <c r="M1698" s="341">
        <v>0</v>
      </c>
      <c r="N1698" s="341">
        <v>0</v>
      </c>
      <c r="O1698" s="341">
        <v>0</v>
      </c>
      <c r="P1698" s="341">
        <v>0</v>
      </c>
      <c r="Q1698" s="341">
        <v>0</v>
      </c>
      <c r="R1698" s="341">
        <v>0</v>
      </c>
      <c r="S1698" s="341">
        <v>0</v>
      </c>
      <c r="T1698" s="341">
        <v>0</v>
      </c>
      <c r="U1698" s="341">
        <v>0</v>
      </c>
      <c r="V1698" s="341">
        <v>0</v>
      </c>
      <c r="W1698" s="341">
        <v>0</v>
      </c>
    </row>
    <row r="1699" spans="1:23" x14ac:dyDescent="0.2">
      <c r="A1699" s="284" t="s">
        <v>197</v>
      </c>
      <c r="B1699" s="303"/>
      <c r="C1699" s="277"/>
      <c r="D1699" s="342">
        <v>0</v>
      </c>
      <c r="E1699" s="342">
        <v>0</v>
      </c>
      <c r="F1699" s="342">
        <v>0</v>
      </c>
      <c r="G1699" s="342">
        <v>0</v>
      </c>
      <c r="H1699" s="342">
        <v>0</v>
      </c>
      <c r="I1699" s="342">
        <v>0</v>
      </c>
      <c r="J1699" s="342">
        <v>0</v>
      </c>
      <c r="K1699" s="342">
        <v>0</v>
      </c>
      <c r="L1699" s="342">
        <v>0</v>
      </c>
      <c r="M1699" s="342">
        <v>0</v>
      </c>
      <c r="N1699" s="342">
        <v>0</v>
      </c>
      <c r="O1699" s="342">
        <v>0</v>
      </c>
      <c r="P1699" s="342">
        <v>0</v>
      </c>
      <c r="Q1699" s="342">
        <v>0</v>
      </c>
      <c r="R1699" s="342">
        <v>0</v>
      </c>
      <c r="S1699" s="342">
        <v>0</v>
      </c>
      <c r="T1699" s="342">
        <v>0</v>
      </c>
      <c r="U1699" s="342">
        <v>0</v>
      </c>
      <c r="V1699" s="342">
        <v>0</v>
      </c>
      <c r="W1699" s="342">
        <v>0</v>
      </c>
    </row>
    <row r="1700" spans="1:23" ht="13.5" thickBot="1" x14ac:dyDescent="0.25">
      <c r="A1700" s="284" t="s">
        <v>198</v>
      </c>
      <c r="B1700" s="303"/>
      <c r="C1700" s="277"/>
      <c r="D1700" s="343">
        <v>0</v>
      </c>
      <c r="E1700" s="343">
        <v>0</v>
      </c>
      <c r="F1700" s="343">
        <v>0</v>
      </c>
      <c r="G1700" s="343">
        <v>0</v>
      </c>
      <c r="H1700" s="343">
        <v>0</v>
      </c>
      <c r="I1700" s="343">
        <v>0</v>
      </c>
      <c r="J1700" s="343">
        <v>0</v>
      </c>
      <c r="K1700" s="343">
        <v>0</v>
      </c>
      <c r="L1700" s="343">
        <v>0</v>
      </c>
      <c r="M1700" s="343">
        <v>0</v>
      </c>
      <c r="N1700" s="343">
        <v>0</v>
      </c>
      <c r="O1700" s="343">
        <v>0</v>
      </c>
      <c r="P1700" s="343">
        <v>0</v>
      </c>
      <c r="Q1700" s="343">
        <v>0</v>
      </c>
      <c r="R1700" s="343">
        <v>0</v>
      </c>
      <c r="S1700" s="343">
        <v>0</v>
      </c>
      <c r="T1700" s="343">
        <v>0</v>
      </c>
      <c r="U1700" s="343">
        <v>0</v>
      </c>
      <c r="V1700" s="343">
        <v>0</v>
      </c>
      <c r="W1700" s="343">
        <v>0</v>
      </c>
    </row>
    <row r="1701" spans="1:23" ht="13.5" thickTop="1" x14ac:dyDescent="0.2">
      <c r="A1701" s="284"/>
      <c r="B1701" s="303"/>
      <c r="C1701" s="277"/>
      <c r="D1701" s="341"/>
      <c r="E1701" s="341"/>
      <c r="F1701" s="341"/>
      <c r="G1701" s="341"/>
      <c r="H1701" s="341"/>
      <c r="I1701" s="341"/>
      <c r="J1701" s="341"/>
      <c r="K1701" s="341"/>
      <c r="L1701" s="341"/>
      <c r="M1701" s="341"/>
      <c r="N1701" s="341"/>
      <c r="O1701" s="341"/>
      <c r="P1701" s="341"/>
      <c r="Q1701" s="341"/>
      <c r="R1701" s="341"/>
      <c r="S1701" s="341"/>
      <c r="T1701" s="341"/>
      <c r="U1701" s="341"/>
      <c r="V1701" s="341"/>
      <c r="W1701" s="341"/>
    </row>
    <row r="1702" spans="1:23" x14ac:dyDescent="0.2">
      <c r="A1702" s="284" t="s">
        <v>199</v>
      </c>
      <c r="B1702" s="303"/>
      <c r="C1702" s="277"/>
      <c r="D1702" s="341">
        <v>0</v>
      </c>
      <c r="E1702" s="341">
        <v>0</v>
      </c>
      <c r="F1702" s="341">
        <v>0</v>
      </c>
      <c r="G1702" s="341">
        <v>0</v>
      </c>
      <c r="H1702" s="341">
        <v>0</v>
      </c>
      <c r="I1702" s="341">
        <v>0</v>
      </c>
      <c r="J1702" s="341">
        <v>0</v>
      </c>
      <c r="K1702" s="341">
        <v>0</v>
      </c>
      <c r="L1702" s="341">
        <v>0</v>
      </c>
      <c r="M1702" s="341">
        <v>0</v>
      </c>
      <c r="N1702" s="341">
        <v>0</v>
      </c>
      <c r="O1702" s="341">
        <v>0</v>
      </c>
      <c r="P1702" s="341">
        <v>0</v>
      </c>
      <c r="Q1702" s="341">
        <v>0</v>
      </c>
      <c r="R1702" s="341">
        <v>0</v>
      </c>
      <c r="S1702" s="341">
        <v>0</v>
      </c>
      <c r="T1702" s="341">
        <v>0</v>
      </c>
      <c r="U1702" s="341">
        <v>0</v>
      </c>
      <c r="V1702" s="341">
        <v>0</v>
      </c>
      <c r="W1702" s="341">
        <v>0</v>
      </c>
    </row>
    <row r="1703" spans="1:23" x14ac:dyDescent="0.2">
      <c r="A1703" s="284"/>
      <c r="B1703" s="303"/>
      <c r="C1703" s="277"/>
      <c r="D1703" s="277"/>
      <c r="E1703" s="277"/>
      <c r="F1703" s="277"/>
      <c r="G1703" s="277"/>
      <c r="H1703" s="277"/>
      <c r="I1703" s="277"/>
      <c r="J1703" s="277"/>
      <c r="K1703" s="277"/>
      <c r="L1703" s="277"/>
      <c r="M1703" s="277"/>
      <c r="N1703" s="277"/>
      <c r="O1703" s="277"/>
      <c r="P1703" s="277"/>
      <c r="Q1703" s="277"/>
      <c r="R1703" s="277"/>
      <c r="S1703" s="277"/>
      <c r="T1703" s="277"/>
      <c r="U1703" s="277"/>
      <c r="V1703" s="277"/>
      <c r="W1703" s="277"/>
    </row>
    <row r="1704" spans="1:23" x14ac:dyDescent="0.2">
      <c r="A1704" s="284" t="s">
        <v>200</v>
      </c>
      <c r="B1704" s="303"/>
      <c r="C1704" s="277"/>
      <c r="D1704" s="341">
        <v>0</v>
      </c>
      <c r="E1704" s="341">
        <v>0</v>
      </c>
      <c r="F1704" s="341">
        <v>0</v>
      </c>
      <c r="G1704" s="341">
        <v>0</v>
      </c>
      <c r="H1704" s="341">
        <v>0</v>
      </c>
      <c r="I1704" s="341">
        <v>0</v>
      </c>
      <c r="J1704" s="341">
        <v>0</v>
      </c>
      <c r="K1704" s="341">
        <v>0</v>
      </c>
      <c r="L1704" s="341">
        <v>0</v>
      </c>
      <c r="M1704" s="341">
        <v>0</v>
      </c>
      <c r="N1704" s="341">
        <v>0</v>
      </c>
      <c r="O1704" s="341">
        <v>0</v>
      </c>
      <c r="P1704" s="341">
        <v>0</v>
      </c>
      <c r="Q1704" s="341">
        <v>0</v>
      </c>
      <c r="R1704" s="341">
        <v>0</v>
      </c>
      <c r="S1704" s="341">
        <v>0</v>
      </c>
      <c r="T1704" s="341">
        <v>0</v>
      </c>
      <c r="U1704" s="341">
        <v>0</v>
      </c>
      <c r="V1704" s="341">
        <v>0</v>
      </c>
      <c r="W1704" s="341">
        <v>0</v>
      </c>
    </row>
    <row r="1705" spans="1:23" x14ac:dyDescent="0.2">
      <c r="A1705" s="277"/>
      <c r="B1705" s="303"/>
      <c r="C1705" s="277"/>
      <c r="D1705" s="277"/>
      <c r="E1705" s="277"/>
      <c r="F1705" s="277"/>
      <c r="G1705" s="277"/>
      <c r="H1705" s="277"/>
      <c r="I1705" s="277"/>
      <c r="J1705" s="277"/>
      <c r="K1705" s="277"/>
      <c r="L1705" s="277"/>
      <c r="M1705" s="277"/>
      <c r="N1705" s="277"/>
      <c r="O1705" s="277"/>
      <c r="P1705" s="277"/>
      <c r="Q1705" s="277"/>
      <c r="R1705" s="277"/>
      <c r="S1705" s="277"/>
      <c r="T1705" s="277"/>
      <c r="U1705" s="277"/>
      <c r="V1705" s="277"/>
      <c r="W1705" s="277"/>
    </row>
    <row r="1706" spans="1:23" x14ac:dyDescent="0.2">
      <c r="A1706" s="277"/>
      <c r="B1706" s="303"/>
      <c r="C1706" s="277"/>
      <c r="D1706" s="277"/>
      <c r="E1706" s="277"/>
      <c r="F1706" s="277"/>
      <c r="G1706" s="277"/>
      <c r="H1706" s="277"/>
      <c r="I1706" s="277"/>
      <c r="J1706" s="277"/>
      <c r="K1706" s="277"/>
      <c r="L1706" s="277"/>
      <c r="M1706" s="277"/>
      <c r="N1706" s="277"/>
      <c r="O1706" s="277"/>
      <c r="P1706" s="277"/>
      <c r="Q1706" s="277"/>
      <c r="R1706" s="277"/>
      <c r="S1706" s="277"/>
      <c r="T1706" s="277"/>
      <c r="U1706" s="277"/>
      <c r="V1706" s="277"/>
      <c r="W1706" s="277"/>
    </row>
    <row r="1707" spans="1:23" x14ac:dyDescent="0.2">
      <c r="A1707" s="284" t="s">
        <v>202</v>
      </c>
      <c r="B1707" s="279"/>
      <c r="C1707" s="278"/>
      <c r="D1707" s="435">
        <v>1892070.8137441922</v>
      </c>
      <c r="E1707" s="435">
        <v>1322894.6285432123</v>
      </c>
      <c r="F1707" s="435">
        <v>1058292.5803175976</v>
      </c>
      <c r="G1707" s="435">
        <v>854778.87788704352</v>
      </c>
      <c r="H1707" s="435">
        <v>737561.39983937331</v>
      </c>
      <c r="I1707" s="435">
        <v>529191.66268547531</v>
      </c>
      <c r="J1707" s="435">
        <v>599640.69415139325</v>
      </c>
      <c r="K1707" s="435">
        <v>953623.67300973297</v>
      </c>
      <c r="L1707" s="435">
        <v>960636.94479147228</v>
      </c>
      <c r="M1707" s="435">
        <v>1083390.0480212627</v>
      </c>
      <c r="N1707" s="435">
        <v>730006.51819717372</v>
      </c>
      <c r="O1707" s="435">
        <v>906556.87408039614</v>
      </c>
      <c r="P1707" s="435">
        <v>865991.78873274312</v>
      </c>
      <c r="Q1707" s="435">
        <v>1085266.2592207203</v>
      </c>
      <c r="R1707" s="435">
        <v>819884.54834268801</v>
      </c>
      <c r="S1707" s="435">
        <v>582591.30294208706</v>
      </c>
      <c r="T1707" s="435">
        <v>711967.02065628348</v>
      </c>
      <c r="U1707" s="435">
        <v>925675.02062349895</v>
      </c>
      <c r="V1707" s="435">
        <v>705592.13806652278</v>
      </c>
      <c r="W1707" s="435">
        <v>5171833.9096228713</v>
      </c>
    </row>
    <row r="1708" spans="1:23" x14ac:dyDescent="0.2">
      <c r="A1708" s="9"/>
      <c r="B1708" s="6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</row>
    <row r="1709" spans="1:23" x14ac:dyDescent="0.2">
      <c r="A1709" s="292"/>
      <c r="B1709" s="360"/>
      <c r="C1709" s="370"/>
      <c r="D1709" s="347"/>
      <c r="E1709" s="347"/>
      <c r="F1709" s="347"/>
      <c r="G1709" s="347"/>
      <c r="H1709" s="347"/>
      <c r="I1709" s="347"/>
      <c r="J1709" s="347"/>
      <c r="K1709" s="347"/>
      <c r="L1709" s="347"/>
      <c r="M1709" s="347"/>
      <c r="N1709" s="347"/>
      <c r="O1709" s="347"/>
      <c r="P1709" s="347"/>
      <c r="Q1709" s="347"/>
      <c r="R1709" s="347"/>
      <c r="S1709" s="347"/>
      <c r="T1709" s="347"/>
      <c r="U1709" s="347"/>
      <c r="V1709" s="347"/>
      <c r="W1709" s="347"/>
    </row>
    <row r="1710" spans="1:23" x14ac:dyDescent="0.2">
      <c r="A1710" s="292"/>
      <c r="B1710" s="360"/>
      <c r="C1710" s="370"/>
      <c r="D1710" s="68"/>
      <c r="E1710" s="68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68"/>
      <c r="T1710" s="68"/>
      <c r="U1710" s="68"/>
      <c r="V1710" s="68"/>
      <c r="W1710" s="68"/>
    </row>
    <row r="1711" spans="1:23" x14ac:dyDescent="0.2">
      <c r="A1711" s="292"/>
      <c r="B1711" s="360"/>
      <c r="C1711" s="370"/>
      <c r="D1711" s="68"/>
      <c r="E1711" s="68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68"/>
      <c r="T1711" s="68"/>
      <c r="U1711" s="68"/>
      <c r="V1711" s="68"/>
      <c r="W1711" s="68"/>
    </row>
    <row r="1712" spans="1:23" x14ac:dyDescent="0.2">
      <c r="A1712" s="292"/>
      <c r="B1712" s="360"/>
      <c r="C1712" s="370"/>
      <c r="D1712" s="68"/>
      <c r="E1712" s="68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68"/>
      <c r="T1712" s="68"/>
      <c r="U1712" s="68"/>
      <c r="V1712" s="68"/>
      <c r="W1712" s="68"/>
    </row>
    <row r="1713" spans="1:23" x14ac:dyDescent="0.2">
      <c r="A1713" s="292"/>
      <c r="B1713" s="360"/>
      <c r="C1713" s="370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</row>
    <row r="1714" spans="1:23" x14ac:dyDescent="0.2">
      <c r="A1714" s="292"/>
      <c r="B1714" s="360"/>
      <c r="C1714" s="370"/>
      <c r="D1714" s="68"/>
      <c r="E1714" s="68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68"/>
      <c r="T1714" s="68"/>
      <c r="U1714" s="68"/>
      <c r="V1714" s="68"/>
      <c r="W1714" s="68"/>
    </row>
    <row r="1715" spans="1:23" x14ac:dyDescent="0.2">
      <c r="A1715" s="292"/>
      <c r="B1715" s="360"/>
      <c r="C1715" s="370"/>
      <c r="D1715" s="68"/>
      <c r="E1715" s="68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68"/>
      <c r="T1715" s="68"/>
      <c r="U1715" s="68"/>
      <c r="V1715" s="68"/>
      <c r="W1715" s="68"/>
    </row>
    <row r="1716" spans="1:23" ht="15.75" x14ac:dyDescent="0.25">
      <c r="A1716" s="302" t="s">
        <v>29</v>
      </c>
      <c r="B1716" s="305" t="s">
        <v>79</v>
      </c>
      <c r="C1716" s="306">
        <v>2000</v>
      </c>
      <c r="D1716" s="306">
        <v>2001</v>
      </c>
      <c r="E1716" s="306">
        <v>2002</v>
      </c>
      <c r="F1716" s="306">
        <v>2003</v>
      </c>
      <c r="G1716" s="306">
        <v>2004</v>
      </c>
      <c r="H1716" s="306">
        <v>2005</v>
      </c>
      <c r="I1716" s="306">
        <v>2006</v>
      </c>
      <c r="J1716" s="306">
        <v>2007</v>
      </c>
      <c r="K1716" s="306">
        <v>2008</v>
      </c>
      <c r="L1716" s="306">
        <v>2009</v>
      </c>
      <c r="M1716" s="306">
        <v>2010</v>
      </c>
      <c r="N1716" s="306">
        <v>2011</v>
      </c>
      <c r="O1716" s="306">
        <v>2012</v>
      </c>
      <c r="P1716" s="306">
        <v>2013</v>
      </c>
      <c r="Q1716" s="306">
        <v>2014</v>
      </c>
      <c r="R1716" s="306">
        <v>2015</v>
      </c>
      <c r="S1716" s="306">
        <v>2016</v>
      </c>
      <c r="T1716" s="306">
        <v>2017</v>
      </c>
      <c r="U1716" s="306">
        <v>2018</v>
      </c>
      <c r="V1716" s="306">
        <v>2019</v>
      </c>
      <c r="W1716" s="306" t="s">
        <v>154</v>
      </c>
    </row>
    <row r="1717" spans="1:23" x14ac:dyDescent="0.2">
      <c r="A1717" s="302" t="s">
        <v>26</v>
      </c>
      <c r="B1717" s="303">
        <v>51.225000000000001</v>
      </c>
      <c r="C1717" s="308"/>
      <c r="D1717" s="308"/>
      <c r="E1717" s="308"/>
      <c r="F1717" s="308"/>
      <c r="G1717" s="308"/>
      <c r="H1717" s="308"/>
      <c r="I1717" s="308"/>
      <c r="J1717" s="308"/>
      <c r="K1717" s="308"/>
      <c r="L1717" s="308"/>
      <c r="M1717" s="308"/>
      <c r="N1717" s="308"/>
      <c r="O1717" s="308"/>
      <c r="P1717" s="308"/>
      <c r="Q1717" s="308"/>
      <c r="R1717" s="308"/>
      <c r="S1717" s="308"/>
      <c r="T1717" s="308"/>
      <c r="U1717" s="308"/>
      <c r="V1717" s="308"/>
      <c r="W1717" s="308"/>
    </row>
    <row r="1718" spans="1:23" x14ac:dyDescent="0.2">
      <c r="A1718" s="9"/>
      <c r="B1718" s="309" t="s">
        <v>27</v>
      </c>
      <c r="C1718" s="443">
        <v>0</v>
      </c>
      <c r="D1718" s="404">
        <v>4173272.135473615</v>
      </c>
      <c r="E1718" s="404">
        <v>3336543.8193901638</v>
      </c>
      <c r="F1718" s="404">
        <v>2771530.811703233</v>
      </c>
      <c r="G1718" s="404">
        <v>2486417.3009925336</v>
      </c>
      <c r="H1718" s="404">
        <v>2957557.5101935477</v>
      </c>
      <c r="I1718" s="404">
        <v>2731177.540879806</v>
      </c>
      <c r="J1718" s="404">
        <v>2671668.7777746529</v>
      </c>
      <c r="K1718" s="404">
        <v>4099251.7252914133</v>
      </c>
      <c r="L1718" s="404">
        <v>4150887.3304538289</v>
      </c>
      <c r="M1718" s="404">
        <v>4383220.7144428911</v>
      </c>
      <c r="N1718" s="404">
        <v>3427575.6979343127</v>
      </c>
      <c r="O1718" s="404">
        <v>4360652.2988399481</v>
      </c>
      <c r="P1718" s="404">
        <v>3733289.0387665611</v>
      </c>
      <c r="Q1718" s="404">
        <v>4762503.0610550325</v>
      </c>
      <c r="R1718" s="404">
        <v>4233544.4419203447</v>
      </c>
      <c r="S1718" s="404">
        <v>3344910.620600868</v>
      </c>
      <c r="T1718" s="404">
        <v>3656345.5456330781</v>
      </c>
      <c r="U1718" s="404">
        <v>4710739.3380201031</v>
      </c>
      <c r="V1718" s="404">
        <v>5317042.1057829261</v>
      </c>
      <c r="W1718" s="327"/>
    </row>
    <row r="1719" spans="1:23" x14ac:dyDescent="0.2">
      <c r="A1719" s="9"/>
      <c r="B1719" s="309" t="s">
        <v>20</v>
      </c>
      <c r="C1719" s="443">
        <v>0</v>
      </c>
      <c r="D1719" s="404">
        <v>-1014828.7504076151</v>
      </c>
      <c r="E1719" s="404">
        <v>-1103189.6758056004</v>
      </c>
      <c r="F1719" s="404">
        <v>-960682.64683507406</v>
      </c>
      <c r="G1719" s="404">
        <v>-991659.70651136339</v>
      </c>
      <c r="H1719" s="404">
        <v>-1464368.7005883786</v>
      </c>
      <c r="I1719" s="404">
        <v>-1528562.5950665644</v>
      </c>
      <c r="J1719" s="404">
        <v>-1355653.2737954785</v>
      </c>
      <c r="K1719" s="404">
        <v>-2113963.2795831379</v>
      </c>
      <c r="L1719" s="404">
        <v>-2144949.2489353046</v>
      </c>
      <c r="M1719" s="404">
        <v>-2164648.4351855358</v>
      </c>
      <c r="N1719" s="404">
        <v>-1807332.6418929831</v>
      </c>
      <c r="O1719" s="404">
        <v>-2369988.2656391095</v>
      </c>
      <c r="P1719" s="404">
        <v>-1849371.4806239253</v>
      </c>
      <c r="Q1719" s="404">
        <v>-2401822.1982134199</v>
      </c>
      <c r="R1719" s="404">
        <v>-2286059.3056309149</v>
      </c>
      <c r="S1719" s="404">
        <v>-1829657.9906264753</v>
      </c>
      <c r="T1719" s="404">
        <v>-1917552.4195994532</v>
      </c>
      <c r="U1719" s="404">
        <v>-2579940.6358794854</v>
      </c>
      <c r="V1719" s="404">
        <v>-3469740.2191837477</v>
      </c>
      <c r="W1719" s="327"/>
    </row>
    <row r="1720" spans="1:23" x14ac:dyDescent="0.2">
      <c r="A1720" s="9"/>
      <c r="B1720" s="309" t="s">
        <v>31</v>
      </c>
      <c r="C1720" s="443">
        <v>0</v>
      </c>
      <c r="D1720" s="404">
        <v>-32661.709008007445</v>
      </c>
      <c r="E1720" s="404">
        <v>-40135.677572451532</v>
      </c>
      <c r="F1720" s="404">
        <v>-36577.732705488335</v>
      </c>
      <c r="G1720" s="404">
        <v>-37291.019230674334</v>
      </c>
      <c r="H1720" s="404">
        <v>-55519.947524179413</v>
      </c>
      <c r="I1720" s="404">
        <v>-60077.836040779497</v>
      </c>
      <c r="J1720" s="404">
        <v>-54305.224355537204</v>
      </c>
      <c r="K1720" s="404">
        <v>-92448.621863654014</v>
      </c>
      <c r="L1720" s="404">
        <v>-93901.676510381483</v>
      </c>
      <c r="M1720" s="404">
        <v>-92184.275781709279</v>
      </c>
      <c r="N1720" s="404">
        <v>-77753.02173522755</v>
      </c>
      <c r="O1720" s="404">
        <v>-103672.41806919631</v>
      </c>
      <c r="P1720" s="404">
        <v>-79173.005483192144</v>
      </c>
      <c r="Q1720" s="404">
        <v>-103660.33471006992</v>
      </c>
      <c r="R1720" s="404">
        <v>-92744.77415854072</v>
      </c>
      <c r="S1720" s="404">
        <v>-72717.023898329324</v>
      </c>
      <c r="T1720" s="404">
        <v>-75426.80569574752</v>
      </c>
      <c r="U1720" s="404">
        <v>-97037.32962618921</v>
      </c>
      <c r="V1720" s="404">
        <v>-129811.47328511369</v>
      </c>
      <c r="W1720" s="327"/>
    </row>
    <row r="1721" spans="1:23" x14ac:dyDescent="0.2">
      <c r="A1721" s="9"/>
      <c r="B1721" s="309" t="s">
        <v>32</v>
      </c>
      <c r="C1721" s="443">
        <v>0</v>
      </c>
      <c r="D1721" s="404">
        <v>0</v>
      </c>
      <c r="E1721" s="404">
        <v>0</v>
      </c>
      <c r="F1721" s="404">
        <v>0</v>
      </c>
      <c r="G1721" s="404">
        <v>0</v>
      </c>
      <c r="H1721" s="404">
        <v>0</v>
      </c>
      <c r="I1721" s="404">
        <v>-21176.66010559116</v>
      </c>
      <c r="J1721" s="404">
        <v>-20791.176711573826</v>
      </c>
      <c r="K1721" s="404">
        <v>-39807.118214209113</v>
      </c>
      <c r="L1721" s="404">
        <v>-41915.070394003727</v>
      </c>
      <c r="M1721" s="404">
        <v>-44865.437817208614</v>
      </c>
      <c r="N1721" s="404">
        <v>-40876.087906718771</v>
      </c>
      <c r="O1721" s="404">
        <v>-59183.915727549131</v>
      </c>
      <c r="P1721" s="404">
        <v>-49630.067064999646</v>
      </c>
      <c r="Q1721" s="404">
        <v>-70963.990362827637</v>
      </c>
      <c r="R1721" s="404">
        <v>-68907.715495013719</v>
      </c>
      <c r="S1721" s="404">
        <v>-58073.264535054957</v>
      </c>
      <c r="T1721" s="404">
        <v>-58137.824943472377</v>
      </c>
      <c r="U1721" s="404">
        <v>-62643.314655277485</v>
      </c>
      <c r="V1721" s="404">
        <v>-85243.084360858964</v>
      </c>
      <c r="W1721" s="327"/>
    </row>
    <row r="1722" spans="1:23" ht="13.5" thickBot="1" x14ac:dyDescent="0.25">
      <c r="A1722" s="9"/>
      <c r="B1722" s="310" t="s">
        <v>33</v>
      </c>
      <c r="C1722" s="444">
        <v>0</v>
      </c>
      <c r="D1722" s="406">
        <v>0</v>
      </c>
      <c r="E1722" s="406">
        <v>0</v>
      </c>
      <c r="F1722" s="406">
        <v>0</v>
      </c>
      <c r="G1722" s="406">
        <v>0</v>
      </c>
      <c r="H1722" s="406">
        <v>0</v>
      </c>
      <c r="I1722" s="406">
        <v>-21176.66010559116</v>
      </c>
      <c r="J1722" s="406">
        <v>-20791.176711573826</v>
      </c>
      <c r="K1722" s="406">
        <v>-39807.118214209113</v>
      </c>
      <c r="L1722" s="406">
        <v>-41915.070394003727</v>
      </c>
      <c r="M1722" s="406">
        <v>-44865.437817208614</v>
      </c>
      <c r="N1722" s="406">
        <v>-40876.087906718771</v>
      </c>
      <c r="O1722" s="406">
        <v>-59183.915727549131</v>
      </c>
      <c r="P1722" s="406">
        <v>-49630.067064999646</v>
      </c>
      <c r="Q1722" s="406">
        <v>-70963.990362827637</v>
      </c>
      <c r="R1722" s="406">
        <v>-68907.715495013719</v>
      </c>
      <c r="S1722" s="406">
        <v>-58073.264535054957</v>
      </c>
      <c r="T1722" s="406">
        <v>-58137.824943472377</v>
      </c>
      <c r="U1722" s="406">
        <v>-62643.314655277485</v>
      </c>
      <c r="V1722" s="406">
        <v>-85243.084360858964</v>
      </c>
      <c r="W1722" s="327"/>
    </row>
    <row r="1723" spans="1:23" ht="13.5" thickTop="1" x14ac:dyDescent="0.2">
      <c r="A1723" s="9"/>
      <c r="B1723" s="311" t="s">
        <v>38</v>
      </c>
      <c r="C1723" s="445">
        <v>0</v>
      </c>
      <c r="D1723" s="408">
        <v>3125781.6760579925</v>
      </c>
      <c r="E1723" s="408">
        <v>2193218.4660121119</v>
      </c>
      <c r="F1723" s="408">
        <v>1774270.4321626707</v>
      </c>
      <c r="G1723" s="408">
        <v>1457466.5752504959</v>
      </c>
      <c r="H1723" s="408">
        <v>1437668.8620809896</v>
      </c>
      <c r="I1723" s="408">
        <v>1100183.7895612798</v>
      </c>
      <c r="J1723" s="408">
        <v>1220127.9262004897</v>
      </c>
      <c r="K1723" s="408">
        <v>1813225.587416203</v>
      </c>
      <c r="L1723" s="408">
        <v>1828206.2642201353</v>
      </c>
      <c r="M1723" s="408">
        <v>2036657.1278412286</v>
      </c>
      <c r="N1723" s="408">
        <v>1460737.8584926645</v>
      </c>
      <c r="O1723" s="408">
        <v>1768623.7836765437</v>
      </c>
      <c r="P1723" s="408">
        <v>1705484.4185294444</v>
      </c>
      <c r="Q1723" s="408">
        <v>2115092.5474058874</v>
      </c>
      <c r="R1723" s="408">
        <v>1716924.9311408619</v>
      </c>
      <c r="S1723" s="408">
        <v>1326389.0770059533</v>
      </c>
      <c r="T1723" s="408">
        <v>1547090.6704509326</v>
      </c>
      <c r="U1723" s="408">
        <v>1908474.7432038735</v>
      </c>
      <c r="V1723" s="408">
        <v>1547004.2445923469</v>
      </c>
      <c r="W1723" s="327"/>
    </row>
    <row r="1724" spans="1:23" x14ac:dyDescent="0.2">
      <c r="A1724" s="9"/>
      <c r="B1724" s="309" t="s">
        <v>34</v>
      </c>
      <c r="C1724" s="443">
        <v>0</v>
      </c>
      <c r="D1724" s="404">
        <v>-91566.271378944657</v>
      </c>
      <c r="E1724" s="404">
        <v>-93397.59680652355</v>
      </c>
      <c r="F1724" s="404">
        <v>-95265.54874265402</v>
      </c>
      <c r="G1724" s="404">
        <v>-97170.859717507105</v>
      </c>
      <c r="H1724" s="404">
        <v>-99114.276911857247</v>
      </c>
      <c r="I1724" s="404">
        <v>-101096.5624500944</v>
      </c>
      <c r="J1724" s="404">
        <v>-103118.49369909629</v>
      </c>
      <c r="K1724" s="404">
        <v>-105180.86357307821</v>
      </c>
      <c r="L1724" s="404">
        <v>-107284.48084453978</v>
      </c>
      <c r="M1724" s="404">
        <v>-109430.17046143058</v>
      </c>
      <c r="N1724" s="404">
        <v>-111618.77387065919</v>
      </c>
      <c r="O1724" s="404">
        <v>-113851.14934807237</v>
      </c>
      <c r="P1724" s="404">
        <v>-116128.17233503383</v>
      </c>
      <c r="Q1724" s="404">
        <v>-118450.7357817345</v>
      </c>
      <c r="R1724" s="404">
        <v>-120819.7504973692</v>
      </c>
      <c r="S1724" s="404">
        <v>-123236.14550731659</v>
      </c>
      <c r="T1724" s="404">
        <v>-125700.86841746292</v>
      </c>
      <c r="U1724" s="404">
        <v>-128214.88578581218</v>
      </c>
      <c r="V1724" s="404">
        <v>-130779.18350152842</v>
      </c>
      <c r="W1724" s="327"/>
    </row>
    <row r="1725" spans="1:23" x14ac:dyDescent="0.2">
      <c r="A1725" s="9"/>
      <c r="B1725" s="309" t="s">
        <v>35</v>
      </c>
      <c r="C1725" s="443">
        <v>0</v>
      </c>
      <c r="D1725" s="404">
        <v>-45161.410471875002</v>
      </c>
      <c r="E1725" s="404">
        <v>-45161.410471875002</v>
      </c>
      <c r="F1725" s="404">
        <v>-45161.410471875002</v>
      </c>
      <c r="G1725" s="404">
        <v>-45161.410471875002</v>
      </c>
      <c r="H1725" s="404">
        <v>-45161.410471875002</v>
      </c>
      <c r="I1725" s="404">
        <v>-45161.410471875002</v>
      </c>
      <c r="J1725" s="404">
        <v>-45161.410471875002</v>
      </c>
      <c r="K1725" s="404">
        <v>-45161.410471875002</v>
      </c>
      <c r="L1725" s="404">
        <v>-45161.410471875002</v>
      </c>
      <c r="M1725" s="404">
        <v>-45161.410471875002</v>
      </c>
      <c r="N1725" s="404">
        <v>-45161.410471875002</v>
      </c>
      <c r="O1725" s="404">
        <v>-45161.410471875002</v>
      </c>
      <c r="P1725" s="404">
        <v>-45161.410471875002</v>
      </c>
      <c r="Q1725" s="404">
        <v>-45161.410471875002</v>
      </c>
      <c r="R1725" s="404">
        <v>-45161.410471875002</v>
      </c>
      <c r="S1725" s="404">
        <v>-45161.410471875002</v>
      </c>
      <c r="T1725" s="404">
        <v>-45161.410471875002</v>
      </c>
      <c r="U1725" s="404">
        <v>-45161.410471875002</v>
      </c>
      <c r="V1725" s="404">
        <v>-45161.410471875002</v>
      </c>
      <c r="W1725" s="327"/>
    </row>
    <row r="1726" spans="1:23" ht="13.5" thickBot="1" x14ac:dyDescent="0.25">
      <c r="A1726" s="9"/>
      <c r="B1726" s="310" t="s">
        <v>36</v>
      </c>
      <c r="C1726" s="444">
        <v>0</v>
      </c>
      <c r="D1726" s="406">
        <v>-4145.6628847028896</v>
      </c>
      <c r="E1726" s="406">
        <v>-4233.13637157014</v>
      </c>
      <c r="F1726" s="406">
        <v>-4325.8420581075297</v>
      </c>
      <c r="G1726" s="406">
        <v>-4423.6060886207297</v>
      </c>
      <c r="H1726" s="406">
        <v>-4528.8879135299103</v>
      </c>
      <c r="I1726" s="406">
        <v>-4642.38229994021</v>
      </c>
      <c r="J1726" s="406">
        <v>-4757.52631405997</v>
      </c>
      <c r="K1726" s="406">
        <v>-4877.9491368499903</v>
      </c>
      <c r="L1726" s="406">
        <v>-4998.4344805301898</v>
      </c>
      <c r="M1726" s="406">
        <v>-5125.8945597837001</v>
      </c>
      <c r="N1726" s="406">
        <v>-5249.9412081304899</v>
      </c>
      <c r="O1726" s="406">
        <v>-5382.2397265753598</v>
      </c>
      <c r="P1726" s="406">
        <v>-5518.9486156303601</v>
      </c>
      <c r="Q1726" s="406">
        <v>-5656.92233102112</v>
      </c>
      <c r="R1726" s="406">
        <v>-5798.9110815297499</v>
      </c>
      <c r="S1726" s="406">
        <v>-5943.8838585679996</v>
      </c>
      <c r="T1726" s="406">
        <v>-6091.2921782604799</v>
      </c>
      <c r="U1726" s="406">
        <v>-6244.18361193483</v>
      </c>
      <c r="V1726" s="406">
        <v>-6400.9126205943903</v>
      </c>
      <c r="W1726" s="327"/>
    </row>
    <row r="1727" spans="1:23" ht="13.5" thickTop="1" x14ac:dyDescent="0.2">
      <c r="A1727" s="9"/>
      <c r="B1727" s="311" t="s">
        <v>220</v>
      </c>
      <c r="C1727" s="446">
        <v>0</v>
      </c>
      <c r="D1727" s="410">
        <v>2984908.3313224697</v>
      </c>
      <c r="E1727" s="410">
        <v>2050426.3223621433</v>
      </c>
      <c r="F1727" s="410">
        <v>1629517.6308900341</v>
      </c>
      <c r="G1727" s="410">
        <v>1310710.6989724929</v>
      </c>
      <c r="H1727" s="410">
        <v>1288864.2867837274</v>
      </c>
      <c r="I1727" s="410">
        <v>949283.43433937023</v>
      </c>
      <c r="J1727" s="410">
        <v>1067090.4957154584</v>
      </c>
      <c r="K1727" s="410">
        <v>1658005.3642343997</v>
      </c>
      <c r="L1727" s="410">
        <v>1670761.9384231903</v>
      </c>
      <c r="M1727" s="410">
        <v>1876939.6523481393</v>
      </c>
      <c r="N1727" s="410">
        <v>1298707.7329419998</v>
      </c>
      <c r="O1727" s="410">
        <v>1604228.984130021</v>
      </c>
      <c r="P1727" s="410">
        <v>1538675.8871069052</v>
      </c>
      <c r="Q1727" s="410">
        <v>1945823.4788212567</v>
      </c>
      <c r="R1727" s="410">
        <v>1545144.8590900882</v>
      </c>
      <c r="S1727" s="410">
        <v>1152047.6371681937</v>
      </c>
      <c r="T1727" s="410">
        <v>1370137.0993833342</v>
      </c>
      <c r="U1727" s="410">
        <v>1728854.2633342515</v>
      </c>
      <c r="V1727" s="410">
        <v>1364662.7379983491</v>
      </c>
      <c r="W1727" s="327"/>
    </row>
    <row r="1728" spans="1:23" x14ac:dyDescent="0.2">
      <c r="A1728" s="9"/>
      <c r="B1728" s="309" t="s">
        <v>37</v>
      </c>
      <c r="C1728" s="443">
        <v>0</v>
      </c>
      <c r="D1728" s="404">
        <v>-256373.48737677658</v>
      </c>
      <c r="E1728" s="404">
        <v>-235299.63781481623</v>
      </c>
      <c r="F1728" s="404">
        <v>-205307.07945894302</v>
      </c>
      <c r="G1728" s="404">
        <v>-174904.47125886939</v>
      </c>
      <c r="H1728" s="404">
        <v>-160607.06942284212</v>
      </c>
      <c r="I1728" s="404">
        <v>-156554.00520463297</v>
      </c>
      <c r="J1728" s="404">
        <v>-163690.99180529558</v>
      </c>
      <c r="K1728" s="404">
        <v>-170232.88617273298</v>
      </c>
      <c r="L1728" s="404">
        <v>-176826.65684389556</v>
      </c>
      <c r="M1728" s="404">
        <v>-182884.16010594799</v>
      </c>
      <c r="N1728" s="404">
        <v>-175467.77021218458</v>
      </c>
      <c r="O1728" s="404">
        <v>-167517.17536217629</v>
      </c>
      <c r="P1728" s="404">
        <v>-173658.16151840443</v>
      </c>
      <c r="Q1728" s="404">
        <v>-120623.72577722732</v>
      </c>
      <c r="R1728" s="404">
        <v>-67973.177057618159</v>
      </c>
      <c r="S1728" s="404">
        <v>-74465.269284038688</v>
      </c>
      <c r="T1728" s="404">
        <v>-81152.124277251874</v>
      </c>
      <c r="U1728" s="404">
        <v>-88039.584920261419</v>
      </c>
      <c r="V1728" s="404">
        <v>-95133.669382561275</v>
      </c>
      <c r="W1728" s="327"/>
    </row>
    <row r="1729" spans="1:23" ht="13.5" thickBot="1" x14ac:dyDescent="0.25">
      <c r="A1729" s="9"/>
      <c r="B1729" s="310" t="s">
        <v>221</v>
      </c>
      <c r="C1729" s="444">
        <v>0</v>
      </c>
      <c r="D1729" s="406">
        <v>-1091413.9375782774</v>
      </c>
      <c r="E1729" s="406">
        <v>-726050.67381893087</v>
      </c>
      <c r="F1729" s="406">
        <v>-569684.22057243646</v>
      </c>
      <c r="G1729" s="406">
        <v>-454322.49108544947</v>
      </c>
      <c r="H1729" s="406">
        <v>-451302.88694435416</v>
      </c>
      <c r="I1729" s="406">
        <v>-317091.77165389492</v>
      </c>
      <c r="J1729" s="406">
        <v>-361359.80156406516</v>
      </c>
      <c r="K1729" s="406">
        <v>-595108.99122466671</v>
      </c>
      <c r="L1729" s="406">
        <v>-597574.11263171793</v>
      </c>
      <c r="M1729" s="406">
        <v>-677622.19689687667</v>
      </c>
      <c r="N1729" s="406">
        <v>-449295.98509192606</v>
      </c>
      <c r="O1729" s="406">
        <v>-574684.72350713785</v>
      </c>
      <c r="P1729" s="406">
        <v>-546007.09023540036</v>
      </c>
      <c r="Q1729" s="406">
        <v>-730079.90121761174</v>
      </c>
      <c r="R1729" s="406">
        <v>-590868.67281298805</v>
      </c>
      <c r="S1729" s="406">
        <v>-431032.94715366198</v>
      </c>
      <c r="T1729" s="406">
        <v>-515593.99004243297</v>
      </c>
      <c r="U1729" s="406">
        <v>-656325.87136559607</v>
      </c>
      <c r="V1729" s="406">
        <v>-507811.62744631519</v>
      </c>
      <c r="W1729" s="327"/>
    </row>
    <row r="1730" spans="1:23" ht="13.5" thickTop="1" x14ac:dyDescent="0.2">
      <c r="A1730" s="9"/>
      <c r="B1730" s="311" t="s">
        <v>183</v>
      </c>
      <c r="C1730" s="446">
        <v>0</v>
      </c>
      <c r="D1730" s="410">
        <v>1637120.9063674158</v>
      </c>
      <c r="E1730" s="410">
        <v>1089076.010728396</v>
      </c>
      <c r="F1730" s="410">
        <v>854526.33085865458</v>
      </c>
      <c r="G1730" s="410">
        <v>681483.73662817408</v>
      </c>
      <c r="H1730" s="410">
        <v>676954.33041653119</v>
      </c>
      <c r="I1730" s="410">
        <v>475637.65748084232</v>
      </c>
      <c r="J1730" s="410">
        <v>542039.70234609768</v>
      </c>
      <c r="K1730" s="410">
        <v>892663.486837</v>
      </c>
      <c r="L1730" s="410">
        <v>896361.16894757678</v>
      </c>
      <c r="M1730" s="410">
        <v>1016433.2953453148</v>
      </c>
      <c r="N1730" s="410">
        <v>673943.9776378891</v>
      </c>
      <c r="O1730" s="410">
        <v>862027.08526070684</v>
      </c>
      <c r="P1730" s="410">
        <v>819010.63535310037</v>
      </c>
      <c r="Q1730" s="410">
        <v>1095119.8518264175</v>
      </c>
      <c r="R1730" s="410">
        <v>886303.00921948208</v>
      </c>
      <c r="S1730" s="410">
        <v>646549.42073049292</v>
      </c>
      <c r="T1730" s="410">
        <v>773390.98506364948</v>
      </c>
      <c r="U1730" s="410">
        <v>984488.80704839388</v>
      </c>
      <c r="V1730" s="410">
        <v>761717.44116947264</v>
      </c>
      <c r="W1730" s="327"/>
    </row>
    <row r="1731" spans="1:23" x14ac:dyDescent="0.2">
      <c r="A1731" s="9"/>
      <c r="B1731" s="309" t="s">
        <v>37</v>
      </c>
      <c r="C1731" s="443">
        <v>0</v>
      </c>
      <c r="D1731" s="404">
        <v>256373.48737677658</v>
      </c>
      <c r="E1731" s="404">
        <v>235299.63781481623</v>
      </c>
      <c r="F1731" s="404">
        <v>205307.07945894302</v>
      </c>
      <c r="G1731" s="404">
        <v>174904.47125886939</v>
      </c>
      <c r="H1731" s="404">
        <v>160607.06942284212</v>
      </c>
      <c r="I1731" s="404">
        <v>156554.00520463297</v>
      </c>
      <c r="J1731" s="404">
        <v>163690.99180529558</v>
      </c>
      <c r="K1731" s="404">
        <v>170232.88617273298</v>
      </c>
      <c r="L1731" s="404">
        <v>176826.65684389556</v>
      </c>
      <c r="M1731" s="404">
        <v>182884.16010594799</v>
      </c>
      <c r="N1731" s="404">
        <v>175467.77021218458</v>
      </c>
      <c r="O1731" s="404">
        <v>167517.17536217629</v>
      </c>
      <c r="P1731" s="404">
        <v>173658.16151840443</v>
      </c>
      <c r="Q1731" s="404">
        <v>120623.72577722732</v>
      </c>
      <c r="R1731" s="404">
        <v>67973.177057618159</v>
      </c>
      <c r="S1731" s="404">
        <v>74465.269284038688</v>
      </c>
      <c r="T1731" s="404">
        <v>81152.124277251874</v>
      </c>
      <c r="U1731" s="404">
        <v>88039.584920261419</v>
      </c>
      <c r="V1731" s="404">
        <v>95133.669382561275</v>
      </c>
      <c r="W1731" s="327"/>
    </row>
    <row r="1732" spans="1:23" x14ac:dyDescent="0.2">
      <c r="A1732" s="9"/>
      <c r="B1732" s="309" t="s">
        <v>39</v>
      </c>
      <c r="C1732" s="443">
        <v>0</v>
      </c>
      <c r="D1732" s="404">
        <v>-1423.58</v>
      </c>
      <c r="E1732" s="404">
        <v>-1481.02</v>
      </c>
      <c r="F1732" s="404">
        <v>-1540.83</v>
      </c>
      <c r="G1732" s="404">
        <v>-1609.33</v>
      </c>
      <c r="H1732" s="404">
        <v>-100000</v>
      </c>
      <c r="I1732" s="404">
        <v>-103000</v>
      </c>
      <c r="J1732" s="404">
        <v>-106090</v>
      </c>
      <c r="K1732" s="404">
        <v>-109272.7</v>
      </c>
      <c r="L1732" s="404">
        <v>-112550.88099999999</v>
      </c>
      <c r="M1732" s="404">
        <v>-115927.40742999999</v>
      </c>
      <c r="N1732" s="404">
        <v>-119405.2296529</v>
      </c>
      <c r="O1732" s="404">
        <v>-122987.386542487</v>
      </c>
      <c r="P1732" s="404">
        <v>-126677.00813876161</v>
      </c>
      <c r="Q1732" s="404">
        <v>-130477.31838292447</v>
      </c>
      <c r="R1732" s="404">
        <v>-134391.6379344122</v>
      </c>
      <c r="S1732" s="404">
        <v>-138423.38707244457</v>
      </c>
      <c r="T1732" s="404">
        <v>-142576.08868461792</v>
      </c>
      <c r="U1732" s="404">
        <v>-146853.37134515645</v>
      </c>
      <c r="V1732" s="404">
        <v>-151258.97248551116</v>
      </c>
      <c r="W1732" s="327"/>
    </row>
    <row r="1733" spans="1:23" ht="13.5" thickBot="1" x14ac:dyDescent="0.25">
      <c r="A1733" s="9"/>
      <c r="B1733" s="310" t="s">
        <v>40</v>
      </c>
      <c r="C1733" s="444">
        <v>0</v>
      </c>
      <c r="D1733" s="406">
        <v>0</v>
      </c>
      <c r="E1733" s="406">
        <v>0</v>
      </c>
      <c r="F1733" s="406">
        <v>0</v>
      </c>
      <c r="G1733" s="406">
        <v>0</v>
      </c>
      <c r="H1733" s="406">
        <v>0</v>
      </c>
      <c r="I1733" s="406">
        <v>0</v>
      </c>
      <c r="J1733" s="406">
        <v>0</v>
      </c>
      <c r="K1733" s="406">
        <v>0</v>
      </c>
      <c r="L1733" s="406">
        <v>0</v>
      </c>
      <c r="M1733" s="406">
        <v>0</v>
      </c>
      <c r="N1733" s="406">
        <v>0</v>
      </c>
      <c r="O1733" s="406">
        <v>0</v>
      </c>
      <c r="P1733" s="406">
        <v>0</v>
      </c>
      <c r="Q1733" s="406">
        <v>0</v>
      </c>
      <c r="R1733" s="406">
        <v>0</v>
      </c>
      <c r="S1733" s="406">
        <v>0</v>
      </c>
      <c r="T1733" s="406">
        <v>0</v>
      </c>
      <c r="U1733" s="406">
        <v>0</v>
      </c>
      <c r="V1733" s="406">
        <v>0</v>
      </c>
      <c r="W1733" s="327"/>
    </row>
    <row r="1734" spans="1:23" ht="13.5" thickTop="1" x14ac:dyDescent="0.2">
      <c r="A1734" s="9"/>
      <c r="B1734" s="309"/>
      <c r="C1734" s="447"/>
      <c r="D1734" s="327"/>
      <c r="E1734" s="327"/>
      <c r="F1734" s="327"/>
      <c r="G1734" s="327"/>
      <c r="H1734" s="327"/>
      <c r="I1734" s="327"/>
      <c r="J1734" s="327"/>
      <c r="K1734" s="327"/>
      <c r="L1734" s="327"/>
      <c r="M1734" s="327"/>
      <c r="N1734" s="327"/>
      <c r="O1734" s="327"/>
      <c r="P1734" s="327"/>
      <c r="Q1734" s="327"/>
      <c r="R1734" s="327"/>
      <c r="S1734" s="327"/>
      <c r="T1734" s="327"/>
      <c r="U1734" s="327"/>
      <c r="V1734" s="327"/>
      <c r="W1734" s="327"/>
    </row>
    <row r="1735" spans="1:23" x14ac:dyDescent="0.2">
      <c r="A1735" s="9"/>
      <c r="B1735" s="311" t="s">
        <v>233</v>
      </c>
      <c r="C1735" s="446">
        <v>0</v>
      </c>
      <c r="D1735" s="410">
        <v>1892070.8137441922</v>
      </c>
      <c r="E1735" s="410">
        <v>1322894.6285432123</v>
      </c>
      <c r="F1735" s="410">
        <v>1058292.5803175976</v>
      </c>
      <c r="G1735" s="410">
        <v>854778.87788704352</v>
      </c>
      <c r="H1735" s="410">
        <v>737561.39983937331</v>
      </c>
      <c r="I1735" s="410">
        <v>529191.66268547531</v>
      </c>
      <c r="J1735" s="410">
        <v>599640.69415139325</v>
      </c>
      <c r="K1735" s="410">
        <v>953623.67300973297</v>
      </c>
      <c r="L1735" s="410">
        <v>960636.94479147228</v>
      </c>
      <c r="M1735" s="410">
        <v>1083390.0480212627</v>
      </c>
      <c r="N1735" s="410">
        <v>730006.51819717372</v>
      </c>
      <c r="O1735" s="410">
        <v>906556.87408039614</v>
      </c>
      <c r="P1735" s="410">
        <v>865991.78873274312</v>
      </c>
      <c r="Q1735" s="410">
        <v>1085266.2592207203</v>
      </c>
      <c r="R1735" s="410">
        <v>819884.54834268801</v>
      </c>
      <c r="S1735" s="410">
        <v>582591.30294208706</v>
      </c>
      <c r="T1735" s="410">
        <v>711967.02065628348</v>
      </c>
      <c r="U1735" s="410">
        <v>925675.02062349895</v>
      </c>
      <c r="V1735" s="410">
        <v>705592.13806652278</v>
      </c>
      <c r="W1735" s="408">
        <v>5171833.9096228713</v>
      </c>
    </row>
    <row r="1736" spans="1:23" x14ac:dyDescent="0.2">
      <c r="A1736" s="9"/>
      <c r="B1736" s="286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</row>
    <row r="1737" spans="1:23" x14ac:dyDescent="0.2">
      <c r="A1737" s="302" t="s">
        <v>218</v>
      </c>
      <c r="B1737" s="300" t="s">
        <v>170</v>
      </c>
      <c r="C1737" s="433">
        <v>4650269.6764958296</v>
      </c>
      <c r="D1737" s="9"/>
      <c r="E1737" s="137" t="s">
        <v>219</v>
      </c>
      <c r="F1737" s="313" t="s">
        <v>170</v>
      </c>
      <c r="G1737" s="437">
        <v>4650269.6764958296</v>
      </c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</row>
    <row r="1738" spans="1:23" x14ac:dyDescent="0.2">
      <c r="A1738" s="9"/>
      <c r="B1738" s="300" t="s">
        <v>180</v>
      </c>
      <c r="C1738" s="433">
        <v>3703529.0668251244</v>
      </c>
      <c r="D1738" s="9"/>
      <c r="E1738" s="315"/>
      <c r="F1738" s="313" t="s">
        <v>180</v>
      </c>
      <c r="G1738" s="437">
        <v>3703529.0668251244</v>
      </c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</row>
    <row r="1739" spans="1:23" ht="13.5" thickBot="1" x14ac:dyDescent="0.25">
      <c r="A1739" s="9"/>
      <c r="B1739" s="316" t="s">
        <v>137</v>
      </c>
      <c r="C1739" s="434">
        <v>768760.15586463385</v>
      </c>
      <c r="D1739" s="317"/>
      <c r="E1739" s="315"/>
      <c r="F1739" s="313" t="s">
        <v>137</v>
      </c>
      <c r="G1739" s="437">
        <v>768760.15586463385</v>
      </c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</row>
    <row r="1740" spans="1:23" ht="14.25" thickTop="1" thickBot="1" x14ac:dyDescent="0.25">
      <c r="A1740" s="9"/>
      <c r="B1740" s="300" t="s">
        <v>28</v>
      </c>
      <c r="C1740" s="432">
        <v>9122558.8991855886</v>
      </c>
      <c r="D1740" s="299"/>
      <c r="E1740" s="315"/>
      <c r="F1740" s="318" t="s">
        <v>203</v>
      </c>
      <c r="G1740" s="319">
        <v>0</v>
      </c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</row>
    <row r="1741" spans="1:23" ht="13.5" thickTop="1" x14ac:dyDescent="0.2">
      <c r="A1741" s="9"/>
      <c r="B1741" s="286"/>
      <c r="C1741" s="320"/>
      <c r="D1741" s="9"/>
      <c r="E1741" s="321"/>
      <c r="F1741" s="313" t="s">
        <v>28</v>
      </c>
      <c r="G1741" s="362">
        <v>9122558.8991855886</v>
      </c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</row>
    <row r="1742" spans="1:23" x14ac:dyDescent="0.2">
      <c r="A1742" s="9"/>
      <c r="B1742" s="286"/>
      <c r="C1742" s="320"/>
      <c r="D1742" s="9"/>
      <c r="E1742" s="321"/>
      <c r="F1742" s="313"/>
      <c r="G1742" s="322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</row>
    <row r="1743" spans="1:23" x14ac:dyDescent="0.2">
      <c r="A1743" s="9"/>
      <c r="B1743" s="286"/>
      <c r="C1743" s="320"/>
      <c r="D1743" s="9"/>
      <c r="E1743" s="321"/>
      <c r="F1743" s="313"/>
      <c r="G1743" s="322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</row>
    <row r="1744" spans="1:23" x14ac:dyDescent="0.2">
      <c r="A1744" s="9"/>
      <c r="B1744" s="323" t="s">
        <v>222</v>
      </c>
      <c r="C1744" s="320"/>
      <c r="D1744" s="9"/>
      <c r="E1744" s="321"/>
      <c r="F1744" s="313"/>
      <c r="G1744" s="322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</row>
    <row r="1745" spans="1:23" x14ac:dyDescent="0.2">
      <c r="A1745" s="324" t="s">
        <v>224</v>
      </c>
      <c r="B1745" s="323" t="s">
        <v>223</v>
      </c>
      <c r="C1745" s="325"/>
      <c r="D1745" s="326">
        <v>1637120.9063674158</v>
      </c>
      <c r="E1745" s="326">
        <v>1089076.010728396</v>
      </c>
      <c r="F1745" s="326">
        <v>854526.33085865458</v>
      </c>
      <c r="G1745" s="326">
        <v>681483.73662817408</v>
      </c>
      <c r="H1745" s="326">
        <v>676954.33041653119</v>
      </c>
      <c r="I1745" s="326">
        <v>475637.65748084232</v>
      </c>
      <c r="J1745" s="326">
        <v>542039.70234609768</v>
      </c>
      <c r="K1745" s="326">
        <v>892663.486837</v>
      </c>
      <c r="L1745" s="326">
        <v>896361.16894757678</v>
      </c>
      <c r="M1745" s="326">
        <v>1016433.2953453148</v>
      </c>
      <c r="N1745" s="326">
        <v>673943.9776378891</v>
      </c>
      <c r="O1745" s="326">
        <v>862027.08526070684</v>
      </c>
      <c r="P1745" s="326">
        <v>819010.63535310037</v>
      </c>
      <c r="Q1745" s="326">
        <v>1095119.8518264175</v>
      </c>
      <c r="R1745" s="326">
        <v>886303.00921948208</v>
      </c>
      <c r="S1745" s="326">
        <v>646549.42073049292</v>
      </c>
      <c r="T1745" s="326">
        <v>773390.98506364948</v>
      </c>
      <c r="U1745" s="326">
        <v>984488.80704839388</v>
      </c>
      <c r="V1745" s="326">
        <v>761717.44116947264</v>
      </c>
      <c r="W1745" s="9"/>
    </row>
    <row r="1746" spans="1:23" x14ac:dyDescent="0.2">
      <c r="A1746" s="9"/>
      <c r="B1746" s="286" t="s">
        <v>225</v>
      </c>
      <c r="C1746" s="320"/>
      <c r="D1746" s="327">
        <v>1091413.9375782774</v>
      </c>
      <c r="E1746" s="327">
        <v>726050.67381893087</v>
      </c>
      <c r="F1746" s="327">
        <v>569684.22057243646</v>
      </c>
      <c r="G1746" s="327">
        <v>454322.49108544947</v>
      </c>
      <c r="H1746" s="327">
        <v>451302.88694435416</v>
      </c>
      <c r="I1746" s="327">
        <v>317091.77165389492</v>
      </c>
      <c r="J1746" s="327">
        <v>361359.80156406516</v>
      </c>
      <c r="K1746" s="327">
        <v>595108.99122466671</v>
      </c>
      <c r="L1746" s="327">
        <v>597574.11263171793</v>
      </c>
      <c r="M1746" s="327">
        <v>677622.19689687667</v>
      </c>
      <c r="N1746" s="327">
        <v>449295.98509192606</v>
      </c>
      <c r="O1746" s="327">
        <v>574684.72350713785</v>
      </c>
      <c r="P1746" s="327">
        <v>546007.09023540036</v>
      </c>
      <c r="Q1746" s="327">
        <v>730079.90121761174</v>
      </c>
      <c r="R1746" s="327">
        <v>590868.67281298805</v>
      </c>
      <c r="S1746" s="327">
        <v>431032.94715366198</v>
      </c>
      <c r="T1746" s="327">
        <v>515593.99004243297</v>
      </c>
      <c r="U1746" s="327">
        <v>656325.87136559607</v>
      </c>
      <c r="V1746" s="327">
        <v>507811.62744631519</v>
      </c>
      <c r="W1746" s="9"/>
    </row>
    <row r="1747" spans="1:23" x14ac:dyDescent="0.2">
      <c r="A1747" s="9"/>
      <c r="B1747" s="328" t="s">
        <v>226</v>
      </c>
      <c r="C1747" s="329"/>
      <c r="D1747" s="327">
        <v>256373.48737677658</v>
      </c>
      <c r="E1747" s="327">
        <v>235299.63781481623</v>
      </c>
      <c r="F1747" s="327">
        <v>205307.07945894302</v>
      </c>
      <c r="G1747" s="327">
        <v>174904.47125886939</v>
      </c>
      <c r="H1747" s="327">
        <v>160607.06942284212</v>
      </c>
      <c r="I1747" s="327">
        <v>156554.00520463297</v>
      </c>
      <c r="J1747" s="327">
        <v>163690.99180529558</v>
      </c>
      <c r="K1747" s="327">
        <v>170232.88617273298</v>
      </c>
      <c r="L1747" s="327">
        <v>176826.65684389556</v>
      </c>
      <c r="M1747" s="327">
        <v>182884.16010594799</v>
      </c>
      <c r="N1747" s="327">
        <v>175467.77021218458</v>
      </c>
      <c r="O1747" s="327">
        <v>167517.17536217629</v>
      </c>
      <c r="P1747" s="327">
        <v>173658.16151840443</v>
      </c>
      <c r="Q1747" s="327">
        <v>120623.72577722732</v>
      </c>
      <c r="R1747" s="327">
        <v>67973.177057618159</v>
      </c>
      <c r="S1747" s="327">
        <v>74465.269284038688</v>
      </c>
      <c r="T1747" s="327">
        <v>81152.124277251874</v>
      </c>
      <c r="U1747" s="327">
        <v>88039.584920261419</v>
      </c>
      <c r="V1747" s="327">
        <v>95133.669382561275</v>
      </c>
      <c r="W1747" s="9"/>
    </row>
    <row r="1748" spans="1:23" ht="13.5" thickBot="1" x14ac:dyDescent="0.25">
      <c r="A1748" s="9"/>
      <c r="B1748" s="330" t="s">
        <v>227</v>
      </c>
      <c r="C1748" s="331"/>
      <c r="D1748" s="332">
        <v>2984908.3313224697</v>
      </c>
      <c r="E1748" s="332">
        <v>2050426.3223621433</v>
      </c>
      <c r="F1748" s="332">
        <v>1629517.6308900341</v>
      </c>
      <c r="G1748" s="332">
        <v>1310710.6989724929</v>
      </c>
      <c r="H1748" s="332">
        <v>1288864.2867837274</v>
      </c>
      <c r="I1748" s="332">
        <v>949283.43433937023</v>
      </c>
      <c r="J1748" s="332">
        <v>1067090.4957154584</v>
      </c>
      <c r="K1748" s="332">
        <v>1658005.3642343997</v>
      </c>
      <c r="L1748" s="332">
        <v>1670761.9384231903</v>
      </c>
      <c r="M1748" s="332">
        <v>1876939.6523481393</v>
      </c>
      <c r="N1748" s="332">
        <v>1298707.7329419998</v>
      </c>
      <c r="O1748" s="332">
        <v>1604228.984130021</v>
      </c>
      <c r="P1748" s="332">
        <v>1538675.8871069052</v>
      </c>
      <c r="Q1748" s="332">
        <v>1945823.4788212567</v>
      </c>
      <c r="R1748" s="332">
        <v>1545144.8590900884</v>
      </c>
      <c r="S1748" s="332">
        <v>1152047.6371681937</v>
      </c>
      <c r="T1748" s="332">
        <v>1370137.0993833342</v>
      </c>
      <c r="U1748" s="332">
        <v>1728854.2633342515</v>
      </c>
      <c r="V1748" s="332">
        <v>1364662.7379983491</v>
      </c>
      <c r="W1748" s="9"/>
    </row>
    <row r="1749" spans="1:23" ht="13.5" thickTop="1" x14ac:dyDescent="0.2">
      <c r="A1749" s="324" t="s">
        <v>228</v>
      </c>
      <c r="B1749" s="286" t="s">
        <v>229</v>
      </c>
      <c r="C1749" s="320"/>
      <c r="D1749" s="327">
        <v>-572072.6856983226</v>
      </c>
      <c r="E1749" s="327">
        <v>-571105.994308152</v>
      </c>
      <c r="F1749" s="327">
        <v>-567419.22315439081</v>
      </c>
      <c r="G1749" s="327">
        <v>-551343.67461045913</v>
      </c>
      <c r="H1749" s="327">
        <v>-509959.22651103698</v>
      </c>
      <c r="I1749" s="327">
        <v>-515109.22651103698</v>
      </c>
      <c r="J1749" s="327">
        <v>-297727.48179906013</v>
      </c>
      <c r="K1749" s="327">
        <v>-109683.59723414935</v>
      </c>
      <c r="L1749" s="327">
        <v>-115116.44440495</v>
      </c>
      <c r="M1749" s="327">
        <v>-113527.91955679125</v>
      </c>
      <c r="N1749" s="327">
        <v>-63875.927684645911</v>
      </c>
      <c r="O1749" s="327">
        <v>-70025.29701177025</v>
      </c>
      <c r="P1749" s="327">
        <v>-76359.147418708337</v>
      </c>
      <c r="Q1749" s="327">
        <v>-82883.013337854558</v>
      </c>
      <c r="R1749" s="327">
        <v>-89602.595234575158</v>
      </c>
      <c r="S1749" s="327">
        <v>-96173.377212357518</v>
      </c>
      <c r="T1749" s="327">
        <v>-102354.9396233774</v>
      </c>
      <c r="U1749" s="327">
        <v>-109697.60819063522</v>
      </c>
      <c r="V1749" s="327">
        <v>-117260.55681491077</v>
      </c>
      <c r="W1749" s="9"/>
    </row>
    <row r="1750" spans="1:23" x14ac:dyDescent="0.2">
      <c r="A1750" s="9"/>
      <c r="B1750" s="286" t="s">
        <v>230</v>
      </c>
      <c r="C1750" s="320"/>
      <c r="D1750" s="327">
        <v>0</v>
      </c>
      <c r="E1750" s="327">
        <v>0</v>
      </c>
      <c r="F1750" s="327">
        <v>0</v>
      </c>
      <c r="G1750" s="327">
        <v>0</v>
      </c>
      <c r="H1750" s="327">
        <v>0</v>
      </c>
      <c r="I1750" s="327">
        <v>0</v>
      </c>
      <c r="J1750" s="327">
        <v>0</v>
      </c>
      <c r="K1750" s="327">
        <v>0</v>
      </c>
      <c r="L1750" s="327">
        <v>0</v>
      </c>
      <c r="M1750" s="327">
        <v>0</v>
      </c>
      <c r="N1750" s="327">
        <v>0</v>
      </c>
      <c r="O1750" s="327">
        <v>0</v>
      </c>
      <c r="P1750" s="327">
        <v>0</v>
      </c>
      <c r="Q1750" s="327">
        <v>0</v>
      </c>
      <c r="R1750" s="327">
        <v>0</v>
      </c>
      <c r="S1750" s="327">
        <v>0</v>
      </c>
      <c r="T1750" s="327">
        <v>0</v>
      </c>
      <c r="U1750" s="327">
        <v>0</v>
      </c>
      <c r="V1750" s="327">
        <v>0</v>
      </c>
      <c r="W1750" s="9"/>
    </row>
    <row r="1751" spans="1:23" x14ac:dyDescent="0.2">
      <c r="A1751" s="9"/>
      <c r="B1751" s="323" t="s">
        <v>231</v>
      </c>
      <c r="C1751" s="325"/>
      <c r="D1751" s="326">
        <v>2412835.6456241473</v>
      </c>
      <c r="E1751" s="326">
        <v>1479320.3280539913</v>
      </c>
      <c r="F1751" s="326">
        <v>1062098.4077356434</v>
      </c>
      <c r="G1751" s="326">
        <v>759367.02436203382</v>
      </c>
      <c r="H1751" s="326">
        <v>778905.06027269037</v>
      </c>
      <c r="I1751" s="326">
        <v>434174.20782833325</v>
      </c>
      <c r="J1751" s="326">
        <v>769363.01391639828</v>
      </c>
      <c r="K1751" s="326">
        <v>1548321.7670002505</v>
      </c>
      <c r="L1751" s="326">
        <v>1555645.4940182404</v>
      </c>
      <c r="M1751" s="326">
        <v>1763411.7327913481</v>
      </c>
      <c r="N1751" s="326">
        <v>1234831.8052573539</v>
      </c>
      <c r="O1751" s="326">
        <v>1534203.6871182506</v>
      </c>
      <c r="P1751" s="326">
        <v>1462316.7396881969</v>
      </c>
      <c r="Q1751" s="326">
        <v>1862940.4654834021</v>
      </c>
      <c r="R1751" s="326">
        <v>1455542.2638555132</v>
      </c>
      <c r="S1751" s="326">
        <v>1055874.2599558362</v>
      </c>
      <c r="T1751" s="326">
        <v>1267782.1597599569</v>
      </c>
      <c r="U1751" s="326">
        <v>1619156.6551436163</v>
      </c>
      <c r="V1751" s="326">
        <v>1247402.1811834383</v>
      </c>
      <c r="W1751" s="9"/>
    </row>
    <row r="1752" spans="1:23" ht="13.5" thickBot="1" x14ac:dyDescent="0.25">
      <c r="A1752" s="9"/>
      <c r="B1752" s="333" t="s">
        <v>237</v>
      </c>
      <c r="C1752" s="334"/>
      <c r="D1752" s="335">
        <v>-965134.25824965897</v>
      </c>
      <c r="E1752" s="335">
        <v>-591728.1312215965</v>
      </c>
      <c r="F1752" s="335">
        <v>-424839.36309425742</v>
      </c>
      <c r="G1752" s="335">
        <v>-303746.80974481354</v>
      </c>
      <c r="H1752" s="335">
        <v>-311562.02410907618</v>
      </c>
      <c r="I1752" s="335">
        <v>-173669.68313133332</v>
      </c>
      <c r="J1752" s="335">
        <v>-307745.20556655934</v>
      </c>
      <c r="K1752" s="335">
        <v>-619328.70680010028</v>
      </c>
      <c r="L1752" s="335">
        <v>-622258.19760729617</v>
      </c>
      <c r="M1752" s="335">
        <v>-705364.69311653927</v>
      </c>
      <c r="N1752" s="335">
        <v>-493932.7221029416</v>
      </c>
      <c r="O1752" s="335">
        <v>-613681.47484730033</v>
      </c>
      <c r="P1752" s="335">
        <v>-584926.69587527879</v>
      </c>
      <c r="Q1752" s="335">
        <v>-745176.18619336095</v>
      </c>
      <c r="R1752" s="335">
        <v>-582216.90554220532</v>
      </c>
      <c r="S1752" s="335">
        <v>-422349.70398233453</v>
      </c>
      <c r="T1752" s="335">
        <v>-507112.8639039828</v>
      </c>
      <c r="U1752" s="335">
        <v>-647662.66205744655</v>
      </c>
      <c r="V1752" s="335">
        <v>-498960.87247337535</v>
      </c>
      <c r="W1752" s="9"/>
    </row>
    <row r="1753" spans="1:23" ht="13.5" thickTop="1" x14ac:dyDescent="0.2">
      <c r="A1753" s="9"/>
      <c r="B1753" s="323" t="s">
        <v>232</v>
      </c>
      <c r="C1753" s="325"/>
      <c r="D1753" s="326">
        <v>1447701.3873744882</v>
      </c>
      <c r="E1753" s="326">
        <v>887592.19683239481</v>
      </c>
      <c r="F1753" s="326">
        <v>637259.04464138602</v>
      </c>
      <c r="G1753" s="326">
        <v>455620.21461722028</v>
      </c>
      <c r="H1753" s="326">
        <v>467343.03616361419</v>
      </c>
      <c r="I1753" s="326">
        <v>260504.52469699993</v>
      </c>
      <c r="J1753" s="326">
        <v>461617.80834983895</v>
      </c>
      <c r="K1753" s="326">
        <v>928993.06020015024</v>
      </c>
      <c r="L1753" s="326">
        <v>933387.2964109442</v>
      </c>
      <c r="M1753" s="326">
        <v>1058047.0396748087</v>
      </c>
      <c r="N1753" s="326">
        <v>740899.08315441234</v>
      </c>
      <c r="O1753" s="326">
        <v>920522.21227095032</v>
      </c>
      <c r="P1753" s="326">
        <v>877390.04381291813</v>
      </c>
      <c r="Q1753" s="326">
        <v>1117764.2792900412</v>
      </c>
      <c r="R1753" s="326">
        <v>873325.35831330786</v>
      </c>
      <c r="S1753" s="326">
        <v>633524.55597350164</v>
      </c>
      <c r="T1753" s="326">
        <v>760669.29585597408</v>
      </c>
      <c r="U1753" s="326">
        <v>971493.99308616971</v>
      </c>
      <c r="V1753" s="326">
        <v>748441.30871006288</v>
      </c>
      <c r="W1753" s="9"/>
    </row>
    <row r="1754" spans="1:23" x14ac:dyDescent="0.2">
      <c r="A1754" s="9"/>
      <c r="B1754" s="9"/>
      <c r="C1754" s="320"/>
      <c r="D1754" s="9"/>
      <c r="E1754" s="321"/>
      <c r="F1754" s="313"/>
      <c r="G1754" s="322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</row>
    <row r="1755" spans="1:23" ht="15.75" x14ac:dyDescent="0.25">
      <c r="A1755" s="336" t="s">
        <v>205</v>
      </c>
      <c r="B1755" s="337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</row>
    <row r="1756" spans="1:23" x14ac:dyDescent="0.2">
      <c r="A1756" s="284" t="s">
        <v>190</v>
      </c>
      <c r="B1756" s="303"/>
      <c r="C1756" s="338">
        <v>0</v>
      </c>
      <c r="D1756" s="277"/>
      <c r="E1756" s="277"/>
      <c r="F1756" s="277"/>
      <c r="G1756" s="277"/>
      <c r="H1756" s="277"/>
      <c r="I1756" s="277"/>
      <c r="J1756" s="277"/>
      <c r="K1756" s="277"/>
      <c r="L1756" s="277"/>
      <c r="M1756" s="277"/>
      <c r="N1756" s="277"/>
      <c r="O1756" s="277"/>
      <c r="P1756" s="277"/>
      <c r="Q1756" s="277"/>
      <c r="R1756" s="277"/>
      <c r="S1756" s="277"/>
      <c r="T1756" s="277"/>
      <c r="U1756" s="277"/>
      <c r="V1756" s="277"/>
      <c r="W1756" s="277"/>
    </row>
    <row r="1757" spans="1:23" x14ac:dyDescent="0.2">
      <c r="A1757" s="284" t="s">
        <v>191</v>
      </c>
      <c r="B1757" s="303"/>
      <c r="C1757" s="339">
        <v>0</v>
      </c>
      <c r="D1757" s="277"/>
      <c r="E1757" s="277"/>
      <c r="F1757" s="277"/>
      <c r="G1757" s="277"/>
      <c r="H1757" s="277"/>
      <c r="I1757" s="277"/>
      <c r="J1757" s="277"/>
      <c r="K1757" s="277"/>
      <c r="L1757" s="277"/>
      <c r="M1757" s="277"/>
      <c r="N1757" s="277"/>
      <c r="O1757" s="277"/>
      <c r="P1757" s="277"/>
      <c r="Q1757" s="277"/>
      <c r="R1757" s="277"/>
      <c r="S1757" s="277"/>
      <c r="T1757" s="277"/>
      <c r="U1757" s="277"/>
      <c r="V1757" s="277"/>
      <c r="W1757" s="277"/>
    </row>
    <row r="1758" spans="1:23" x14ac:dyDescent="0.2">
      <c r="A1758" s="284" t="s">
        <v>201</v>
      </c>
      <c r="B1758" s="303"/>
      <c r="C1758" s="284">
        <v>15</v>
      </c>
      <c r="D1758" s="277"/>
      <c r="E1758" s="277"/>
      <c r="F1758" s="277"/>
      <c r="G1758" s="277"/>
      <c r="H1758" s="277"/>
      <c r="I1758" s="277"/>
      <c r="J1758" s="277"/>
      <c r="K1758" s="277"/>
      <c r="L1758" s="277"/>
      <c r="M1758" s="277"/>
      <c r="N1758" s="277"/>
      <c r="O1758" s="277"/>
      <c r="P1758" s="277"/>
      <c r="Q1758" s="277"/>
      <c r="R1758" s="277"/>
      <c r="S1758" s="277"/>
      <c r="T1758" s="277"/>
      <c r="U1758" s="277"/>
      <c r="V1758" s="277"/>
      <c r="W1758" s="277"/>
    </row>
    <row r="1759" spans="1:23" x14ac:dyDescent="0.2">
      <c r="A1759" s="284" t="s">
        <v>192</v>
      </c>
      <c r="B1759" s="303"/>
      <c r="C1759" s="339">
        <v>0</v>
      </c>
      <c r="D1759" s="277"/>
      <c r="E1759" s="277"/>
      <c r="F1759" s="277"/>
      <c r="G1759" s="277"/>
      <c r="H1759" s="277"/>
      <c r="I1759" s="277"/>
      <c r="J1759" s="277"/>
      <c r="K1759" s="277"/>
      <c r="L1759" s="277"/>
      <c r="M1759" s="277"/>
      <c r="N1759" s="277"/>
      <c r="O1759" s="277"/>
      <c r="P1759" s="277"/>
      <c r="Q1759" s="277"/>
      <c r="R1759" s="277"/>
      <c r="S1759" s="277"/>
      <c r="T1759" s="277"/>
      <c r="U1759" s="277"/>
      <c r="V1759" s="277"/>
      <c r="W1759" s="277"/>
    </row>
    <row r="1760" spans="1:23" x14ac:dyDescent="0.2">
      <c r="A1760" s="284" t="s">
        <v>193</v>
      </c>
      <c r="B1760" s="303"/>
      <c r="C1760" s="340">
        <v>8.7499999999999994E-2</v>
      </c>
      <c r="D1760" s="277"/>
      <c r="E1760" s="277"/>
      <c r="F1760" s="277"/>
      <c r="G1760" s="277"/>
      <c r="H1760" s="277"/>
      <c r="I1760" s="277"/>
      <c r="J1760" s="277"/>
      <c r="K1760" s="277"/>
      <c r="L1760" s="277"/>
      <c r="M1760" s="277"/>
      <c r="N1760" s="277"/>
      <c r="O1760" s="277"/>
      <c r="P1760" s="277"/>
      <c r="Q1760" s="277"/>
      <c r="R1760" s="277"/>
      <c r="S1760" s="277"/>
      <c r="T1760" s="277"/>
      <c r="U1760" s="277"/>
      <c r="V1760" s="277"/>
      <c r="W1760" s="277"/>
    </row>
    <row r="1761" spans="1:23" x14ac:dyDescent="0.2">
      <c r="A1761" s="284"/>
      <c r="B1761" s="303"/>
      <c r="C1761" s="277"/>
      <c r="D1761" s="306">
        <v>2001</v>
      </c>
      <c r="E1761" s="306">
        <v>2002</v>
      </c>
      <c r="F1761" s="306">
        <v>2003</v>
      </c>
      <c r="G1761" s="306">
        <v>2004</v>
      </c>
      <c r="H1761" s="306">
        <v>2005</v>
      </c>
      <c r="I1761" s="306">
        <v>2006</v>
      </c>
      <c r="J1761" s="306">
        <v>2007</v>
      </c>
      <c r="K1761" s="306">
        <v>2008</v>
      </c>
      <c r="L1761" s="306">
        <v>2009</v>
      </c>
      <c r="M1761" s="306">
        <v>2010</v>
      </c>
      <c r="N1761" s="306">
        <v>2011</v>
      </c>
      <c r="O1761" s="306">
        <v>2012</v>
      </c>
      <c r="P1761" s="306">
        <v>2013</v>
      </c>
      <c r="Q1761" s="306">
        <v>2014</v>
      </c>
      <c r="R1761" s="306">
        <v>2015</v>
      </c>
      <c r="S1761" s="306">
        <v>2016</v>
      </c>
      <c r="T1761" s="306">
        <v>2017</v>
      </c>
      <c r="U1761" s="306">
        <v>2018</v>
      </c>
      <c r="V1761" s="306">
        <v>2019</v>
      </c>
      <c r="W1761" s="306" t="s">
        <v>154</v>
      </c>
    </row>
    <row r="1762" spans="1:23" x14ac:dyDescent="0.2">
      <c r="A1762" s="284" t="s">
        <v>194</v>
      </c>
      <c r="B1762" s="303"/>
      <c r="C1762" s="277"/>
      <c r="D1762" s="341">
        <v>0</v>
      </c>
      <c r="E1762" s="341">
        <v>0</v>
      </c>
      <c r="F1762" s="341">
        <v>0</v>
      </c>
      <c r="G1762" s="341">
        <v>0</v>
      </c>
      <c r="H1762" s="341">
        <v>0</v>
      </c>
      <c r="I1762" s="341">
        <v>0</v>
      </c>
      <c r="J1762" s="341">
        <v>0</v>
      </c>
      <c r="K1762" s="341">
        <v>0</v>
      </c>
      <c r="L1762" s="341">
        <v>0</v>
      </c>
      <c r="M1762" s="341">
        <v>0</v>
      </c>
      <c r="N1762" s="341">
        <v>0</v>
      </c>
      <c r="O1762" s="341">
        <v>0</v>
      </c>
      <c r="P1762" s="341">
        <v>0</v>
      </c>
      <c r="Q1762" s="341">
        <v>0</v>
      </c>
      <c r="R1762" s="341">
        <v>0</v>
      </c>
      <c r="S1762" s="341">
        <v>0</v>
      </c>
      <c r="T1762" s="341">
        <v>0</v>
      </c>
      <c r="U1762" s="341">
        <v>0</v>
      </c>
      <c r="V1762" s="341">
        <v>0</v>
      </c>
      <c r="W1762" s="341">
        <v>0</v>
      </c>
    </row>
    <row r="1763" spans="1:23" x14ac:dyDescent="0.2">
      <c r="A1763" s="284" t="s">
        <v>195</v>
      </c>
      <c r="B1763" s="303"/>
      <c r="C1763" s="277"/>
      <c r="D1763" s="341">
        <v>0</v>
      </c>
      <c r="E1763" s="341">
        <v>0</v>
      </c>
      <c r="F1763" s="341">
        <v>0</v>
      </c>
      <c r="G1763" s="341">
        <v>0</v>
      </c>
      <c r="H1763" s="341">
        <v>0</v>
      </c>
      <c r="I1763" s="341">
        <v>0</v>
      </c>
      <c r="J1763" s="341">
        <v>0</v>
      </c>
      <c r="K1763" s="341">
        <v>0</v>
      </c>
      <c r="L1763" s="341">
        <v>0</v>
      </c>
      <c r="M1763" s="341">
        <v>0</v>
      </c>
      <c r="N1763" s="341">
        <v>0</v>
      </c>
      <c r="O1763" s="341">
        <v>0</v>
      </c>
      <c r="P1763" s="341">
        <v>0</v>
      </c>
      <c r="Q1763" s="341">
        <v>0</v>
      </c>
      <c r="R1763" s="341">
        <v>0</v>
      </c>
      <c r="S1763" s="341">
        <v>0</v>
      </c>
      <c r="T1763" s="341">
        <v>0</v>
      </c>
      <c r="U1763" s="341">
        <v>0</v>
      </c>
      <c r="V1763" s="341">
        <v>0</v>
      </c>
      <c r="W1763" s="341">
        <v>0</v>
      </c>
    </row>
    <row r="1764" spans="1:23" x14ac:dyDescent="0.2">
      <c r="A1764" s="284" t="s">
        <v>196</v>
      </c>
      <c r="B1764" s="303"/>
      <c r="C1764" s="277"/>
      <c r="D1764" s="341">
        <v>0</v>
      </c>
      <c r="E1764" s="341">
        <v>0</v>
      </c>
      <c r="F1764" s="341">
        <v>0</v>
      </c>
      <c r="G1764" s="341">
        <v>0</v>
      </c>
      <c r="H1764" s="341">
        <v>0</v>
      </c>
      <c r="I1764" s="341">
        <v>0</v>
      </c>
      <c r="J1764" s="341">
        <v>0</v>
      </c>
      <c r="K1764" s="341">
        <v>0</v>
      </c>
      <c r="L1764" s="341">
        <v>0</v>
      </c>
      <c r="M1764" s="341">
        <v>0</v>
      </c>
      <c r="N1764" s="341">
        <v>0</v>
      </c>
      <c r="O1764" s="341">
        <v>0</v>
      </c>
      <c r="P1764" s="341">
        <v>0</v>
      </c>
      <c r="Q1764" s="341">
        <v>0</v>
      </c>
      <c r="R1764" s="341">
        <v>0</v>
      </c>
      <c r="S1764" s="341">
        <v>0</v>
      </c>
      <c r="T1764" s="341">
        <v>0</v>
      </c>
      <c r="U1764" s="341">
        <v>0</v>
      </c>
      <c r="V1764" s="341">
        <v>0</v>
      </c>
      <c r="W1764" s="341">
        <v>0</v>
      </c>
    </row>
    <row r="1765" spans="1:23" x14ac:dyDescent="0.2">
      <c r="A1765" s="284" t="s">
        <v>197</v>
      </c>
      <c r="B1765" s="303"/>
      <c r="C1765" s="277"/>
      <c r="D1765" s="342">
        <v>0</v>
      </c>
      <c r="E1765" s="342">
        <v>0</v>
      </c>
      <c r="F1765" s="342">
        <v>0</v>
      </c>
      <c r="G1765" s="342">
        <v>0</v>
      </c>
      <c r="H1765" s="342">
        <v>0</v>
      </c>
      <c r="I1765" s="342">
        <v>0</v>
      </c>
      <c r="J1765" s="342">
        <v>0</v>
      </c>
      <c r="K1765" s="342">
        <v>0</v>
      </c>
      <c r="L1765" s="342">
        <v>0</v>
      </c>
      <c r="M1765" s="342">
        <v>0</v>
      </c>
      <c r="N1765" s="342">
        <v>0</v>
      </c>
      <c r="O1765" s="342">
        <v>0</v>
      </c>
      <c r="P1765" s="342">
        <v>0</v>
      </c>
      <c r="Q1765" s="342">
        <v>0</v>
      </c>
      <c r="R1765" s="342">
        <v>0</v>
      </c>
      <c r="S1765" s="342">
        <v>0</v>
      </c>
      <c r="T1765" s="342">
        <v>0</v>
      </c>
      <c r="U1765" s="342">
        <v>0</v>
      </c>
      <c r="V1765" s="342">
        <v>0</v>
      </c>
      <c r="W1765" s="342">
        <v>0</v>
      </c>
    </row>
    <row r="1766" spans="1:23" ht="13.5" thickBot="1" x14ac:dyDescent="0.25">
      <c r="A1766" s="284" t="s">
        <v>198</v>
      </c>
      <c r="B1766" s="303"/>
      <c r="C1766" s="277"/>
      <c r="D1766" s="343">
        <v>0</v>
      </c>
      <c r="E1766" s="343">
        <v>0</v>
      </c>
      <c r="F1766" s="343">
        <v>0</v>
      </c>
      <c r="G1766" s="343">
        <v>0</v>
      </c>
      <c r="H1766" s="343">
        <v>0</v>
      </c>
      <c r="I1766" s="343">
        <v>0</v>
      </c>
      <c r="J1766" s="343">
        <v>0</v>
      </c>
      <c r="K1766" s="343">
        <v>0</v>
      </c>
      <c r="L1766" s="343">
        <v>0</v>
      </c>
      <c r="M1766" s="343">
        <v>0</v>
      </c>
      <c r="N1766" s="343">
        <v>0</v>
      </c>
      <c r="O1766" s="343">
        <v>0</v>
      </c>
      <c r="P1766" s="343">
        <v>0</v>
      </c>
      <c r="Q1766" s="343">
        <v>0</v>
      </c>
      <c r="R1766" s="343">
        <v>0</v>
      </c>
      <c r="S1766" s="343">
        <v>0</v>
      </c>
      <c r="T1766" s="343">
        <v>0</v>
      </c>
      <c r="U1766" s="343">
        <v>0</v>
      </c>
      <c r="V1766" s="343">
        <v>0</v>
      </c>
      <c r="W1766" s="343">
        <v>0</v>
      </c>
    </row>
    <row r="1767" spans="1:23" ht="13.5" thickTop="1" x14ac:dyDescent="0.2">
      <c r="A1767" s="284"/>
      <c r="B1767" s="303"/>
      <c r="C1767" s="277"/>
      <c r="D1767" s="341"/>
      <c r="E1767" s="341"/>
      <c r="F1767" s="341"/>
      <c r="G1767" s="341"/>
      <c r="H1767" s="341"/>
      <c r="I1767" s="341"/>
      <c r="J1767" s="341"/>
      <c r="K1767" s="341"/>
      <c r="L1767" s="341"/>
      <c r="M1767" s="341"/>
      <c r="N1767" s="341"/>
      <c r="O1767" s="341"/>
      <c r="P1767" s="341"/>
      <c r="Q1767" s="341"/>
      <c r="R1767" s="341"/>
      <c r="S1767" s="341"/>
      <c r="T1767" s="341"/>
      <c r="U1767" s="341"/>
      <c r="V1767" s="341"/>
      <c r="W1767" s="341"/>
    </row>
    <row r="1768" spans="1:23" x14ac:dyDescent="0.2">
      <c r="A1768" s="284" t="s">
        <v>199</v>
      </c>
      <c r="B1768" s="303"/>
      <c r="C1768" s="277"/>
      <c r="D1768" s="341">
        <v>0</v>
      </c>
      <c r="E1768" s="341">
        <v>0</v>
      </c>
      <c r="F1768" s="341">
        <v>0</v>
      </c>
      <c r="G1768" s="341">
        <v>0</v>
      </c>
      <c r="H1768" s="341">
        <v>0</v>
      </c>
      <c r="I1768" s="341">
        <v>0</v>
      </c>
      <c r="J1768" s="341">
        <v>0</v>
      </c>
      <c r="K1768" s="341">
        <v>0</v>
      </c>
      <c r="L1768" s="341">
        <v>0</v>
      </c>
      <c r="M1768" s="341">
        <v>0</v>
      </c>
      <c r="N1768" s="341">
        <v>0</v>
      </c>
      <c r="O1768" s="341">
        <v>0</v>
      </c>
      <c r="P1768" s="341">
        <v>0</v>
      </c>
      <c r="Q1768" s="341">
        <v>0</v>
      </c>
      <c r="R1768" s="341">
        <v>0</v>
      </c>
      <c r="S1768" s="341">
        <v>0</v>
      </c>
      <c r="T1768" s="341">
        <v>0</v>
      </c>
      <c r="U1768" s="341">
        <v>0</v>
      </c>
      <c r="V1768" s="341">
        <v>0</v>
      </c>
      <c r="W1768" s="341">
        <v>0</v>
      </c>
    </row>
    <row r="1769" spans="1:23" x14ac:dyDescent="0.2">
      <c r="A1769" s="284"/>
      <c r="B1769" s="303"/>
      <c r="C1769" s="277"/>
      <c r="D1769" s="277"/>
      <c r="E1769" s="277"/>
      <c r="F1769" s="277"/>
      <c r="G1769" s="277"/>
      <c r="H1769" s="277"/>
      <c r="I1769" s="277"/>
      <c r="J1769" s="277"/>
      <c r="K1769" s="277"/>
      <c r="L1769" s="277"/>
      <c r="M1769" s="277"/>
      <c r="N1769" s="277"/>
      <c r="O1769" s="277"/>
      <c r="P1769" s="277"/>
      <c r="Q1769" s="277"/>
      <c r="R1769" s="277"/>
      <c r="S1769" s="277"/>
      <c r="T1769" s="277"/>
      <c r="U1769" s="277"/>
      <c r="V1769" s="277"/>
      <c r="W1769" s="277"/>
    </row>
    <row r="1770" spans="1:23" x14ac:dyDescent="0.2">
      <c r="A1770" s="284" t="s">
        <v>200</v>
      </c>
      <c r="B1770" s="303"/>
      <c r="C1770" s="277"/>
      <c r="D1770" s="341">
        <v>0</v>
      </c>
      <c r="E1770" s="341">
        <v>0</v>
      </c>
      <c r="F1770" s="341">
        <v>0</v>
      </c>
      <c r="G1770" s="341">
        <v>0</v>
      </c>
      <c r="H1770" s="341">
        <v>0</v>
      </c>
      <c r="I1770" s="341">
        <v>0</v>
      </c>
      <c r="J1770" s="341">
        <v>0</v>
      </c>
      <c r="K1770" s="341">
        <v>0</v>
      </c>
      <c r="L1770" s="341">
        <v>0</v>
      </c>
      <c r="M1770" s="341">
        <v>0</v>
      </c>
      <c r="N1770" s="341">
        <v>0</v>
      </c>
      <c r="O1770" s="341">
        <v>0</v>
      </c>
      <c r="P1770" s="341">
        <v>0</v>
      </c>
      <c r="Q1770" s="341">
        <v>0</v>
      </c>
      <c r="R1770" s="341">
        <v>0</v>
      </c>
      <c r="S1770" s="341">
        <v>0</v>
      </c>
      <c r="T1770" s="341">
        <v>0</v>
      </c>
      <c r="U1770" s="341">
        <v>0</v>
      </c>
      <c r="V1770" s="341">
        <v>0</v>
      </c>
      <c r="W1770" s="341">
        <v>0</v>
      </c>
    </row>
    <row r="1771" spans="1:23" x14ac:dyDescent="0.2">
      <c r="A1771" s="277"/>
      <c r="B1771" s="303"/>
      <c r="C1771" s="277"/>
      <c r="D1771" s="277"/>
      <c r="E1771" s="277"/>
      <c r="F1771" s="277"/>
      <c r="G1771" s="277"/>
      <c r="H1771" s="277"/>
      <c r="I1771" s="277"/>
      <c r="J1771" s="277"/>
      <c r="K1771" s="277"/>
      <c r="L1771" s="277"/>
      <c r="M1771" s="277"/>
      <c r="N1771" s="277"/>
      <c r="O1771" s="277"/>
      <c r="P1771" s="277"/>
      <c r="Q1771" s="277"/>
      <c r="R1771" s="277"/>
      <c r="S1771" s="277"/>
      <c r="T1771" s="277"/>
      <c r="U1771" s="277"/>
      <c r="V1771" s="277"/>
      <c r="W1771" s="277"/>
    </row>
    <row r="1772" spans="1:23" x14ac:dyDescent="0.2">
      <c r="A1772" s="277"/>
      <c r="B1772" s="303"/>
      <c r="C1772" s="277"/>
      <c r="D1772" s="277"/>
      <c r="E1772" s="277"/>
      <c r="F1772" s="277"/>
      <c r="G1772" s="277"/>
      <c r="H1772" s="277"/>
      <c r="I1772" s="277"/>
      <c r="J1772" s="277"/>
      <c r="K1772" s="277"/>
      <c r="L1772" s="277"/>
      <c r="M1772" s="277"/>
      <c r="N1772" s="277"/>
      <c r="O1772" s="277"/>
      <c r="P1772" s="277"/>
      <c r="Q1772" s="277"/>
      <c r="R1772" s="277"/>
      <c r="S1772" s="277"/>
      <c r="T1772" s="277"/>
      <c r="U1772" s="277"/>
      <c r="V1772" s="277"/>
      <c r="W1772" s="277"/>
    </row>
    <row r="1773" spans="1:23" x14ac:dyDescent="0.2">
      <c r="A1773" s="284" t="s">
        <v>202</v>
      </c>
      <c r="B1773" s="279"/>
      <c r="C1773" s="278"/>
      <c r="D1773" s="435">
        <v>1892070.8137441922</v>
      </c>
      <c r="E1773" s="435">
        <v>1322894.6285432123</v>
      </c>
      <c r="F1773" s="435">
        <v>1058292.5803175976</v>
      </c>
      <c r="G1773" s="435">
        <v>854778.87788704352</v>
      </c>
      <c r="H1773" s="435">
        <v>737561.39983937331</v>
      </c>
      <c r="I1773" s="435">
        <v>529191.66268547531</v>
      </c>
      <c r="J1773" s="435">
        <v>599640.69415139325</v>
      </c>
      <c r="K1773" s="435">
        <v>953623.67300973297</v>
      </c>
      <c r="L1773" s="435">
        <v>960636.94479147228</v>
      </c>
      <c r="M1773" s="435">
        <v>1083390.0480212627</v>
      </c>
      <c r="N1773" s="435">
        <v>730006.51819717372</v>
      </c>
      <c r="O1773" s="435">
        <v>906556.87408039614</v>
      </c>
      <c r="P1773" s="435">
        <v>865991.78873274312</v>
      </c>
      <c r="Q1773" s="435">
        <v>1085266.2592207203</v>
      </c>
      <c r="R1773" s="435">
        <v>819884.54834268801</v>
      </c>
      <c r="S1773" s="435">
        <v>582591.30294208706</v>
      </c>
      <c r="T1773" s="435">
        <v>711967.02065628348</v>
      </c>
      <c r="U1773" s="435">
        <v>925675.02062349895</v>
      </c>
      <c r="V1773" s="435">
        <v>705592.13806652278</v>
      </c>
      <c r="W1773" s="435">
        <v>5171833.9096228713</v>
      </c>
    </row>
    <row r="1774" spans="1:23" x14ac:dyDescent="0.2">
      <c r="A1774" s="9"/>
      <c r="B1774" s="6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</row>
    <row r="1775" spans="1:23" x14ac:dyDescent="0.2">
      <c r="A1775" s="292"/>
      <c r="B1775" s="360"/>
      <c r="C1775" s="370"/>
      <c r="D1775" s="68"/>
      <c r="E1775" s="68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68"/>
      <c r="T1775" s="68"/>
      <c r="U1775" s="68"/>
      <c r="V1775" s="68"/>
      <c r="W1775" s="68"/>
    </row>
    <row r="1776" spans="1:23" x14ac:dyDescent="0.2">
      <c r="A1776" s="292"/>
      <c r="B1776" s="360"/>
      <c r="C1776" s="370"/>
      <c r="D1776" s="68"/>
      <c r="E1776" s="68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68"/>
      <c r="T1776" s="68"/>
      <c r="U1776" s="68"/>
      <c r="V1776" s="68"/>
      <c r="W1776" s="68"/>
    </row>
    <row r="1777" spans="1:23" x14ac:dyDescent="0.2">
      <c r="A1777" s="292"/>
      <c r="B1777" s="360"/>
      <c r="C1777" s="370"/>
      <c r="D1777" s="68"/>
      <c r="E1777" s="68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68"/>
      <c r="T1777" s="68"/>
      <c r="U1777" s="68"/>
      <c r="V1777" s="68"/>
      <c r="W1777" s="68"/>
    </row>
    <row r="1778" spans="1:23" x14ac:dyDescent="0.2">
      <c r="A1778" s="292"/>
      <c r="B1778" s="360"/>
      <c r="C1778" s="370"/>
      <c r="D1778" s="68"/>
      <c r="E1778" s="68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68"/>
      <c r="T1778" s="68"/>
      <c r="U1778" s="68"/>
      <c r="V1778" s="68"/>
      <c r="W1778" s="68"/>
    </row>
    <row r="1779" spans="1:23" x14ac:dyDescent="0.2">
      <c r="A1779" s="292"/>
      <c r="B1779" s="360"/>
      <c r="C1779" s="370"/>
      <c r="D1779" s="68"/>
      <c r="E1779" s="68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68"/>
      <c r="T1779" s="68"/>
      <c r="U1779" s="68"/>
      <c r="V1779" s="68"/>
      <c r="W1779" s="68"/>
    </row>
    <row r="1780" spans="1:23" x14ac:dyDescent="0.2">
      <c r="A1780" s="292"/>
      <c r="B1780" s="360"/>
      <c r="C1780" s="370"/>
      <c r="D1780" s="68"/>
      <c r="E1780" s="68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68"/>
      <c r="T1780" s="68"/>
      <c r="U1780" s="68"/>
      <c r="V1780" s="68"/>
      <c r="W1780" s="68"/>
    </row>
    <row r="1781" spans="1:23" x14ac:dyDescent="0.2">
      <c r="A1781" s="292"/>
      <c r="B1781" s="360"/>
      <c r="C1781" s="370"/>
      <c r="D1781" s="370"/>
      <c r="E1781" s="370"/>
      <c r="F1781" s="370"/>
      <c r="G1781" s="370"/>
      <c r="H1781" s="370"/>
      <c r="I1781" s="370"/>
      <c r="J1781" s="370"/>
      <c r="K1781" s="370"/>
      <c r="L1781" s="370"/>
      <c r="M1781" s="370"/>
      <c r="N1781" s="370"/>
      <c r="O1781" s="370"/>
      <c r="P1781" s="370"/>
      <c r="Q1781" s="370"/>
      <c r="R1781" s="370"/>
      <c r="S1781" s="370"/>
      <c r="T1781" s="370"/>
      <c r="U1781" s="370"/>
      <c r="V1781" s="370"/>
      <c r="W1781" s="370"/>
    </row>
    <row r="1782" spans="1:23" ht="15.75" x14ac:dyDescent="0.25">
      <c r="A1782" s="302" t="s">
        <v>29</v>
      </c>
      <c r="B1782" s="305" t="s">
        <v>80</v>
      </c>
      <c r="C1782" s="306">
        <v>2000</v>
      </c>
      <c r="D1782" s="306">
        <v>2001</v>
      </c>
      <c r="E1782" s="306">
        <v>2002</v>
      </c>
      <c r="F1782" s="306">
        <v>2003</v>
      </c>
      <c r="G1782" s="306">
        <v>2004</v>
      </c>
      <c r="H1782" s="306">
        <v>2005</v>
      </c>
      <c r="I1782" s="306">
        <v>2006</v>
      </c>
      <c r="J1782" s="306">
        <v>2007</v>
      </c>
      <c r="K1782" s="306">
        <v>2008</v>
      </c>
      <c r="L1782" s="306">
        <v>2009</v>
      </c>
      <c r="M1782" s="306">
        <v>2010</v>
      </c>
      <c r="N1782" s="306">
        <v>2011</v>
      </c>
      <c r="O1782" s="306">
        <v>2012</v>
      </c>
      <c r="P1782" s="306">
        <v>2013</v>
      </c>
      <c r="Q1782" s="306">
        <v>2014</v>
      </c>
      <c r="R1782" s="306">
        <v>2015</v>
      </c>
      <c r="S1782" s="306">
        <v>2016</v>
      </c>
      <c r="T1782" s="306">
        <v>2017</v>
      </c>
      <c r="U1782" s="306">
        <v>2018</v>
      </c>
      <c r="V1782" s="306">
        <v>2019</v>
      </c>
      <c r="W1782" s="306" t="s">
        <v>154</v>
      </c>
    </row>
    <row r="1783" spans="1:23" x14ac:dyDescent="0.2">
      <c r="A1783" s="302" t="s">
        <v>26</v>
      </c>
      <c r="B1783" s="303">
        <v>83.433000000000007</v>
      </c>
      <c r="C1783" s="308"/>
      <c r="D1783" s="308"/>
      <c r="E1783" s="308"/>
      <c r="F1783" s="308"/>
      <c r="G1783" s="308"/>
      <c r="H1783" s="308"/>
      <c r="I1783" s="308"/>
      <c r="J1783" s="308"/>
      <c r="K1783" s="308"/>
      <c r="L1783" s="308"/>
      <c r="M1783" s="308"/>
      <c r="N1783" s="308"/>
      <c r="O1783" s="308"/>
      <c r="P1783" s="308"/>
      <c r="Q1783" s="308"/>
      <c r="R1783" s="308"/>
      <c r="S1783" s="308"/>
      <c r="T1783" s="308"/>
      <c r="U1783" s="308"/>
      <c r="V1783" s="308"/>
      <c r="W1783" s="308"/>
    </row>
    <row r="1784" spans="1:23" x14ac:dyDescent="0.2">
      <c r="A1784" s="9"/>
      <c r="B1784" s="309" t="s">
        <v>27</v>
      </c>
      <c r="C1784" s="443">
        <v>0</v>
      </c>
      <c r="D1784" s="404">
        <v>8202175.3914196901</v>
      </c>
      <c r="E1784" s="404">
        <v>7219125.1955624679</v>
      </c>
      <c r="F1784" s="404">
        <v>6975429.9289103542</v>
      </c>
      <c r="G1784" s="404">
        <v>6698801.5398195479</v>
      </c>
      <c r="H1784" s="404">
        <v>6877286.9012491489</v>
      </c>
      <c r="I1784" s="404">
        <v>7875918.1611640118</v>
      </c>
      <c r="J1784" s="404">
        <v>9532366.5123401303</v>
      </c>
      <c r="K1784" s="404">
        <v>12117113.010367623</v>
      </c>
      <c r="L1784" s="404">
        <v>12861496.066195816</v>
      </c>
      <c r="M1784" s="404">
        <v>11066696.097163459</v>
      </c>
      <c r="N1784" s="404">
        <v>10846097.9980071</v>
      </c>
      <c r="O1784" s="404">
        <v>10837165.461976836</v>
      </c>
      <c r="P1784" s="404">
        <v>10010041.080739968</v>
      </c>
      <c r="Q1784" s="404">
        <v>11607660.599296786</v>
      </c>
      <c r="R1784" s="404">
        <v>10822858.676266527</v>
      </c>
      <c r="S1784" s="404">
        <v>10915874.081664842</v>
      </c>
      <c r="T1784" s="404">
        <v>10065899.077409105</v>
      </c>
      <c r="U1784" s="404">
        <v>11407206.886303719</v>
      </c>
      <c r="V1784" s="404">
        <v>12342873.484122811</v>
      </c>
      <c r="W1784" s="327"/>
    </row>
    <row r="1785" spans="1:23" x14ac:dyDescent="0.2">
      <c r="A1785" s="9"/>
      <c r="B1785" s="309" t="s">
        <v>20</v>
      </c>
      <c r="C1785" s="443">
        <v>0</v>
      </c>
      <c r="D1785" s="404">
        <v>-2443747.1509538759</v>
      </c>
      <c r="E1785" s="404">
        <v>-2991581.0524151698</v>
      </c>
      <c r="F1785" s="404">
        <v>-3235039.6998927929</v>
      </c>
      <c r="G1785" s="404">
        <v>-3544191.9755981402</v>
      </c>
      <c r="H1785" s="404">
        <v>-3794796.9656743901</v>
      </c>
      <c r="I1785" s="404">
        <v>-4944426.379624729</v>
      </c>
      <c r="J1785" s="404">
        <v>-6219182.8226861553</v>
      </c>
      <c r="K1785" s="404">
        <v>-7723082.376592651</v>
      </c>
      <c r="L1785" s="404">
        <v>-8284094.1225295514</v>
      </c>
      <c r="M1785" s="404">
        <v>-6482347.8668211428</v>
      </c>
      <c r="N1785" s="404">
        <v>-7112818.1669523586</v>
      </c>
      <c r="O1785" s="404">
        <v>-6598867.186659608</v>
      </c>
      <c r="P1785" s="404">
        <v>-6033835.2006924925</v>
      </c>
      <c r="Q1785" s="404">
        <v>-6785562.7186127715</v>
      </c>
      <c r="R1785" s="404">
        <v>-6609183.756585882</v>
      </c>
      <c r="S1785" s="404">
        <v>-7384920.3865921488</v>
      </c>
      <c r="T1785" s="404">
        <v>-6300625.6205580141</v>
      </c>
      <c r="U1785" s="404">
        <v>-7074580.3602302261</v>
      </c>
      <c r="V1785" s="404">
        <v>-8373327.4147212766</v>
      </c>
      <c r="W1785" s="327"/>
    </row>
    <row r="1786" spans="1:23" x14ac:dyDescent="0.2">
      <c r="A1786" s="9"/>
      <c r="B1786" s="309" t="s">
        <v>31</v>
      </c>
      <c r="C1786" s="443">
        <v>0</v>
      </c>
      <c r="D1786" s="404">
        <v>-60965.996027048721</v>
      </c>
      <c r="E1786" s="404">
        <v>-86226.881744492581</v>
      </c>
      <c r="F1786" s="404">
        <v>-98920.092928497703</v>
      </c>
      <c r="G1786" s="404">
        <v>-108302.35780039914</v>
      </c>
      <c r="H1786" s="404">
        <v>-115803.71590397664</v>
      </c>
      <c r="I1786" s="404">
        <v>-156864.88597871904</v>
      </c>
      <c r="J1786" s="404">
        <v>-192371.5306182226</v>
      </c>
      <c r="K1786" s="404">
        <v>-262154.68285510957</v>
      </c>
      <c r="L1786" s="404">
        <v>-274514.62646256847</v>
      </c>
      <c r="M1786" s="404">
        <v>-209035.46436537022</v>
      </c>
      <c r="N1786" s="404">
        <v>-234968.36063169062</v>
      </c>
      <c r="O1786" s="404">
        <v>-219679.09216769069</v>
      </c>
      <c r="P1786" s="404">
        <v>-198816.52750715817</v>
      </c>
      <c r="Q1786" s="404">
        <v>-222370.27289478772</v>
      </c>
      <c r="R1786" s="404">
        <v>-204501.47078899431</v>
      </c>
      <c r="S1786" s="404">
        <v>-224078.64365781232</v>
      </c>
      <c r="T1786" s="404">
        <v>-191744.26729954788</v>
      </c>
      <c r="U1786" s="404">
        <v>-202409.85965082719</v>
      </c>
      <c r="V1786" s="404">
        <v>-245710.99012228646</v>
      </c>
      <c r="W1786" s="327"/>
    </row>
    <row r="1787" spans="1:23" x14ac:dyDescent="0.2">
      <c r="A1787" s="9"/>
      <c r="B1787" s="309" t="s">
        <v>32</v>
      </c>
      <c r="C1787" s="443">
        <v>0</v>
      </c>
      <c r="D1787" s="404">
        <v>0</v>
      </c>
      <c r="E1787" s="404">
        <v>0</v>
      </c>
      <c r="F1787" s="404">
        <v>0</v>
      </c>
      <c r="G1787" s="404">
        <v>0</v>
      </c>
      <c r="H1787" s="404">
        <v>0</v>
      </c>
      <c r="I1787" s="404">
        <v>93418.023327088376</v>
      </c>
      <c r="J1787" s="404">
        <v>103546.416256845</v>
      </c>
      <c r="K1787" s="404">
        <v>114259.16746337658</v>
      </c>
      <c r="L1787" s="404">
        <v>125495.63771574097</v>
      </c>
      <c r="M1787" s="404">
        <v>139570.44415525725</v>
      </c>
      <c r="N1787" s="404">
        <v>153747.39907892016</v>
      </c>
      <c r="O1787" s="404">
        <v>170347.50869303249</v>
      </c>
      <c r="P1787" s="404">
        <v>191004.36881418826</v>
      </c>
      <c r="Q1787" s="404">
        <v>212617.66815241956</v>
      </c>
      <c r="R1787" s="404">
        <v>235515.42537247401</v>
      </c>
      <c r="S1787" s="404">
        <v>258595.6474313915</v>
      </c>
      <c r="T1787" s="404">
        <v>254057.61645580616</v>
      </c>
      <c r="U1787" s="404">
        <v>217360.03222342019</v>
      </c>
      <c r="V1787" s="404">
        <v>225362.25124239805</v>
      </c>
      <c r="W1787" s="327"/>
    </row>
    <row r="1788" spans="1:23" ht="13.5" thickBot="1" x14ac:dyDescent="0.25">
      <c r="A1788" s="9"/>
      <c r="B1788" s="310" t="s">
        <v>33</v>
      </c>
      <c r="C1788" s="444">
        <v>0</v>
      </c>
      <c r="D1788" s="406">
        <v>0</v>
      </c>
      <c r="E1788" s="406">
        <v>0</v>
      </c>
      <c r="F1788" s="406">
        <v>0</v>
      </c>
      <c r="G1788" s="406">
        <v>0</v>
      </c>
      <c r="H1788" s="406">
        <v>0</v>
      </c>
      <c r="I1788" s="406">
        <v>0</v>
      </c>
      <c r="J1788" s="406">
        <v>0</v>
      </c>
      <c r="K1788" s="406">
        <v>0</v>
      </c>
      <c r="L1788" s="406">
        <v>0</v>
      </c>
      <c r="M1788" s="406">
        <v>0</v>
      </c>
      <c r="N1788" s="406">
        <v>0</v>
      </c>
      <c r="O1788" s="406">
        <v>0</v>
      </c>
      <c r="P1788" s="406">
        <v>0</v>
      </c>
      <c r="Q1788" s="406">
        <v>0</v>
      </c>
      <c r="R1788" s="406">
        <v>0</v>
      </c>
      <c r="S1788" s="406">
        <v>0</v>
      </c>
      <c r="T1788" s="406">
        <v>0</v>
      </c>
      <c r="U1788" s="406">
        <v>0</v>
      </c>
      <c r="V1788" s="406">
        <v>0</v>
      </c>
      <c r="W1788" s="327"/>
    </row>
    <row r="1789" spans="1:23" ht="13.5" thickTop="1" x14ac:dyDescent="0.2">
      <c r="A1789" s="9"/>
      <c r="B1789" s="311" t="s">
        <v>38</v>
      </c>
      <c r="C1789" s="445">
        <v>0</v>
      </c>
      <c r="D1789" s="408">
        <v>5697462.2444387656</v>
      </c>
      <c r="E1789" s="408">
        <v>4141317.2614028053</v>
      </c>
      <c r="F1789" s="408">
        <v>3641470.1360890637</v>
      </c>
      <c r="G1789" s="408">
        <v>3046307.2064210088</v>
      </c>
      <c r="H1789" s="408">
        <v>2966686.2196707823</v>
      </c>
      <c r="I1789" s="408">
        <v>2868044.918887652</v>
      </c>
      <c r="J1789" s="408">
        <v>3224358.5752925975</v>
      </c>
      <c r="K1789" s="408">
        <v>4246135.1183832381</v>
      </c>
      <c r="L1789" s="408">
        <v>4428382.9549194369</v>
      </c>
      <c r="M1789" s="408">
        <v>4514883.2101322031</v>
      </c>
      <c r="N1789" s="408">
        <v>3652058.8695019707</v>
      </c>
      <c r="O1789" s="408">
        <v>4188966.691842569</v>
      </c>
      <c r="P1789" s="408">
        <v>3968393.721354505</v>
      </c>
      <c r="Q1789" s="408">
        <v>4812345.2759416467</v>
      </c>
      <c r="R1789" s="408">
        <v>4244688.8742641248</v>
      </c>
      <c r="S1789" s="408">
        <v>3565470.6988462717</v>
      </c>
      <c r="T1789" s="408">
        <v>3827586.8060073494</v>
      </c>
      <c r="U1789" s="408">
        <v>4347576.6986460863</v>
      </c>
      <c r="V1789" s="408">
        <v>3949197.330521646</v>
      </c>
      <c r="W1789" s="327"/>
    </row>
    <row r="1790" spans="1:23" x14ac:dyDescent="0.2">
      <c r="A1790" s="9"/>
      <c r="B1790" s="309" t="s">
        <v>34</v>
      </c>
      <c r="C1790" s="443">
        <v>0</v>
      </c>
      <c r="D1790" s="404">
        <v>-355535.16277078062</v>
      </c>
      <c r="E1790" s="404">
        <v>-362645.86602619622</v>
      </c>
      <c r="F1790" s="404">
        <v>-369898.78334672016</v>
      </c>
      <c r="G1790" s="404">
        <v>-377296.75901365455</v>
      </c>
      <c r="H1790" s="404">
        <v>-384842.69419392763</v>
      </c>
      <c r="I1790" s="404">
        <v>-392539.54807780619</v>
      </c>
      <c r="J1790" s="404">
        <v>-400390.33903936233</v>
      </c>
      <c r="K1790" s="404">
        <v>-408398.14582014957</v>
      </c>
      <c r="L1790" s="404">
        <v>-416566.10873655259</v>
      </c>
      <c r="M1790" s="404">
        <v>-424897.43091128365</v>
      </c>
      <c r="N1790" s="404">
        <v>-433395.37952950934</v>
      </c>
      <c r="O1790" s="404">
        <v>-442063.28712009953</v>
      </c>
      <c r="P1790" s="404">
        <v>-450904.55286250153</v>
      </c>
      <c r="Q1790" s="404">
        <v>-459922.64391975157</v>
      </c>
      <c r="R1790" s="404">
        <v>-469121.09679814661</v>
      </c>
      <c r="S1790" s="404">
        <v>-478503.51873410953</v>
      </c>
      <c r="T1790" s="404">
        <v>-488073.58910879173</v>
      </c>
      <c r="U1790" s="404">
        <v>-497835.06089096755</v>
      </c>
      <c r="V1790" s="404">
        <v>-507791.7621087869</v>
      </c>
      <c r="W1790" s="327"/>
    </row>
    <row r="1791" spans="1:23" x14ac:dyDescent="0.2">
      <c r="A1791" s="9"/>
      <c r="B1791" s="309" t="s">
        <v>35</v>
      </c>
      <c r="C1791" s="443">
        <v>0</v>
      </c>
      <c r="D1791" s="404">
        <v>-171612.57929687499</v>
      </c>
      <c r="E1791" s="404">
        <v>-171612.57929687499</v>
      </c>
      <c r="F1791" s="404">
        <v>-171612.57929687499</v>
      </c>
      <c r="G1791" s="404">
        <v>-171612.57929687499</v>
      </c>
      <c r="H1791" s="404">
        <v>-171612.57929687499</v>
      </c>
      <c r="I1791" s="404">
        <v>-171612.57929687499</v>
      </c>
      <c r="J1791" s="404">
        <v>-171612.57929687499</v>
      </c>
      <c r="K1791" s="404">
        <v>-171612.57929687499</v>
      </c>
      <c r="L1791" s="404">
        <v>-171612.57929687499</v>
      </c>
      <c r="M1791" s="404">
        <v>-171612.57929687499</v>
      </c>
      <c r="N1791" s="404">
        <v>-171612.57929687499</v>
      </c>
      <c r="O1791" s="404">
        <v>-171612.57929687499</v>
      </c>
      <c r="P1791" s="404">
        <v>-171612.57929687499</v>
      </c>
      <c r="Q1791" s="404">
        <v>-171612.57929687499</v>
      </c>
      <c r="R1791" s="404">
        <v>-171612.57929687499</v>
      </c>
      <c r="S1791" s="404">
        <v>-171612.57929687499</v>
      </c>
      <c r="T1791" s="404">
        <v>-171612.57929687499</v>
      </c>
      <c r="U1791" s="404">
        <v>-171612.57929687499</v>
      </c>
      <c r="V1791" s="404">
        <v>-171612.57929687499</v>
      </c>
      <c r="W1791" s="327"/>
    </row>
    <row r="1792" spans="1:23" ht="13.5" thickBot="1" x14ac:dyDescent="0.25">
      <c r="A1792" s="9"/>
      <c r="B1792" s="310" t="s">
        <v>36</v>
      </c>
      <c r="C1792" s="444">
        <v>0</v>
      </c>
      <c r="D1792" s="406">
        <v>-34547.1907058574</v>
      </c>
      <c r="E1792" s="406">
        <v>-35276.136429751197</v>
      </c>
      <c r="F1792" s="406">
        <v>-36048.6838175628</v>
      </c>
      <c r="G1792" s="406">
        <v>-36863.384071839399</v>
      </c>
      <c r="H1792" s="406">
        <v>-37740.7326127493</v>
      </c>
      <c r="I1792" s="406">
        <v>-38686.5191661684</v>
      </c>
      <c r="J1792" s="406">
        <v>-39646.052617166402</v>
      </c>
      <c r="K1792" s="406">
        <v>-40649.576140416597</v>
      </c>
      <c r="L1792" s="406">
        <v>-41653.6206710849</v>
      </c>
      <c r="M1792" s="406">
        <v>-42715.787998197498</v>
      </c>
      <c r="N1792" s="406">
        <v>-43749.510067754003</v>
      </c>
      <c r="O1792" s="406">
        <v>-44851.997721461303</v>
      </c>
      <c r="P1792" s="406">
        <v>-45991.238463586298</v>
      </c>
      <c r="Q1792" s="406">
        <v>-47141.019425175997</v>
      </c>
      <c r="R1792" s="406">
        <v>-48324.259012747898</v>
      </c>
      <c r="S1792" s="406">
        <v>-49532.365488066702</v>
      </c>
      <c r="T1792" s="406">
        <v>-50760.768152170604</v>
      </c>
      <c r="U1792" s="406">
        <v>-52034.863432790196</v>
      </c>
      <c r="V1792" s="406">
        <v>-53340.938504953301</v>
      </c>
      <c r="W1792" s="327"/>
    </row>
    <row r="1793" spans="1:23" ht="13.5" thickTop="1" x14ac:dyDescent="0.2">
      <c r="A1793" s="9"/>
      <c r="B1793" s="311" t="s">
        <v>220</v>
      </c>
      <c r="C1793" s="446">
        <v>0</v>
      </c>
      <c r="D1793" s="410">
        <v>5135767.3116652528</v>
      </c>
      <c r="E1793" s="410">
        <v>3571782.6796499831</v>
      </c>
      <c r="F1793" s="410">
        <v>3063910.0896279062</v>
      </c>
      <c r="G1793" s="410">
        <v>2460534.4840386398</v>
      </c>
      <c r="H1793" s="410">
        <v>2372490.2135672309</v>
      </c>
      <c r="I1793" s="410">
        <v>2265206.2723468025</v>
      </c>
      <c r="J1793" s="410">
        <v>2612709.604339194</v>
      </c>
      <c r="K1793" s="410">
        <v>3625474.8171257968</v>
      </c>
      <c r="L1793" s="410">
        <v>3798550.6462149243</v>
      </c>
      <c r="M1793" s="410">
        <v>3875657.4119258472</v>
      </c>
      <c r="N1793" s="410">
        <v>3003301.4006078327</v>
      </c>
      <c r="O1793" s="410">
        <v>3530438.8277041335</v>
      </c>
      <c r="P1793" s="410">
        <v>3299885.3507315423</v>
      </c>
      <c r="Q1793" s="410">
        <v>4133669.0332998438</v>
      </c>
      <c r="R1793" s="410">
        <v>3555630.9391563553</v>
      </c>
      <c r="S1793" s="410">
        <v>2865822.2353272205</v>
      </c>
      <c r="T1793" s="410">
        <v>3117139.8694495121</v>
      </c>
      <c r="U1793" s="410">
        <v>3626094.1950254538</v>
      </c>
      <c r="V1793" s="410">
        <v>3216452.0506110308</v>
      </c>
      <c r="W1793" s="327"/>
    </row>
    <row r="1794" spans="1:23" x14ac:dyDescent="0.2">
      <c r="A1794" s="9"/>
      <c r="B1794" s="309" t="s">
        <v>37</v>
      </c>
      <c r="C1794" s="443">
        <v>0</v>
      </c>
      <c r="D1794" s="404">
        <v>-2192518.1074166666</v>
      </c>
      <c r="E1794" s="404">
        <v>-2196485.7847648002</v>
      </c>
      <c r="F1794" s="404">
        <v>-2208445.8511924334</v>
      </c>
      <c r="G1794" s="404">
        <v>-2225236.7842862336</v>
      </c>
      <c r="H1794" s="404">
        <v>-2223926.6574112</v>
      </c>
      <c r="I1794" s="404">
        <v>-2231283.1286485964</v>
      </c>
      <c r="J1794" s="404">
        <v>-1261138.4627691896</v>
      </c>
      <c r="K1794" s="404">
        <v>-181716.72647708759</v>
      </c>
      <c r="L1794" s="404">
        <v>-61620.690148252885</v>
      </c>
      <c r="M1794" s="404">
        <v>-53309.812678330796</v>
      </c>
      <c r="N1794" s="404">
        <v>-58386.211312670064</v>
      </c>
      <c r="O1794" s="404">
        <v>-63583.034019098828</v>
      </c>
      <c r="P1794" s="404">
        <v>-68891.05019789112</v>
      </c>
      <c r="Q1794" s="404">
        <v>-74234.963528713866</v>
      </c>
      <c r="R1794" s="404">
        <v>-79743.050926127937</v>
      </c>
      <c r="S1794" s="404">
        <v>-85542.899278797791</v>
      </c>
      <c r="T1794" s="404">
        <v>-91516.743082047731</v>
      </c>
      <c r="U1794" s="404">
        <v>-97669.802199395141</v>
      </c>
      <c r="V1794" s="404">
        <v>-104007.45309026301</v>
      </c>
      <c r="W1794" s="327"/>
    </row>
    <row r="1795" spans="1:23" ht="13.5" thickBot="1" x14ac:dyDescent="0.25">
      <c r="A1795" s="9"/>
      <c r="B1795" s="310" t="s">
        <v>221</v>
      </c>
      <c r="C1795" s="444">
        <v>0</v>
      </c>
      <c r="D1795" s="406">
        <v>-1177299.6816994345</v>
      </c>
      <c r="E1795" s="406">
        <v>-550118.75795407314</v>
      </c>
      <c r="F1795" s="406">
        <v>-342185.69537418918</v>
      </c>
      <c r="G1795" s="406">
        <v>-94119.07990096249</v>
      </c>
      <c r="H1795" s="406">
        <v>-59425.422462412345</v>
      </c>
      <c r="I1795" s="406">
        <v>-13569.257479282469</v>
      </c>
      <c r="J1795" s="406">
        <v>-540628.45662800176</v>
      </c>
      <c r="K1795" s="406">
        <v>-1377503.2362594837</v>
      </c>
      <c r="L1795" s="406">
        <v>-1494771.9824266685</v>
      </c>
      <c r="M1795" s="406">
        <v>-1528939.0396990068</v>
      </c>
      <c r="N1795" s="406">
        <v>-1177966.075718065</v>
      </c>
      <c r="O1795" s="406">
        <v>-1386742.3174740141</v>
      </c>
      <c r="P1795" s="406">
        <v>-1292397.7202134607</v>
      </c>
      <c r="Q1795" s="406">
        <v>-1623773.6279084522</v>
      </c>
      <c r="R1795" s="406">
        <v>-1390355.155292091</v>
      </c>
      <c r="S1795" s="406">
        <v>-1112111.7344193691</v>
      </c>
      <c r="T1795" s="406">
        <v>-1210249.2505469858</v>
      </c>
      <c r="U1795" s="406">
        <v>-1411369.7571304236</v>
      </c>
      <c r="V1795" s="406">
        <v>-1244977.8390083071</v>
      </c>
      <c r="W1795" s="327"/>
    </row>
    <row r="1796" spans="1:23" ht="13.5" thickTop="1" x14ac:dyDescent="0.2">
      <c r="A1796" s="9"/>
      <c r="B1796" s="311" t="s">
        <v>183</v>
      </c>
      <c r="C1796" s="446">
        <v>0</v>
      </c>
      <c r="D1796" s="410">
        <v>1765949.5225491517</v>
      </c>
      <c r="E1796" s="410">
        <v>825178.13693110971</v>
      </c>
      <c r="F1796" s="410">
        <v>513278.54306128365</v>
      </c>
      <c r="G1796" s="410">
        <v>141178.61985144374</v>
      </c>
      <c r="H1796" s="410">
        <v>89138.133693618511</v>
      </c>
      <c r="I1796" s="410">
        <v>20353.886218923704</v>
      </c>
      <c r="J1796" s="410">
        <v>810942.68494200264</v>
      </c>
      <c r="K1796" s="410">
        <v>2066254.8543892256</v>
      </c>
      <c r="L1796" s="410">
        <v>2242157.9736400028</v>
      </c>
      <c r="M1796" s="410">
        <v>2293408.5595485098</v>
      </c>
      <c r="N1796" s="410">
        <v>1766949.1135770974</v>
      </c>
      <c r="O1796" s="410">
        <v>2080113.4762110207</v>
      </c>
      <c r="P1796" s="410">
        <v>1938596.5803201906</v>
      </c>
      <c r="Q1796" s="410">
        <v>2435660.4418626782</v>
      </c>
      <c r="R1796" s="410">
        <v>2085532.7329381364</v>
      </c>
      <c r="S1796" s="410">
        <v>1668167.6016290537</v>
      </c>
      <c r="T1796" s="410">
        <v>1815373.8758204784</v>
      </c>
      <c r="U1796" s="410">
        <v>2117054.6356956353</v>
      </c>
      <c r="V1796" s="410">
        <v>1867466.7585124606</v>
      </c>
      <c r="W1796" s="327"/>
    </row>
    <row r="1797" spans="1:23" x14ac:dyDescent="0.2">
      <c r="A1797" s="9"/>
      <c r="B1797" s="309" t="s">
        <v>37</v>
      </c>
      <c r="C1797" s="443">
        <v>0</v>
      </c>
      <c r="D1797" s="404">
        <v>2192518.1074166666</v>
      </c>
      <c r="E1797" s="404">
        <v>2196485.7847648002</v>
      </c>
      <c r="F1797" s="404">
        <v>2208445.8511924334</v>
      </c>
      <c r="G1797" s="404">
        <v>2225236.7842862336</v>
      </c>
      <c r="H1797" s="404">
        <v>2223926.6574112</v>
      </c>
      <c r="I1797" s="404">
        <v>2231283.1286485964</v>
      </c>
      <c r="J1797" s="404">
        <v>1261138.4627691896</v>
      </c>
      <c r="K1797" s="404">
        <v>181716.72647708759</v>
      </c>
      <c r="L1797" s="404">
        <v>61620.690148252885</v>
      </c>
      <c r="M1797" s="404">
        <v>53309.812678330796</v>
      </c>
      <c r="N1797" s="404">
        <v>58386.211312670064</v>
      </c>
      <c r="O1797" s="404">
        <v>63583.034019098828</v>
      </c>
      <c r="P1797" s="404">
        <v>68891.05019789112</v>
      </c>
      <c r="Q1797" s="404">
        <v>74234.963528713866</v>
      </c>
      <c r="R1797" s="404">
        <v>79743.050926127937</v>
      </c>
      <c r="S1797" s="404">
        <v>85542.899278797791</v>
      </c>
      <c r="T1797" s="404">
        <v>91516.743082047731</v>
      </c>
      <c r="U1797" s="404">
        <v>97669.802199395141</v>
      </c>
      <c r="V1797" s="404">
        <v>104007.45309026301</v>
      </c>
      <c r="W1797" s="327"/>
    </row>
    <row r="1798" spans="1:23" x14ac:dyDescent="0.2">
      <c r="A1798" s="9"/>
      <c r="B1798" s="309" t="s">
        <v>39</v>
      </c>
      <c r="C1798" s="443">
        <v>0</v>
      </c>
      <c r="D1798" s="404">
        <v>-14278.42</v>
      </c>
      <c r="E1798" s="404">
        <v>-14707.35</v>
      </c>
      <c r="F1798" s="404">
        <v>-387074.17</v>
      </c>
      <c r="G1798" s="404">
        <v>-15661.04</v>
      </c>
      <c r="H1798" s="404">
        <v>-89337.122000000003</v>
      </c>
      <c r="I1798" s="404">
        <v>-92017.235660000006</v>
      </c>
      <c r="J1798" s="404">
        <v>-94777.752729800006</v>
      </c>
      <c r="K1798" s="404">
        <v>-97621.085311694012</v>
      </c>
      <c r="L1798" s="404">
        <v>-100549.71787104484</v>
      </c>
      <c r="M1798" s="404">
        <v>-103566.20940717618</v>
      </c>
      <c r="N1798" s="404">
        <v>-106673.19568939148</v>
      </c>
      <c r="O1798" s="404">
        <v>-109873.39156007323</v>
      </c>
      <c r="P1798" s="404">
        <v>-113169.59330687542</v>
      </c>
      <c r="Q1798" s="404">
        <v>-116564.68110608168</v>
      </c>
      <c r="R1798" s="404">
        <v>-120061.62153926413</v>
      </c>
      <c r="S1798" s="404">
        <v>-123663.47018544206</v>
      </c>
      <c r="T1798" s="404">
        <v>-127373.37429100533</v>
      </c>
      <c r="U1798" s="404">
        <v>-131194.57551973549</v>
      </c>
      <c r="V1798" s="404">
        <v>-135130.41278532756</v>
      </c>
      <c r="W1798" s="327"/>
    </row>
    <row r="1799" spans="1:23" ht="13.5" thickBot="1" x14ac:dyDescent="0.25">
      <c r="A1799" s="9"/>
      <c r="B1799" s="310" t="s">
        <v>40</v>
      </c>
      <c r="C1799" s="444">
        <v>0</v>
      </c>
      <c r="D1799" s="406">
        <v>0</v>
      </c>
      <c r="E1799" s="406">
        <v>0</v>
      </c>
      <c r="F1799" s="406">
        <v>0</v>
      </c>
      <c r="G1799" s="406">
        <v>0</v>
      </c>
      <c r="H1799" s="406">
        <v>0</v>
      </c>
      <c r="I1799" s="406">
        <v>0</v>
      </c>
      <c r="J1799" s="406">
        <v>0</v>
      </c>
      <c r="K1799" s="406">
        <v>0</v>
      </c>
      <c r="L1799" s="406">
        <v>0</v>
      </c>
      <c r="M1799" s="406">
        <v>0</v>
      </c>
      <c r="N1799" s="406">
        <v>0</v>
      </c>
      <c r="O1799" s="406">
        <v>0</v>
      </c>
      <c r="P1799" s="406">
        <v>0</v>
      </c>
      <c r="Q1799" s="406">
        <v>0</v>
      </c>
      <c r="R1799" s="406">
        <v>0</v>
      </c>
      <c r="S1799" s="406">
        <v>0</v>
      </c>
      <c r="T1799" s="406">
        <v>0</v>
      </c>
      <c r="U1799" s="406">
        <v>0</v>
      </c>
      <c r="V1799" s="406">
        <v>0</v>
      </c>
      <c r="W1799" s="327"/>
    </row>
    <row r="1800" spans="1:23" ht="13.5" thickTop="1" x14ac:dyDescent="0.2">
      <c r="A1800" s="9"/>
      <c r="B1800" s="309"/>
      <c r="C1800" s="447"/>
      <c r="D1800" s="327"/>
      <c r="E1800" s="327"/>
      <c r="F1800" s="327"/>
      <c r="G1800" s="327"/>
      <c r="H1800" s="327"/>
      <c r="I1800" s="327"/>
      <c r="J1800" s="327"/>
      <c r="K1800" s="327"/>
      <c r="L1800" s="327"/>
      <c r="M1800" s="327"/>
      <c r="N1800" s="327"/>
      <c r="O1800" s="327"/>
      <c r="P1800" s="327"/>
      <c r="Q1800" s="327"/>
      <c r="R1800" s="327"/>
      <c r="S1800" s="327"/>
      <c r="T1800" s="327"/>
      <c r="U1800" s="327"/>
      <c r="V1800" s="327"/>
      <c r="W1800" s="327"/>
    </row>
    <row r="1801" spans="1:23" x14ac:dyDescent="0.2">
      <c r="A1801" s="9"/>
      <c r="B1801" s="311" t="s">
        <v>233</v>
      </c>
      <c r="C1801" s="446">
        <v>0</v>
      </c>
      <c r="D1801" s="410">
        <v>3944189.2099658186</v>
      </c>
      <c r="E1801" s="410">
        <v>3006956.5716959098</v>
      </c>
      <c r="F1801" s="410">
        <v>2334650.2242537169</v>
      </c>
      <c r="G1801" s="410">
        <v>2350754.3641376775</v>
      </c>
      <c r="H1801" s="410">
        <v>2223727.6691048187</v>
      </c>
      <c r="I1801" s="410">
        <v>2159619.7792075202</v>
      </c>
      <c r="J1801" s="410">
        <v>1977303.3949813922</v>
      </c>
      <c r="K1801" s="410">
        <v>2150350.495554619</v>
      </c>
      <c r="L1801" s="410">
        <v>2203228.945917211</v>
      </c>
      <c r="M1801" s="410">
        <v>2243152.162819664</v>
      </c>
      <c r="N1801" s="410">
        <v>1718662.1292003759</v>
      </c>
      <c r="O1801" s="410">
        <v>2033823.1186700461</v>
      </c>
      <c r="P1801" s="410">
        <v>1894318.0372112065</v>
      </c>
      <c r="Q1801" s="410">
        <v>2393330.7242853101</v>
      </c>
      <c r="R1801" s="410">
        <v>2045214.1623250002</v>
      </c>
      <c r="S1801" s="410">
        <v>1630047.0307224093</v>
      </c>
      <c r="T1801" s="410">
        <v>1779517.2446115208</v>
      </c>
      <c r="U1801" s="410">
        <v>2083529.8623752953</v>
      </c>
      <c r="V1801" s="410">
        <v>1836343.7988173962</v>
      </c>
      <c r="W1801" s="408">
        <v>12078952.08661947</v>
      </c>
    </row>
    <row r="1802" spans="1:23" x14ac:dyDescent="0.2">
      <c r="A1802" s="9"/>
      <c r="B1802" s="286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</row>
    <row r="1803" spans="1:23" x14ac:dyDescent="0.2">
      <c r="A1803" s="302" t="s">
        <v>218</v>
      </c>
      <c r="B1803" s="300" t="s">
        <v>170</v>
      </c>
      <c r="C1803" s="433">
        <v>10811128.686094137</v>
      </c>
      <c r="D1803" s="9"/>
      <c r="E1803" s="137" t="s">
        <v>219</v>
      </c>
      <c r="F1803" s="313" t="s">
        <v>170</v>
      </c>
      <c r="G1803" s="437">
        <v>10811128.686094137</v>
      </c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</row>
    <row r="1804" spans="1:23" x14ac:dyDescent="0.2">
      <c r="A1804" s="9"/>
      <c r="B1804" s="300" t="s">
        <v>180</v>
      </c>
      <c r="C1804" s="433">
        <v>9336883.4789562132</v>
      </c>
      <c r="D1804" s="9"/>
      <c r="E1804" s="315"/>
      <c r="F1804" s="313" t="s">
        <v>180</v>
      </c>
      <c r="G1804" s="437">
        <v>9336883.4789562132</v>
      </c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</row>
    <row r="1805" spans="1:23" ht="13.5" thickBot="1" x14ac:dyDescent="0.25">
      <c r="A1805" s="9"/>
      <c r="B1805" s="316" t="s">
        <v>137</v>
      </c>
      <c r="C1805" s="434">
        <v>1795459.2608849164</v>
      </c>
      <c r="D1805" s="317"/>
      <c r="E1805" s="315"/>
      <c r="F1805" s="313" t="s">
        <v>137</v>
      </c>
      <c r="G1805" s="437">
        <v>1795459.2608849164</v>
      </c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</row>
    <row r="1806" spans="1:23" ht="14.25" thickTop="1" thickBot="1" x14ac:dyDescent="0.25">
      <c r="A1806" s="9"/>
      <c r="B1806" s="300" t="s">
        <v>28</v>
      </c>
      <c r="C1806" s="432">
        <v>21943471.425935268</v>
      </c>
      <c r="D1806" s="299"/>
      <c r="E1806" s="315"/>
      <c r="F1806" s="318" t="s">
        <v>203</v>
      </c>
      <c r="G1806" s="319">
        <v>0</v>
      </c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</row>
    <row r="1807" spans="1:23" ht="13.5" thickTop="1" x14ac:dyDescent="0.2">
      <c r="A1807" s="9"/>
      <c r="B1807" s="286"/>
      <c r="C1807" s="320"/>
      <c r="D1807" s="9"/>
      <c r="E1807" s="321"/>
      <c r="F1807" s="313" t="s">
        <v>28</v>
      </c>
      <c r="G1807" s="362">
        <v>21943471.425935268</v>
      </c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</row>
    <row r="1808" spans="1:23" x14ac:dyDescent="0.2">
      <c r="A1808" s="9"/>
      <c r="B1808" s="286"/>
      <c r="C1808" s="320"/>
      <c r="D1808" s="9"/>
      <c r="E1808" s="321"/>
      <c r="F1808" s="313"/>
      <c r="G1808" s="322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</row>
    <row r="1809" spans="1:23" x14ac:dyDescent="0.2">
      <c r="A1809" s="9"/>
      <c r="B1809" s="286"/>
      <c r="C1809" s="320"/>
      <c r="D1809" s="9"/>
      <c r="E1809" s="321"/>
      <c r="F1809" s="313"/>
      <c r="G1809" s="322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</row>
    <row r="1810" spans="1:23" x14ac:dyDescent="0.2">
      <c r="A1810" s="9"/>
      <c r="B1810" s="323" t="s">
        <v>222</v>
      </c>
      <c r="C1810" s="320"/>
      <c r="D1810" s="9"/>
      <c r="E1810" s="321"/>
      <c r="F1810" s="313"/>
      <c r="G1810" s="322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</row>
    <row r="1811" spans="1:23" x14ac:dyDescent="0.2">
      <c r="A1811" s="324" t="s">
        <v>224</v>
      </c>
      <c r="B1811" s="323" t="s">
        <v>223</v>
      </c>
      <c r="C1811" s="325"/>
      <c r="D1811" s="326">
        <v>1765949.5225491517</v>
      </c>
      <c r="E1811" s="326">
        <v>825178.13693110971</v>
      </c>
      <c r="F1811" s="326">
        <v>513278.54306128365</v>
      </c>
      <c r="G1811" s="326">
        <v>141178.61985144374</v>
      </c>
      <c r="H1811" s="326">
        <v>89138.133693618511</v>
      </c>
      <c r="I1811" s="326">
        <v>20353.886218923704</v>
      </c>
      <c r="J1811" s="326">
        <v>810942.68494200264</v>
      </c>
      <c r="K1811" s="326">
        <v>2066254.8543892256</v>
      </c>
      <c r="L1811" s="326">
        <v>2242157.9736400028</v>
      </c>
      <c r="M1811" s="326">
        <v>2293408.5595485098</v>
      </c>
      <c r="N1811" s="326">
        <v>1766949.1135770974</v>
      </c>
      <c r="O1811" s="326">
        <v>2080113.4762110207</v>
      </c>
      <c r="P1811" s="326">
        <v>1938596.5803201906</v>
      </c>
      <c r="Q1811" s="326">
        <v>2435660.4418626782</v>
      </c>
      <c r="R1811" s="326">
        <v>2085532.7329381364</v>
      </c>
      <c r="S1811" s="326">
        <v>1668167.6016290537</v>
      </c>
      <c r="T1811" s="326">
        <v>1815373.8758204784</v>
      </c>
      <c r="U1811" s="326">
        <v>2117054.6356956353</v>
      </c>
      <c r="V1811" s="326">
        <v>1867466.7585124606</v>
      </c>
      <c r="W1811" s="9"/>
    </row>
    <row r="1812" spans="1:23" x14ac:dyDescent="0.2">
      <c r="A1812" s="9"/>
      <c r="B1812" s="286" t="s">
        <v>225</v>
      </c>
      <c r="C1812" s="320"/>
      <c r="D1812" s="327">
        <v>1177299.6816994345</v>
      </c>
      <c r="E1812" s="327">
        <v>550118.75795407314</v>
      </c>
      <c r="F1812" s="327">
        <v>342185.69537418918</v>
      </c>
      <c r="G1812" s="327">
        <v>94119.07990096249</v>
      </c>
      <c r="H1812" s="327">
        <v>59425.422462412345</v>
      </c>
      <c r="I1812" s="327">
        <v>13569.257479282469</v>
      </c>
      <c r="J1812" s="327">
        <v>540628.45662800176</v>
      </c>
      <c r="K1812" s="327">
        <v>1377503.2362594837</v>
      </c>
      <c r="L1812" s="327">
        <v>1494771.9824266685</v>
      </c>
      <c r="M1812" s="327">
        <v>1528939.0396990068</v>
      </c>
      <c r="N1812" s="327">
        <v>1177966.075718065</v>
      </c>
      <c r="O1812" s="327">
        <v>1386742.3174740141</v>
      </c>
      <c r="P1812" s="327">
        <v>1292397.7202134607</v>
      </c>
      <c r="Q1812" s="327">
        <v>1623773.6279084522</v>
      </c>
      <c r="R1812" s="327">
        <v>1390355.155292091</v>
      </c>
      <c r="S1812" s="327">
        <v>1112111.7344193691</v>
      </c>
      <c r="T1812" s="327">
        <v>1210249.2505469858</v>
      </c>
      <c r="U1812" s="327">
        <v>1411369.7571304236</v>
      </c>
      <c r="V1812" s="327">
        <v>1244977.8390083071</v>
      </c>
      <c r="W1812" s="9"/>
    </row>
    <row r="1813" spans="1:23" x14ac:dyDescent="0.2">
      <c r="A1813" s="9"/>
      <c r="B1813" s="328" t="s">
        <v>226</v>
      </c>
      <c r="C1813" s="329"/>
      <c r="D1813" s="327">
        <v>2192518.1074166666</v>
      </c>
      <c r="E1813" s="327">
        <v>2196485.7847648002</v>
      </c>
      <c r="F1813" s="327">
        <v>2208445.8511924334</v>
      </c>
      <c r="G1813" s="327">
        <v>2225236.7842862336</v>
      </c>
      <c r="H1813" s="327">
        <v>2223926.6574112</v>
      </c>
      <c r="I1813" s="327">
        <v>2231283.1286485964</v>
      </c>
      <c r="J1813" s="327">
        <v>1261138.4627691896</v>
      </c>
      <c r="K1813" s="327">
        <v>181716.72647708759</v>
      </c>
      <c r="L1813" s="327">
        <v>61620.690148252885</v>
      </c>
      <c r="M1813" s="327">
        <v>53309.812678330796</v>
      </c>
      <c r="N1813" s="327">
        <v>58386.211312670064</v>
      </c>
      <c r="O1813" s="327">
        <v>63583.034019098828</v>
      </c>
      <c r="P1813" s="327">
        <v>68891.05019789112</v>
      </c>
      <c r="Q1813" s="327">
        <v>74234.963528713866</v>
      </c>
      <c r="R1813" s="327">
        <v>79743.050926127937</v>
      </c>
      <c r="S1813" s="327">
        <v>85542.899278797791</v>
      </c>
      <c r="T1813" s="327">
        <v>91516.743082047731</v>
      </c>
      <c r="U1813" s="327">
        <v>97669.802199395141</v>
      </c>
      <c r="V1813" s="327">
        <v>104007.45309026301</v>
      </c>
      <c r="W1813" s="9"/>
    </row>
    <row r="1814" spans="1:23" ht="13.5" thickBot="1" x14ac:dyDescent="0.25">
      <c r="A1814" s="9"/>
      <c r="B1814" s="330" t="s">
        <v>227</v>
      </c>
      <c r="C1814" s="331"/>
      <c r="D1814" s="332">
        <v>5135767.3116652528</v>
      </c>
      <c r="E1814" s="332">
        <v>3571782.6796499831</v>
      </c>
      <c r="F1814" s="332">
        <v>3063910.0896279062</v>
      </c>
      <c r="G1814" s="332">
        <v>2460534.4840386398</v>
      </c>
      <c r="H1814" s="332">
        <v>2372490.2135672309</v>
      </c>
      <c r="I1814" s="332">
        <v>2265206.2723468025</v>
      </c>
      <c r="J1814" s="332">
        <v>2612709.604339194</v>
      </c>
      <c r="K1814" s="332">
        <v>3625474.8171257968</v>
      </c>
      <c r="L1814" s="332">
        <v>3798550.6462149243</v>
      </c>
      <c r="M1814" s="332">
        <v>3875657.4119258472</v>
      </c>
      <c r="N1814" s="332">
        <v>3003301.4006078327</v>
      </c>
      <c r="O1814" s="332">
        <v>3530438.8277041335</v>
      </c>
      <c r="P1814" s="332">
        <v>3299885.3507315423</v>
      </c>
      <c r="Q1814" s="332">
        <v>4133669.0332998442</v>
      </c>
      <c r="R1814" s="332">
        <v>3555630.9391563553</v>
      </c>
      <c r="S1814" s="332">
        <v>2865822.2353272205</v>
      </c>
      <c r="T1814" s="332">
        <v>3117139.8694495121</v>
      </c>
      <c r="U1814" s="332">
        <v>3626094.1950254543</v>
      </c>
      <c r="V1814" s="332">
        <v>3216452.0506110308</v>
      </c>
      <c r="W1814" s="9"/>
    </row>
    <row r="1815" spans="1:23" ht="13.5" thickTop="1" x14ac:dyDescent="0.2">
      <c r="A1815" s="324" t="s">
        <v>228</v>
      </c>
      <c r="B1815" s="286" t="s">
        <v>229</v>
      </c>
      <c r="C1815" s="320"/>
      <c r="D1815" s="327">
        <v>-1830936.4025308667</v>
      </c>
      <c r="E1815" s="327">
        <v>-1831671.7700308666</v>
      </c>
      <c r="F1815" s="327">
        <v>-1851025.4785308666</v>
      </c>
      <c r="G1815" s="327">
        <v>-1851808.5305308667</v>
      </c>
      <c r="H1815" s="327">
        <v>-1856275.3866308667</v>
      </c>
      <c r="I1815" s="327">
        <v>-1860876.2484138666</v>
      </c>
      <c r="J1815" s="327">
        <v>-1865615.1360503566</v>
      </c>
      <c r="K1815" s="327">
        <v>-1870496.1903159413</v>
      </c>
      <c r="L1815" s="327">
        <v>-1875523.6762094935</v>
      </c>
      <c r="M1815" s="327">
        <v>-1880701.9866798522</v>
      </c>
      <c r="N1815" s="327">
        <v>-1886035.646464322</v>
      </c>
      <c r="O1815" s="327">
        <v>-1891529.3160423255</v>
      </c>
      <c r="P1815" s="327">
        <v>-1897187.7957076693</v>
      </c>
      <c r="Q1815" s="327">
        <v>-1903016.0297629735</v>
      </c>
      <c r="R1815" s="327">
        <v>-545622.14750660805</v>
      </c>
      <c r="S1815" s="327">
        <v>-163064.45101587541</v>
      </c>
      <c r="T1815" s="327">
        <v>-169433.11973042568</v>
      </c>
      <c r="U1815" s="327">
        <v>-175992.84850641247</v>
      </c>
      <c r="V1815" s="327">
        <v>-182749.36914567882</v>
      </c>
      <c r="W1815" s="9"/>
    </row>
    <row r="1816" spans="1:23" x14ac:dyDescent="0.2">
      <c r="A1816" s="9"/>
      <c r="B1816" s="286" t="s">
        <v>230</v>
      </c>
      <c r="C1816" s="320"/>
      <c r="D1816" s="327">
        <v>0</v>
      </c>
      <c r="E1816" s="327">
        <v>0</v>
      </c>
      <c r="F1816" s="327">
        <v>0</v>
      </c>
      <c r="G1816" s="327">
        <v>0</v>
      </c>
      <c r="H1816" s="327">
        <v>0</v>
      </c>
      <c r="I1816" s="327">
        <v>0</v>
      </c>
      <c r="J1816" s="327">
        <v>0</v>
      </c>
      <c r="K1816" s="327">
        <v>0</v>
      </c>
      <c r="L1816" s="327">
        <v>0</v>
      </c>
      <c r="M1816" s="327">
        <v>0</v>
      </c>
      <c r="N1816" s="327">
        <v>0</v>
      </c>
      <c r="O1816" s="327">
        <v>0</v>
      </c>
      <c r="P1816" s="327">
        <v>0</v>
      </c>
      <c r="Q1816" s="327">
        <v>0</v>
      </c>
      <c r="R1816" s="327">
        <v>0</v>
      </c>
      <c r="S1816" s="327">
        <v>0</v>
      </c>
      <c r="T1816" s="327">
        <v>0</v>
      </c>
      <c r="U1816" s="327">
        <v>0</v>
      </c>
      <c r="V1816" s="327">
        <v>0</v>
      </c>
      <c r="W1816" s="9"/>
    </row>
    <row r="1817" spans="1:23" x14ac:dyDescent="0.2">
      <c r="A1817" s="9"/>
      <c r="B1817" s="323" t="s">
        <v>231</v>
      </c>
      <c r="C1817" s="325"/>
      <c r="D1817" s="326">
        <v>3304830.9091343861</v>
      </c>
      <c r="E1817" s="326">
        <v>1740110.9096191165</v>
      </c>
      <c r="F1817" s="326">
        <v>1212884.6110970397</v>
      </c>
      <c r="G1817" s="326">
        <v>608725.95350777311</v>
      </c>
      <c r="H1817" s="326">
        <v>516214.82693636417</v>
      </c>
      <c r="I1817" s="326">
        <v>404330.0239329359</v>
      </c>
      <c r="J1817" s="326">
        <v>747094.46828883747</v>
      </c>
      <c r="K1817" s="326">
        <v>1754978.6268098555</v>
      </c>
      <c r="L1817" s="326">
        <v>1923026.9700054307</v>
      </c>
      <c r="M1817" s="326">
        <v>1994955.4252459949</v>
      </c>
      <c r="N1817" s="326">
        <v>1117265.7541435107</v>
      </c>
      <c r="O1817" s="326">
        <v>1638909.511661808</v>
      </c>
      <c r="P1817" s="326">
        <v>1402697.555023873</v>
      </c>
      <c r="Q1817" s="326">
        <v>2230653.0035368707</v>
      </c>
      <c r="R1817" s="326">
        <v>3010008.7916497472</v>
      </c>
      <c r="S1817" s="326">
        <v>2702757.7843113453</v>
      </c>
      <c r="T1817" s="326">
        <v>2947706.7497190866</v>
      </c>
      <c r="U1817" s="326">
        <v>3450101.3465190418</v>
      </c>
      <c r="V1817" s="326">
        <v>3033702.681465352</v>
      </c>
      <c r="W1817" s="9"/>
    </row>
    <row r="1818" spans="1:23" ht="13.5" thickBot="1" x14ac:dyDescent="0.25">
      <c r="A1818" s="9"/>
      <c r="B1818" s="333" t="s">
        <v>237</v>
      </c>
      <c r="C1818" s="334"/>
      <c r="D1818" s="335">
        <v>-1321932.3636537546</v>
      </c>
      <c r="E1818" s="335">
        <v>-696044.36384764663</v>
      </c>
      <c r="F1818" s="335">
        <v>-485153.8444388159</v>
      </c>
      <c r="G1818" s="335">
        <v>-243490.38140310926</v>
      </c>
      <c r="H1818" s="335">
        <v>-206485.93077454568</v>
      </c>
      <c r="I1818" s="335">
        <v>-161732.00957317438</v>
      </c>
      <c r="J1818" s="335">
        <v>-298837.78731553501</v>
      </c>
      <c r="K1818" s="335">
        <v>-701991.45072394225</v>
      </c>
      <c r="L1818" s="335">
        <v>-769210.78800217237</v>
      </c>
      <c r="M1818" s="335">
        <v>-797982.170098398</v>
      </c>
      <c r="N1818" s="335">
        <v>-446906.30165740428</v>
      </c>
      <c r="O1818" s="335">
        <v>-655563.80466472323</v>
      </c>
      <c r="P1818" s="335">
        <v>-561079.0220095492</v>
      </c>
      <c r="Q1818" s="335">
        <v>-892261.20141474833</v>
      </c>
      <c r="R1818" s="335">
        <v>-1204003.5166598989</v>
      </c>
      <c r="S1818" s="335">
        <v>-1081103.1137245381</v>
      </c>
      <c r="T1818" s="335">
        <v>-1179082.6998876347</v>
      </c>
      <c r="U1818" s="335">
        <v>-1380040.5386076169</v>
      </c>
      <c r="V1818" s="335">
        <v>-1213481.0725861408</v>
      </c>
      <c r="W1818" s="9"/>
    </row>
    <row r="1819" spans="1:23" ht="13.5" thickTop="1" x14ac:dyDescent="0.2">
      <c r="A1819" s="9"/>
      <c r="B1819" s="323" t="s">
        <v>232</v>
      </c>
      <c r="C1819" s="325"/>
      <c r="D1819" s="326">
        <v>1982898.5454806315</v>
      </c>
      <c r="E1819" s="326">
        <v>1044066.5457714698</v>
      </c>
      <c r="F1819" s="326">
        <v>727730.7666582237</v>
      </c>
      <c r="G1819" s="326">
        <v>365235.57210466382</v>
      </c>
      <c r="H1819" s="326">
        <v>309728.89616181853</v>
      </c>
      <c r="I1819" s="326">
        <v>242598.01435976152</v>
      </c>
      <c r="J1819" s="326">
        <v>448256.68097330246</v>
      </c>
      <c r="K1819" s="326">
        <v>1052987.1760859131</v>
      </c>
      <c r="L1819" s="326">
        <v>1153816.1820032583</v>
      </c>
      <c r="M1819" s="326">
        <v>1196973.2551475968</v>
      </c>
      <c r="N1819" s="326">
        <v>670359.45248610643</v>
      </c>
      <c r="O1819" s="326">
        <v>983345.70699708478</v>
      </c>
      <c r="P1819" s="326">
        <v>841618.5330143238</v>
      </c>
      <c r="Q1819" s="326">
        <v>1338391.8021221224</v>
      </c>
      <c r="R1819" s="326">
        <v>1806005.2749898483</v>
      </c>
      <c r="S1819" s="326">
        <v>1621654.6705868072</v>
      </c>
      <c r="T1819" s="326">
        <v>1768624.0498314518</v>
      </c>
      <c r="U1819" s="326">
        <v>2070060.8079114249</v>
      </c>
      <c r="V1819" s="326">
        <v>1820221.6088792111</v>
      </c>
      <c r="W1819" s="9"/>
    </row>
    <row r="1820" spans="1:23" x14ac:dyDescent="0.2">
      <c r="A1820" s="9"/>
      <c r="B1820" s="9"/>
      <c r="C1820" s="320"/>
      <c r="D1820" s="9"/>
      <c r="E1820" s="321"/>
      <c r="F1820" s="313"/>
      <c r="G1820" s="322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</row>
    <row r="1821" spans="1:23" ht="15.75" x14ac:dyDescent="0.25">
      <c r="A1821" s="336" t="s">
        <v>205</v>
      </c>
      <c r="B1821" s="337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</row>
    <row r="1822" spans="1:23" x14ac:dyDescent="0.2">
      <c r="A1822" s="284" t="s">
        <v>190</v>
      </c>
      <c r="B1822" s="303"/>
      <c r="C1822" s="338">
        <v>0</v>
      </c>
      <c r="D1822" s="277"/>
      <c r="E1822" s="277"/>
      <c r="F1822" s="277"/>
      <c r="G1822" s="277"/>
      <c r="H1822" s="277"/>
      <c r="I1822" s="277"/>
      <c r="J1822" s="277"/>
      <c r="K1822" s="277"/>
      <c r="L1822" s="277"/>
      <c r="M1822" s="277"/>
      <c r="N1822" s="277"/>
      <c r="O1822" s="277"/>
      <c r="P1822" s="277"/>
      <c r="Q1822" s="277"/>
      <c r="R1822" s="277"/>
      <c r="S1822" s="277"/>
      <c r="T1822" s="277"/>
      <c r="U1822" s="277"/>
      <c r="V1822" s="277"/>
      <c r="W1822" s="277"/>
    </row>
    <row r="1823" spans="1:23" x14ac:dyDescent="0.2">
      <c r="A1823" s="284" t="s">
        <v>191</v>
      </c>
      <c r="B1823" s="303"/>
      <c r="C1823" s="339">
        <v>0</v>
      </c>
      <c r="D1823" s="277"/>
      <c r="E1823" s="277"/>
      <c r="F1823" s="277"/>
      <c r="G1823" s="277"/>
      <c r="H1823" s="277"/>
      <c r="I1823" s="277"/>
      <c r="J1823" s="277"/>
      <c r="K1823" s="277"/>
      <c r="L1823" s="277"/>
      <c r="M1823" s="277"/>
      <c r="N1823" s="277"/>
      <c r="O1823" s="277"/>
      <c r="P1823" s="277"/>
      <c r="Q1823" s="277"/>
      <c r="R1823" s="277"/>
      <c r="S1823" s="277"/>
      <c r="T1823" s="277"/>
      <c r="U1823" s="277"/>
      <c r="V1823" s="277"/>
      <c r="W1823" s="277"/>
    </row>
    <row r="1824" spans="1:23" x14ac:dyDescent="0.2">
      <c r="A1824" s="284" t="s">
        <v>201</v>
      </c>
      <c r="B1824" s="303"/>
      <c r="C1824" s="284">
        <v>15</v>
      </c>
      <c r="D1824" s="277"/>
      <c r="E1824" s="277"/>
      <c r="F1824" s="277"/>
      <c r="G1824" s="277"/>
      <c r="H1824" s="277"/>
      <c r="I1824" s="277"/>
      <c r="J1824" s="277"/>
      <c r="K1824" s="277"/>
      <c r="L1824" s="277"/>
      <c r="M1824" s="277"/>
      <c r="N1824" s="277"/>
      <c r="O1824" s="277"/>
      <c r="P1824" s="277"/>
      <c r="Q1824" s="277"/>
      <c r="R1824" s="277"/>
      <c r="S1824" s="277"/>
      <c r="T1824" s="277"/>
      <c r="U1824" s="277"/>
      <c r="V1824" s="277"/>
      <c r="W1824" s="277"/>
    </row>
    <row r="1825" spans="1:23" x14ac:dyDescent="0.2">
      <c r="A1825" s="284" t="s">
        <v>192</v>
      </c>
      <c r="B1825" s="303"/>
      <c r="C1825" s="339">
        <v>0</v>
      </c>
      <c r="D1825" s="277"/>
      <c r="E1825" s="277"/>
      <c r="F1825" s="277"/>
      <c r="G1825" s="277"/>
      <c r="H1825" s="277"/>
      <c r="I1825" s="277"/>
      <c r="J1825" s="277"/>
      <c r="K1825" s="277"/>
      <c r="L1825" s="277"/>
      <c r="M1825" s="277"/>
      <c r="N1825" s="277"/>
      <c r="O1825" s="277"/>
      <c r="P1825" s="277"/>
      <c r="Q1825" s="277"/>
      <c r="R1825" s="277"/>
      <c r="S1825" s="277"/>
      <c r="T1825" s="277"/>
      <c r="U1825" s="277"/>
      <c r="V1825" s="277"/>
      <c r="W1825" s="277"/>
    </row>
    <row r="1826" spans="1:23" x14ac:dyDescent="0.2">
      <c r="A1826" s="284" t="s">
        <v>193</v>
      </c>
      <c r="B1826" s="303"/>
      <c r="C1826" s="340">
        <v>8.7499999999999994E-2</v>
      </c>
      <c r="D1826" s="277"/>
      <c r="E1826" s="277"/>
      <c r="F1826" s="277"/>
      <c r="G1826" s="277"/>
      <c r="H1826" s="277"/>
      <c r="I1826" s="277"/>
      <c r="J1826" s="277"/>
      <c r="K1826" s="277"/>
      <c r="L1826" s="277"/>
      <c r="M1826" s="277"/>
      <c r="N1826" s="277"/>
      <c r="O1826" s="277"/>
      <c r="P1826" s="277"/>
      <c r="Q1826" s="277"/>
      <c r="R1826" s="277"/>
      <c r="S1826" s="277"/>
      <c r="T1826" s="277"/>
      <c r="U1826" s="277"/>
      <c r="V1826" s="277"/>
      <c r="W1826" s="277"/>
    </row>
    <row r="1827" spans="1:23" x14ac:dyDescent="0.2">
      <c r="A1827" s="284"/>
      <c r="B1827" s="303"/>
      <c r="C1827" s="277"/>
      <c r="D1827" s="306">
        <v>2001</v>
      </c>
      <c r="E1827" s="306">
        <v>2002</v>
      </c>
      <c r="F1827" s="306">
        <v>2003</v>
      </c>
      <c r="G1827" s="306">
        <v>2004</v>
      </c>
      <c r="H1827" s="306">
        <v>2005</v>
      </c>
      <c r="I1827" s="306">
        <v>2006</v>
      </c>
      <c r="J1827" s="306">
        <v>2007</v>
      </c>
      <c r="K1827" s="306">
        <v>2008</v>
      </c>
      <c r="L1827" s="306">
        <v>2009</v>
      </c>
      <c r="M1827" s="306">
        <v>2010</v>
      </c>
      <c r="N1827" s="306">
        <v>2011</v>
      </c>
      <c r="O1827" s="306">
        <v>2012</v>
      </c>
      <c r="P1827" s="306">
        <v>2013</v>
      </c>
      <c r="Q1827" s="306">
        <v>2014</v>
      </c>
      <c r="R1827" s="306">
        <v>2015</v>
      </c>
      <c r="S1827" s="306">
        <v>2016</v>
      </c>
      <c r="T1827" s="306">
        <v>2017</v>
      </c>
      <c r="U1827" s="306">
        <v>2018</v>
      </c>
      <c r="V1827" s="306">
        <v>2019</v>
      </c>
      <c r="W1827" s="306" t="s">
        <v>154</v>
      </c>
    </row>
    <row r="1828" spans="1:23" x14ac:dyDescent="0.2">
      <c r="A1828" s="284" t="s">
        <v>194</v>
      </c>
      <c r="B1828" s="303"/>
      <c r="C1828" s="277"/>
      <c r="D1828" s="341">
        <v>0</v>
      </c>
      <c r="E1828" s="341">
        <v>0</v>
      </c>
      <c r="F1828" s="341">
        <v>0</v>
      </c>
      <c r="G1828" s="341">
        <v>0</v>
      </c>
      <c r="H1828" s="341">
        <v>0</v>
      </c>
      <c r="I1828" s="341">
        <v>0</v>
      </c>
      <c r="J1828" s="341">
        <v>0</v>
      </c>
      <c r="K1828" s="341">
        <v>0</v>
      </c>
      <c r="L1828" s="341">
        <v>0</v>
      </c>
      <c r="M1828" s="341">
        <v>0</v>
      </c>
      <c r="N1828" s="341">
        <v>0</v>
      </c>
      <c r="O1828" s="341">
        <v>0</v>
      </c>
      <c r="P1828" s="341">
        <v>0</v>
      </c>
      <c r="Q1828" s="341">
        <v>0</v>
      </c>
      <c r="R1828" s="341">
        <v>0</v>
      </c>
      <c r="S1828" s="341">
        <v>0</v>
      </c>
      <c r="T1828" s="341">
        <v>0</v>
      </c>
      <c r="U1828" s="341">
        <v>0</v>
      </c>
      <c r="V1828" s="341">
        <v>0</v>
      </c>
      <c r="W1828" s="341">
        <v>0</v>
      </c>
    </row>
    <row r="1829" spans="1:23" x14ac:dyDescent="0.2">
      <c r="A1829" s="284" t="s">
        <v>195</v>
      </c>
      <c r="B1829" s="303"/>
      <c r="C1829" s="277"/>
      <c r="D1829" s="341">
        <v>0</v>
      </c>
      <c r="E1829" s="341">
        <v>0</v>
      </c>
      <c r="F1829" s="341">
        <v>0</v>
      </c>
      <c r="G1829" s="341">
        <v>0</v>
      </c>
      <c r="H1829" s="341">
        <v>0</v>
      </c>
      <c r="I1829" s="341">
        <v>0</v>
      </c>
      <c r="J1829" s="341">
        <v>0</v>
      </c>
      <c r="K1829" s="341">
        <v>0</v>
      </c>
      <c r="L1829" s="341">
        <v>0</v>
      </c>
      <c r="M1829" s="341">
        <v>0</v>
      </c>
      <c r="N1829" s="341">
        <v>0</v>
      </c>
      <c r="O1829" s="341">
        <v>0</v>
      </c>
      <c r="P1829" s="341">
        <v>0</v>
      </c>
      <c r="Q1829" s="341">
        <v>0</v>
      </c>
      <c r="R1829" s="341">
        <v>0</v>
      </c>
      <c r="S1829" s="341">
        <v>0</v>
      </c>
      <c r="T1829" s="341">
        <v>0</v>
      </c>
      <c r="U1829" s="341">
        <v>0</v>
      </c>
      <c r="V1829" s="341">
        <v>0</v>
      </c>
      <c r="W1829" s="341">
        <v>0</v>
      </c>
    </row>
    <row r="1830" spans="1:23" x14ac:dyDescent="0.2">
      <c r="A1830" s="284" t="s">
        <v>196</v>
      </c>
      <c r="B1830" s="303"/>
      <c r="C1830" s="277"/>
      <c r="D1830" s="341">
        <v>0</v>
      </c>
      <c r="E1830" s="341">
        <v>0</v>
      </c>
      <c r="F1830" s="341">
        <v>0</v>
      </c>
      <c r="G1830" s="341">
        <v>0</v>
      </c>
      <c r="H1830" s="341">
        <v>0</v>
      </c>
      <c r="I1830" s="341">
        <v>0</v>
      </c>
      <c r="J1830" s="341">
        <v>0</v>
      </c>
      <c r="K1830" s="341">
        <v>0</v>
      </c>
      <c r="L1830" s="341">
        <v>0</v>
      </c>
      <c r="M1830" s="341">
        <v>0</v>
      </c>
      <c r="N1830" s="341">
        <v>0</v>
      </c>
      <c r="O1830" s="341">
        <v>0</v>
      </c>
      <c r="P1830" s="341">
        <v>0</v>
      </c>
      <c r="Q1830" s="341">
        <v>0</v>
      </c>
      <c r="R1830" s="341">
        <v>0</v>
      </c>
      <c r="S1830" s="341">
        <v>0</v>
      </c>
      <c r="T1830" s="341">
        <v>0</v>
      </c>
      <c r="U1830" s="341">
        <v>0</v>
      </c>
      <c r="V1830" s="341">
        <v>0</v>
      </c>
      <c r="W1830" s="341">
        <v>0</v>
      </c>
    </row>
    <row r="1831" spans="1:23" x14ac:dyDescent="0.2">
      <c r="A1831" s="284" t="s">
        <v>197</v>
      </c>
      <c r="B1831" s="303"/>
      <c r="C1831" s="277"/>
      <c r="D1831" s="342">
        <v>0</v>
      </c>
      <c r="E1831" s="342">
        <v>0</v>
      </c>
      <c r="F1831" s="342">
        <v>0</v>
      </c>
      <c r="G1831" s="342">
        <v>0</v>
      </c>
      <c r="H1831" s="342">
        <v>0</v>
      </c>
      <c r="I1831" s="342">
        <v>0</v>
      </c>
      <c r="J1831" s="342">
        <v>0</v>
      </c>
      <c r="K1831" s="342">
        <v>0</v>
      </c>
      <c r="L1831" s="342">
        <v>0</v>
      </c>
      <c r="M1831" s="342">
        <v>0</v>
      </c>
      <c r="N1831" s="342">
        <v>0</v>
      </c>
      <c r="O1831" s="342">
        <v>0</v>
      </c>
      <c r="P1831" s="342">
        <v>0</v>
      </c>
      <c r="Q1831" s="342">
        <v>0</v>
      </c>
      <c r="R1831" s="342">
        <v>0</v>
      </c>
      <c r="S1831" s="342">
        <v>0</v>
      </c>
      <c r="T1831" s="342">
        <v>0</v>
      </c>
      <c r="U1831" s="342">
        <v>0</v>
      </c>
      <c r="V1831" s="342">
        <v>0</v>
      </c>
      <c r="W1831" s="342">
        <v>0</v>
      </c>
    </row>
    <row r="1832" spans="1:23" ht="13.5" thickBot="1" x14ac:dyDescent="0.25">
      <c r="A1832" s="284" t="s">
        <v>198</v>
      </c>
      <c r="B1832" s="303"/>
      <c r="C1832" s="277"/>
      <c r="D1832" s="343">
        <v>0</v>
      </c>
      <c r="E1832" s="343">
        <v>0</v>
      </c>
      <c r="F1832" s="343">
        <v>0</v>
      </c>
      <c r="G1832" s="343">
        <v>0</v>
      </c>
      <c r="H1832" s="343">
        <v>0</v>
      </c>
      <c r="I1832" s="343">
        <v>0</v>
      </c>
      <c r="J1832" s="343">
        <v>0</v>
      </c>
      <c r="K1832" s="343">
        <v>0</v>
      </c>
      <c r="L1832" s="343">
        <v>0</v>
      </c>
      <c r="M1832" s="343">
        <v>0</v>
      </c>
      <c r="N1832" s="343">
        <v>0</v>
      </c>
      <c r="O1832" s="343">
        <v>0</v>
      </c>
      <c r="P1832" s="343">
        <v>0</v>
      </c>
      <c r="Q1832" s="343">
        <v>0</v>
      </c>
      <c r="R1832" s="343">
        <v>0</v>
      </c>
      <c r="S1832" s="343">
        <v>0</v>
      </c>
      <c r="T1832" s="343">
        <v>0</v>
      </c>
      <c r="U1832" s="343">
        <v>0</v>
      </c>
      <c r="V1832" s="343">
        <v>0</v>
      </c>
      <c r="W1832" s="343">
        <v>0</v>
      </c>
    </row>
    <row r="1833" spans="1:23" ht="13.5" thickTop="1" x14ac:dyDescent="0.2">
      <c r="A1833" s="284"/>
      <c r="B1833" s="303"/>
      <c r="C1833" s="277"/>
      <c r="D1833" s="341"/>
      <c r="E1833" s="341"/>
      <c r="F1833" s="341"/>
      <c r="G1833" s="341"/>
      <c r="H1833" s="341"/>
      <c r="I1833" s="341"/>
      <c r="J1833" s="341"/>
      <c r="K1833" s="341"/>
      <c r="L1833" s="341"/>
      <c r="M1833" s="341"/>
      <c r="N1833" s="341"/>
      <c r="O1833" s="341"/>
      <c r="P1833" s="341"/>
      <c r="Q1833" s="341"/>
      <c r="R1833" s="341"/>
      <c r="S1833" s="341"/>
      <c r="T1833" s="341"/>
      <c r="U1833" s="341"/>
      <c r="V1833" s="341"/>
      <c r="W1833" s="341"/>
    </row>
    <row r="1834" spans="1:23" x14ac:dyDescent="0.2">
      <c r="A1834" s="284" t="s">
        <v>199</v>
      </c>
      <c r="B1834" s="303"/>
      <c r="C1834" s="277"/>
      <c r="D1834" s="341">
        <v>0</v>
      </c>
      <c r="E1834" s="341">
        <v>0</v>
      </c>
      <c r="F1834" s="341">
        <v>0</v>
      </c>
      <c r="G1834" s="341">
        <v>0</v>
      </c>
      <c r="H1834" s="341">
        <v>0</v>
      </c>
      <c r="I1834" s="341">
        <v>0</v>
      </c>
      <c r="J1834" s="341">
        <v>0</v>
      </c>
      <c r="K1834" s="341">
        <v>0</v>
      </c>
      <c r="L1834" s="341">
        <v>0</v>
      </c>
      <c r="M1834" s="341">
        <v>0</v>
      </c>
      <c r="N1834" s="341">
        <v>0</v>
      </c>
      <c r="O1834" s="341">
        <v>0</v>
      </c>
      <c r="P1834" s="341">
        <v>0</v>
      </c>
      <c r="Q1834" s="341">
        <v>0</v>
      </c>
      <c r="R1834" s="341">
        <v>0</v>
      </c>
      <c r="S1834" s="341">
        <v>0</v>
      </c>
      <c r="T1834" s="341">
        <v>0</v>
      </c>
      <c r="U1834" s="341">
        <v>0</v>
      </c>
      <c r="V1834" s="341">
        <v>0</v>
      </c>
      <c r="W1834" s="341">
        <v>0</v>
      </c>
    </row>
    <row r="1835" spans="1:23" x14ac:dyDescent="0.2">
      <c r="A1835" s="284"/>
      <c r="B1835" s="303"/>
      <c r="C1835" s="277"/>
      <c r="D1835" s="277"/>
      <c r="E1835" s="277"/>
      <c r="F1835" s="277"/>
      <c r="G1835" s="277"/>
      <c r="H1835" s="277"/>
      <c r="I1835" s="277"/>
      <c r="J1835" s="277"/>
      <c r="K1835" s="277"/>
      <c r="L1835" s="277"/>
      <c r="M1835" s="277"/>
      <c r="N1835" s="277"/>
      <c r="O1835" s="277"/>
      <c r="P1835" s="277"/>
      <c r="Q1835" s="277"/>
      <c r="R1835" s="277"/>
      <c r="S1835" s="277"/>
      <c r="T1835" s="277"/>
      <c r="U1835" s="277"/>
      <c r="V1835" s="277"/>
      <c r="W1835" s="277"/>
    </row>
    <row r="1836" spans="1:23" x14ac:dyDescent="0.2">
      <c r="A1836" s="284" t="s">
        <v>200</v>
      </c>
      <c r="B1836" s="303"/>
      <c r="C1836" s="277"/>
      <c r="D1836" s="341">
        <v>0</v>
      </c>
      <c r="E1836" s="341">
        <v>0</v>
      </c>
      <c r="F1836" s="341">
        <v>0</v>
      </c>
      <c r="G1836" s="341">
        <v>0</v>
      </c>
      <c r="H1836" s="341">
        <v>0</v>
      </c>
      <c r="I1836" s="341">
        <v>0</v>
      </c>
      <c r="J1836" s="341">
        <v>0</v>
      </c>
      <c r="K1836" s="341">
        <v>0</v>
      </c>
      <c r="L1836" s="341">
        <v>0</v>
      </c>
      <c r="M1836" s="341">
        <v>0</v>
      </c>
      <c r="N1836" s="341">
        <v>0</v>
      </c>
      <c r="O1836" s="341">
        <v>0</v>
      </c>
      <c r="P1836" s="341">
        <v>0</v>
      </c>
      <c r="Q1836" s="341">
        <v>0</v>
      </c>
      <c r="R1836" s="341">
        <v>0</v>
      </c>
      <c r="S1836" s="341">
        <v>0</v>
      </c>
      <c r="T1836" s="341">
        <v>0</v>
      </c>
      <c r="U1836" s="341">
        <v>0</v>
      </c>
      <c r="V1836" s="341">
        <v>0</v>
      </c>
      <c r="W1836" s="341">
        <v>0</v>
      </c>
    </row>
    <row r="1837" spans="1:23" x14ac:dyDescent="0.2">
      <c r="A1837" s="277"/>
      <c r="B1837" s="303"/>
      <c r="C1837" s="277"/>
      <c r="D1837" s="277"/>
      <c r="E1837" s="277"/>
      <c r="F1837" s="277"/>
      <c r="G1837" s="277"/>
      <c r="H1837" s="277"/>
      <c r="I1837" s="277"/>
      <c r="J1837" s="277"/>
      <c r="K1837" s="277"/>
      <c r="L1837" s="277"/>
      <c r="M1837" s="277"/>
      <c r="N1837" s="277"/>
      <c r="O1837" s="277"/>
      <c r="P1837" s="277"/>
      <c r="Q1837" s="277"/>
      <c r="R1837" s="277"/>
      <c r="S1837" s="277"/>
      <c r="T1837" s="277"/>
      <c r="U1837" s="277"/>
      <c r="V1837" s="277"/>
      <c r="W1837" s="277"/>
    </row>
    <row r="1838" spans="1:23" x14ac:dyDescent="0.2">
      <c r="A1838" s="277"/>
      <c r="B1838" s="303"/>
      <c r="C1838" s="277"/>
      <c r="D1838" s="277"/>
      <c r="E1838" s="277"/>
      <c r="F1838" s="277"/>
      <c r="G1838" s="277"/>
      <c r="H1838" s="277"/>
      <c r="I1838" s="277"/>
      <c r="J1838" s="277"/>
      <c r="K1838" s="277"/>
      <c r="L1838" s="277"/>
      <c r="M1838" s="277"/>
      <c r="N1838" s="277"/>
      <c r="O1838" s="277"/>
      <c r="P1838" s="277"/>
      <c r="Q1838" s="277"/>
      <c r="R1838" s="277"/>
      <c r="S1838" s="277"/>
      <c r="T1838" s="277"/>
      <c r="U1838" s="277"/>
      <c r="V1838" s="277"/>
      <c r="W1838" s="277"/>
    </row>
    <row r="1839" spans="1:23" x14ac:dyDescent="0.2">
      <c r="A1839" s="284" t="s">
        <v>202</v>
      </c>
      <c r="B1839" s="279"/>
      <c r="C1839" s="278"/>
      <c r="D1839" s="435">
        <v>3944189.2099658186</v>
      </c>
      <c r="E1839" s="435">
        <v>3006956.5716959098</v>
      </c>
      <c r="F1839" s="435">
        <v>2334650.2242537169</v>
      </c>
      <c r="G1839" s="435">
        <v>2350754.3641376775</v>
      </c>
      <c r="H1839" s="435">
        <v>2223727.6691048187</v>
      </c>
      <c r="I1839" s="435">
        <v>2159619.7792075202</v>
      </c>
      <c r="J1839" s="435">
        <v>1977303.3949813922</v>
      </c>
      <c r="K1839" s="435">
        <v>2150350.495554619</v>
      </c>
      <c r="L1839" s="435">
        <v>2203228.945917211</v>
      </c>
      <c r="M1839" s="435">
        <v>2243152.162819664</v>
      </c>
      <c r="N1839" s="435">
        <v>1718662.1292003759</v>
      </c>
      <c r="O1839" s="435">
        <v>2033823.1186700461</v>
      </c>
      <c r="P1839" s="435">
        <v>1894318.0372112065</v>
      </c>
      <c r="Q1839" s="435">
        <v>2393330.7242853101</v>
      </c>
      <c r="R1839" s="435">
        <v>2045214.1623250002</v>
      </c>
      <c r="S1839" s="435">
        <v>1630047.0307224093</v>
      </c>
      <c r="T1839" s="435">
        <v>1779517.2446115208</v>
      </c>
      <c r="U1839" s="435">
        <v>2083529.8623752953</v>
      </c>
      <c r="V1839" s="435">
        <v>1836343.7988173962</v>
      </c>
      <c r="W1839" s="435">
        <v>12078952.08661947</v>
      </c>
    </row>
    <row r="1840" spans="1:23" x14ac:dyDescent="0.2">
      <c r="A1840" s="9"/>
      <c r="B1840" s="6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</row>
    <row r="1841" spans="1:23" x14ac:dyDescent="0.2">
      <c r="A1841" s="292"/>
      <c r="B1841" s="360"/>
      <c r="C1841" s="370"/>
      <c r="D1841" s="68"/>
      <c r="E1841" s="68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68"/>
      <c r="T1841" s="68"/>
      <c r="U1841" s="68"/>
      <c r="V1841" s="68"/>
      <c r="W1841" s="68"/>
    </row>
    <row r="1842" spans="1:23" x14ac:dyDescent="0.2">
      <c r="A1842" s="292"/>
      <c r="B1842" s="360"/>
      <c r="C1842" s="370"/>
      <c r="D1842" s="68"/>
      <c r="E1842" s="68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68"/>
      <c r="T1842" s="68"/>
      <c r="U1842" s="68"/>
      <c r="V1842" s="68"/>
      <c r="W1842" s="68"/>
    </row>
    <row r="1843" spans="1:23" x14ac:dyDescent="0.2">
      <c r="A1843" s="292"/>
      <c r="B1843" s="360"/>
      <c r="C1843" s="370"/>
      <c r="D1843" s="68"/>
      <c r="E1843" s="68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68"/>
      <c r="T1843" s="68"/>
      <c r="U1843" s="68"/>
      <c r="V1843" s="68"/>
      <c r="W1843" s="68"/>
    </row>
    <row r="1844" spans="1:23" x14ac:dyDescent="0.2">
      <c r="A1844" s="292"/>
      <c r="B1844" s="360"/>
      <c r="C1844" s="370"/>
      <c r="D1844" s="68"/>
      <c r="E1844" s="68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68"/>
      <c r="T1844" s="68"/>
      <c r="U1844" s="68"/>
      <c r="V1844" s="68"/>
      <c r="W1844" s="68"/>
    </row>
    <row r="1845" spans="1:23" x14ac:dyDescent="0.2">
      <c r="A1845" s="292"/>
      <c r="B1845" s="360"/>
      <c r="C1845" s="370"/>
      <c r="D1845" s="370"/>
      <c r="E1845" s="370"/>
      <c r="F1845" s="370"/>
      <c r="G1845" s="370"/>
      <c r="H1845" s="370"/>
      <c r="I1845" s="370"/>
      <c r="J1845" s="370"/>
      <c r="K1845" s="370"/>
      <c r="L1845" s="370"/>
      <c r="M1845" s="370"/>
      <c r="N1845" s="370"/>
      <c r="O1845" s="370"/>
      <c r="P1845" s="370"/>
      <c r="Q1845" s="370"/>
      <c r="R1845" s="370"/>
      <c r="S1845" s="370"/>
      <c r="T1845" s="370"/>
      <c r="U1845" s="370"/>
      <c r="V1845" s="370"/>
      <c r="W1845" s="370"/>
    </row>
    <row r="1846" spans="1:23" x14ac:dyDescent="0.2">
      <c r="A1846" s="292"/>
      <c r="B1846" s="360"/>
      <c r="C1846" s="370"/>
      <c r="D1846" s="68"/>
      <c r="E1846" s="68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68"/>
      <c r="T1846" s="68"/>
      <c r="U1846" s="68"/>
      <c r="V1846" s="68"/>
      <c r="W1846" s="68"/>
    </row>
    <row r="1847" spans="1:23" x14ac:dyDescent="0.2">
      <c r="A1847" s="370"/>
      <c r="B1847" s="360"/>
      <c r="C1847" s="370"/>
      <c r="D1847" s="370"/>
      <c r="E1847" s="370"/>
      <c r="F1847" s="370"/>
      <c r="G1847" s="370"/>
      <c r="H1847" s="370"/>
      <c r="I1847" s="370"/>
      <c r="J1847" s="370"/>
      <c r="K1847" s="370"/>
      <c r="L1847" s="370"/>
      <c r="M1847" s="370"/>
      <c r="N1847" s="370"/>
      <c r="O1847" s="370"/>
      <c r="P1847" s="370"/>
      <c r="Q1847" s="370"/>
      <c r="R1847" s="370"/>
      <c r="S1847" s="370"/>
      <c r="T1847" s="370"/>
      <c r="U1847" s="370"/>
      <c r="V1847" s="370"/>
      <c r="W1847" s="370"/>
    </row>
    <row r="1848" spans="1:23" ht="15.75" x14ac:dyDescent="0.25">
      <c r="A1848" s="302" t="s">
        <v>29</v>
      </c>
      <c r="B1848" s="305" t="s">
        <v>81</v>
      </c>
      <c r="C1848" s="306">
        <v>2000</v>
      </c>
      <c r="D1848" s="306">
        <v>2001</v>
      </c>
      <c r="E1848" s="306">
        <v>2002</v>
      </c>
      <c r="F1848" s="306">
        <v>2003</v>
      </c>
      <c r="G1848" s="306">
        <v>2004</v>
      </c>
      <c r="H1848" s="306">
        <v>2005</v>
      </c>
      <c r="I1848" s="306">
        <v>2006</v>
      </c>
      <c r="J1848" s="306">
        <v>2007</v>
      </c>
      <c r="K1848" s="306">
        <v>2008</v>
      </c>
      <c r="L1848" s="306">
        <v>2009</v>
      </c>
      <c r="M1848" s="306">
        <v>2010</v>
      </c>
      <c r="N1848" s="306">
        <v>2011</v>
      </c>
      <c r="O1848" s="306">
        <v>2012</v>
      </c>
      <c r="P1848" s="306">
        <v>2013</v>
      </c>
      <c r="Q1848" s="306">
        <v>2014</v>
      </c>
      <c r="R1848" s="306">
        <v>2015</v>
      </c>
      <c r="S1848" s="306">
        <v>2016</v>
      </c>
      <c r="T1848" s="306">
        <v>2017</v>
      </c>
      <c r="U1848" s="306">
        <v>2018</v>
      </c>
      <c r="V1848" s="306">
        <v>2019</v>
      </c>
      <c r="W1848" s="306" t="s">
        <v>154</v>
      </c>
    </row>
    <row r="1849" spans="1:23" x14ac:dyDescent="0.2">
      <c r="A1849" s="302" t="s">
        <v>26</v>
      </c>
      <c r="B1849" s="303">
        <v>83.433000000000007</v>
      </c>
      <c r="C1849" s="308"/>
      <c r="D1849" s="308"/>
      <c r="E1849" s="308"/>
      <c r="F1849" s="308"/>
      <c r="G1849" s="308"/>
      <c r="H1849" s="308"/>
      <c r="I1849" s="308"/>
      <c r="J1849" s="308"/>
      <c r="K1849" s="308"/>
      <c r="L1849" s="308"/>
      <c r="M1849" s="308"/>
      <c r="N1849" s="308"/>
      <c r="O1849" s="308"/>
      <c r="P1849" s="308"/>
      <c r="Q1849" s="308"/>
      <c r="R1849" s="308"/>
      <c r="S1849" s="308"/>
      <c r="T1849" s="308"/>
      <c r="U1849" s="308"/>
      <c r="V1849" s="308"/>
      <c r="W1849" s="308"/>
    </row>
    <row r="1850" spans="1:23" x14ac:dyDescent="0.2">
      <c r="A1850" s="9"/>
      <c r="B1850" s="309" t="s">
        <v>27</v>
      </c>
      <c r="C1850" s="443">
        <v>0</v>
      </c>
      <c r="D1850" s="404">
        <v>8202175.3914196901</v>
      </c>
      <c r="E1850" s="404">
        <v>7219125.1955624679</v>
      </c>
      <c r="F1850" s="404">
        <v>6975429.9289103542</v>
      </c>
      <c r="G1850" s="404">
        <v>6698801.5398195479</v>
      </c>
      <c r="H1850" s="404">
        <v>6877286.9012491489</v>
      </c>
      <c r="I1850" s="404">
        <v>7875918.1611640118</v>
      </c>
      <c r="J1850" s="404">
        <v>9532366.5123401303</v>
      </c>
      <c r="K1850" s="404">
        <v>12117113.010367623</v>
      </c>
      <c r="L1850" s="404">
        <v>12861496.066195816</v>
      </c>
      <c r="M1850" s="404">
        <v>11066696.097163459</v>
      </c>
      <c r="N1850" s="404">
        <v>10846097.9980071</v>
      </c>
      <c r="O1850" s="404">
        <v>10837165.461976836</v>
      </c>
      <c r="P1850" s="404">
        <v>10010041.080739968</v>
      </c>
      <c r="Q1850" s="404">
        <v>11607660.599296786</v>
      </c>
      <c r="R1850" s="404">
        <v>10822858.676266527</v>
      </c>
      <c r="S1850" s="404">
        <v>10915874.081664842</v>
      </c>
      <c r="T1850" s="404">
        <v>10065899.077409105</v>
      </c>
      <c r="U1850" s="404">
        <v>11407206.886303719</v>
      </c>
      <c r="V1850" s="404">
        <v>12342873.484122811</v>
      </c>
      <c r="W1850" s="327"/>
    </row>
    <row r="1851" spans="1:23" x14ac:dyDescent="0.2">
      <c r="A1851" s="9"/>
      <c r="B1851" s="309" t="s">
        <v>20</v>
      </c>
      <c r="C1851" s="443">
        <v>0</v>
      </c>
      <c r="D1851" s="404">
        <v>-2443747.1509538759</v>
      </c>
      <c r="E1851" s="404">
        <v>-2991581.0524151698</v>
      </c>
      <c r="F1851" s="404">
        <v>-3235039.6998927929</v>
      </c>
      <c r="G1851" s="404">
        <v>-3544191.9755981402</v>
      </c>
      <c r="H1851" s="404">
        <v>-3794796.9656743901</v>
      </c>
      <c r="I1851" s="404">
        <v>-4944426.379624729</v>
      </c>
      <c r="J1851" s="404">
        <v>-6219182.8226861553</v>
      </c>
      <c r="K1851" s="404">
        <v>-7723082.376592651</v>
      </c>
      <c r="L1851" s="404">
        <v>-8284094.1225295514</v>
      </c>
      <c r="M1851" s="404">
        <v>-6482347.8668211428</v>
      </c>
      <c r="N1851" s="404">
        <v>-7112818.1669523586</v>
      </c>
      <c r="O1851" s="404">
        <v>-6598867.186659608</v>
      </c>
      <c r="P1851" s="404">
        <v>-6033835.2006924925</v>
      </c>
      <c r="Q1851" s="404">
        <v>-6785562.7186127715</v>
      </c>
      <c r="R1851" s="404">
        <v>-6609183.756585882</v>
      </c>
      <c r="S1851" s="404">
        <v>-7384920.3865921488</v>
      </c>
      <c r="T1851" s="404">
        <v>-6300625.6205580141</v>
      </c>
      <c r="U1851" s="404">
        <v>-7074580.3602302261</v>
      </c>
      <c r="V1851" s="404">
        <v>-8373327.4147212766</v>
      </c>
      <c r="W1851" s="327"/>
    </row>
    <row r="1852" spans="1:23" x14ac:dyDescent="0.2">
      <c r="A1852" s="9"/>
      <c r="B1852" s="309" t="s">
        <v>31</v>
      </c>
      <c r="C1852" s="443">
        <v>0</v>
      </c>
      <c r="D1852" s="404">
        <v>-60965.996027048721</v>
      </c>
      <c r="E1852" s="404">
        <v>-86226.881744492581</v>
      </c>
      <c r="F1852" s="404">
        <v>-98920.092928497703</v>
      </c>
      <c r="G1852" s="404">
        <v>-108302.35780039914</v>
      </c>
      <c r="H1852" s="404">
        <v>-115803.71590397664</v>
      </c>
      <c r="I1852" s="404">
        <v>-156864.88597871904</v>
      </c>
      <c r="J1852" s="404">
        <v>-192371.5306182226</v>
      </c>
      <c r="K1852" s="404">
        <v>-262154.68285510957</v>
      </c>
      <c r="L1852" s="404">
        <v>-274514.62646256847</v>
      </c>
      <c r="M1852" s="404">
        <v>-209035.46436537022</v>
      </c>
      <c r="N1852" s="404">
        <v>-234968.36063169062</v>
      </c>
      <c r="O1852" s="404">
        <v>-219679.09216769069</v>
      </c>
      <c r="P1852" s="404">
        <v>-198816.52750715817</v>
      </c>
      <c r="Q1852" s="404">
        <v>-222370.27289478772</v>
      </c>
      <c r="R1852" s="404">
        <v>-204501.47078899431</v>
      </c>
      <c r="S1852" s="404">
        <v>-224078.64365781232</v>
      </c>
      <c r="T1852" s="404">
        <v>-191744.26729954788</v>
      </c>
      <c r="U1852" s="404">
        <v>-202409.85965082719</v>
      </c>
      <c r="V1852" s="404">
        <v>-245710.99012228646</v>
      </c>
      <c r="W1852" s="327"/>
    </row>
    <row r="1853" spans="1:23" x14ac:dyDescent="0.2">
      <c r="A1853" s="9"/>
      <c r="B1853" s="309" t="s">
        <v>32</v>
      </c>
      <c r="C1853" s="443">
        <v>0</v>
      </c>
      <c r="D1853" s="404">
        <v>0</v>
      </c>
      <c r="E1853" s="404">
        <v>0</v>
      </c>
      <c r="F1853" s="404">
        <v>0</v>
      </c>
      <c r="G1853" s="404">
        <v>0</v>
      </c>
      <c r="H1853" s="404">
        <v>0</v>
      </c>
      <c r="I1853" s="404">
        <v>93418.023327088376</v>
      </c>
      <c r="J1853" s="404">
        <v>103546.416256845</v>
      </c>
      <c r="K1853" s="404">
        <v>114259.16746337658</v>
      </c>
      <c r="L1853" s="404">
        <v>125495.63771574097</v>
      </c>
      <c r="M1853" s="404">
        <v>139570.44415525725</v>
      </c>
      <c r="N1853" s="404">
        <v>153747.39907892016</v>
      </c>
      <c r="O1853" s="404">
        <v>170347.50869303249</v>
      </c>
      <c r="P1853" s="404">
        <v>191004.36881418826</v>
      </c>
      <c r="Q1853" s="404">
        <v>212617.66815241956</v>
      </c>
      <c r="R1853" s="404">
        <v>235515.42537247401</v>
      </c>
      <c r="S1853" s="404">
        <v>258595.6474313915</v>
      </c>
      <c r="T1853" s="404">
        <v>254057.61645580616</v>
      </c>
      <c r="U1853" s="404">
        <v>217360.03222342019</v>
      </c>
      <c r="V1853" s="404">
        <v>225362.25124239805</v>
      </c>
      <c r="W1853" s="327"/>
    </row>
    <row r="1854" spans="1:23" ht="13.5" thickBot="1" x14ac:dyDescent="0.25">
      <c r="A1854" s="9"/>
      <c r="B1854" s="310" t="s">
        <v>33</v>
      </c>
      <c r="C1854" s="444">
        <v>0</v>
      </c>
      <c r="D1854" s="406">
        <v>0</v>
      </c>
      <c r="E1854" s="406">
        <v>0</v>
      </c>
      <c r="F1854" s="406">
        <v>0</v>
      </c>
      <c r="G1854" s="406">
        <v>0</v>
      </c>
      <c r="H1854" s="406">
        <v>0</v>
      </c>
      <c r="I1854" s="406">
        <v>0</v>
      </c>
      <c r="J1854" s="406">
        <v>0</v>
      </c>
      <c r="K1854" s="406">
        <v>0</v>
      </c>
      <c r="L1854" s="406">
        <v>0</v>
      </c>
      <c r="M1854" s="406">
        <v>0</v>
      </c>
      <c r="N1854" s="406">
        <v>0</v>
      </c>
      <c r="O1854" s="406">
        <v>0</v>
      </c>
      <c r="P1854" s="406">
        <v>0</v>
      </c>
      <c r="Q1854" s="406">
        <v>0</v>
      </c>
      <c r="R1854" s="406">
        <v>0</v>
      </c>
      <c r="S1854" s="406">
        <v>0</v>
      </c>
      <c r="T1854" s="406">
        <v>0</v>
      </c>
      <c r="U1854" s="406">
        <v>0</v>
      </c>
      <c r="V1854" s="406">
        <v>0</v>
      </c>
      <c r="W1854" s="327"/>
    </row>
    <row r="1855" spans="1:23" ht="13.5" thickTop="1" x14ac:dyDescent="0.2">
      <c r="A1855" s="9"/>
      <c r="B1855" s="311" t="s">
        <v>38</v>
      </c>
      <c r="C1855" s="445">
        <v>0</v>
      </c>
      <c r="D1855" s="408">
        <v>5697462.2444387656</v>
      </c>
      <c r="E1855" s="408">
        <v>4141317.2614028053</v>
      </c>
      <c r="F1855" s="408">
        <v>3641470.1360890637</v>
      </c>
      <c r="G1855" s="408">
        <v>3046307.2064210088</v>
      </c>
      <c r="H1855" s="408">
        <v>2966686.2196707823</v>
      </c>
      <c r="I1855" s="408">
        <v>2868044.918887652</v>
      </c>
      <c r="J1855" s="408">
        <v>3224358.5752925975</v>
      </c>
      <c r="K1855" s="408">
        <v>4246135.1183832381</v>
      </c>
      <c r="L1855" s="408">
        <v>4428382.9549194369</v>
      </c>
      <c r="M1855" s="408">
        <v>4514883.2101322031</v>
      </c>
      <c r="N1855" s="408">
        <v>3652058.8695019707</v>
      </c>
      <c r="O1855" s="408">
        <v>4188966.691842569</v>
      </c>
      <c r="P1855" s="408">
        <v>3968393.721354505</v>
      </c>
      <c r="Q1855" s="408">
        <v>4812345.2759416467</v>
      </c>
      <c r="R1855" s="408">
        <v>4244688.8742641248</v>
      </c>
      <c r="S1855" s="408">
        <v>3565470.6988462717</v>
      </c>
      <c r="T1855" s="408">
        <v>3827586.8060073494</v>
      </c>
      <c r="U1855" s="408">
        <v>4347576.6986460863</v>
      </c>
      <c r="V1855" s="408">
        <v>3949197.330521646</v>
      </c>
      <c r="W1855" s="327"/>
    </row>
    <row r="1856" spans="1:23" x14ac:dyDescent="0.2">
      <c r="A1856" s="9"/>
      <c r="B1856" s="309" t="s">
        <v>34</v>
      </c>
      <c r="C1856" s="443">
        <v>0</v>
      </c>
      <c r="D1856" s="404">
        <v>-355535.16277078062</v>
      </c>
      <c r="E1856" s="404">
        <v>-362645.86602619622</v>
      </c>
      <c r="F1856" s="404">
        <v>-369898.78334672016</v>
      </c>
      <c r="G1856" s="404">
        <v>-377296.75901365455</v>
      </c>
      <c r="H1856" s="404">
        <v>-384842.69419392763</v>
      </c>
      <c r="I1856" s="404">
        <v>-392539.54807780619</v>
      </c>
      <c r="J1856" s="404">
        <v>-400390.33903936233</v>
      </c>
      <c r="K1856" s="404">
        <v>-408398.14582014957</v>
      </c>
      <c r="L1856" s="404">
        <v>-416566.10873655259</v>
      </c>
      <c r="M1856" s="404">
        <v>-424897.43091128365</v>
      </c>
      <c r="N1856" s="404">
        <v>-433395.37952950934</v>
      </c>
      <c r="O1856" s="404">
        <v>-442063.28712009953</v>
      </c>
      <c r="P1856" s="404">
        <v>-450904.55286250153</v>
      </c>
      <c r="Q1856" s="404">
        <v>-459922.64391975157</v>
      </c>
      <c r="R1856" s="404">
        <v>-469121.09679814661</v>
      </c>
      <c r="S1856" s="404">
        <v>-478503.51873410953</v>
      </c>
      <c r="T1856" s="404">
        <v>-488073.58910879173</v>
      </c>
      <c r="U1856" s="404">
        <v>-497835.06089096755</v>
      </c>
      <c r="V1856" s="404">
        <v>-507791.7621087869</v>
      </c>
      <c r="W1856" s="327"/>
    </row>
    <row r="1857" spans="1:23" x14ac:dyDescent="0.2">
      <c r="A1857" s="9"/>
      <c r="B1857" s="309" t="s">
        <v>35</v>
      </c>
      <c r="C1857" s="443">
        <v>0</v>
      </c>
      <c r="D1857" s="404">
        <v>-171612.57929687499</v>
      </c>
      <c r="E1857" s="404">
        <v>-171612.57929687499</v>
      </c>
      <c r="F1857" s="404">
        <v>-171612.57929687499</v>
      </c>
      <c r="G1857" s="404">
        <v>-171612.57929687499</v>
      </c>
      <c r="H1857" s="404">
        <v>-171612.57929687499</v>
      </c>
      <c r="I1857" s="404">
        <v>-171612.57929687499</v>
      </c>
      <c r="J1857" s="404">
        <v>-171612.57929687499</v>
      </c>
      <c r="K1857" s="404">
        <v>-171612.57929687499</v>
      </c>
      <c r="L1857" s="404">
        <v>-171612.57929687499</v>
      </c>
      <c r="M1857" s="404">
        <v>-171612.57929687499</v>
      </c>
      <c r="N1857" s="404">
        <v>-171612.57929687499</v>
      </c>
      <c r="O1857" s="404">
        <v>-171612.57929687499</v>
      </c>
      <c r="P1857" s="404">
        <v>-171612.57929687499</v>
      </c>
      <c r="Q1857" s="404">
        <v>-171612.57929687499</v>
      </c>
      <c r="R1857" s="404">
        <v>-171612.57929687499</v>
      </c>
      <c r="S1857" s="404">
        <v>-171612.57929687499</v>
      </c>
      <c r="T1857" s="404">
        <v>-171612.57929687499</v>
      </c>
      <c r="U1857" s="404">
        <v>-171612.57929687499</v>
      </c>
      <c r="V1857" s="404">
        <v>-171612.57929687499</v>
      </c>
      <c r="W1857" s="327"/>
    </row>
    <row r="1858" spans="1:23" ht="13.5" thickBot="1" x14ac:dyDescent="0.25">
      <c r="A1858" s="9"/>
      <c r="B1858" s="310" t="s">
        <v>36</v>
      </c>
      <c r="C1858" s="444">
        <v>0</v>
      </c>
      <c r="D1858" s="406">
        <v>-34547.1907058574</v>
      </c>
      <c r="E1858" s="406">
        <v>-35276.136429751197</v>
      </c>
      <c r="F1858" s="406">
        <v>-36048.6838175628</v>
      </c>
      <c r="G1858" s="406">
        <v>-36863.384071839399</v>
      </c>
      <c r="H1858" s="406">
        <v>-37740.7326127493</v>
      </c>
      <c r="I1858" s="406">
        <v>-38686.5191661684</v>
      </c>
      <c r="J1858" s="406">
        <v>-39646.052617166402</v>
      </c>
      <c r="K1858" s="406">
        <v>-40649.576140416597</v>
      </c>
      <c r="L1858" s="406">
        <v>-41653.6206710849</v>
      </c>
      <c r="M1858" s="406">
        <v>-42715.787998197498</v>
      </c>
      <c r="N1858" s="406">
        <v>-43749.510067754003</v>
      </c>
      <c r="O1858" s="406">
        <v>-44851.997721461303</v>
      </c>
      <c r="P1858" s="406">
        <v>-45991.238463586298</v>
      </c>
      <c r="Q1858" s="406">
        <v>-47141.019425175997</v>
      </c>
      <c r="R1858" s="406">
        <v>-48324.259012747898</v>
      </c>
      <c r="S1858" s="406">
        <v>-49532.365488066702</v>
      </c>
      <c r="T1858" s="406">
        <v>-50760.768152170604</v>
      </c>
      <c r="U1858" s="406">
        <v>-52034.863432790196</v>
      </c>
      <c r="V1858" s="406">
        <v>-53340.938504953301</v>
      </c>
      <c r="W1858" s="327"/>
    </row>
    <row r="1859" spans="1:23" ht="13.5" thickTop="1" x14ac:dyDescent="0.2">
      <c r="A1859" s="9"/>
      <c r="B1859" s="311" t="s">
        <v>220</v>
      </c>
      <c r="C1859" s="446">
        <v>0</v>
      </c>
      <c r="D1859" s="410">
        <v>5135767.3116652528</v>
      </c>
      <c r="E1859" s="410">
        <v>3571782.6796499831</v>
      </c>
      <c r="F1859" s="410">
        <v>3063910.0896279062</v>
      </c>
      <c r="G1859" s="410">
        <v>2460534.4840386398</v>
      </c>
      <c r="H1859" s="410">
        <v>2372490.2135672309</v>
      </c>
      <c r="I1859" s="410">
        <v>2265206.2723468025</v>
      </c>
      <c r="J1859" s="410">
        <v>2612709.604339194</v>
      </c>
      <c r="K1859" s="410">
        <v>3625474.8171257968</v>
      </c>
      <c r="L1859" s="410">
        <v>3798550.6462149243</v>
      </c>
      <c r="M1859" s="410">
        <v>3875657.4119258472</v>
      </c>
      <c r="N1859" s="410">
        <v>3003301.4006078327</v>
      </c>
      <c r="O1859" s="410">
        <v>3530438.8277041335</v>
      </c>
      <c r="P1859" s="410">
        <v>3299885.3507315423</v>
      </c>
      <c r="Q1859" s="410">
        <v>4133669.0332998438</v>
      </c>
      <c r="R1859" s="410">
        <v>3555630.9391563553</v>
      </c>
      <c r="S1859" s="410">
        <v>2865822.2353272205</v>
      </c>
      <c r="T1859" s="410">
        <v>3117139.8694495121</v>
      </c>
      <c r="U1859" s="410">
        <v>3626094.1950254538</v>
      </c>
      <c r="V1859" s="410">
        <v>3216452.0506110308</v>
      </c>
      <c r="W1859" s="327"/>
    </row>
    <row r="1860" spans="1:23" x14ac:dyDescent="0.2">
      <c r="A1860" s="9"/>
      <c r="B1860" s="309" t="s">
        <v>37</v>
      </c>
      <c r="C1860" s="443">
        <v>0</v>
      </c>
      <c r="D1860" s="404">
        <v>-2192540.6332916664</v>
      </c>
      <c r="E1860" s="404">
        <v>-2196552.2388259</v>
      </c>
      <c r="F1860" s="404">
        <v>-2208433.1712912335</v>
      </c>
      <c r="G1860" s="404">
        <v>-2225152.1517424337</v>
      </c>
      <c r="H1860" s="404">
        <v>-2223872.1612209999</v>
      </c>
      <c r="I1860" s="404">
        <v>-2231231.5870030364</v>
      </c>
      <c r="J1860" s="404">
        <v>-1261089.6368325527</v>
      </c>
      <c r="K1860" s="404">
        <v>-181670.39447474969</v>
      </c>
      <c r="L1860" s="404">
        <v>-61578.265900722843</v>
      </c>
      <c r="M1860" s="404">
        <v>-53273.043183071866</v>
      </c>
      <c r="N1860" s="404">
        <v>-58347.787958376357</v>
      </c>
      <c r="O1860" s="404">
        <v>-63543.355918236317</v>
      </c>
      <c r="P1860" s="404">
        <v>-68850.503258272744</v>
      </c>
      <c r="Q1860" s="404">
        <v>-74193.521685176922</v>
      </c>
      <c r="R1860" s="404">
        <v>-79700.687331554902</v>
      </c>
      <c r="S1860" s="404">
        <v>-85499.586280657546</v>
      </c>
      <c r="T1860" s="404">
        <v>-91472.452198233266</v>
      </c>
      <c r="U1860" s="404">
        <v>-97624.504093336276</v>
      </c>
      <c r="V1860" s="404">
        <v>-103961.11754529236</v>
      </c>
      <c r="W1860" s="327"/>
    </row>
    <row r="1861" spans="1:23" ht="13.5" thickBot="1" x14ac:dyDescent="0.25">
      <c r="A1861" s="9"/>
      <c r="B1861" s="310" t="s">
        <v>221</v>
      </c>
      <c r="C1861" s="444">
        <v>0</v>
      </c>
      <c r="D1861" s="406">
        <v>-1177290.6713494346</v>
      </c>
      <c r="E1861" s="406">
        <v>-550092.17632963322</v>
      </c>
      <c r="F1861" s="406">
        <v>-342190.76733466913</v>
      </c>
      <c r="G1861" s="406">
        <v>-94152.93291848246</v>
      </c>
      <c r="H1861" s="406">
        <v>-59447.220938492384</v>
      </c>
      <c r="I1861" s="406">
        <v>-13589.874137506449</v>
      </c>
      <c r="J1861" s="406">
        <v>-540647.98700265656</v>
      </c>
      <c r="K1861" s="406">
        <v>-1377521.7690604189</v>
      </c>
      <c r="L1861" s="406">
        <v>-1494788.9521256806</v>
      </c>
      <c r="M1861" s="406">
        <v>-1528953.7474971102</v>
      </c>
      <c r="N1861" s="406">
        <v>-1177981.4450597826</v>
      </c>
      <c r="O1861" s="406">
        <v>-1386758.188714359</v>
      </c>
      <c r="P1861" s="406">
        <v>-1292413.938989308</v>
      </c>
      <c r="Q1861" s="406">
        <v>-1623790.2046458668</v>
      </c>
      <c r="R1861" s="406">
        <v>-1390372.1007299202</v>
      </c>
      <c r="S1861" s="406">
        <v>-1112129.0596186253</v>
      </c>
      <c r="T1861" s="406">
        <v>-1210266.9669005114</v>
      </c>
      <c r="U1861" s="406">
        <v>-1411387.876372847</v>
      </c>
      <c r="V1861" s="406">
        <v>-1244996.3732262955</v>
      </c>
      <c r="W1861" s="327"/>
    </row>
    <row r="1862" spans="1:23" ht="13.5" thickTop="1" x14ac:dyDescent="0.2">
      <c r="A1862" s="9"/>
      <c r="B1862" s="311" t="s">
        <v>183</v>
      </c>
      <c r="C1862" s="446">
        <v>0</v>
      </c>
      <c r="D1862" s="410">
        <v>1765936.0070241517</v>
      </c>
      <c r="E1862" s="410">
        <v>825138.26449444983</v>
      </c>
      <c r="F1862" s="410">
        <v>513286.15100200358</v>
      </c>
      <c r="G1862" s="410">
        <v>141229.39937772369</v>
      </c>
      <c r="H1862" s="410">
        <v>89170.831407738558</v>
      </c>
      <c r="I1862" s="410">
        <v>20384.81120625967</v>
      </c>
      <c r="J1862" s="410">
        <v>810971.98050398473</v>
      </c>
      <c r="K1862" s="410">
        <v>2066282.6535906279</v>
      </c>
      <c r="L1862" s="410">
        <v>2242183.4281885209</v>
      </c>
      <c r="M1862" s="410">
        <v>2293430.621245665</v>
      </c>
      <c r="N1862" s="410">
        <v>1766972.1675896735</v>
      </c>
      <c r="O1862" s="410">
        <v>2080137.283071538</v>
      </c>
      <c r="P1862" s="410">
        <v>1938620.9084839618</v>
      </c>
      <c r="Q1862" s="410">
        <v>2435685.3069687998</v>
      </c>
      <c r="R1862" s="410">
        <v>2085558.1510948802</v>
      </c>
      <c r="S1862" s="410">
        <v>1668193.5894279378</v>
      </c>
      <c r="T1862" s="410">
        <v>1815400.4503507672</v>
      </c>
      <c r="U1862" s="410">
        <v>2117081.8145592706</v>
      </c>
      <c r="V1862" s="410">
        <v>1867494.5598394431</v>
      </c>
      <c r="W1862" s="327"/>
    </row>
    <row r="1863" spans="1:23" x14ac:dyDescent="0.2">
      <c r="A1863" s="9"/>
      <c r="B1863" s="309" t="s">
        <v>37</v>
      </c>
      <c r="C1863" s="443">
        <v>0</v>
      </c>
      <c r="D1863" s="404">
        <v>2192540.6332916664</v>
      </c>
      <c r="E1863" s="404">
        <v>2196552.2388259</v>
      </c>
      <c r="F1863" s="404">
        <v>2208433.1712912335</v>
      </c>
      <c r="G1863" s="404">
        <v>2225152.1517424337</v>
      </c>
      <c r="H1863" s="404">
        <v>2223872.1612209999</v>
      </c>
      <c r="I1863" s="404">
        <v>2231231.5870030364</v>
      </c>
      <c r="J1863" s="404">
        <v>1261089.6368325527</v>
      </c>
      <c r="K1863" s="404">
        <v>181670.39447474969</v>
      </c>
      <c r="L1863" s="404">
        <v>61578.265900722843</v>
      </c>
      <c r="M1863" s="404">
        <v>53273.043183071866</v>
      </c>
      <c r="N1863" s="404">
        <v>58347.787958376357</v>
      </c>
      <c r="O1863" s="404">
        <v>63543.355918236317</v>
      </c>
      <c r="P1863" s="404">
        <v>68850.503258272744</v>
      </c>
      <c r="Q1863" s="404">
        <v>74193.521685176922</v>
      </c>
      <c r="R1863" s="404">
        <v>79700.687331554902</v>
      </c>
      <c r="S1863" s="404">
        <v>85499.586280657546</v>
      </c>
      <c r="T1863" s="404">
        <v>91472.452198233266</v>
      </c>
      <c r="U1863" s="404">
        <v>97624.504093336276</v>
      </c>
      <c r="V1863" s="404">
        <v>103961.11754529236</v>
      </c>
      <c r="W1863" s="327"/>
    </row>
    <row r="1864" spans="1:23" x14ac:dyDescent="0.2">
      <c r="A1864" s="9"/>
      <c r="B1864" s="309" t="s">
        <v>39</v>
      </c>
      <c r="C1864" s="443">
        <v>0</v>
      </c>
      <c r="D1864" s="404">
        <v>-14879.11</v>
      </c>
      <c r="E1864" s="404">
        <v>-15323.09</v>
      </c>
      <c r="F1864" s="404">
        <v>-384480.99</v>
      </c>
      <c r="G1864" s="404">
        <v>-16310.09</v>
      </c>
      <c r="H1864" s="404">
        <v>-89322.498000000007</v>
      </c>
      <c r="I1864" s="404">
        <v>-92002.172940000004</v>
      </c>
      <c r="J1864" s="404">
        <v>-94762.238128200013</v>
      </c>
      <c r="K1864" s="404">
        <v>-97605.105272046014</v>
      </c>
      <c r="L1864" s="404">
        <v>-100533.2584302074</v>
      </c>
      <c r="M1864" s="404">
        <v>-103549.25618311363</v>
      </c>
      <c r="N1864" s="404">
        <v>-106655.73386860704</v>
      </c>
      <c r="O1864" s="404">
        <v>-109855.40588466526</v>
      </c>
      <c r="P1864" s="404">
        <v>-113151.06806120522</v>
      </c>
      <c r="Q1864" s="404">
        <v>-116545.60010304139</v>
      </c>
      <c r="R1864" s="404">
        <v>-120041.96810613264</v>
      </c>
      <c r="S1864" s="404">
        <v>-123643.22714931662</v>
      </c>
      <c r="T1864" s="404">
        <v>-127352.52396379612</v>
      </c>
      <c r="U1864" s="404">
        <v>-131173.09968271002</v>
      </c>
      <c r="V1864" s="404">
        <v>-135108.29267319132</v>
      </c>
      <c r="W1864" s="327"/>
    </row>
    <row r="1865" spans="1:23" ht="13.5" thickBot="1" x14ac:dyDescent="0.25">
      <c r="A1865" s="9"/>
      <c r="B1865" s="310" t="s">
        <v>40</v>
      </c>
      <c r="C1865" s="444">
        <v>0</v>
      </c>
      <c r="D1865" s="406">
        <v>0</v>
      </c>
      <c r="E1865" s="406">
        <v>0</v>
      </c>
      <c r="F1865" s="406">
        <v>0</v>
      </c>
      <c r="G1865" s="406">
        <v>0</v>
      </c>
      <c r="H1865" s="406">
        <v>0</v>
      </c>
      <c r="I1865" s="406">
        <v>0</v>
      </c>
      <c r="J1865" s="406">
        <v>0</v>
      </c>
      <c r="K1865" s="406">
        <v>0</v>
      </c>
      <c r="L1865" s="406">
        <v>0</v>
      </c>
      <c r="M1865" s="406">
        <v>0</v>
      </c>
      <c r="N1865" s="406">
        <v>0</v>
      </c>
      <c r="O1865" s="406">
        <v>0</v>
      </c>
      <c r="P1865" s="406">
        <v>0</v>
      </c>
      <c r="Q1865" s="406">
        <v>0</v>
      </c>
      <c r="R1865" s="406">
        <v>0</v>
      </c>
      <c r="S1865" s="406">
        <v>0</v>
      </c>
      <c r="T1865" s="406">
        <v>0</v>
      </c>
      <c r="U1865" s="406">
        <v>0</v>
      </c>
      <c r="V1865" s="406">
        <v>0</v>
      </c>
      <c r="W1865" s="327"/>
    </row>
    <row r="1866" spans="1:23" ht="13.5" thickTop="1" x14ac:dyDescent="0.2">
      <c r="A1866" s="9"/>
      <c r="B1866" s="309"/>
      <c r="C1866" s="447"/>
      <c r="D1866" s="327"/>
      <c r="E1866" s="327"/>
      <c r="F1866" s="327"/>
      <c r="G1866" s="327"/>
      <c r="H1866" s="327"/>
      <c r="I1866" s="327"/>
      <c r="J1866" s="327"/>
      <c r="K1866" s="327"/>
      <c r="L1866" s="327"/>
      <c r="M1866" s="327"/>
      <c r="N1866" s="327"/>
      <c r="O1866" s="327"/>
      <c r="P1866" s="327"/>
      <c r="Q1866" s="327"/>
      <c r="R1866" s="327"/>
      <c r="S1866" s="327"/>
      <c r="T1866" s="327"/>
      <c r="U1866" s="327"/>
      <c r="V1866" s="327"/>
      <c r="W1866" s="327"/>
    </row>
    <row r="1867" spans="1:23" x14ac:dyDescent="0.2">
      <c r="A1867" s="9"/>
      <c r="B1867" s="311" t="s">
        <v>233</v>
      </c>
      <c r="C1867" s="446">
        <v>0</v>
      </c>
      <c r="D1867" s="410">
        <v>3943597.5303158183</v>
      </c>
      <c r="E1867" s="410">
        <v>3006367.41332035</v>
      </c>
      <c r="F1867" s="410">
        <v>2337238.3322932366</v>
      </c>
      <c r="G1867" s="410">
        <v>2350071.4611201575</v>
      </c>
      <c r="H1867" s="410">
        <v>2223720.4946287381</v>
      </c>
      <c r="I1867" s="410">
        <v>2159614.2252692962</v>
      </c>
      <c r="J1867" s="410">
        <v>1977299.3792083375</v>
      </c>
      <c r="K1867" s="410">
        <v>2150347.9427933316</v>
      </c>
      <c r="L1867" s="410">
        <v>2203228.435659036</v>
      </c>
      <c r="M1867" s="410">
        <v>2243154.4082456236</v>
      </c>
      <c r="N1867" s="410">
        <v>1718664.2216794428</v>
      </c>
      <c r="O1867" s="410">
        <v>2033825.2331051093</v>
      </c>
      <c r="P1867" s="410">
        <v>1894320.3436810293</v>
      </c>
      <c r="Q1867" s="410">
        <v>2393333.2285509352</v>
      </c>
      <c r="R1867" s="410">
        <v>2045216.8703203022</v>
      </c>
      <c r="S1867" s="410">
        <v>1630049.9485592786</v>
      </c>
      <c r="T1867" s="410">
        <v>1779520.3785852042</v>
      </c>
      <c r="U1867" s="410">
        <v>2083533.2189698969</v>
      </c>
      <c r="V1867" s="410">
        <v>1836347.3847115443</v>
      </c>
      <c r="W1867" s="408">
        <v>12078968.655672109</v>
      </c>
    </row>
    <row r="1868" spans="1:23" x14ac:dyDescent="0.2">
      <c r="A1868" s="9"/>
      <c r="B1868" s="286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</row>
    <row r="1869" spans="1:23" x14ac:dyDescent="0.2">
      <c r="A1869" s="302" t="s">
        <v>218</v>
      </c>
      <c r="B1869" s="300" t="s">
        <v>170</v>
      </c>
      <c r="C1869" s="433">
        <v>10811577.484896399</v>
      </c>
      <c r="D1869" s="9"/>
      <c r="E1869" s="137" t="s">
        <v>219</v>
      </c>
      <c r="F1869" s="313" t="s">
        <v>170</v>
      </c>
      <c r="G1869" s="437">
        <v>10811577.484896399</v>
      </c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</row>
    <row r="1870" spans="1:23" x14ac:dyDescent="0.2">
      <c r="A1870" s="9"/>
      <c r="B1870" s="300" t="s">
        <v>180</v>
      </c>
      <c r="C1870" s="433">
        <v>9336883.5696371086</v>
      </c>
      <c r="D1870" s="9"/>
      <c r="E1870" s="315"/>
      <c r="F1870" s="313" t="s">
        <v>180</v>
      </c>
      <c r="G1870" s="437">
        <v>9336883.5696371086</v>
      </c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</row>
    <row r="1871" spans="1:23" ht="13.5" thickBot="1" x14ac:dyDescent="0.25">
      <c r="A1871" s="9"/>
      <c r="B1871" s="316" t="s">
        <v>137</v>
      </c>
      <c r="C1871" s="434">
        <v>1795461.7237690135</v>
      </c>
      <c r="D1871" s="317"/>
      <c r="E1871" s="315"/>
      <c r="F1871" s="313" t="s">
        <v>137</v>
      </c>
      <c r="G1871" s="437">
        <v>1795461.7237690135</v>
      </c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</row>
    <row r="1872" spans="1:23" ht="14.25" thickTop="1" thickBot="1" x14ac:dyDescent="0.25">
      <c r="A1872" s="9"/>
      <c r="B1872" s="300" t="s">
        <v>28</v>
      </c>
      <c r="C1872" s="432">
        <v>21943922.778302521</v>
      </c>
      <c r="D1872" s="299"/>
      <c r="E1872" s="315"/>
      <c r="F1872" s="318" t="s">
        <v>203</v>
      </c>
      <c r="G1872" s="319">
        <v>0</v>
      </c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</row>
    <row r="1873" spans="1:23" ht="13.5" thickTop="1" x14ac:dyDescent="0.2">
      <c r="A1873" s="9"/>
      <c r="B1873" s="286"/>
      <c r="C1873" s="320"/>
      <c r="D1873" s="9"/>
      <c r="E1873" s="321"/>
      <c r="F1873" s="313" t="s">
        <v>28</v>
      </c>
      <c r="G1873" s="362">
        <v>21943922.778302521</v>
      </c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</row>
    <row r="1874" spans="1:23" x14ac:dyDescent="0.2">
      <c r="A1874" s="9"/>
      <c r="B1874" s="286"/>
      <c r="C1874" s="320"/>
      <c r="D1874" s="9"/>
      <c r="E1874" s="321"/>
      <c r="F1874" s="313"/>
      <c r="G1874" s="322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</row>
    <row r="1875" spans="1:23" x14ac:dyDescent="0.2">
      <c r="A1875" s="9"/>
      <c r="B1875" s="286"/>
      <c r="C1875" s="320"/>
      <c r="D1875" s="9"/>
      <c r="E1875" s="321"/>
      <c r="F1875" s="313"/>
      <c r="G1875" s="322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</row>
    <row r="1876" spans="1:23" x14ac:dyDescent="0.2">
      <c r="A1876" s="9"/>
      <c r="B1876" s="323" t="s">
        <v>222</v>
      </c>
      <c r="C1876" s="320"/>
      <c r="D1876" s="9"/>
      <c r="E1876" s="321"/>
      <c r="F1876" s="313"/>
      <c r="G1876" s="322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</row>
    <row r="1877" spans="1:23" x14ac:dyDescent="0.2">
      <c r="A1877" s="324" t="s">
        <v>224</v>
      </c>
      <c r="B1877" s="323" t="s">
        <v>223</v>
      </c>
      <c r="C1877" s="325"/>
      <c r="D1877" s="326">
        <v>1765936.0070241517</v>
      </c>
      <c r="E1877" s="326">
        <v>825138.26449444983</v>
      </c>
      <c r="F1877" s="326">
        <v>513286.15100200358</v>
      </c>
      <c r="G1877" s="326">
        <v>141229.39937772369</v>
      </c>
      <c r="H1877" s="326">
        <v>89170.831407738558</v>
      </c>
      <c r="I1877" s="326">
        <v>20384.81120625967</v>
      </c>
      <c r="J1877" s="326">
        <v>810971.98050398473</v>
      </c>
      <c r="K1877" s="326">
        <v>2066282.6535906279</v>
      </c>
      <c r="L1877" s="326">
        <v>2242183.4281885209</v>
      </c>
      <c r="M1877" s="326">
        <v>2293430.621245665</v>
      </c>
      <c r="N1877" s="326">
        <v>1766972.1675896735</v>
      </c>
      <c r="O1877" s="326">
        <v>2080137.283071538</v>
      </c>
      <c r="P1877" s="326">
        <v>1938620.9084839618</v>
      </c>
      <c r="Q1877" s="326">
        <v>2435685.3069687998</v>
      </c>
      <c r="R1877" s="326">
        <v>2085558.1510948802</v>
      </c>
      <c r="S1877" s="326">
        <v>1668193.5894279378</v>
      </c>
      <c r="T1877" s="326">
        <v>1815400.4503507672</v>
      </c>
      <c r="U1877" s="326">
        <v>2117081.8145592706</v>
      </c>
      <c r="V1877" s="326">
        <v>1867494.5598394431</v>
      </c>
      <c r="W1877" s="9"/>
    </row>
    <row r="1878" spans="1:23" x14ac:dyDescent="0.2">
      <c r="A1878" s="9"/>
      <c r="B1878" s="286" t="s">
        <v>225</v>
      </c>
      <c r="C1878" s="320"/>
      <c r="D1878" s="327">
        <v>1177290.6713494346</v>
      </c>
      <c r="E1878" s="327">
        <v>550092.17632963322</v>
      </c>
      <c r="F1878" s="327">
        <v>342190.76733466913</v>
      </c>
      <c r="G1878" s="327">
        <v>94152.93291848246</v>
      </c>
      <c r="H1878" s="327">
        <v>59447.220938492384</v>
      </c>
      <c r="I1878" s="327">
        <v>13589.874137506449</v>
      </c>
      <c r="J1878" s="327">
        <v>540647.98700265656</v>
      </c>
      <c r="K1878" s="327">
        <v>1377521.7690604189</v>
      </c>
      <c r="L1878" s="327">
        <v>1494788.9521256806</v>
      </c>
      <c r="M1878" s="327">
        <v>1528953.7474971102</v>
      </c>
      <c r="N1878" s="327">
        <v>1177981.4450597826</v>
      </c>
      <c r="O1878" s="327">
        <v>1386758.188714359</v>
      </c>
      <c r="P1878" s="327">
        <v>1292413.938989308</v>
      </c>
      <c r="Q1878" s="327">
        <v>1623790.2046458668</v>
      </c>
      <c r="R1878" s="327">
        <v>1390372.1007299202</v>
      </c>
      <c r="S1878" s="327">
        <v>1112129.0596186253</v>
      </c>
      <c r="T1878" s="327">
        <v>1210266.9669005114</v>
      </c>
      <c r="U1878" s="327">
        <v>1411387.876372847</v>
      </c>
      <c r="V1878" s="327">
        <v>1244996.3732262955</v>
      </c>
      <c r="W1878" s="9"/>
    </row>
    <row r="1879" spans="1:23" x14ac:dyDescent="0.2">
      <c r="A1879" s="9"/>
      <c r="B1879" s="328" t="s">
        <v>226</v>
      </c>
      <c r="C1879" s="329"/>
      <c r="D1879" s="327">
        <v>2192540.6332916664</v>
      </c>
      <c r="E1879" s="327">
        <v>2196552.2388259</v>
      </c>
      <c r="F1879" s="327">
        <v>2208433.1712912335</v>
      </c>
      <c r="G1879" s="327">
        <v>2225152.1517424337</v>
      </c>
      <c r="H1879" s="327">
        <v>2223872.1612209999</v>
      </c>
      <c r="I1879" s="327">
        <v>2231231.5870030364</v>
      </c>
      <c r="J1879" s="327">
        <v>1261089.6368325527</v>
      </c>
      <c r="K1879" s="327">
        <v>181670.39447474969</v>
      </c>
      <c r="L1879" s="327">
        <v>61578.265900722843</v>
      </c>
      <c r="M1879" s="327">
        <v>53273.043183071866</v>
      </c>
      <c r="N1879" s="327">
        <v>58347.787958376357</v>
      </c>
      <c r="O1879" s="327">
        <v>63543.355918236317</v>
      </c>
      <c r="P1879" s="327">
        <v>68850.503258272744</v>
      </c>
      <c r="Q1879" s="327">
        <v>74193.521685176922</v>
      </c>
      <c r="R1879" s="327">
        <v>79700.687331554902</v>
      </c>
      <c r="S1879" s="327">
        <v>85499.586280657546</v>
      </c>
      <c r="T1879" s="327">
        <v>91472.452198233266</v>
      </c>
      <c r="U1879" s="327">
        <v>97624.504093336276</v>
      </c>
      <c r="V1879" s="327">
        <v>103961.11754529236</v>
      </c>
      <c r="W1879" s="9"/>
    </row>
    <row r="1880" spans="1:23" ht="13.5" thickBot="1" x14ac:dyDescent="0.25">
      <c r="A1880" s="9"/>
      <c r="B1880" s="330" t="s">
        <v>227</v>
      </c>
      <c r="C1880" s="331"/>
      <c r="D1880" s="332">
        <v>5135767.3116652528</v>
      </c>
      <c r="E1880" s="332">
        <v>3571782.6796499831</v>
      </c>
      <c r="F1880" s="332">
        <v>3063910.0896279062</v>
      </c>
      <c r="G1880" s="332">
        <v>2460534.4840386398</v>
      </c>
      <c r="H1880" s="332">
        <v>2372490.2135672309</v>
      </c>
      <c r="I1880" s="332">
        <v>2265206.2723468025</v>
      </c>
      <c r="J1880" s="332">
        <v>2612709.604339194</v>
      </c>
      <c r="K1880" s="332">
        <v>3625474.8171257963</v>
      </c>
      <c r="L1880" s="332">
        <v>3798550.6462149243</v>
      </c>
      <c r="M1880" s="332">
        <v>3875657.4119258472</v>
      </c>
      <c r="N1880" s="332">
        <v>3003301.4006078327</v>
      </c>
      <c r="O1880" s="332">
        <v>3530438.8277041335</v>
      </c>
      <c r="P1880" s="332">
        <v>3299885.3507315423</v>
      </c>
      <c r="Q1880" s="332">
        <v>4133669.0332998433</v>
      </c>
      <c r="R1880" s="332">
        <v>3555630.9391563553</v>
      </c>
      <c r="S1880" s="332">
        <v>2865822.2353272205</v>
      </c>
      <c r="T1880" s="332">
        <v>3117139.8694495121</v>
      </c>
      <c r="U1880" s="332">
        <v>3626094.1950254538</v>
      </c>
      <c r="V1880" s="332">
        <v>3216452.0506110308</v>
      </c>
      <c r="W1880" s="9"/>
    </row>
    <row r="1881" spans="1:23" ht="13.5" thickTop="1" x14ac:dyDescent="0.2">
      <c r="A1881" s="324" t="s">
        <v>228</v>
      </c>
      <c r="B1881" s="286" t="s">
        <v>229</v>
      </c>
      <c r="C1881" s="320"/>
      <c r="D1881" s="327">
        <v>-1830966.4370308665</v>
      </c>
      <c r="E1881" s="327">
        <v>-1831732.5915308667</v>
      </c>
      <c r="F1881" s="327">
        <v>-1850956.6410308667</v>
      </c>
      <c r="G1881" s="327">
        <v>-1851772.1455308667</v>
      </c>
      <c r="H1881" s="327">
        <v>-1856238.2704308666</v>
      </c>
      <c r="I1881" s="327">
        <v>-1860838.3790778667</v>
      </c>
      <c r="J1881" s="327">
        <v>-1865576.4909842766</v>
      </c>
      <c r="K1881" s="327">
        <v>-1870456.746247879</v>
      </c>
      <c r="L1881" s="327">
        <v>-1875483.4091693892</v>
      </c>
      <c r="M1881" s="327">
        <v>-1880660.8719785449</v>
      </c>
      <c r="N1881" s="327">
        <v>-1885993.6586719754</v>
      </c>
      <c r="O1881" s="327">
        <v>-1891486.4289662086</v>
      </c>
      <c r="P1881" s="327">
        <v>-1897143.9823692688</v>
      </c>
      <c r="Q1881" s="327">
        <v>-1902971.2623744209</v>
      </c>
      <c r="R1881" s="327">
        <v>-545576.39744639897</v>
      </c>
      <c r="S1881" s="327">
        <v>-163017.68880386002</v>
      </c>
      <c r="T1881" s="327">
        <v>-169385.31500204984</v>
      </c>
      <c r="U1881" s="327">
        <v>-175943.96998618532</v>
      </c>
      <c r="V1881" s="327">
        <v>-182699.3846198449</v>
      </c>
      <c r="W1881" s="9"/>
    </row>
    <row r="1882" spans="1:23" x14ac:dyDescent="0.2">
      <c r="A1882" s="9"/>
      <c r="B1882" s="286" t="s">
        <v>230</v>
      </c>
      <c r="C1882" s="320"/>
      <c r="D1882" s="327">
        <v>0</v>
      </c>
      <c r="E1882" s="327">
        <v>0</v>
      </c>
      <c r="F1882" s="327">
        <v>0</v>
      </c>
      <c r="G1882" s="327">
        <v>0</v>
      </c>
      <c r="H1882" s="327">
        <v>0</v>
      </c>
      <c r="I1882" s="327">
        <v>0</v>
      </c>
      <c r="J1882" s="327">
        <v>0</v>
      </c>
      <c r="K1882" s="327">
        <v>0</v>
      </c>
      <c r="L1882" s="327">
        <v>0</v>
      </c>
      <c r="M1882" s="327">
        <v>0</v>
      </c>
      <c r="N1882" s="327">
        <v>0</v>
      </c>
      <c r="O1882" s="327">
        <v>0</v>
      </c>
      <c r="P1882" s="327">
        <v>0</v>
      </c>
      <c r="Q1882" s="327">
        <v>0</v>
      </c>
      <c r="R1882" s="327">
        <v>0</v>
      </c>
      <c r="S1882" s="327">
        <v>0</v>
      </c>
      <c r="T1882" s="327">
        <v>0</v>
      </c>
      <c r="U1882" s="327">
        <v>0</v>
      </c>
      <c r="V1882" s="327">
        <v>0</v>
      </c>
      <c r="W1882" s="9"/>
    </row>
    <row r="1883" spans="1:23" x14ac:dyDescent="0.2">
      <c r="A1883" s="9"/>
      <c r="B1883" s="323" t="s">
        <v>231</v>
      </c>
      <c r="C1883" s="325"/>
      <c r="D1883" s="326">
        <v>3304800.874634386</v>
      </c>
      <c r="E1883" s="326">
        <v>1740050.0881191164</v>
      </c>
      <c r="F1883" s="326">
        <v>1212953.4485970396</v>
      </c>
      <c r="G1883" s="326">
        <v>608762.33850777312</v>
      </c>
      <c r="H1883" s="326">
        <v>516251.94313636422</v>
      </c>
      <c r="I1883" s="326">
        <v>404367.89326893585</v>
      </c>
      <c r="J1883" s="326">
        <v>747133.11335491738</v>
      </c>
      <c r="K1883" s="326">
        <v>1755018.0708779173</v>
      </c>
      <c r="L1883" s="326">
        <v>1923067.2370455351</v>
      </c>
      <c r="M1883" s="326">
        <v>1994996.5399473023</v>
      </c>
      <c r="N1883" s="326">
        <v>1117307.7419358573</v>
      </c>
      <c r="O1883" s="326">
        <v>1638952.3987379249</v>
      </c>
      <c r="P1883" s="326">
        <v>1402741.3683622736</v>
      </c>
      <c r="Q1883" s="326">
        <v>2230697.7709254222</v>
      </c>
      <c r="R1883" s="326">
        <v>3010054.5417099562</v>
      </c>
      <c r="S1883" s="326">
        <v>2702804.5465233605</v>
      </c>
      <c r="T1883" s="326">
        <v>2947754.5544474623</v>
      </c>
      <c r="U1883" s="326">
        <v>3450150.2250392684</v>
      </c>
      <c r="V1883" s="326">
        <v>3033752.6659911857</v>
      </c>
      <c r="W1883" s="9"/>
    </row>
    <row r="1884" spans="1:23" ht="13.5" thickBot="1" x14ac:dyDescent="0.25">
      <c r="A1884" s="9"/>
      <c r="B1884" s="333" t="s">
        <v>237</v>
      </c>
      <c r="C1884" s="334"/>
      <c r="D1884" s="335">
        <v>-1321920.3498537545</v>
      </c>
      <c r="E1884" s="335">
        <v>-696020.03524764662</v>
      </c>
      <c r="F1884" s="335">
        <v>-485181.37943881587</v>
      </c>
      <c r="G1884" s="335">
        <v>-243504.93540310927</v>
      </c>
      <c r="H1884" s="335">
        <v>-206500.77725454571</v>
      </c>
      <c r="I1884" s="335">
        <v>-161747.15730757435</v>
      </c>
      <c r="J1884" s="335">
        <v>-298853.24534196698</v>
      </c>
      <c r="K1884" s="335">
        <v>-702007.22835116694</v>
      </c>
      <c r="L1884" s="335">
        <v>-769226.89481821412</v>
      </c>
      <c r="M1884" s="335">
        <v>-797998.61597892095</v>
      </c>
      <c r="N1884" s="335">
        <v>-446923.09677434294</v>
      </c>
      <c r="O1884" s="335">
        <v>-655580.95949517004</v>
      </c>
      <c r="P1884" s="335">
        <v>-561096.5473449094</v>
      </c>
      <c r="Q1884" s="335">
        <v>-892279.10837016895</v>
      </c>
      <c r="R1884" s="335">
        <v>-1204021.8166839825</v>
      </c>
      <c r="S1884" s="335">
        <v>-1081121.8186093443</v>
      </c>
      <c r="T1884" s="335">
        <v>-1179101.821778985</v>
      </c>
      <c r="U1884" s="335">
        <v>-1380060.0900157075</v>
      </c>
      <c r="V1884" s="335">
        <v>-1213501.0663964744</v>
      </c>
      <c r="W1884" s="9"/>
    </row>
    <row r="1885" spans="1:23" ht="13.5" thickTop="1" x14ac:dyDescent="0.2">
      <c r="A1885" s="9"/>
      <c r="B1885" s="323" t="s">
        <v>232</v>
      </c>
      <c r="C1885" s="325"/>
      <c r="D1885" s="326">
        <v>1982880.5247806315</v>
      </c>
      <c r="E1885" s="326">
        <v>1044030.0528714698</v>
      </c>
      <c r="F1885" s="326">
        <v>727772.06915822369</v>
      </c>
      <c r="G1885" s="326">
        <v>365257.40310466383</v>
      </c>
      <c r="H1885" s="326">
        <v>309751.16588181851</v>
      </c>
      <c r="I1885" s="326">
        <v>242620.7359613615</v>
      </c>
      <c r="J1885" s="326">
        <v>448279.86801295041</v>
      </c>
      <c r="K1885" s="326">
        <v>1053010.8425267504</v>
      </c>
      <c r="L1885" s="326">
        <v>1153840.3422273211</v>
      </c>
      <c r="M1885" s="326">
        <v>1196997.9239683812</v>
      </c>
      <c r="N1885" s="326">
        <v>670384.6451615144</v>
      </c>
      <c r="O1885" s="326">
        <v>983371.43924275483</v>
      </c>
      <c r="P1885" s="326">
        <v>841644.82101736416</v>
      </c>
      <c r="Q1885" s="326">
        <v>1338418.6625552531</v>
      </c>
      <c r="R1885" s="326">
        <v>1806032.7250259737</v>
      </c>
      <c r="S1885" s="326">
        <v>1621682.7279140162</v>
      </c>
      <c r="T1885" s="326">
        <v>1768652.7326684773</v>
      </c>
      <c r="U1885" s="326">
        <v>2070090.1350235608</v>
      </c>
      <c r="V1885" s="326">
        <v>1820251.5995947113</v>
      </c>
      <c r="W1885" s="9"/>
    </row>
    <row r="1886" spans="1:23" x14ac:dyDescent="0.2">
      <c r="A1886" s="9"/>
      <c r="B1886" s="9"/>
      <c r="C1886" s="320"/>
      <c r="D1886" s="9"/>
      <c r="E1886" s="321"/>
      <c r="F1886" s="313"/>
      <c r="G1886" s="322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</row>
    <row r="1887" spans="1:23" ht="15.75" x14ac:dyDescent="0.25">
      <c r="A1887" s="336" t="s">
        <v>205</v>
      </c>
      <c r="B1887" s="337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</row>
    <row r="1888" spans="1:23" x14ac:dyDescent="0.2">
      <c r="A1888" s="284" t="s">
        <v>190</v>
      </c>
      <c r="B1888" s="303"/>
      <c r="C1888" s="338">
        <v>0</v>
      </c>
      <c r="D1888" s="277"/>
      <c r="E1888" s="277"/>
      <c r="F1888" s="277"/>
      <c r="G1888" s="277"/>
      <c r="H1888" s="277"/>
      <c r="I1888" s="277"/>
      <c r="J1888" s="277"/>
      <c r="K1888" s="277"/>
      <c r="L1888" s="277"/>
      <c r="M1888" s="277"/>
      <c r="N1888" s="277"/>
      <c r="O1888" s="277"/>
      <c r="P1888" s="277"/>
      <c r="Q1888" s="277"/>
      <c r="R1888" s="277"/>
      <c r="S1888" s="277"/>
      <c r="T1888" s="277"/>
      <c r="U1888" s="277"/>
      <c r="V1888" s="277"/>
      <c r="W1888" s="277"/>
    </row>
    <row r="1889" spans="1:23" x14ac:dyDescent="0.2">
      <c r="A1889" s="284" t="s">
        <v>191</v>
      </c>
      <c r="B1889" s="303"/>
      <c r="C1889" s="339">
        <v>0</v>
      </c>
      <c r="D1889" s="277"/>
      <c r="E1889" s="277"/>
      <c r="F1889" s="277"/>
      <c r="G1889" s="277"/>
      <c r="H1889" s="277"/>
      <c r="I1889" s="277"/>
      <c r="J1889" s="277"/>
      <c r="K1889" s="277"/>
      <c r="L1889" s="277"/>
      <c r="M1889" s="277"/>
      <c r="N1889" s="277"/>
      <c r="O1889" s="277"/>
      <c r="P1889" s="277"/>
      <c r="Q1889" s="277"/>
      <c r="R1889" s="277"/>
      <c r="S1889" s="277"/>
      <c r="T1889" s="277"/>
      <c r="U1889" s="277"/>
      <c r="V1889" s="277"/>
      <c r="W1889" s="277"/>
    </row>
    <row r="1890" spans="1:23" x14ac:dyDescent="0.2">
      <c r="A1890" s="284" t="s">
        <v>201</v>
      </c>
      <c r="B1890" s="303"/>
      <c r="C1890" s="284">
        <v>15</v>
      </c>
      <c r="D1890" s="277"/>
      <c r="E1890" s="277"/>
      <c r="F1890" s="277"/>
      <c r="G1890" s="277"/>
      <c r="H1890" s="277"/>
      <c r="I1890" s="277"/>
      <c r="J1890" s="277"/>
      <c r="K1890" s="277"/>
      <c r="L1890" s="277"/>
      <c r="M1890" s="277"/>
      <c r="N1890" s="277"/>
      <c r="O1890" s="277"/>
      <c r="P1890" s="277"/>
      <c r="Q1890" s="277"/>
      <c r="R1890" s="277"/>
      <c r="S1890" s="277"/>
      <c r="T1890" s="277"/>
      <c r="U1890" s="277"/>
      <c r="V1890" s="277"/>
      <c r="W1890" s="277"/>
    </row>
    <row r="1891" spans="1:23" x14ac:dyDescent="0.2">
      <c r="A1891" s="284" t="s">
        <v>192</v>
      </c>
      <c r="B1891" s="303"/>
      <c r="C1891" s="339">
        <v>0</v>
      </c>
      <c r="D1891" s="277"/>
      <c r="E1891" s="277"/>
      <c r="F1891" s="277"/>
      <c r="G1891" s="277"/>
      <c r="H1891" s="277"/>
      <c r="I1891" s="277"/>
      <c r="J1891" s="277"/>
      <c r="K1891" s="277"/>
      <c r="L1891" s="277"/>
      <c r="M1891" s="277"/>
      <c r="N1891" s="277"/>
      <c r="O1891" s="277"/>
      <c r="P1891" s="277"/>
      <c r="Q1891" s="277"/>
      <c r="R1891" s="277"/>
      <c r="S1891" s="277"/>
      <c r="T1891" s="277"/>
      <c r="U1891" s="277"/>
      <c r="V1891" s="277"/>
      <c r="W1891" s="277"/>
    </row>
    <row r="1892" spans="1:23" x14ac:dyDescent="0.2">
      <c r="A1892" s="284" t="s">
        <v>193</v>
      </c>
      <c r="B1892" s="303"/>
      <c r="C1892" s="340">
        <v>8.7499999999999994E-2</v>
      </c>
      <c r="D1892" s="277"/>
      <c r="E1892" s="277"/>
      <c r="F1892" s="277"/>
      <c r="G1892" s="277"/>
      <c r="H1892" s="277"/>
      <c r="I1892" s="277"/>
      <c r="J1892" s="277"/>
      <c r="K1892" s="277"/>
      <c r="L1892" s="277"/>
      <c r="M1892" s="277"/>
      <c r="N1892" s="277"/>
      <c r="O1892" s="277"/>
      <c r="P1892" s="277"/>
      <c r="Q1892" s="277"/>
      <c r="R1892" s="277"/>
      <c r="S1892" s="277"/>
      <c r="T1892" s="277"/>
      <c r="U1892" s="277"/>
      <c r="V1892" s="277"/>
      <c r="W1892" s="277"/>
    </row>
    <row r="1893" spans="1:23" x14ac:dyDescent="0.2">
      <c r="A1893" s="284"/>
      <c r="B1893" s="303"/>
      <c r="C1893" s="277"/>
      <c r="D1893" s="306">
        <v>2001</v>
      </c>
      <c r="E1893" s="306">
        <v>2002</v>
      </c>
      <c r="F1893" s="306">
        <v>2003</v>
      </c>
      <c r="G1893" s="306">
        <v>2004</v>
      </c>
      <c r="H1893" s="306">
        <v>2005</v>
      </c>
      <c r="I1893" s="306">
        <v>2006</v>
      </c>
      <c r="J1893" s="306">
        <v>2007</v>
      </c>
      <c r="K1893" s="306">
        <v>2008</v>
      </c>
      <c r="L1893" s="306">
        <v>2009</v>
      </c>
      <c r="M1893" s="306">
        <v>2010</v>
      </c>
      <c r="N1893" s="306">
        <v>2011</v>
      </c>
      <c r="O1893" s="306">
        <v>2012</v>
      </c>
      <c r="P1893" s="306">
        <v>2013</v>
      </c>
      <c r="Q1893" s="306">
        <v>2014</v>
      </c>
      <c r="R1893" s="306">
        <v>2015</v>
      </c>
      <c r="S1893" s="306">
        <v>2016</v>
      </c>
      <c r="T1893" s="306">
        <v>2017</v>
      </c>
      <c r="U1893" s="306">
        <v>2018</v>
      </c>
      <c r="V1893" s="306">
        <v>2019</v>
      </c>
      <c r="W1893" s="306" t="s">
        <v>154</v>
      </c>
    </row>
    <row r="1894" spans="1:23" x14ac:dyDescent="0.2">
      <c r="A1894" s="284" t="s">
        <v>194</v>
      </c>
      <c r="B1894" s="303"/>
      <c r="C1894" s="277"/>
      <c r="D1894" s="341">
        <v>0</v>
      </c>
      <c r="E1894" s="341">
        <v>0</v>
      </c>
      <c r="F1894" s="341">
        <v>0</v>
      </c>
      <c r="G1894" s="341">
        <v>0</v>
      </c>
      <c r="H1894" s="341">
        <v>0</v>
      </c>
      <c r="I1894" s="341">
        <v>0</v>
      </c>
      <c r="J1894" s="341">
        <v>0</v>
      </c>
      <c r="K1894" s="341">
        <v>0</v>
      </c>
      <c r="L1894" s="341">
        <v>0</v>
      </c>
      <c r="M1894" s="341">
        <v>0</v>
      </c>
      <c r="N1894" s="341">
        <v>0</v>
      </c>
      <c r="O1894" s="341">
        <v>0</v>
      </c>
      <c r="P1894" s="341">
        <v>0</v>
      </c>
      <c r="Q1894" s="341">
        <v>0</v>
      </c>
      <c r="R1894" s="341">
        <v>0</v>
      </c>
      <c r="S1894" s="341">
        <v>0</v>
      </c>
      <c r="T1894" s="341">
        <v>0</v>
      </c>
      <c r="U1894" s="341">
        <v>0</v>
      </c>
      <c r="V1894" s="341">
        <v>0</v>
      </c>
      <c r="W1894" s="341">
        <v>0</v>
      </c>
    </row>
    <row r="1895" spans="1:23" x14ac:dyDescent="0.2">
      <c r="A1895" s="284" t="s">
        <v>195</v>
      </c>
      <c r="B1895" s="303"/>
      <c r="C1895" s="277"/>
      <c r="D1895" s="341">
        <v>0</v>
      </c>
      <c r="E1895" s="341">
        <v>0</v>
      </c>
      <c r="F1895" s="341">
        <v>0</v>
      </c>
      <c r="G1895" s="341">
        <v>0</v>
      </c>
      <c r="H1895" s="341">
        <v>0</v>
      </c>
      <c r="I1895" s="341">
        <v>0</v>
      </c>
      <c r="J1895" s="341">
        <v>0</v>
      </c>
      <c r="K1895" s="341">
        <v>0</v>
      </c>
      <c r="L1895" s="341">
        <v>0</v>
      </c>
      <c r="M1895" s="341">
        <v>0</v>
      </c>
      <c r="N1895" s="341">
        <v>0</v>
      </c>
      <c r="O1895" s="341">
        <v>0</v>
      </c>
      <c r="P1895" s="341">
        <v>0</v>
      </c>
      <c r="Q1895" s="341">
        <v>0</v>
      </c>
      <c r="R1895" s="341">
        <v>0</v>
      </c>
      <c r="S1895" s="341">
        <v>0</v>
      </c>
      <c r="T1895" s="341">
        <v>0</v>
      </c>
      <c r="U1895" s="341">
        <v>0</v>
      </c>
      <c r="V1895" s="341">
        <v>0</v>
      </c>
      <c r="W1895" s="341">
        <v>0</v>
      </c>
    </row>
    <row r="1896" spans="1:23" x14ac:dyDescent="0.2">
      <c r="A1896" s="284" t="s">
        <v>196</v>
      </c>
      <c r="B1896" s="303"/>
      <c r="C1896" s="277"/>
      <c r="D1896" s="341">
        <v>0</v>
      </c>
      <c r="E1896" s="341">
        <v>0</v>
      </c>
      <c r="F1896" s="341">
        <v>0</v>
      </c>
      <c r="G1896" s="341">
        <v>0</v>
      </c>
      <c r="H1896" s="341">
        <v>0</v>
      </c>
      <c r="I1896" s="341">
        <v>0</v>
      </c>
      <c r="J1896" s="341">
        <v>0</v>
      </c>
      <c r="K1896" s="341">
        <v>0</v>
      </c>
      <c r="L1896" s="341">
        <v>0</v>
      </c>
      <c r="M1896" s="341">
        <v>0</v>
      </c>
      <c r="N1896" s="341">
        <v>0</v>
      </c>
      <c r="O1896" s="341">
        <v>0</v>
      </c>
      <c r="P1896" s="341">
        <v>0</v>
      </c>
      <c r="Q1896" s="341">
        <v>0</v>
      </c>
      <c r="R1896" s="341">
        <v>0</v>
      </c>
      <c r="S1896" s="341">
        <v>0</v>
      </c>
      <c r="T1896" s="341">
        <v>0</v>
      </c>
      <c r="U1896" s="341">
        <v>0</v>
      </c>
      <c r="V1896" s="341">
        <v>0</v>
      </c>
      <c r="W1896" s="341">
        <v>0</v>
      </c>
    </row>
    <row r="1897" spans="1:23" x14ac:dyDescent="0.2">
      <c r="A1897" s="284" t="s">
        <v>197</v>
      </c>
      <c r="B1897" s="303"/>
      <c r="C1897" s="277"/>
      <c r="D1897" s="342">
        <v>0</v>
      </c>
      <c r="E1897" s="342">
        <v>0</v>
      </c>
      <c r="F1897" s="342">
        <v>0</v>
      </c>
      <c r="G1897" s="342">
        <v>0</v>
      </c>
      <c r="H1897" s="342">
        <v>0</v>
      </c>
      <c r="I1897" s="342">
        <v>0</v>
      </c>
      <c r="J1897" s="342">
        <v>0</v>
      </c>
      <c r="K1897" s="342">
        <v>0</v>
      </c>
      <c r="L1897" s="342">
        <v>0</v>
      </c>
      <c r="M1897" s="342">
        <v>0</v>
      </c>
      <c r="N1897" s="342">
        <v>0</v>
      </c>
      <c r="O1897" s="342">
        <v>0</v>
      </c>
      <c r="P1897" s="342">
        <v>0</v>
      </c>
      <c r="Q1897" s="342">
        <v>0</v>
      </c>
      <c r="R1897" s="342">
        <v>0</v>
      </c>
      <c r="S1897" s="342">
        <v>0</v>
      </c>
      <c r="T1897" s="342">
        <v>0</v>
      </c>
      <c r="U1897" s="342">
        <v>0</v>
      </c>
      <c r="V1897" s="342">
        <v>0</v>
      </c>
      <c r="W1897" s="342">
        <v>0</v>
      </c>
    </row>
    <row r="1898" spans="1:23" ht="13.5" thickBot="1" x14ac:dyDescent="0.25">
      <c r="A1898" s="284" t="s">
        <v>198</v>
      </c>
      <c r="B1898" s="303"/>
      <c r="C1898" s="277"/>
      <c r="D1898" s="343">
        <v>0</v>
      </c>
      <c r="E1898" s="343">
        <v>0</v>
      </c>
      <c r="F1898" s="343">
        <v>0</v>
      </c>
      <c r="G1898" s="343">
        <v>0</v>
      </c>
      <c r="H1898" s="343">
        <v>0</v>
      </c>
      <c r="I1898" s="343">
        <v>0</v>
      </c>
      <c r="J1898" s="343">
        <v>0</v>
      </c>
      <c r="K1898" s="343">
        <v>0</v>
      </c>
      <c r="L1898" s="343">
        <v>0</v>
      </c>
      <c r="M1898" s="343">
        <v>0</v>
      </c>
      <c r="N1898" s="343">
        <v>0</v>
      </c>
      <c r="O1898" s="343">
        <v>0</v>
      </c>
      <c r="P1898" s="343">
        <v>0</v>
      </c>
      <c r="Q1898" s="343">
        <v>0</v>
      </c>
      <c r="R1898" s="343">
        <v>0</v>
      </c>
      <c r="S1898" s="343">
        <v>0</v>
      </c>
      <c r="T1898" s="343">
        <v>0</v>
      </c>
      <c r="U1898" s="343">
        <v>0</v>
      </c>
      <c r="V1898" s="343">
        <v>0</v>
      </c>
      <c r="W1898" s="343">
        <v>0</v>
      </c>
    </row>
    <row r="1899" spans="1:23" ht="13.5" thickTop="1" x14ac:dyDescent="0.2">
      <c r="A1899" s="284"/>
      <c r="B1899" s="303"/>
      <c r="C1899" s="277"/>
      <c r="D1899" s="341"/>
      <c r="E1899" s="341"/>
      <c r="F1899" s="341"/>
      <c r="G1899" s="341"/>
      <c r="H1899" s="341"/>
      <c r="I1899" s="341"/>
      <c r="J1899" s="341"/>
      <c r="K1899" s="341"/>
      <c r="L1899" s="341"/>
      <c r="M1899" s="341"/>
      <c r="N1899" s="341"/>
      <c r="O1899" s="341"/>
      <c r="P1899" s="341"/>
      <c r="Q1899" s="341"/>
      <c r="R1899" s="341"/>
      <c r="S1899" s="341"/>
      <c r="T1899" s="341"/>
      <c r="U1899" s="341"/>
      <c r="V1899" s="341"/>
      <c r="W1899" s="341"/>
    </row>
    <row r="1900" spans="1:23" x14ac:dyDescent="0.2">
      <c r="A1900" s="284" t="s">
        <v>199</v>
      </c>
      <c r="B1900" s="303"/>
      <c r="C1900" s="277"/>
      <c r="D1900" s="341">
        <v>0</v>
      </c>
      <c r="E1900" s="341">
        <v>0</v>
      </c>
      <c r="F1900" s="341">
        <v>0</v>
      </c>
      <c r="G1900" s="341">
        <v>0</v>
      </c>
      <c r="H1900" s="341">
        <v>0</v>
      </c>
      <c r="I1900" s="341">
        <v>0</v>
      </c>
      <c r="J1900" s="341">
        <v>0</v>
      </c>
      <c r="K1900" s="341">
        <v>0</v>
      </c>
      <c r="L1900" s="341">
        <v>0</v>
      </c>
      <c r="M1900" s="341">
        <v>0</v>
      </c>
      <c r="N1900" s="341">
        <v>0</v>
      </c>
      <c r="O1900" s="341">
        <v>0</v>
      </c>
      <c r="P1900" s="341">
        <v>0</v>
      </c>
      <c r="Q1900" s="341">
        <v>0</v>
      </c>
      <c r="R1900" s="341">
        <v>0</v>
      </c>
      <c r="S1900" s="341">
        <v>0</v>
      </c>
      <c r="T1900" s="341">
        <v>0</v>
      </c>
      <c r="U1900" s="341">
        <v>0</v>
      </c>
      <c r="V1900" s="341">
        <v>0</v>
      </c>
      <c r="W1900" s="341">
        <v>0</v>
      </c>
    </row>
    <row r="1901" spans="1:23" x14ac:dyDescent="0.2">
      <c r="A1901" s="284"/>
      <c r="B1901" s="303"/>
      <c r="C1901" s="277"/>
      <c r="D1901" s="277"/>
      <c r="E1901" s="277"/>
      <c r="F1901" s="277"/>
      <c r="G1901" s="277"/>
      <c r="H1901" s="277"/>
      <c r="I1901" s="277"/>
      <c r="J1901" s="277"/>
      <c r="K1901" s="277"/>
      <c r="L1901" s="277"/>
      <c r="M1901" s="277"/>
      <c r="N1901" s="277"/>
      <c r="O1901" s="277"/>
      <c r="P1901" s="277"/>
      <c r="Q1901" s="277"/>
      <c r="R1901" s="277"/>
      <c r="S1901" s="277"/>
      <c r="T1901" s="277"/>
      <c r="U1901" s="277"/>
      <c r="V1901" s="277"/>
      <c r="W1901" s="277"/>
    </row>
    <row r="1902" spans="1:23" x14ac:dyDescent="0.2">
      <c r="A1902" s="284" t="s">
        <v>200</v>
      </c>
      <c r="B1902" s="303"/>
      <c r="C1902" s="277"/>
      <c r="D1902" s="341">
        <v>0</v>
      </c>
      <c r="E1902" s="341">
        <v>0</v>
      </c>
      <c r="F1902" s="341">
        <v>0</v>
      </c>
      <c r="G1902" s="341">
        <v>0</v>
      </c>
      <c r="H1902" s="341">
        <v>0</v>
      </c>
      <c r="I1902" s="341">
        <v>0</v>
      </c>
      <c r="J1902" s="341">
        <v>0</v>
      </c>
      <c r="K1902" s="341">
        <v>0</v>
      </c>
      <c r="L1902" s="341">
        <v>0</v>
      </c>
      <c r="M1902" s="341">
        <v>0</v>
      </c>
      <c r="N1902" s="341">
        <v>0</v>
      </c>
      <c r="O1902" s="341">
        <v>0</v>
      </c>
      <c r="P1902" s="341">
        <v>0</v>
      </c>
      <c r="Q1902" s="341">
        <v>0</v>
      </c>
      <c r="R1902" s="341">
        <v>0</v>
      </c>
      <c r="S1902" s="341">
        <v>0</v>
      </c>
      <c r="T1902" s="341">
        <v>0</v>
      </c>
      <c r="U1902" s="341">
        <v>0</v>
      </c>
      <c r="V1902" s="341">
        <v>0</v>
      </c>
      <c r="W1902" s="341">
        <v>0</v>
      </c>
    </row>
    <row r="1903" spans="1:23" x14ac:dyDescent="0.2">
      <c r="A1903" s="277"/>
      <c r="B1903" s="303"/>
      <c r="C1903" s="277"/>
      <c r="D1903" s="277"/>
      <c r="E1903" s="277"/>
      <c r="F1903" s="277"/>
      <c r="G1903" s="277"/>
      <c r="H1903" s="277"/>
      <c r="I1903" s="277"/>
      <c r="J1903" s="277"/>
      <c r="K1903" s="277"/>
      <c r="L1903" s="277"/>
      <c r="M1903" s="277"/>
      <c r="N1903" s="277"/>
      <c r="O1903" s="277"/>
      <c r="P1903" s="277"/>
      <c r="Q1903" s="277"/>
      <c r="R1903" s="277"/>
      <c r="S1903" s="277"/>
      <c r="T1903" s="277"/>
      <c r="U1903" s="277"/>
      <c r="V1903" s="277"/>
      <c r="W1903" s="277"/>
    </row>
    <row r="1904" spans="1:23" x14ac:dyDescent="0.2">
      <c r="A1904" s="277"/>
      <c r="B1904" s="303"/>
      <c r="C1904" s="277"/>
      <c r="D1904" s="277"/>
      <c r="E1904" s="277"/>
      <c r="F1904" s="277"/>
      <c r="G1904" s="277"/>
      <c r="H1904" s="277"/>
      <c r="I1904" s="277"/>
      <c r="J1904" s="277"/>
      <c r="K1904" s="277"/>
      <c r="L1904" s="277"/>
      <c r="M1904" s="277"/>
      <c r="N1904" s="277"/>
      <c r="O1904" s="277"/>
      <c r="P1904" s="277"/>
      <c r="Q1904" s="277"/>
      <c r="R1904" s="277"/>
      <c r="S1904" s="277"/>
      <c r="T1904" s="277"/>
      <c r="U1904" s="277"/>
      <c r="V1904" s="277"/>
      <c r="W1904" s="277"/>
    </row>
    <row r="1905" spans="1:23" x14ac:dyDescent="0.2">
      <c r="A1905" s="284" t="s">
        <v>202</v>
      </c>
      <c r="B1905" s="279"/>
      <c r="C1905" s="278"/>
      <c r="D1905" s="435">
        <v>3943597.5303158183</v>
      </c>
      <c r="E1905" s="435">
        <v>3006367.41332035</v>
      </c>
      <c r="F1905" s="435">
        <v>2337238.3322932366</v>
      </c>
      <c r="G1905" s="435">
        <v>2350071.4611201575</v>
      </c>
      <c r="H1905" s="435">
        <v>2223720.4946287381</v>
      </c>
      <c r="I1905" s="435">
        <v>2159614.2252692962</v>
      </c>
      <c r="J1905" s="435">
        <v>1977299.3792083375</v>
      </c>
      <c r="K1905" s="435">
        <v>2150347.9427933316</v>
      </c>
      <c r="L1905" s="435">
        <v>2203228.435659036</v>
      </c>
      <c r="M1905" s="435">
        <v>2243154.4082456236</v>
      </c>
      <c r="N1905" s="435">
        <v>1718664.2216794428</v>
      </c>
      <c r="O1905" s="435">
        <v>2033825.2331051093</v>
      </c>
      <c r="P1905" s="435">
        <v>1894320.3436810293</v>
      </c>
      <c r="Q1905" s="435">
        <v>2393333.2285509352</v>
      </c>
      <c r="R1905" s="435">
        <v>2045216.8703203022</v>
      </c>
      <c r="S1905" s="435">
        <v>1630049.9485592786</v>
      </c>
      <c r="T1905" s="435">
        <v>1779520.3785852042</v>
      </c>
      <c r="U1905" s="435">
        <v>2083533.2189698969</v>
      </c>
      <c r="V1905" s="435">
        <v>1836347.3847115443</v>
      </c>
      <c r="W1905" s="435">
        <v>12078968.655672109</v>
      </c>
    </row>
    <row r="1906" spans="1:23" x14ac:dyDescent="0.2">
      <c r="A1906" s="9"/>
      <c r="B1906" s="6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</row>
    <row r="1907" spans="1:23" x14ac:dyDescent="0.2">
      <c r="A1907" s="292"/>
      <c r="B1907" s="360"/>
      <c r="C1907" s="370"/>
      <c r="D1907" s="68"/>
      <c r="E1907" s="68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68"/>
      <c r="T1907" s="68"/>
      <c r="U1907" s="68"/>
      <c r="V1907" s="68"/>
      <c r="W1907" s="68"/>
    </row>
    <row r="1908" spans="1:23" x14ac:dyDescent="0.2">
      <c r="A1908" s="292"/>
      <c r="B1908" s="360"/>
      <c r="C1908" s="370"/>
      <c r="D1908" s="68"/>
      <c r="E1908" s="68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68"/>
      <c r="T1908" s="68"/>
      <c r="U1908" s="68"/>
      <c r="V1908" s="68"/>
      <c r="W1908" s="68"/>
    </row>
    <row r="1909" spans="1:23" x14ac:dyDescent="0.2">
      <c r="A1909" s="292"/>
      <c r="B1909" s="360"/>
      <c r="C1909" s="370"/>
      <c r="D1909" s="370"/>
      <c r="E1909" s="370"/>
      <c r="F1909" s="370"/>
      <c r="G1909" s="370"/>
      <c r="H1909" s="370"/>
      <c r="I1909" s="370"/>
      <c r="J1909" s="370"/>
      <c r="K1909" s="370"/>
      <c r="L1909" s="370"/>
      <c r="M1909" s="370"/>
      <c r="N1909" s="370"/>
      <c r="O1909" s="370"/>
      <c r="P1909" s="370"/>
      <c r="Q1909" s="370"/>
      <c r="R1909" s="370"/>
      <c r="S1909" s="370"/>
      <c r="T1909" s="370"/>
      <c r="U1909" s="370"/>
      <c r="V1909" s="370"/>
      <c r="W1909" s="370"/>
    </row>
    <row r="1910" spans="1:23" x14ac:dyDescent="0.2">
      <c r="A1910" s="292"/>
      <c r="B1910" s="360"/>
      <c r="C1910" s="370"/>
      <c r="D1910" s="68"/>
      <c r="E1910" s="68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68"/>
      <c r="T1910" s="68"/>
      <c r="U1910" s="68"/>
      <c r="V1910" s="68"/>
      <c r="W1910" s="68"/>
    </row>
    <row r="1911" spans="1:23" x14ac:dyDescent="0.2">
      <c r="A1911" s="370"/>
      <c r="B1911" s="360"/>
      <c r="C1911" s="370"/>
      <c r="D1911" s="370"/>
      <c r="E1911" s="370"/>
      <c r="F1911" s="370"/>
      <c r="G1911" s="370"/>
      <c r="H1911" s="370"/>
      <c r="I1911" s="370"/>
      <c r="J1911" s="370"/>
      <c r="K1911" s="370"/>
      <c r="L1911" s="370"/>
      <c r="M1911" s="370"/>
      <c r="N1911" s="370"/>
      <c r="O1911" s="370"/>
      <c r="P1911" s="370"/>
      <c r="Q1911" s="370"/>
      <c r="R1911" s="370"/>
      <c r="S1911" s="370"/>
      <c r="T1911" s="370"/>
      <c r="U1911" s="370"/>
      <c r="V1911" s="370"/>
      <c r="W1911" s="370"/>
    </row>
    <row r="1912" spans="1:23" x14ac:dyDescent="0.2">
      <c r="A1912" s="370"/>
      <c r="B1912" s="360"/>
      <c r="C1912" s="370"/>
      <c r="D1912" s="370"/>
      <c r="E1912" s="370"/>
      <c r="F1912" s="370"/>
      <c r="G1912" s="370"/>
      <c r="H1912" s="370"/>
      <c r="I1912" s="370"/>
      <c r="J1912" s="370"/>
      <c r="K1912" s="370"/>
      <c r="L1912" s="370"/>
      <c r="M1912" s="370"/>
      <c r="N1912" s="370"/>
      <c r="O1912" s="370"/>
      <c r="P1912" s="370"/>
      <c r="Q1912" s="370"/>
      <c r="R1912" s="370"/>
      <c r="S1912" s="370"/>
      <c r="T1912" s="370"/>
      <c r="U1912" s="370"/>
      <c r="V1912" s="370"/>
      <c r="W1912" s="370"/>
    </row>
    <row r="1913" spans="1:23" x14ac:dyDescent="0.2">
      <c r="A1913" s="292"/>
      <c r="B1913" s="373"/>
      <c r="C1913" s="280"/>
      <c r="D1913" s="374"/>
      <c r="E1913" s="374"/>
      <c r="F1913" s="374"/>
      <c r="G1913" s="374"/>
      <c r="H1913" s="374"/>
      <c r="I1913" s="374"/>
      <c r="J1913" s="374"/>
      <c r="K1913" s="374"/>
      <c r="L1913" s="374"/>
      <c r="M1913" s="374"/>
      <c r="N1913" s="374"/>
      <c r="O1913" s="374"/>
      <c r="P1913" s="374"/>
      <c r="Q1913" s="374"/>
      <c r="R1913" s="374"/>
      <c r="S1913" s="374"/>
      <c r="T1913" s="374"/>
      <c r="U1913" s="374"/>
      <c r="V1913" s="374"/>
      <c r="W1913" s="374"/>
    </row>
    <row r="1914" spans="1:23" ht="15.75" x14ac:dyDescent="0.25">
      <c r="A1914" s="302" t="s">
        <v>29</v>
      </c>
      <c r="B1914" s="305" t="s">
        <v>82</v>
      </c>
      <c r="C1914" s="306">
        <v>2000</v>
      </c>
      <c r="D1914" s="306">
        <v>2001</v>
      </c>
      <c r="E1914" s="306">
        <v>2002</v>
      </c>
      <c r="F1914" s="306">
        <v>2003</v>
      </c>
      <c r="G1914" s="306">
        <v>2004</v>
      </c>
      <c r="H1914" s="306">
        <v>2005</v>
      </c>
      <c r="I1914" s="306">
        <v>2006</v>
      </c>
      <c r="J1914" s="306">
        <v>2007</v>
      </c>
      <c r="K1914" s="306">
        <v>2008</v>
      </c>
      <c r="L1914" s="306">
        <v>2009</v>
      </c>
      <c r="M1914" s="306">
        <v>2010</v>
      </c>
      <c r="N1914" s="306">
        <v>2011</v>
      </c>
      <c r="O1914" s="306">
        <v>2012</v>
      </c>
      <c r="P1914" s="306">
        <v>2013</v>
      </c>
      <c r="Q1914" s="306">
        <v>2014</v>
      </c>
      <c r="R1914" s="306">
        <v>2015</v>
      </c>
      <c r="S1914" s="306">
        <v>2016</v>
      </c>
      <c r="T1914" s="306">
        <v>2017</v>
      </c>
      <c r="U1914" s="306">
        <v>2018</v>
      </c>
      <c r="V1914" s="306">
        <v>2019</v>
      </c>
      <c r="W1914" s="306" t="s">
        <v>154</v>
      </c>
    </row>
    <row r="1915" spans="1:23" x14ac:dyDescent="0.2">
      <c r="A1915" s="302" t="s">
        <v>26</v>
      </c>
      <c r="B1915" s="303">
        <v>83.433000000000007</v>
      </c>
      <c r="C1915" s="308"/>
      <c r="D1915" s="308"/>
      <c r="E1915" s="308"/>
      <c r="F1915" s="308"/>
      <c r="G1915" s="308"/>
      <c r="H1915" s="308"/>
      <c r="I1915" s="308"/>
      <c r="J1915" s="308"/>
      <c r="K1915" s="308"/>
      <c r="L1915" s="308"/>
      <c r="M1915" s="308"/>
      <c r="N1915" s="308"/>
      <c r="O1915" s="308"/>
      <c r="P1915" s="308"/>
      <c r="Q1915" s="308"/>
      <c r="R1915" s="308"/>
      <c r="S1915" s="308"/>
      <c r="T1915" s="308"/>
      <c r="U1915" s="308"/>
      <c r="V1915" s="308"/>
      <c r="W1915" s="308"/>
    </row>
    <row r="1916" spans="1:23" x14ac:dyDescent="0.2">
      <c r="A1916" s="9"/>
      <c r="B1916" s="309" t="s">
        <v>27</v>
      </c>
      <c r="C1916" s="443">
        <v>0</v>
      </c>
      <c r="D1916" s="404">
        <v>8202175.3914196901</v>
      </c>
      <c r="E1916" s="404">
        <v>7219125.1955624679</v>
      </c>
      <c r="F1916" s="404">
        <v>6975429.9289103542</v>
      </c>
      <c r="G1916" s="404">
        <v>6698801.5398195479</v>
      </c>
      <c r="H1916" s="404">
        <v>6877286.9012491489</v>
      </c>
      <c r="I1916" s="404">
        <v>7875918.1611640118</v>
      </c>
      <c r="J1916" s="404">
        <v>9532366.5123401303</v>
      </c>
      <c r="K1916" s="404">
        <v>12117113.010367623</v>
      </c>
      <c r="L1916" s="404">
        <v>12861496.066195816</v>
      </c>
      <c r="M1916" s="404">
        <v>11066696.097163459</v>
      </c>
      <c r="N1916" s="404">
        <v>10846097.9980071</v>
      </c>
      <c r="O1916" s="404">
        <v>10837165.461976836</v>
      </c>
      <c r="P1916" s="404">
        <v>10010041.080739968</v>
      </c>
      <c r="Q1916" s="404">
        <v>11607660.599296786</v>
      </c>
      <c r="R1916" s="404">
        <v>10822858.676266527</v>
      </c>
      <c r="S1916" s="404">
        <v>10915874.081664842</v>
      </c>
      <c r="T1916" s="404">
        <v>10065899.077409105</v>
      </c>
      <c r="U1916" s="404">
        <v>11407206.886303719</v>
      </c>
      <c r="V1916" s="404">
        <v>12342873.484122811</v>
      </c>
      <c r="W1916" s="327"/>
    </row>
    <row r="1917" spans="1:23" x14ac:dyDescent="0.2">
      <c r="A1917" s="9"/>
      <c r="B1917" s="309" t="s">
        <v>20</v>
      </c>
      <c r="C1917" s="443">
        <v>0</v>
      </c>
      <c r="D1917" s="404">
        <v>-2443747.1509538759</v>
      </c>
      <c r="E1917" s="404">
        <v>-2991581.0524151698</v>
      </c>
      <c r="F1917" s="404">
        <v>-3235039.6998927929</v>
      </c>
      <c r="G1917" s="404">
        <v>-3544191.9755981402</v>
      </c>
      <c r="H1917" s="404">
        <v>-3794796.9656743901</v>
      </c>
      <c r="I1917" s="404">
        <v>-4944426.379624729</v>
      </c>
      <c r="J1917" s="404">
        <v>-6219182.8226861553</v>
      </c>
      <c r="K1917" s="404">
        <v>-7723082.376592651</v>
      </c>
      <c r="L1917" s="404">
        <v>-8284094.1225295514</v>
      </c>
      <c r="M1917" s="404">
        <v>-6482347.8668211428</v>
      </c>
      <c r="N1917" s="404">
        <v>-7112818.1669523586</v>
      </c>
      <c r="O1917" s="404">
        <v>-6598867.186659608</v>
      </c>
      <c r="P1917" s="404">
        <v>-6033835.2006924925</v>
      </c>
      <c r="Q1917" s="404">
        <v>-6785562.7186127715</v>
      </c>
      <c r="R1917" s="404">
        <v>-6609183.756585882</v>
      </c>
      <c r="S1917" s="404">
        <v>-7384920.3865921488</v>
      </c>
      <c r="T1917" s="404">
        <v>-6300625.6205580141</v>
      </c>
      <c r="U1917" s="404">
        <v>-7074580.3602302261</v>
      </c>
      <c r="V1917" s="404">
        <v>-8373327.4147212766</v>
      </c>
      <c r="W1917" s="327"/>
    </row>
    <row r="1918" spans="1:23" x14ac:dyDescent="0.2">
      <c r="A1918" s="9"/>
      <c r="B1918" s="309" t="s">
        <v>31</v>
      </c>
      <c r="C1918" s="443">
        <v>0</v>
      </c>
      <c r="D1918" s="404">
        <v>-60965.996027048721</v>
      </c>
      <c r="E1918" s="404">
        <v>-86226.881744492581</v>
      </c>
      <c r="F1918" s="404">
        <v>-98920.092928497703</v>
      </c>
      <c r="G1918" s="404">
        <v>-108302.35780039914</v>
      </c>
      <c r="H1918" s="404">
        <v>-115803.71590397664</v>
      </c>
      <c r="I1918" s="404">
        <v>-156864.88597871904</v>
      </c>
      <c r="J1918" s="404">
        <v>-192371.5306182226</v>
      </c>
      <c r="K1918" s="404">
        <v>-262154.68285510957</v>
      </c>
      <c r="L1918" s="404">
        <v>-274514.62646256847</v>
      </c>
      <c r="M1918" s="404">
        <v>-209035.46436537022</v>
      </c>
      <c r="N1918" s="404">
        <v>-234968.36063169062</v>
      </c>
      <c r="O1918" s="404">
        <v>-219679.09216769069</v>
      </c>
      <c r="P1918" s="404">
        <v>-198816.52750715817</v>
      </c>
      <c r="Q1918" s="404">
        <v>-222370.27289478772</v>
      </c>
      <c r="R1918" s="404">
        <v>-204501.47078899431</v>
      </c>
      <c r="S1918" s="404">
        <v>-224078.64365781232</v>
      </c>
      <c r="T1918" s="404">
        <v>-191744.26729954788</v>
      </c>
      <c r="U1918" s="404">
        <v>-202409.85965082719</v>
      </c>
      <c r="V1918" s="404">
        <v>-245710.99012228646</v>
      </c>
      <c r="W1918" s="327"/>
    </row>
    <row r="1919" spans="1:23" x14ac:dyDescent="0.2">
      <c r="A1919" s="9"/>
      <c r="B1919" s="309" t="s">
        <v>32</v>
      </c>
      <c r="C1919" s="443">
        <v>0</v>
      </c>
      <c r="D1919" s="404">
        <v>0</v>
      </c>
      <c r="E1919" s="404">
        <v>0</v>
      </c>
      <c r="F1919" s="404">
        <v>0</v>
      </c>
      <c r="G1919" s="404">
        <v>0</v>
      </c>
      <c r="H1919" s="404">
        <v>0</v>
      </c>
      <c r="I1919" s="404">
        <v>93418.023327088376</v>
      </c>
      <c r="J1919" s="404">
        <v>103546.416256845</v>
      </c>
      <c r="K1919" s="404">
        <v>114259.16746337658</v>
      </c>
      <c r="L1919" s="404">
        <v>125495.63771574097</v>
      </c>
      <c r="M1919" s="404">
        <v>139570.44415525725</v>
      </c>
      <c r="N1919" s="404">
        <v>153747.39907892016</v>
      </c>
      <c r="O1919" s="404">
        <v>170347.50869303249</v>
      </c>
      <c r="P1919" s="404">
        <v>191004.36881418826</v>
      </c>
      <c r="Q1919" s="404">
        <v>212617.66815241956</v>
      </c>
      <c r="R1919" s="404">
        <v>235515.42537247401</v>
      </c>
      <c r="S1919" s="404">
        <v>258595.6474313915</v>
      </c>
      <c r="T1919" s="404">
        <v>254057.61645580616</v>
      </c>
      <c r="U1919" s="404">
        <v>217360.03222342019</v>
      </c>
      <c r="V1919" s="404">
        <v>225362.25124239805</v>
      </c>
      <c r="W1919" s="327"/>
    </row>
    <row r="1920" spans="1:23" ht="13.5" thickBot="1" x14ac:dyDescent="0.25">
      <c r="A1920" s="9"/>
      <c r="B1920" s="310" t="s">
        <v>33</v>
      </c>
      <c r="C1920" s="444">
        <v>0</v>
      </c>
      <c r="D1920" s="406">
        <v>0</v>
      </c>
      <c r="E1920" s="406">
        <v>0</v>
      </c>
      <c r="F1920" s="406">
        <v>0</v>
      </c>
      <c r="G1920" s="406">
        <v>0</v>
      </c>
      <c r="H1920" s="406">
        <v>0</v>
      </c>
      <c r="I1920" s="406">
        <v>0</v>
      </c>
      <c r="J1920" s="406">
        <v>0</v>
      </c>
      <c r="K1920" s="406">
        <v>0</v>
      </c>
      <c r="L1920" s="406">
        <v>0</v>
      </c>
      <c r="M1920" s="406">
        <v>0</v>
      </c>
      <c r="N1920" s="406">
        <v>0</v>
      </c>
      <c r="O1920" s="406">
        <v>0</v>
      </c>
      <c r="P1920" s="406">
        <v>0</v>
      </c>
      <c r="Q1920" s="406">
        <v>0</v>
      </c>
      <c r="R1920" s="406">
        <v>0</v>
      </c>
      <c r="S1920" s="406">
        <v>0</v>
      </c>
      <c r="T1920" s="406">
        <v>0</v>
      </c>
      <c r="U1920" s="406">
        <v>0</v>
      </c>
      <c r="V1920" s="406">
        <v>0</v>
      </c>
      <c r="W1920" s="327"/>
    </row>
    <row r="1921" spans="1:23" ht="13.5" thickTop="1" x14ac:dyDescent="0.2">
      <c r="A1921" s="9"/>
      <c r="B1921" s="311" t="s">
        <v>38</v>
      </c>
      <c r="C1921" s="445">
        <v>0</v>
      </c>
      <c r="D1921" s="408">
        <v>5697462.2444387656</v>
      </c>
      <c r="E1921" s="408">
        <v>4141317.2614028053</v>
      </c>
      <c r="F1921" s="408">
        <v>3641470.1360890637</v>
      </c>
      <c r="G1921" s="408">
        <v>3046307.2064210088</v>
      </c>
      <c r="H1921" s="408">
        <v>2966686.2196707823</v>
      </c>
      <c r="I1921" s="408">
        <v>2868044.918887652</v>
      </c>
      <c r="J1921" s="408">
        <v>3224358.5752925975</v>
      </c>
      <c r="K1921" s="408">
        <v>4246135.1183832381</v>
      </c>
      <c r="L1921" s="408">
        <v>4428382.9549194369</v>
      </c>
      <c r="M1921" s="408">
        <v>4514883.2101322031</v>
      </c>
      <c r="N1921" s="408">
        <v>3652058.8695019707</v>
      </c>
      <c r="O1921" s="408">
        <v>4188966.691842569</v>
      </c>
      <c r="P1921" s="408">
        <v>3968393.721354505</v>
      </c>
      <c r="Q1921" s="408">
        <v>4812345.2759416467</v>
      </c>
      <c r="R1921" s="408">
        <v>4244688.8742641248</v>
      </c>
      <c r="S1921" s="408">
        <v>3565470.6988462717</v>
      </c>
      <c r="T1921" s="408">
        <v>3827586.8060073494</v>
      </c>
      <c r="U1921" s="408">
        <v>4347576.6986460863</v>
      </c>
      <c r="V1921" s="408">
        <v>3949197.330521646</v>
      </c>
      <c r="W1921" s="327"/>
    </row>
    <row r="1922" spans="1:23" x14ac:dyDescent="0.2">
      <c r="A1922" s="9"/>
      <c r="B1922" s="309" t="s">
        <v>34</v>
      </c>
      <c r="C1922" s="443">
        <v>0</v>
      </c>
      <c r="D1922" s="404">
        <v>-355535.16277078062</v>
      </c>
      <c r="E1922" s="404">
        <v>-362645.86602619622</v>
      </c>
      <c r="F1922" s="404">
        <v>-369898.78334672016</v>
      </c>
      <c r="G1922" s="404">
        <v>-377296.75901365455</v>
      </c>
      <c r="H1922" s="404">
        <v>-384842.69419392763</v>
      </c>
      <c r="I1922" s="404">
        <v>-392539.54807780619</v>
      </c>
      <c r="J1922" s="404">
        <v>-400390.33903936233</v>
      </c>
      <c r="K1922" s="404">
        <v>-408398.14582014957</v>
      </c>
      <c r="L1922" s="404">
        <v>-416566.10873655259</v>
      </c>
      <c r="M1922" s="404">
        <v>-424897.43091128365</v>
      </c>
      <c r="N1922" s="404">
        <v>-433395.37952950934</v>
      </c>
      <c r="O1922" s="404">
        <v>-442063.28712009953</v>
      </c>
      <c r="P1922" s="404">
        <v>-450904.55286250153</v>
      </c>
      <c r="Q1922" s="404">
        <v>-459922.64391975157</v>
      </c>
      <c r="R1922" s="404">
        <v>-469121.09679814661</v>
      </c>
      <c r="S1922" s="404">
        <v>-478503.51873410953</v>
      </c>
      <c r="T1922" s="404">
        <v>-488073.58910879173</v>
      </c>
      <c r="U1922" s="404">
        <v>-497835.06089096755</v>
      </c>
      <c r="V1922" s="404">
        <v>-507791.7621087869</v>
      </c>
      <c r="W1922" s="327"/>
    </row>
    <row r="1923" spans="1:23" x14ac:dyDescent="0.2">
      <c r="A1923" s="9"/>
      <c r="B1923" s="309" t="s">
        <v>35</v>
      </c>
      <c r="C1923" s="443">
        <v>0</v>
      </c>
      <c r="D1923" s="404">
        <v>-171612.57929687499</v>
      </c>
      <c r="E1923" s="404">
        <v>-171612.57929687499</v>
      </c>
      <c r="F1923" s="404">
        <v>-171612.57929687499</v>
      </c>
      <c r="G1923" s="404">
        <v>-171612.57929687499</v>
      </c>
      <c r="H1923" s="404">
        <v>-171612.57929687499</v>
      </c>
      <c r="I1923" s="404">
        <v>-171612.57929687499</v>
      </c>
      <c r="J1923" s="404">
        <v>-171612.57929687499</v>
      </c>
      <c r="K1923" s="404">
        <v>-171612.57929687499</v>
      </c>
      <c r="L1923" s="404">
        <v>-171612.57929687499</v>
      </c>
      <c r="M1923" s="404">
        <v>-171612.57929687499</v>
      </c>
      <c r="N1923" s="404">
        <v>-171612.57929687499</v>
      </c>
      <c r="O1923" s="404">
        <v>-171612.57929687499</v>
      </c>
      <c r="P1923" s="404">
        <v>-171612.57929687499</v>
      </c>
      <c r="Q1923" s="404">
        <v>-171612.57929687499</v>
      </c>
      <c r="R1923" s="404">
        <v>-171612.57929687499</v>
      </c>
      <c r="S1923" s="404">
        <v>-171612.57929687499</v>
      </c>
      <c r="T1923" s="404">
        <v>-171612.57929687499</v>
      </c>
      <c r="U1923" s="404">
        <v>-171612.57929687499</v>
      </c>
      <c r="V1923" s="404">
        <v>-171612.57929687499</v>
      </c>
      <c r="W1923" s="327"/>
    </row>
    <row r="1924" spans="1:23" ht="13.5" thickBot="1" x14ac:dyDescent="0.25">
      <c r="A1924" s="9"/>
      <c r="B1924" s="310" t="s">
        <v>36</v>
      </c>
      <c r="C1924" s="444">
        <v>0</v>
      </c>
      <c r="D1924" s="406">
        <v>-34547.1907058574</v>
      </c>
      <c r="E1924" s="406">
        <v>-35276.136429751197</v>
      </c>
      <c r="F1924" s="406">
        <v>-36048.6838175628</v>
      </c>
      <c r="G1924" s="406">
        <v>-36863.384071839399</v>
      </c>
      <c r="H1924" s="406">
        <v>-37740.7326127493</v>
      </c>
      <c r="I1924" s="406">
        <v>-38686.5191661684</v>
      </c>
      <c r="J1924" s="406">
        <v>-39646.052617166402</v>
      </c>
      <c r="K1924" s="406">
        <v>-40649.576140416597</v>
      </c>
      <c r="L1924" s="406">
        <v>-41653.6206710849</v>
      </c>
      <c r="M1924" s="406">
        <v>-42715.787998197498</v>
      </c>
      <c r="N1924" s="406">
        <v>-43749.510067754003</v>
      </c>
      <c r="O1924" s="406">
        <v>-44851.997721461303</v>
      </c>
      <c r="P1924" s="406">
        <v>-45991.238463586298</v>
      </c>
      <c r="Q1924" s="406">
        <v>-47141.019425175997</v>
      </c>
      <c r="R1924" s="406">
        <v>-48324.259012747898</v>
      </c>
      <c r="S1924" s="406">
        <v>-49532.365488066702</v>
      </c>
      <c r="T1924" s="406">
        <v>-50760.768152170604</v>
      </c>
      <c r="U1924" s="406">
        <v>-52034.863432790196</v>
      </c>
      <c r="V1924" s="406">
        <v>-53340.938504953301</v>
      </c>
      <c r="W1924" s="327"/>
    </row>
    <row r="1925" spans="1:23" ht="13.5" thickTop="1" x14ac:dyDescent="0.2">
      <c r="A1925" s="9"/>
      <c r="B1925" s="311" t="s">
        <v>220</v>
      </c>
      <c r="C1925" s="446">
        <v>0</v>
      </c>
      <c r="D1925" s="410">
        <v>5135767.3116652528</v>
      </c>
      <c r="E1925" s="410">
        <v>3571782.6796499831</v>
      </c>
      <c r="F1925" s="410">
        <v>3063910.0896279062</v>
      </c>
      <c r="G1925" s="410">
        <v>2460534.4840386398</v>
      </c>
      <c r="H1925" s="410">
        <v>2372490.2135672309</v>
      </c>
      <c r="I1925" s="410">
        <v>2265206.2723468025</v>
      </c>
      <c r="J1925" s="410">
        <v>2612709.604339194</v>
      </c>
      <c r="K1925" s="410">
        <v>3625474.8171257968</v>
      </c>
      <c r="L1925" s="410">
        <v>3798550.6462149243</v>
      </c>
      <c r="M1925" s="410">
        <v>3875657.4119258472</v>
      </c>
      <c r="N1925" s="410">
        <v>3003301.4006078327</v>
      </c>
      <c r="O1925" s="410">
        <v>3530438.8277041335</v>
      </c>
      <c r="P1925" s="410">
        <v>3299885.3507315423</v>
      </c>
      <c r="Q1925" s="410">
        <v>4133669.0332998438</v>
      </c>
      <c r="R1925" s="410">
        <v>3555630.9391563553</v>
      </c>
      <c r="S1925" s="410">
        <v>2865822.2353272205</v>
      </c>
      <c r="T1925" s="410">
        <v>3117139.8694495121</v>
      </c>
      <c r="U1925" s="410">
        <v>3626094.1950254538</v>
      </c>
      <c r="V1925" s="410">
        <v>3216452.0506110308</v>
      </c>
      <c r="W1925" s="327"/>
    </row>
    <row r="1926" spans="1:23" x14ac:dyDescent="0.2">
      <c r="A1926" s="9"/>
      <c r="B1926" s="309" t="s">
        <v>37</v>
      </c>
      <c r="C1926" s="443">
        <v>0</v>
      </c>
      <c r="D1926" s="404">
        <v>-2192540.6332916664</v>
      </c>
      <c r="E1926" s="404">
        <v>-2210158.6552009</v>
      </c>
      <c r="F1926" s="404">
        <v>-2220800.1739075333</v>
      </c>
      <c r="G1926" s="404">
        <v>-2222765.9934726334</v>
      </c>
      <c r="H1926" s="404">
        <v>-2221622.5140418001</v>
      </c>
      <c r="I1926" s="404">
        <v>-2229059.5415241667</v>
      </c>
      <c r="J1926" s="404">
        <v>-1258985.9031358557</v>
      </c>
      <c r="K1926" s="404">
        <v>-179632.74748216567</v>
      </c>
      <c r="L1926" s="404">
        <v>-59593.322103499304</v>
      </c>
      <c r="M1926" s="404">
        <v>-52343.292619258624</v>
      </c>
      <c r="N1926" s="404">
        <v>-57576.108262161724</v>
      </c>
      <c r="O1926" s="404">
        <v>-62703.340287732244</v>
      </c>
      <c r="P1926" s="404">
        <v>-67940.828551810526</v>
      </c>
      <c r="Q1926" s="404">
        <v>-73212.09813047784</v>
      </c>
      <c r="R1926" s="404">
        <v>-78645.36246317187</v>
      </c>
      <c r="S1926" s="404">
        <v>-84368.143059180002</v>
      </c>
      <c r="T1926" s="404">
        <v>-90262.607073068415</v>
      </c>
      <c r="U1926" s="404">
        <v>-96333.905007373483</v>
      </c>
      <c r="V1926" s="404">
        <v>-102587.34187970767</v>
      </c>
      <c r="W1926" s="327"/>
    </row>
    <row r="1927" spans="1:23" ht="13.5" thickBot="1" x14ac:dyDescent="0.25">
      <c r="A1927" s="9"/>
      <c r="B1927" s="310" t="s">
        <v>221</v>
      </c>
      <c r="C1927" s="444">
        <v>0</v>
      </c>
      <c r="D1927" s="406">
        <v>-1177290.6713494346</v>
      </c>
      <c r="E1927" s="406">
        <v>-544649.60977963323</v>
      </c>
      <c r="F1927" s="406">
        <v>-337243.96628814918</v>
      </c>
      <c r="G1927" s="406">
        <v>-95107.396226402561</v>
      </c>
      <c r="H1927" s="406">
        <v>-60347.079810172319</v>
      </c>
      <c r="I1927" s="406">
        <v>-14458.692329054327</v>
      </c>
      <c r="J1927" s="406">
        <v>-541489.48048133531</v>
      </c>
      <c r="K1927" s="406">
        <v>-1378336.8278574524</v>
      </c>
      <c r="L1927" s="406">
        <v>-1495582.92964457</v>
      </c>
      <c r="M1927" s="406">
        <v>-1529325.6477226354</v>
      </c>
      <c r="N1927" s="406">
        <v>-1178290.1169382685</v>
      </c>
      <c r="O1927" s="406">
        <v>-1387094.1949665605</v>
      </c>
      <c r="P1927" s="406">
        <v>-1292777.8088718927</v>
      </c>
      <c r="Q1927" s="406">
        <v>-1624182.7740677465</v>
      </c>
      <c r="R1927" s="406">
        <v>-1390794.2306772734</v>
      </c>
      <c r="S1927" s="406">
        <v>-1112581.6369072162</v>
      </c>
      <c r="T1927" s="406">
        <v>-1210750.9049505775</v>
      </c>
      <c r="U1927" s="406">
        <v>-1411904.1160072321</v>
      </c>
      <c r="V1927" s="406">
        <v>-1245545.8834925292</v>
      </c>
      <c r="W1927" s="327"/>
    </row>
    <row r="1928" spans="1:23" ht="13.5" thickTop="1" x14ac:dyDescent="0.2">
      <c r="A1928" s="9"/>
      <c r="B1928" s="311" t="s">
        <v>183</v>
      </c>
      <c r="C1928" s="446">
        <v>0</v>
      </c>
      <c r="D1928" s="410">
        <v>1765936.0070241517</v>
      </c>
      <c r="E1928" s="410">
        <v>816974.41466944979</v>
      </c>
      <c r="F1928" s="410">
        <v>505865.94943222374</v>
      </c>
      <c r="G1928" s="410">
        <v>142661.09433960385</v>
      </c>
      <c r="H1928" s="410">
        <v>90520.619715258479</v>
      </c>
      <c r="I1928" s="410">
        <v>21688.038493581487</v>
      </c>
      <c r="J1928" s="410">
        <v>812234.22072200303</v>
      </c>
      <c r="K1928" s="410">
        <v>2067505.2417861787</v>
      </c>
      <c r="L1928" s="410">
        <v>2243374.3944668546</v>
      </c>
      <c r="M1928" s="410">
        <v>2293988.4715839531</v>
      </c>
      <c r="N1928" s="410">
        <v>1767435.1754074025</v>
      </c>
      <c r="O1928" s="410">
        <v>2080641.2924498406</v>
      </c>
      <c r="P1928" s="410">
        <v>1939166.7133078389</v>
      </c>
      <c r="Q1928" s="410">
        <v>2436274.1611016192</v>
      </c>
      <c r="R1928" s="410">
        <v>2086191.3460159099</v>
      </c>
      <c r="S1928" s="410">
        <v>1668872.4553608242</v>
      </c>
      <c r="T1928" s="410">
        <v>1816126.357425866</v>
      </c>
      <c r="U1928" s="410">
        <v>2117856.1740108482</v>
      </c>
      <c r="V1928" s="410">
        <v>1868318.8252387939</v>
      </c>
      <c r="W1928" s="327"/>
    </row>
    <row r="1929" spans="1:23" x14ac:dyDescent="0.2">
      <c r="A1929" s="9"/>
      <c r="B1929" s="309" t="s">
        <v>37</v>
      </c>
      <c r="C1929" s="443">
        <v>0</v>
      </c>
      <c r="D1929" s="404">
        <v>2192540.6332916664</v>
      </c>
      <c r="E1929" s="404">
        <v>2210158.6552009</v>
      </c>
      <c r="F1929" s="404">
        <v>2220800.1739075333</v>
      </c>
      <c r="G1929" s="404">
        <v>2222765.9934726334</v>
      </c>
      <c r="H1929" s="404">
        <v>2221622.5140418001</v>
      </c>
      <c r="I1929" s="404">
        <v>2229059.5415241667</v>
      </c>
      <c r="J1929" s="404">
        <v>1258985.9031358557</v>
      </c>
      <c r="K1929" s="404">
        <v>179632.74748216567</v>
      </c>
      <c r="L1929" s="404">
        <v>59593.322103499304</v>
      </c>
      <c r="M1929" s="404">
        <v>52343.292619258624</v>
      </c>
      <c r="N1929" s="404">
        <v>57576.108262161724</v>
      </c>
      <c r="O1929" s="404">
        <v>62703.340287732244</v>
      </c>
      <c r="P1929" s="404">
        <v>67940.828551810526</v>
      </c>
      <c r="Q1929" s="404">
        <v>73212.09813047784</v>
      </c>
      <c r="R1929" s="404">
        <v>78645.36246317187</v>
      </c>
      <c r="S1929" s="404">
        <v>84368.143059180002</v>
      </c>
      <c r="T1929" s="404">
        <v>90262.607073068415</v>
      </c>
      <c r="U1929" s="404">
        <v>96333.905007373483</v>
      </c>
      <c r="V1929" s="404">
        <v>102587.34187970767</v>
      </c>
      <c r="W1929" s="327"/>
    </row>
    <row r="1930" spans="1:23" x14ac:dyDescent="0.2">
      <c r="A1930" s="9"/>
      <c r="B1930" s="309" t="s">
        <v>39</v>
      </c>
      <c r="C1930" s="443">
        <v>0</v>
      </c>
      <c r="D1930" s="404">
        <v>-14879.11</v>
      </c>
      <c r="E1930" s="404">
        <v>-378160.86</v>
      </c>
      <c r="F1930" s="404">
        <v>-15780.83</v>
      </c>
      <c r="G1930" s="404">
        <v>-16310.09</v>
      </c>
      <c r="H1930" s="404">
        <v>-88150.02</v>
      </c>
      <c r="I1930" s="404">
        <v>-90794.520600000003</v>
      </c>
      <c r="J1930" s="404">
        <v>-93518.356218000001</v>
      </c>
      <c r="K1930" s="404">
        <v>-96323.90690454001</v>
      </c>
      <c r="L1930" s="404">
        <v>-99213.62411167621</v>
      </c>
      <c r="M1930" s="404">
        <v>-102190.0328350265</v>
      </c>
      <c r="N1930" s="404">
        <v>-105255.73382007731</v>
      </c>
      <c r="O1930" s="404">
        <v>-108413.40583467964</v>
      </c>
      <c r="P1930" s="404">
        <v>-111665.80800972003</v>
      </c>
      <c r="Q1930" s="404">
        <v>-115015.78225001163</v>
      </c>
      <c r="R1930" s="404">
        <v>-118466.25571751199</v>
      </c>
      <c r="S1930" s="404">
        <v>-122020.24338903735</v>
      </c>
      <c r="T1930" s="404">
        <v>-125680.85069070848</v>
      </c>
      <c r="U1930" s="404">
        <v>-129451.27621142974</v>
      </c>
      <c r="V1930" s="404">
        <v>-133334.81449777263</v>
      </c>
      <c r="W1930" s="327"/>
    </row>
    <row r="1931" spans="1:23" ht="13.5" thickBot="1" x14ac:dyDescent="0.25">
      <c r="A1931" s="9"/>
      <c r="B1931" s="310" t="s">
        <v>40</v>
      </c>
      <c r="C1931" s="444">
        <v>0</v>
      </c>
      <c r="D1931" s="406">
        <v>0</v>
      </c>
      <c r="E1931" s="406">
        <v>0</v>
      </c>
      <c r="F1931" s="406">
        <v>0</v>
      </c>
      <c r="G1931" s="406">
        <v>0</v>
      </c>
      <c r="H1931" s="406">
        <v>0</v>
      </c>
      <c r="I1931" s="406">
        <v>0</v>
      </c>
      <c r="J1931" s="406">
        <v>0</v>
      </c>
      <c r="K1931" s="406">
        <v>0</v>
      </c>
      <c r="L1931" s="406">
        <v>0</v>
      </c>
      <c r="M1931" s="406">
        <v>0</v>
      </c>
      <c r="N1931" s="406">
        <v>0</v>
      </c>
      <c r="O1931" s="406">
        <v>0</v>
      </c>
      <c r="P1931" s="406">
        <v>0</v>
      </c>
      <c r="Q1931" s="406">
        <v>0</v>
      </c>
      <c r="R1931" s="406">
        <v>0</v>
      </c>
      <c r="S1931" s="406">
        <v>0</v>
      </c>
      <c r="T1931" s="406">
        <v>0</v>
      </c>
      <c r="U1931" s="406">
        <v>0</v>
      </c>
      <c r="V1931" s="406">
        <v>0</v>
      </c>
      <c r="W1931" s="327"/>
    </row>
    <row r="1932" spans="1:23" ht="13.5" thickTop="1" x14ac:dyDescent="0.2">
      <c r="A1932" s="9"/>
      <c r="B1932" s="309"/>
      <c r="C1932" s="447"/>
      <c r="D1932" s="327"/>
      <c r="E1932" s="327"/>
      <c r="F1932" s="327"/>
      <c r="G1932" s="327"/>
      <c r="H1932" s="327"/>
      <c r="I1932" s="327"/>
      <c r="J1932" s="327"/>
      <c r="K1932" s="327"/>
      <c r="L1932" s="327"/>
      <c r="M1932" s="327"/>
      <c r="N1932" s="327"/>
      <c r="O1932" s="327"/>
      <c r="P1932" s="327"/>
      <c r="Q1932" s="327"/>
      <c r="R1932" s="327"/>
      <c r="S1932" s="327"/>
      <c r="T1932" s="327"/>
      <c r="U1932" s="327"/>
      <c r="V1932" s="327"/>
      <c r="W1932" s="327"/>
    </row>
    <row r="1933" spans="1:23" x14ac:dyDescent="0.2">
      <c r="A1933" s="9"/>
      <c r="B1933" s="311" t="s">
        <v>233</v>
      </c>
      <c r="C1933" s="446">
        <v>0</v>
      </c>
      <c r="D1933" s="410">
        <v>3943597.5303158183</v>
      </c>
      <c r="E1933" s="410">
        <v>2648972.2098703501</v>
      </c>
      <c r="F1933" s="410">
        <v>2710885.2933397568</v>
      </c>
      <c r="G1933" s="410">
        <v>2349116.9978122376</v>
      </c>
      <c r="H1933" s="410">
        <v>2223993.1137570585</v>
      </c>
      <c r="I1933" s="410">
        <v>2159953.0594177484</v>
      </c>
      <c r="J1933" s="410">
        <v>1977701.7676398586</v>
      </c>
      <c r="K1933" s="410">
        <v>2150814.0823638043</v>
      </c>
      <c r="L1933" s="410">
        <v>2203754.0924586779</v>
      </c>
      <c r="M1933" s="410">
        <v>2244141.731368185</v>
      </c>
      <c r="N1933" s="410">
        <v>1719755.5498494869</v>
      </c>
      <c r="O1933" s="410">
        <v>2034931.226902893</v>
      </c>
      <c r="P1933" s="410">
        <v>1895441.7338499294</v>
      </c>
      <c r="Q1933" s="410">
        <v>2394470.4769820855</v>
      </c>
      <c r="R1933" s="410">
        <v>2046370.4527615698</v>
      </c>
      <c r="S1933" s="410">
        <v>1631220.3550309669</v>
      </c>
      <c r="T1933" s="410">
        <v>1780708.1138082258</v>
      </c>
      <c r="U1933" s="410">
        <v>2084738.8028067918</v>
      </c>
      <c r="V1933" s="410">
        <v>1837571.352620729</v>
      </c>
      <c r="W1933" s="408">
        <v>12085963.974698318</v>
      </c>
    </row>
    <row r="1934" spans="1:23" x14ac:dyDescent="0.2">
      <c r="A1934" s="9"/>
      <c r="B1934" s="286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</row>
    <row r="1935" spans="1:23" x14ac:dyDescent="0.2">
      <c r="A1935" s="302" t="s">
        <v>218</v>
      </c>
      <c r="B1935" s="300" t="s">
        <v>170</v>
      </c>
      <c r="C1935" s="433">
        <v>10796453.404054895</v>
      </c>
      <c r="D1935" s="9"/>
      <c r="E1935" s="137" t="s">
        <v>219</v>
      </c>
      <c r="F1935" s="313" t="s">
        <v>170</v>
      </c>
      <c r="G1935" s="437">
        <v>10796453.404054895</v>
      </c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</row>
    <row r="1936" spans="1:23" x14ac:dyDescent="0.2">
      <c r="A1936" s="9"/>
      <c r="B1936" s="300" t="s">
        <v>180</v>
      </c>
      <c r="C1936" s="433">
        <v>9340644.3956188671</v>
      </c>
      <c r="D1936" s="9"/>
      <c r="E1936" s="315"/>
      <c r="F1936" s="313" t="s">
        <v>180</v>
      </c>
      <c r="G1936" s="437">
        <v>9340644.3956188671</v>
      </c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</row>
    <row r="1937" spans="1:23" ht="13.5" thickBot="1" x14ac:dyDescent="0.25">
      <c r="A1937" s="9"/>
      <c r="B1937" s="316" t="s">
        <v>137</v>
      </c>
      <c r="C1937" s="434">
        <v>1796501.5333682555</v>
      </c>
      <c r="D1937" s="317"/>
      <c r="E1937" s="315"/>
      <c r="F1937" s="313" t="s">
        <v>137</v>
      </c>
      <c r="G1937" s="437">
        <v>1796501.5333682555</v>
      </c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</row>
    <row r="1938" spans="1:23" ht="14.25" thickTop="1" thickBot="1" x14ac:dyDescent="0.25">
      <c r="A1938" s="9"/>
      <c r="B1938" s="300" t="s">
        <v>28</v>
      </c>
      <c r="C1938" s="432">
        <v>21933599.333042022</v>
      </c>
      <c r="D1938" s="299"/>
      <c r="E1938" s="315"/>
      <c r="F1938" s="318" t="s">
        <v>203</v>
      </c>
      <c r="G1938" s="319">
        <v>0</v>
      </c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</row>
    <row r="1939" spans="1:23" ht="13.5" thickTop="1" x14ac:dyDescent="0.2">
      <c r="A1939" s="9"/>
      <c r="B1939" s="286"/>
      <c r="C1939" s="320"/>
      <c r="D1939" s="9"/>
      <c r="E1939" s="321"/>
      <c r="F1939" s="313" t="s">
        <v>28</v>
      </c>
      <c r="G1939" s="362">
        <v>21933599.333042022</v>
      </c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</row>
    <row r="1940" spans="1:23" x14ac:dyDescent="0.2">
      <c r="A1940" s="9"/>
      <c r="B1940" s="286"/>
      <c r="C1940" s="320"/>
      <c r="D1940" s="9"/>
      <c r="E1940" s="321"/>
      <c r="F1940" s="313"/>
      <c r="G1940" s="322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</row>
    <row r="1941" spans="1:23" x14ac:dyDescent="0.2">
      <c r="A1941" s="9"/>
      <c r="B1941" s="286"/>
      <c r="C1941" s="320"/>
      <c r="D1941" s="9"/>
      <c r="E1941" s="321"/>
      <c r="F1941" s="313"/>
      <c r="G1941" s="322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</row>
    <row r="1942" spans="1:23" x14ac:dyDescent="0.2">
      <c r="A1942" s="9"/>
      <c r="B1942" s="323" t="s">
        <v>222</v>
      </c>
      <c r="C1942" s="320"/>
      <c r="D1942" s="9"/>
      <c r="E1942" s="321"/>
      <c r="F1942" s="313"/>
      <c r="G1942" s="322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</row>
    <row r="1943" spans="1:23" x14ac:dyDescent="0.2">
      <c r="A1943" s="324" t="s">
        <v>224</v>
      </c>
      <c r="B1943" s="323" t="s">
        <v>223</v>
      </c>
      <c r="C1943" s="325"/>
      <c r="D1943" s="326">
        <v>1765936.0070241517</v>
      </c>
      <c r="E1943" s="326">
        <v>816974.41466944979</v>
      </c>
      <c r="F1943" s="326">
        <v>505865.94943222374</v>
      </c>
      <c r="G1943" s="326">
        <v>142661.09433960385</v>
      </c>
      <c r="H1943" s="326">
        <v>90520.619715258479</v>
      </c>
      <c r="I1943" s="326">
        <v>21688.038493581487</v>
      </c>
      <c r="J1943" s="326">
        <v>812234.22072200303</v>
      </c>
      <c r="K1943" s="326">
        <v>2067505.2417861787</v>
      </c>
      <c r="L1943" s="326">
        <v>2243374.3944668546</v>
      </c>
      <c r="M1943" s="326">
        <v>2293988.4715839531</v>
      </c>
      <c r="N1943" s="326">
        <v>1767435.1754074025</v>
      </c>
      <c r="O1943" s="326">
        <v>2080641.2924498406</v>
      </c>
      <c r="P1943" s="326">
        <v>1939166.7133078389</v>
      </c>
      <c r="Q1943" s="326">
        <v>2436274.1611016192</v>
      </c>
      <c r="R1943" s="326">
        <v>2086191.3460159099</v>
      </c>
      <c r="S1943" s="326">
        <v>1668872.4553608242</v>
      </c>
      <c r="T1943" s="326">
        <v>1816126.357425866</v>
      </c>
      <c r="U1943" s="326">
        <v>2117856.1740108482</v>
      </c>
      <c r="V1943" s="326">
        <v>1868318.8252387939</v>
      </c>
      <c r="W1943" s="9"/>
    </row>
    <row r="1944" spans="1:23" x14ac:dyDescent="0.2">
      <c r="A1944" s="9"/>
      <c r="B1944" s="286" t="s">
        <v>225</v>
      </c>
      <c r="C1944" s="320"/>
      <c r="D1944" s="327">
        <v>1177290.6713494346</v>
      </c>
      <c r="E1944" s="327">
        <v>544649.60977963323</v>
      </c>
      <c r="F1944" s="327">
        <v>337243.96628814918</v>
      </c>
      <c r="G1944" s="327">
        <v>95107.396226402561</v>
      </c>
      <c r="H1944" s="327">
        <v>60347.079810172319</v>
      </c>
      <c r="I1944" s="327">
        <v>14458.692329054327</v>
      </c>
      <c r="J1944" s="327">
        <v>541489.48048133531</v>
      </c>
      <c r="K1944" s="327">
        <v>1378336.8278574524</v>
      </c>
      <c r="L1944" s="327">
        <v>1495582.92964457</v>
      </c>
      <c r="M1944" s="327">
        <v>1529325.6477226354</v>
      </c>
      <c r="N1944" s="327">
        <v>1178290.1169382685</v>
      </c>
      <c r="O1944" s="327">
        <v>1387094.1949665605</v>
      </c>
      <c r="P1944" s="327">
        <v>1292777.8088718927</v>
      </c>
      <c r="Q1944" s="327">
        <v>1624182.7740677465</v>
      </c>
      <c r="R1944" s="327">
        <v>1390794.2306772734</v>
      </c>
      <c r="S1944" s="327">
        <v>1112581.6369072162</v>
      </c>
      <c r="T1944" s="327">
        <v>1210750.9049505775</v>
      </c>
      <c r="U1944" s="327">
        <v>1411904.1160072321</v>
      </c>
      <c r="V1944" s="327">
        <v>1245545.8834925292</v>
      </c>
      <c r="W1944" s="9"/>
    </row>
    <row r="1945" spans="1:23" x14ac:dyDescent="0.2">
      <c r="A1945" s="9"/>
      <c r="B1945" s="328" t="s">
        <v>226</v>
      </c>
      <c r="C1945" s="329"/>
      <c r="D1945" s="327">
        <v>2192540.6332916664</v>
      </c>
      <c r="E1945" s="327">
        <v>2210158.6552009</v>
      </c>
      <c r="F1945" s="327">
        <v>2220800.1739075333</v>
      </c>
      <c r="G1945" s="327">
        <v>2222765.9934726334</v>
      </c>
      <c r="H1945" s="327">
        <v>2221622.5140418001</v>
      </c>
      <c r="I1945" s="327">
        <v>2229059.5415241667</v>
      </c>
      <c r="J1945" s="327">
        <v>1258985.9031358557</v>
      </c>
      <c r="K1945" s="327">
        <v>179632.74748216567</v>
      </c>
      <c r="L1945" s="327">
        <v>59593.322103499304</v>
      </c>
      <c r="M1945" s="327">
        <v>52343.292619258624</v>
      </c>
      <c r="N1945" s="327">
        <v>57576.108262161724</v>
      </c>
      <c r="O1945" s="327">
        <v>62703.340287732244</v>
      </c>
      <c r="P1945" s="327">
        <v>67940.828551810526</v>
      </c>
      <c r="Q1945" s="327">
        <v>73212.09813047784</v>
      </c>
      <c r="R1945" s="327">
        <v>78645.36246317187</v>
      </c>
      <c r="S1945" s="327">
        <v>84368.143059180002</v>
      </c>
      <c r="T1945" s="327">
        <v>90262.607073068415</v>
      </c>
      <c r="U1945" s="327">
        <v>96333.905007373483</v>
      </c>
      <c r="V1945" s="327">
        <v>102587.34187970767</v>
      </c>
      <c r="W1945" s="9"/>
    </row>
    <row r="1946" spans="1:23" ht="13.5" thickBot="1" x14ac:dyDescent="0.25">
      <c r="A1946" s="9"/>
      <c r="B1946" s="330" t="s">
        <v>227</v>
      </c>
      <c r="C1946" s="331"/>
      <c r="D1946" s="332">
        <v>5135767.3116652528</v>
      </c>
      <c r="E1946" s="332">
        <v>3571782.6796499831</v>
      </c>
      <c r="F1946" s="332">
        <v>3063910.0896279062</v>
      </c>
      <c r="G1946" s="332">
        <v>2460534.4840386398</v>
      </c>
      <c r="H1946" s="332">
        <v>2372490.2135672309</v>
      </c>
      <c r="I1946" s="332">
        <v>2265206.2723468025</v>
      </c>
      <c r="J1946" s="332">
        <v>2612709.604339194</v>
      </c>
      <c r="K1946" s="332">
        <v>3625474.8171257968</v>
      </c>
      <c r="L1946" s="332">
        <v>3798550.6462149238</v>
      </c>
      <c r="M1946" s="332">
        <v>3875657.4119258472</v>
      </c>
      <c r="N1946" s="332">
        <v>3003301.4006078327</v>
      </c>
      <c r="O1946" s="332">
        <v>3530438.8277041335</v>
      </c>
      <c r="P1946" s="332">
        <v>3299885.3507315423</v>
      </c>
      <c r="Q1946" s="332">
        <v>4133669.0332998438</v>
      </c>
      <c r="R1946" s="332">
        <v>3555630.9391563553</v>
      </c>
      <c r="S1946" s="332">
        <v>2865822.2353272205</v>
      </c>
      <c r="T1946" s="332">
        <v>3117139.8694495121</v>
      </c>
      <c r="U1946" s="332">
        <v>3626094.1950254538</v>
      </c>
      <c r="V1946" s="332">
        <v>3216452.0506110308</v>
      </c>
      <c r="W1946" s="9"/>
    </row>
    <row r="1947" spans="1:23" ht="13.5" thickTop="1" x14ac:dyDescent="0.2">
      <c r="A1947" s="324" t="s">
        <v>228</v>
      </c>
      <c r="B1947" s="286" t="s">
        <v>229</v>
      </c>
      <c r="C1947" s="320"/>
      <c r="D1947" s="327">
        <v>-1830966.4370308665</v>
      </c>
      <c r="E1947" s="327">
        <v>-1849874.4800308666</v>
      </c>
      <c r="F1947" s="327">
        <v>-1850663.5215308666</v>
      </c>
      <c r="G1947" s="327">
        <v>-1851479.0260308667</v>
      </c>
      <c r="H1947" s="327">
        <v>-1855886.5270308666</v>
      </c>
      <c r="I1947" s="327">
        <v>-1860426.2530608666</v>
      </c>
      <c r="J1947" s="327">
        <v>-1865102.1708717665</v>
      </c>
      <c r="K1947" s="327">
        <v>-1869918.3662169937</v>
      </c>
      <c r="L1947" s="327">
        <v>-1874879.0474225774</v>
      </c>
      <c r="M1947" s="327">
        <v>-1879988.5490643287</v>
      </c>
      <c r="N1947" s="327">
        <v>-1885251.3357553326</v>
      </c>
      <c r="O1947" s="327">
        <v>-1890672.0060470665</v>
      </c>
      <c r="P1947" s="327">
        <v>-1896255.2964475525</v>
      </c>
      <c r="Q1947" s="327">
        <v>-1902006.0855600531</v>
      </c>
      <c r="R1947" s="327">
        <v>-544532.43501260015</v>
      </c>
      <c r="S1947" s="327">
        <v>-161892.5771820473</v>
      </c>
      <c r="T1947" s="327">
        <v>-168176.6197165827</v>
      </c>
      <c r="U1947" s="327">
        <v>-174649.18352715421</v>
      </c>
      <c r="V1947" s="327">
        <v>-181315.92425204284</v>
      </c>
      <c r="W1947" s="9"/>
    </row>
    <row r="1948" spans="1:23" x14ac:dyDescent="0.2">
      <c r="A1948" s="9"/>
      <c r="B1948" s="286" t="s">
        <v>230</v>
      </c>
      <c r="C1948" s="320"/>
      <c r="D1948" s="327">
        <v>0</v>
      </c>
      <c r="E1948" s="327">
        <v>0</v>
      </c>
      <c r="F1948" s="327">
        <v>0</v>
      </c>
      <c r="G1948" s="327">
        <v>0</v>
      </c>
      <c r="H1948" s="327">
        <v>0</v>
      </c>
      <c r="I1948" s="327">
        <v>0</v>
      </c>
      <c r="J1948" s="327">
        <v>0</v>
      </c>
      <c r="K1948" s="327">
        <v>0</v>
      </c>
      <c r="L1948" s="327">
        <v>0</v>
      </c>
      <c r="M1948" s="327">
        <v>0</v>
      </c>
      <c r="N1948" s="327">
        <v>0</v>
      </c>
      <c r="O1948" s="327">
        <v>0</v>
      </c>
      <c r="P1948" s="327">
        <v>0</v>
      </c>
      <c r="Q1948" s="327">
        <v>0</v>
      </c>
      <c r="R1948" s="327">
        <v>0</v>
      </c>
      <c r="S1948" s="327">
        <v>0</v>
      </c>
      <c r="T1948" s="327">
        <v>0</v>
      </c>
      <c r="U1948" s="327">
        <v>0</v>
      </c>
      <c r="V1948" s="327">
        <v>0</v>
      </c>
      <c r="W1948" s="9"/>
    </row>
    <row r="1949" spans="1:23" x14ac:dyDescent="0.2">
      <c r="A1949" s="9"/>
      <c r="B1949" s="323" t="s">
        <v>231</v>
      </c>
      <c r="C1949" s="325"/>
      <c r="D1949" s="326">
        <v>3304800.874634386</v>
      </c>
      <c r="E1949" s="326">
        <v>1721908.1996191165</v>
      </c>
      <c r="F1949" s="326">
        <v>1213246.5680970396</v>
      </c>
      <c r="G1949" s="326">
        <v>609055.45800777315</v>
      </c>
      <c r="H1949" s="326">
        <v>516603.68653636426</v>
      </c>
      <c r="I1949" s="326">
        <v>404780.01928593591</v>
      </c>
      <c r="J1949" s="326">
        <v>747607.4334674275</v>
      </c>
      <c r="K1949" s="326">
        <v>1755556.4509088031</v>
      </c>
      <c r="L1949" s="326">
        <v>1923671.5987923464</v>
      </c>
      <c r="M1949" s="326">
        <v>1995668.8628615185</v>
      </c>
      <c r="N1949" s="326">
        <v>1118050.0648525001</v>
      </c>
      <c r="O1949" s="326">
        <v>1639766.8216570669</v>
      </c>
      <c r="P1949" s="326">
        <v>1403630.0542839898</v>
      </c>
      <c r="Q1949" s="326">
        <v>2231662.9477397907</v>
      </c>
      <c r="R1949" s="326">
        <v>3011098.504143755</v>
      </c>
      <c r="S1949" s="326">
        <v>2703929.6581451735</v>
      </c>
      <c r="T1949" s="326">
        <v>2948963.2497329293</v>
      </c>
      <c r="U1949" s="326">
        <v>3451445.0114982994</v>
      </c>
      <c r="V1949" s="326">
        <v>3035136.1263589878</v>
      </c>
      <c r="W1949" s="9"/>
    </row>
    <row r="1950" spans="1:23" ht="13.5" thickBot="1" x14ac:dyDescent="0.25">
      <c r="A1950" s="9"/>
      <c r="B1950" s="333" t="s">
        <v>237</v>
      </c>
      <c r="C1950" s="334"/>
      <c r="D1950" s="335">
        <v>-1321920.3498537545</v>
      </c>
      <c r="E1950" s="335">
        <v>-688763.2798476466</v>
      </c>
      <c r="F1950" s="335">
        <v>-485298.62723881588</v>
      </c>
      <c r="G1950" s="335">
        <v>-243622.18320310928</v>
      </c>
      <c r="H1950" s="335">
        <v>-206641.4746145457</v>
      </c>
      <c r="I1950" s="335">
        <v>-161912.00771437437</v>
      </c>
      <c r="J1950" s="335">
        <v>-299042.97338697099</v>
      </c>
      <c r="K1950" s="335">
        <v>-702222.58036352135</v>
      </c>
      <c r="L1950" s="335">
        <v>-769468.63951693859</v>
      </c>
      <c r="M1950" s="335">
        <v>-798267.54514460743</v>
      </c>
      <c r="N1950" s="335">
        <v>-447220.02594100009</v>
      </c>
      <c r="O1950" s="335">
        <v>-655906.72866282682</v>
      </c>
      <c r="P1950" s="335">
        <v>-561452.02171359595</v>
      </c>
      <c r="Q1950" s="335">
        <v>-892665.17909591633</v>
      </c>
      <c r="R1950" s="335">
        <v>-1204439.4016575019</v>
      </c>
      <c r="S1950" s="335">
        <v>-1081571.8632580694</v>
      </c>
      <c r="T1950" s="335">
        <v>-1179585.2998931718</v>
      </c>
      <c r="U1950" s="335">
        <v>-1380578.0045993198</v>
      </c>
      <c r="V1950" s="335">
        <v>-1214054.4505435952</v>
      </c>
      <c r="W1950" s="9"/>
    </row>
    <row r="1951" spans="1:23" ht="13.5" thickTop="1" x14ac:dyDescent="0.2">
      <c r="A1951" s="9"/>
      <c r="B1951" s="323" t="s">
        <v>232</v>
      </c>
      <c r="C1951" s="325"/>
      <c r="D1951" s="326">
        <v>1982880.5247806315</v>
      </c>
      <c r="E1951" s="326">
        <v>1033144.9197714699</v>
      </c>
      <c r="F1951" s="326">
        <v>727947.94085822371</v>
      </c>
      <c r="G1951" s="326">
        <v>365433.27480466384</v>
      </c>
      <c r="H1951" s="326">
        <v>309962.21192181855</v>
      </c>
      <c r="I1951" s="326">
        <v>242868.01157156154</v>
      </c>
      <c r="J1951" s="326">
        <v>448564.46008045651</v>
      </c>
      <c r="K1951" s="326">
        <v>1053333.8705452818</v>
      </c>
      <c r="L1951" s="326">
        <v>1154202.9592754077</v>
      </c>
      <c r="M1951" s="326">
        <v>1197401.317716911</v>
      </c>
      <c r="N1951" s="326">
        <v>670830.03891150001</v>
      </c>
      <c r="O1951" s="326">
        <v>983860.09299424011</v>
      </c>
      <c r="P1951" s="326">
        <v>842178.03257039387</v>
      </c>
      <c r="Q1951" s="326">
        <v>1338997.7686438742</v>
      </c>
      <c r="R1951" s="326">
        <v>1806659.102486253</v>
      </c>
      <c r="S1951" s="326">
        <v>1622357.7948871041</v>
      </c>
      <c r="T1951" s="326">
        <v>1769377.9498397575</v>
      </c>
      <c r="U1951" s="326">
        <v>2070867.0068989797</v>
      </c>
      <c r="V1951" s="326">
        <v>1821081.6758153925</v>
      </c>
      <c r="W1951" s="9"/>
    </row>
    <row r="1952" spans="1:23" x14ac:dyDescent="0.2">
      <c r="A1952" s="9"/>
      <c r="B1952" s="9"/>
      <c r="C1952" s="320"/>
      <c r="D1952" s="9"/>
      <c r="E1952" s="321"/>
      <c r="F1952" s="313"/>
      <c r="G1952" s="322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</row>
    <row r="1953" spans="1:23" ht="15.75" x14ac:dyDescent="0.25">
      <c r="A1953" s="336" t="s">
        <v>205</v>
      </c>
      <c r="B1953" s="337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</row>
    <row r="1954" spans="1:23" x14ac:dyDescent="0.2">
      <c r="A1954" s="284" t="s">
        <v>190</v>
      </c>
      <c r="B1954" s="303"/>
      <c r="C1954" s="338">
        <v>0</v>
      </c>
      <c r="D1954" s="277"/>
      <c r="E1954" s="277"/>
      <c r="F1954" s="277"/>
      <c r="G1954" s="277"/>
      <c r="H1954" s="277"/>
      <c r="I1954" s="277"/>
      <c r="J1954" s="277"/>
      <c r="K1954" s="277"/>
      <c r="L1954" s="277"/>
      <c r="M1954" s="277"/>
      <c r="N1954" s="277"/>
      <c r="O1954" s="277"/>
      <c r="P1954" s="277"/>
      <c r="Q1954" s="277"/>
      <c r="R1954" s="277"/>
      <c r="S1954" s="277"/>
      <c r="T1954" s="277"/>
      <c r="U1954" s="277"/>
      <c r="V1954" s="277"/>
      <c r="W1954" s="277"/>
    </row>
    <row r="1955" spans="1:23" x14ac:dyDescent="0.2">
      <c r="A1955" s="284" t="s">
        <v>191</v>
      </c>
      <c r="B1955" s="303"/>
      <c r="C1955" s="339">
        <v>0</v>
      </c>
      <c r="D1955" s="277"/>
      <c r="E1955" s="277"/>
      <c r="F1955" s="277"/>
      <c r="G1955" s="277"/>
      <c r="H1955" s="277"/>
      <c r="I1955" s="277"/>
      <c r="J1955" s="277"/>
      <c r="K1955" s="277"/>
      <c r="L1955" s="277"/>
      <c r="M1955" s="277"/>
      <c r="N1955" s="277"/>
      <c r="O1955" s="277"/>
      <c r="P1955" s="277"/>
      <c r="Q1955" s="277"/>
      <c r="R1955" s="277"/>
      <c r="S1955" s="277"/>
      <c r="T1955" s="277"/>
      <c r="U1955" s="277"/>
      <c r="V1955" s="277"/>
      <c r="W1955" s="277"/>
    </row>
    <row r="1956" spans="1:23" x14ac:dyDescent="0.2">
      <c r="A1956" s="284" t="s">
        <v>201</v>
      </c>
      <c r="B1956" s="303"/>
      <c r="C1956" s="284">
        <v>15</v>
      </c>
      <c r="D1956" s="277"/>
      <c r="E1956" s="277"/>
      <c r="F1956" s="277"/>
      <c r="G1956" s="277"/>
      <c r="H1956" s="277"/>
      <c r="I1956" s="277"/>
      <c r="J1956" s="277"/>
      <c r="K1956" s="277"/>
      <c r="L1956" s="277"/>
      <c r="M1956" s="277"/>
      <c r="N1956" s="277"/>
      <c r="O1956" s="277"/>
      <c r="P1956" s="277"/>
      <c r="Q1956" s="277"/>
      <c r="R1956" s="277"/>
      <c r="S1956" s="277"/>
      <c r="T1956" s="277"/>
      <c r="U1956" s="277"/>
      <c r="V1956" s="277"/>
      <c r="W1956" s="277"/>
    </row>
    <row r="1957" spans="1:23" x14ac:dyDescent="0.2">
      <c r="A1957" s="284" t="s">
        <v>192</v>
      </c>
      <c r="B1957" s="303"/>
      <c r="C1957" s="339">
        <v>0</v>
      </c>
      <c r="D1957" s="277"/>
      <c r="E1957" s="277"/>
      <c r="F1957" s="277"/>
      <c r="G1957" s="277"/>
      <c r="H1957" s="277"/>
      <c r="I1957" s="277"/>
      <c r="J1957" s="277"/>
      <c r="K1957" s="277"/>
      <c r="L1957" s="277"/>
      <c r="M1957" s="277"/>
      <c r="N1957" s="277"/>
      <c r="O1957" s="277"/>
      <c r="P1957" s="277"/>
      <c r="Q1957" s="277"/>
      <c r="R1957" s="277"/>
      <c r="S1957" s="277"/>
      <c r="T1957" s="277"/>
      <c r="U1957" s="277"/>
      <c r="V1957" s="277"/>
      <c r="W1957" s="277"/>
    </row>
    <row r="1958" spans="1:23" x14ac:dyDescent="0.2">
      <c r="A1958" s="284" t="s">
        <v>193</v>
      </c>
      <c r="B1958" s="303"/>
      <c r="C1958" s="340">
        <v>8.7499999999999994E-2</v>
      </c>
      <c r="D1958" s="277"/>
      <c r="E1958" s="277"/>
      <c r="F1958" s="277"/>
      <c r="G1958" s="277"/>
      <c r="H1958" s="277"/>
      <c r="I1958" s="277"/>
      <c r="J1958" s="277"/>
      <c r="K1958" s="277"/>
      <c r="L1958" s="277"/>
      <c r="M1958" s="277"/>
      <c r="N1958" s="277"/>
      <c r="O1958" s="277"/>
      <c r="P1958" s="277"/>
      <c r="Q1958" s="277"/>
      <c r="R1958" s="277"/>
      <c r="S1958" s="277"/>
      <c r="T1958" s="277"/>
      <c r="U1958" s="277"/>
      <c r="V1958" s="277"/>
      <c r="W1958" s="277"/>
    </row>
    <row r="1959" spans="1:23" x14ac:dyDescent="0.2">
      <c r="A1959" s="284"/>
      <c r="B1959" s="303"/>
      <c r="C1959" s="277"/>
      <c r="D1959" s="306">
        <v>2001</v>
      </c>
      <c r="E1959" s="306">
        <v>2002</v>
      </c>
      <c r="F1959" s="306">
        <v>2003</v>
      </c>
      <c r="G1959" s="306">
        <v>2004</v>
      </c>
      <c r="H1959" s="306">
        <v>2005</v>
      </c>
      <c r="I1959" s="306">
        <v>2006</v>
      </c>
      <c r="J1959" s="306">
        <v>2007</v>
      </c>
      <c r="K1959" s="306">
        <v>2008</v>
      </c>
      <c r="L1959" s="306">
        <v>2009</v>
      </c>
      <c r="M1959" s="306">
        <v>2010</v>
      </c>
      <c r="N1959" s="306">
        <v>2011</v>
      </c>
      <c r="O1959" s="306">
        <v>2012</v>
      </c>
      <c r="P1959" s="306">
        <v>2013</v>
      </c>
      <c r="Q1959" s="306">
        <v>2014</v>
      </c>
      <c r="R1959" s="306">
        <v>2015</v>
      </c>
      <c r="S1959" s="306">
        <v>2016</v>
      </c>
      <c r="T1959" s="306">
        <v>2017</v>
      </c>
      <c r="U1959" s="306">
        <v>2018</v>
      </c>
      <c r="V1959" s="306">
        <v>2019</v>
      </c>
      <c r="W1959" s="306" t="s">
        <v>154</v>
      </c>
    </row>
    <row r="1960" spans="1:23" x14ac:dyDescent="0.2">
      <c r="A1960" s="284" t="s">
        <v>194</v>
      </c>
      <c r="B1960" s="303"/>
      <c r="C1960" s="277"/>
      <c r="D1960" s="341">
        <v>0</v>
      </c>
      <c r="E1960" s="341">
        <v>0</v>
      </c>
      <c r="F1960" s="341">
        <v>0</v>
      </c>
      <c r="G1960" s="341">
        <v>0</v>
      </c>
      <c r="H1960" s="341">
        <v>0</v>
      </c>
      <c r="I1960" s="341">
        <v>0</v>
      </c>
      <c r="J1960" s="341">
        <v>0</v>
      </c>
      <c r="K1960" s="341">
        <v>0</v>
      </c>
      <c r="L1960" s="341">
        <v>0</v>
      </c>
      <c r="M1960" s="341">
        <v>0</v>
      </c>
      <c r="N1960" s="341">
        <v>0</v>
      </c>
      <c r="O1960" s="341">
        <v>0</v>
      </c>
      <c r="P1960" s="341">
        <v>0</v>
      </c>
      <c r="Q1960" s="341">
        <v>0</v>
      </c>
      <c r="R1960" s="341">
        <v>0</v>
      </c>
      <c r="S1960" s="341">
        <v>0</v>
      </c>
      <c r="T1960" s="341">
        <v>0</v>
      </c>
      <c r="U1960" s="341">
        <v>0</v>
      </c>
      <c r="V1960" s="341">
        <v>0</v>
      </c>
      <c r="W1960" s="341">
        <v>0</v>
      </c>
    </row>
    <row r="1961" spans="1:23" x14ac:dyDescent="0.2">
      <c r="A1961" s="284" t="s">
        <v>195</v>
      </c>
      <c r="B1961" s="303"/>
      <c r="C1961" s="277"/>
      <c r="D1961" s="341">
        <v>0</v>
      </c>
      <c r="E1961" s="341">
        <v>0</v>
      </c>
      <c r="F1961" s="341">
        <v>0</v>
      </c>
      <c r="G1961" s="341">
        <v>0</v>
      </c>
      <c r="H1961" s="341">
        <v>0</v>
      </c>
      <c r="I1961" s="341">
        <v>0</v>
      </c>
      <c r="J1961" s="341">
        <v>0</v>
      </c>
      <c r="K1961" s="341">
        <v>0</v>
      </c>
      <c r="L1961" s="341">
        <v>0</v>
      </c>
      <c r="M1961" s="341">
        <v>0</v>
      </c>
      <c r="N1961" s="341">
        <v>0</v>
      </c>
      <c r="O1961" s="341">
        <v>0</v>
      </c>
      <c r="P1961" s="341">
        <v>0</v>
      </c>
      <c r="Q1961" s="341">
        <v>0</v>
      </c>
      <c r="R1961" s="341">
        <v>0</v>
      </c>
      <c r="S1961" s="341">
        <v>0</v>
      </c>
      <c r="T1961" s="341">
        <v>0</v>
      </c>
      <c r="U1961" s="341">
        <v>0</v>
      </c>
      <c r="V1961" s="341">
        <v>0</v>
      </c>
      <c r="W1961" s="341">
        <v>0</v>
      </c>
    </row>
    <row r="1962" spans="1:23" x14ac:dyDescent="0.2">
      <c r="A1962" s="284" t="s">
        <v>196</v>
      </c>
      <c r="B1962" s="303"/>
      <c r="C1962" s="277"/>
      <c r="D1962" s="341">
        <v>0</v>
      </c>
      <c r="E1962" s="341">
        <v>0</v>
      </c>
      <c r="F1962" s="341">
        <v>0</v>
      </c>
      <c r="G1962" s="341">
        <v>0</v>
      </c>
      <c r="H1962" s="341">
        <v>0</v>
      </c>
      <c r="I1962" s="341">
        <v>0</v>
      </c>
      <c r="J1962" s="341">
        <v>0</v>
      </c>
      <c r="K1962" s="341">
        <v>0</v>
      </c>
      <c r="L1962" s="341">
        <v>0</v>
      </c>
      <c r="M1962" s="341">
        <v>0</v>
      </c>
      <c r="N1962" s="341">
        <v>0</v>
      </c>
      <c r="O1962" s="341">
        <v>0</v>
      </c>
      <c r="P1962" s="341">
        <v>0</v>
      </c>
      <c r="Q1962" s="341">
        <v>0</v>
      </c>
      <c r="R1962" s="341">
        <v>0</v>
      </c>
      <c r="S1962" s="341">
        <v>0</v>
      </c>
      <c r="T1962" s="341">
        <v>0</v>
      </c>
      <c r="U1962" s="341">
        <v>0</v>
      </c>
      <c r="V1962" s="341">
        <v>0</v>
      </c>
      <c r="W1962" s="341">
        <v>0</v>
      </c>
    </row>
    <row r="1963" spans="1:23" x14ac:dyDescent="0.2">
      <c r="A1963" s="284" t="s">
        <v>197</v>
      </c>
      <c r="B1963" s="303"/>
      <c r="C1963" s="277"/>
      <c r="D1963" s="342">
        <v>0</v>
      </c>
      <c r="E1963" s="342">
        <v>0</v>
      </c>
      <c r="F1963" s="342">
        <v>0</v>
      </c>
      <c r="G1963" s="342">
        <v>0</v>
      </c>
      <c r="H1963" s="342">
        <v>0</v>
      </c>
      <c r="I1963" s="342">
        <v>0</v>
      </c>
      <c r="J1963" s="342">
        <v>0</v>
      </c>
      <c r="K1963" s="342">
        <v>0</v>
      </c>
      <c r="L1963" s="342">
        <v>0</v>
      </c>
      <c r="M1963" s="342">
        <v>0</v>
      </c>
      <c r="N1963" s="342">
        <v>0</v>
      </c>
      <c r="O1963" s="342">
        <v>0</v>
      </c>
      <c r="P1963" s="342">
        <v>0</v>
      </c>
      <c r="Q1963" s="342">
        <v>0</v>
      </c>
      <c r="R1963" s="342">
        <v>0</v>
      </c>
      <c r="S1963" s="342">
        <v>0</v>
      </c>
      <c r="T1963" s="342">
        <v>0</v>
      </c>
      <c r="U1963" s="342">
        <v>0</v>
      </c>
      <c r="V1963" s="342">
        <v>0</v>
      </c>
      <c r="W1963" s="342">
        <v>0</v>
      </c>
    </row>
    <row r="1964" spans="1:23" ht="13.5" thickBot="1" x14ac:dyDescent="0.25">
      <c r="A1964" s="284" t="s">
        <v>198</v>
      </c>
      <c r="B1964" s="303"/>
      <c r="C1964" s="277"/>
      <c r="D1964" s="343">
        <v>0</v>
      </c>
      <c r="E1964" s="343">
        <v>0</v>
      </c>
      <c r="F1964" s="343">
        <v>0</v>
      </c>
      <c r="G1964" s="343">
        <v>0</v>
      </c>
      <c r="H1964" s="343">
        <v>0</v>
      </c>
      <c r="I1964" s="343">
        <v>0</v>
      </c>
      <c r="J1964" s="343">
        <v>0</v>
      </c>
      <c r="K1964" s="343">
        <v>0</v>
      </c>
      <c r="L1964" s="343">
        <v>0</v>
      </c>
      <c r="M1964" s="343">
        <v>0</v>
      </c>
      <c r="N1964" s="343">
        <v>0</v>
      </c>
      <c r="O1964" s="343">
        <v>0</v>
      </c>
      <c r="P1964" s="343">
        <v>0</v>
      </c>
      <c r="Q1964" s="343">
        <v>0</v>
      </c>
      <c r="R1964" s="343">
        <v>0</v>
      </c>
      <c r="S1964" s="343">
        <v>0</v>
      </c>
      <c r="T1964" s="343">
        <v>0</v>
      </c>
      <c r="U1964" s="343">
        <v>0</v>
      </c>
      <c r="V1964" s="343">
        <v>0</v>
      </c>
      <c r="W1964" s="343">
        <v>0</v>
      </c>
    </row>
    <row r="1965" spans="1:23" ht="13.5" thickTop="1" x14ac:dyDescent="0.2">
      <c r="A1965" s="284"/>
      <c r="B1965" s="303"/>
      <c r="C1965" s="277"/>
      <c r="D1965" s="341"/>
      <c r="E1965" s="341"/>
      <c r="F1965" s="341"/>
      <c r="G1965" s="341"/>
      <c r="H1965" s="341"/>
      <c r="I1965" s="341"/>
      <c r="J1965" s="341"/>
      <c r="K1965" s="341"/>
      <c r="L1965" s="341"/>
      <c r="M1965" s="341"/>
      <c r="N1965" s="341"/>
      <c r="O1965" s="341"/>
      <c r="P1965" s="341"/>
      <c r="Q1965" s="341"/>
      <c r="R1965" s="341"/>
      <c r="S1965" s="341"/>
      <c r="T1965" s="341"/>
      <c r="U1965" s="341"/>
      <c r="V1965" s="341"/>
      <c r="W1965" s="341"/>
    </row>
    <row r="1966" spans="1:23" x14ac:dyDescent="0.2">
      <c r="A1966" s="284" t="s">
        <v>199</v>
      </c>
      <c r="B1966" s="303"/>
      <c r="C1966" s="277"/>
      <c r="D1966" s="341">
        <v>0</v>
      </c>
      <c r="E1966" s="341">
        <v>0</v>
      </c>
      <c r="F1966" s="341">
        <v>0</v>
      </c>
      <c r="G1966" s="341">
        <v>0</v>
      </c>
      <c r="H1966" s="341">
        <v>0</v>
      </c>
      <c r="I1966" s="341">
        <v>0</v>
      </c>
      <c r="J1966" s="341">
        <v>0</v>
      </c>
      <c r="K1966" s="341">
        <v>0</v>
      </c>
      <c r="L1966" s="341">
        <v>0</v>
      </c>
      <c r="M1966" s="341">
        <v>0</v>
      </c>
      <c r="N1966" s="341">
        <v>0</v>
      </c>
      <c r="O1966" s="341">
        <v>0</v>
      </c>
      <c r="P1966" s="341">
        <v>0</v>
      </c>
      <c r="Q1966" s="341">
        <v>0</v>
      </c>
      <c r="R1966" s="341">
        <v>0</v>
      </c>
      <c r="S1966" s="341">
        <v>0</v>
      </c>
      <c r="T1966" s="341">
        <v>0</v>
      </c>
      <c r="U1966" s="341">
        <v>0</v>
      </c>
      <c r="V1966" s="341">
        <v>0</v>
      </c>
      <c r="W1966" s="341">
        <v>0</v>
      </c>
    </row>
    <row r="1967" spans="1:23" x14ac:dyDescent="0.2">
      <c r="A1967" s="284"/>
      <c r="B1967" s="303"/>
      <c r="C1967" s="277"/>
      <c r="D1967" s="277"/>
      <c r="E1967" s="277"/>
      <c r="F1967" s="277"/>
      <c r="G1967" s="277"/>
      <c r="H1967" s="277"/>
      <c r="I1967" s="277"/>
      <c r="J1967" s="277"/>
      <c r="K1967" s="277"/>
      <c r="L1967" s="277"/>
      <c r="M1967" s="277"/>
      <c r="N1967" s="277"/>
      <c r="O1967" s="277"/>
      <c r="P1967" s="277"/>
      <c r="Q1967" s="277"/>
      <c r="R1967" s="277"/>
      <c r="S1967" s="277"/>
      <c r="T1967" s="277"/>
      <c r="U1967" s="277"/>
      <c r="V1967" s="277"/>
      <c r="W1967" s="277"/>
    </row>
    <row r="1968" spans="1:23" x14ac:dyDescent="0.2">
      <c r="A1968" s="284" t="s">
        <v>200</v>
      </c>
      <c r="B1968" s="303"/>
      <c r="C1968" s="277"/>
      <c r="D1968" s="341">
        <v>0</v>
      </c>
      <c r="E1968" s="341">
        <v>0</v>
      </c>
      <c r="F1968" s="341">
        <v>0</v>
      </c>
      <c r="G1968" s="341">
        <v>0</v>
      </c>
      <c r="H1968" s="341">
        <v>0</v>
      </c>
      <c r="I1968" s="341">
        <v>0</v>
      </c>
      <c r="J1968" s="341">
        <v>0</v>
      </c>
      <c r="K1968" s="341">
        <v>0</v>
      </c>
      <c r="L1968" s="341">
        <v>0</v>
      </c>
      <c r="M1968" s="341">
        <v>0</v>
      </c>
      <c r="N1968" s="341">
        <v>0</v>
      </c>
      <c r="O1968" s="341">
        <v>0</v>
      </c>
      <c r="P1968" s="341">
        <v>0</v>
      </c>
      <c r="Q1968" s="341">
        <v>0</v>
      </c>
      <c r="R1968" s="341">
        <v>0</v>
      </c>
      <c r="S1968" s="341">
        <v>0</v>
      </c>
      <c r="T1968" s="341">
        <v>0</v>
      </c>
      <c r="U1968" s="341">
        <v>0</v>
      </c>
      <c r="V1968" s="341">
        <v>0</v>
      </c>
      <c r="W1968" s="341">
        <v>0</v>
      </c>
    </row>
    <row r="1969" spans="1:23" x14ac:dyDescent="0.2">
      <c r="A1969" s="277"/>
      <c r="B1969" s="303"/>
      <c r="C1969" s="277"/>
      <c r="D1969" s="277"/>
      <c r="E1969" s="277"/>
      <c r="F1969" s="277"/>
      <c r="G1969" s="277"/>
      <c r="H1969" s="277"/>
      <c r="I1969" s="277"/>
      <c r="J1969" s="277"/>
      <c r="K1969" s="277"/>
      <c r="L1969" s="277"/>
      <c r="M1969" s="277"/>
      <c r="N1969" s="277"/>
      <c r="O1969" s="277"/>
      <c r="P1969" s="277"/>
      <c r="Q1969" s="277"/>
      <c r="R1969" s="277"/>
      <c r="S1969" s="277"/>
      <c r="T1969" s="277"/>
      <c r="U1969" s="277"/>
      <c r="V1969" s="277"/>
      <c r="W1969" s="277"/>
    </row>
    <row r="1970" spans="1:23" x14ac:dyDescent="0.2">
      <c r="A1970" s="277"/>
      <c r="B1970" s="303"/>
      <c r="C1970" s="277"/>
      <c r="D1970" s="277"/>
      <c r="E1970" s="277"/>
      <c r="F1970" s="277"/>
      <c r="G1970" s="277"/>
      <c r="H1970" s="277"/>
      <c r="I1970" s="277"/>
      <c r="J1970" s="277"/>
      <c r="K1970" s="277"/>
      <c r="L1970" s="277"/>
      <c r="M1970" s="277"/>
      <c r="N1970" s="277"/>
      <c r="O1970" s="277"/>
      <c r="P1970" s="277"/>
      <c r="Q1970" s="277"/>
      <c r="R1970" s="277"/>
      <c r="S1970" s="277"/>
      <c r="T1970" s="277"/>
      <c r="U1970" s="277"/>
      <c r="V1970" s="277"/>
      <c r="W1970" s="277"/>
    </row>
    <row r="1971" spans="1:23" x14ac:dyDescent="0.2">
      <c r="A1971" s="284" t="s">
        <v>202</v>
      </c>
      <c r="B1971" s="279"/>
      <c r="C1971" s="278"/>
      <c r="D1971" s="435">
        <v>3943597.5303158183</v>
      </c>
      <c r="E1971" s="435">
        <v>2648972.2098703501</v>
      </c>
      <c r="F1971" s="435">
        <v>2710885.2933397568</v>
      </c>
      <c r="G1971" s="435">
        <v>2349116.9978122376</v>
      </c>
      <c r="H1971" s="435">
        <v>2223993.1137570585</v>
      </c>
      <c r="I1971" s="435">
        <v>2159953.0594177484</v>
      </c>
      <c r="J1971" s="435">
        <v>1977701.7676398586</v>
      </c>
      <c r="K1971" s="435">
        <v>2150814.0823638043</v>
      </c>
      <c r="L1971" s="435">
        <v>2203754.0924586779</v>
      </c>
      <c r="M1971" s="435">
        <v>2244141.731368185</v>
      </c>
      <c r="N1971" s="435">
        <v>1719755.5498494869</v>
      </c>
      <c r="O1971" s="435">
        <v>2034931.226902893</v>
      </c>
      <c r="P1971" s="435">
        <v>1895441.7338499294</v>
      </c>
      <c r="Q1971" s="435">
        <v>2394470.4769820855</v>
      </c>
      <c r="R1971" s="435">
        <v>2046370.4527615698</v>
      </c>
      <c r="S1971" s="435">
        <v>1631220.3550309669</v>
      </c>
      <c r="T1971" s="435">
        <v>1780708.1138082258</v>
      </c>
      <c r="U1971" s="435">
        <v>2084738.8028067918</v>
      </c>
      <c r="V1971" s="435">
        <v>1837571.352620729</v>
      </c>
      <c r="W1971" s="435">
        <v>12085963.974698318</v>
      </c>
    </row>
    <row r="1972" spans="1:23" x14ac:dyDescent="0.2">
      <c r="A1972" s="9"/>
      <c r="B1972" s="6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</row>
    <row r="1973" spans="1:23" x14ac:dyDescent="0.2">
      <c r="A1973" s="292"/>
      <c r="B1973" s="360"/>
      <c r="C1973" s="370"/>
      <c r="D1973" s="370"/>
      <c r="E1973" s="370"/>
      <c r="F1973" s="370"/>
      <c r="G1973" s="370"/>
      <c r="H1973" s="370"/>
      <c r="I1973" s="370"/>
      <c r="J1973" s="370"/>
      <c r="K1973" s="370"/>
      <c r="L1973" s="370"/>
      <c r="M1973" s="370"/>
      <c r="N1973" s="370"/>
      <c r="O1973" s="370"/>
      <c r="P1973" s="370"/>
      <c r="Q1973" s="370"/>
      <c r="R1973" s="370"/>
      <c r="S1973" s="370"/>
      <c r="T1973" s="370"/>
      <c r="U1973" s="370"/>
      <c r="V1973" s="370"/>
      <c r="W1973" s="370"/>
    </row>
    <row r="1974" spans="1:23" x14ac:dyDescent="0.2">
      <c r="A1974" s="292"/>
      <c r="B1974" s="360"/>
      <c r="C1974" s="370"/>
      <c r="D1974" s="68"/>
      <c r="E1974" s="68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68"/>
      <c r="S1974" s="68"/>
      <c r="T1974" s="68"/>
      <c r="U1974" s="68"/>
      <c r="V1974" s="68"/>
      <c r="W1974" s="68"/>
    </row>
    <row r="1975" spans="1:23" x14ac:dyDescent="0.2">
      <c r="A1975" s="370"/>
      <c r="B1975" s="360"/>
      <c r="C1975" s="370"/>
      <c r="D1975" s="370"/>
      <c r="E1975" s="370"/>
      <c r="F1975" s="370"/>
      <c r="G1975" s="370"/>
      <c r="H1975" s="370"/>
      <c r="I1975" s="370"/>
      <c r="J1975" s="370"/>
      <c r="K1975" s="370"/>
      <c r="L1975" s="370"/>
      <c r="M1975" s="370"/>
      <c r="N1975" s="370"/>
      <c r="O1975" s="370"/>
      <c r="P1975" s="370"/>
      <c r="Q1975" s="370"/>
      <c r="R1975" s="370"/>
      <c r="S1975" s="370"/>
      <c r="T1975" s="370"/>
      <c r="U1975" s="370"/>
      <c r="V1975" s="370"/>
      <c r="W1975" s="370"/>
    </row>
    <row r="1976" spans="1:23" x14ac:dyDescent="0.2">
      <c r="A1976" s="370"/>
      <c r="B1976" s="360"/>
      <c r="C1976" s="370"/>
      <c r="D1976" s="370"/>
      <c r="E1976" s="370"/>
      <c r="F1976" s="370"/>
      <c r="G1976" s="370"/>
      <c r="H1976" s="370"/>
      <c r="I1976" s="370"/>
      <c r="J1976" s="370"/>
      <c r="K1976" s="370"/>
      <c r="L1976" s="370"/>
      <c r="M1976" s="370"/>
      <c r="N1976" s="370"/>
      <c r="O1976" s="370"/>
      <c r="P1976" s="370"/>
      <c r="Q1976" s="370"/>
      <c r="R1976" s="370"/>
      <c r="S1976" s="370"/>
      <c r="T1976" s="370"/>
      <c r="U1976" s="370"/>
      <c r="V1976" s="370"/>
      <c r="W1976" s="370"/>
    </row>
    <row r="1977" spans="1:23" x14ac:dyDescent="0.2">
      <c r="A1977" s="292"/>
      <c r="B1977" s="373"/>
      <c r="C1977" s="280"/>
      <c r="D1977" s="374"/>
      <c r="E1977" s="374"/>
      <c r="F1977" s="374"/>
      <c r="G1977" s="374"/>
      <c r="H1977" s="374"/>
      <c r="I1977" s="374"/>
      <c r="J1977" s="374"/>
      <c r="K1977" s="374"/>
      <c r="L1977" s="374"/>
      <c r="M1977" s="374"/>
      <c r="N1977" s="374"/>
      <c r="O1977" s="374"/>
      <c r="P1977" s="374"/>
      <c r="Q1977" s="374"/>
      <c r="R1977" s="374"/>
      <c r="S1977" s="374"/>
      <c r="T1977" s="374"/>
      <c r="U1977" s="374"/>
      <c r="V1977" s="374"/>
      <c r="W1977" s="374"/>
    </row>
    <row r="1978" spans="1:23" x14ac:dyDescent="0.2">
      <c r="B1978" s="23"/>
    </row>
    <row r="1979" spans="1:23" x14ac:dyDescent="0.2">
      <c r="A1979" s="292"/>
      <c r="B1979" s="373"/>
      <c r="C1979" s="280"/>
      <c r="D1979" s="374"/>
      <c r="E1979" s="374"/>
      <c r="F1979" s="374"/>
      <c r="G1979" s="374"/>
      <c r="H1979" s="374"/>
      <c r="I1979" s="374"/>
      <c r="J1979" s="374"/>
      <c r="K1979" s="374"/>
      <c r="L1979" s="374"/>
      <c r="M1979" s="374"/>
      <c r="N1979" s="374"/>
      <c r="O1979" s="374"/>
      <c r="P1979" s="374"/>
      <c r="Q1979" s="374"/>
      <c r="R1979" s="374"/>
      <c r="S1979" s="374"/>
      <c r="T1979" s="374"/>
      <c r="U1979" s="374"/>
      <c r="V1979" s="374"/>
      <c r="W1979" s="374"/>
    </row>
    <row r="1980" spans="1:23" ht="15.75" x14ac:dyDescent="0.25">
      <c r="A1980" s="302" t="s">
        <v>29</v>
      </c>
      <c r="B1980" s="305" t="s">
        <v>83</v>
      </c>
      <c r="C1980" s="306">
        <v>2000</v>
      </c>
      <c r="D1980" s="306">
        <v>2001</v>
      </c>
      <c r="E1980" s="306">
        <v>2002</v>
      </c>
      <c r="F1980" s="306">
        <v>2003</v>
      </c>
      <c r="G1980" s="306">
        <v>2004</v>
      </c>
      <c r="H1980" s="306">
        <v>2005</v>
      </c>
      <c r="I1980" s="306">
        <v>2006</v>
      </c>
      <c r="J1980" s="306">
        <v>2007</v>
      </c>
      <c r="K1980" s="306">
        <v>2008</v>
      </c>
      <c r="L1980" s="306">
        <v>2009</v>
      </c>
      <c r="M1980" s="306">
        <v>2010</v>
      </c>
      <c r="N1980" s="306">
        <v>2011</v>
      </c>
      <c r="O1980" s="306">
        <v>2012</v>
      </c>
      <c r="P1980" s="306">
        <v>2013</v>
      </c>
      <c r="Q1980" s="306">
        <v>2014</v>
      </c>
      <c r="R1980" s="306">
        <v>2015</v>
      </c>
      <c r="S1980" s="306">
        <v>2016</v>
      </c>
      <c r="T1980" s="306">
        <v>2017</v>
      </c>
      <c r="U1980" s="306">
        <v>2018</v>
      </c>
      <c r="V1980" s="306">
        <v>2019</v>
      </c>
      <c r="W1980" s="306" t="s">
        <v>154</v>
      </c>
    </row>
    <row r="1981" spans="1:23" x14ac:dyDescent="0.2">
      <c r="A1981" s="302" t="s">
        <v>26</v>
      </c>
      <c r="B1981" s="303">
        <v>83.433000000000007</v>
      </c>
      <c r="C1981" s="308"/>
      <c r="D1981" s="308"/>
      <c r="E1981" s="308"/>
      <c r="F1981" s="308"/>
      <c r="G1981" s="308"/>
      <c r="H1981" s="308"/>
      <c r="I1981" s="308"/>
      <c r="J1981" s="308"/>
      <c r="K1981" s="308"/>
      <c r="L1981" s="308"/>
      <c r="M1981" s="308"/>
      <c r="N1981" s="308"/>
      <c r="O1981" s="308"/>
      <c r="P1981" s="308"/>
      <c r="Q1981" s="308"/>
      <c r="R1981" s="308"/>
      <c r="S1981" s="308"/>
      <c r="T1981" s="308"/>
      <c r="U1981" s="308"/>
      <c r="V1981" s="308"/>
      <c r="W1981" s="308"/>
    </row>
    <row r="1982" spans="1:23" x14ac:dyDescent="0.2">
      <c r="A1982" s="9"/>
      <c r="B1982" s="309" t="s">
        <v>27</v>
      </c>
      <c r="C1982" s="443">
        <v>0</v>
      </c>
      <c r="D1982" s="404">
        <v>8202175.3914196901</v>
      </c>
      <c r="E1982" s="404">
        <v>7219125.1955624679</v>
      </c>
      <c r="F1982" s="404">
        <v>6975429.9289103542</v>
      </c>
      <c r="G1982" s="404">
        <v>6698801.5398195479</v>
      </c>
      <c r="H1982" s="404">
        <v>6877286.9012491489</v>
      </c>
      <c r="I1982" s="404">
        <v>7875918.1611640118</v>
      </c>
      <c r="J1982" s="404">
        <v>9532366.5123401303</v>
      </c>
      <c r="K1982" s="404">
        <v>12117113.010367623</v>
      </c>
      <c r="L1982" s="404">
        <v>12861496.066195816</v>
      </c>
      <c r="M1982" s="404">
        <v>11066696.097163459</v>
      </c>
      <c r="N1982" s="404">
        <v>10846097.9980071</v>
      </c>
      <c r="O1982" s="404">
        <v>10837165.461976836</v>
      </c>
      <c r="P1982" s="404">
        <v>10010041.080739968</v>
      </c>
      <c r="Q1982" s="404">
        <v>11607660.599296786</v>
      </c>
      <c r="R1982" s="404">
        <v>10822858.676266527</v>
      </c>
      <c r="S1982" s="404">
        <v>10915874.081664842</v>
      </c>
      <c r="T1982" s="404">
        <v>10065899.077409105</v>
      </c>
      <c r="U1982" s="404">
        <v>11407206.886303719</v>
      </c>
      <c r="V1982" s="404">
        <v>12342873.484122811</v>
      </c>
      <c r="W1982" s="327"/>
    </row>
    <row r="1983" spans="1:23" x14ac:dyDescent="0.2">
      <c r="A1983" s="9"/>
      <c r="B1983" s="309" t="s">
        <v>20</v>
      </c>
      <c r="C1983" s="443">
        <v>0</v>
      </c>
      <c r="D1983" s="404">
        <v>-2443747.1509538759</v>
      </c>
      <c r="E1983" s="404">
        <v>-2991581.0524151698</v>
      </c>
      <c r="F1983" s="404">
        <v>-3235039.6998927929</v>
      </c>
      <c r="G1983" s="404">
        <v>-3544191.9755981402</v>
      </c>
      <c r="H1983" s="404">
        <v>-3794796.9656743901</v>
      </c>
      <c r="I1983" s="404">
        <v>-4944426.379624729</v>
      </c>
      <c r="J1983" s="404">
        <v>-6219182.8226861553</v>
      </c>
      <c r="K1983" s="404">
        <v>-7723082.376592651</v>
      </c>
      <c r="L1983" s="404">
        <v>-8284094.1225295514</v>
      </c>
      <c r="M1983" s="404">
        <v>-6482347.8668211428</v>
      </c>
      <c r="N1983" s="404">
        <v>-7112818.1669523586</v>
      </c>
      <c r="O1983" s="404">
        <v>-6598867.186659608</v>
      </c>
      <c r="P1983" s="404">
        <v>-6033835.2006924925</v>
      </c>
      <c r="Q1983" s="404">
        <v>-6785562.7186127715</v>
      </c>
      <c r="R1983" s="404">
        <v>-6609183.756585882</v>
      </c>
      <c r="S1983" s="404">
        <v>-7384920.3865921488</v>
      </c>
      <c r="T1983" s="404">
        <v>-6300625.6205580141</v>
      </c>
      <c r="U1983" s="404">
        <v>-7074580.3602302261</v>
      </c>
      <c r="V1983" s="404">
        <v>-8373327.4147212766</v>
      </c>
      <c r="W1983" s="327"/>
    </row>
    <row r="1984" spans="1:23" x14ac:dyDescent="0.2">
      <c r="A1984" s="9"/>
      <c r="B1984" s="309" t="s">
        <v>31</v>
      </c>
      <c r="C1984" s="443">
        <v>0</v>
      </c>
      <c r="D1984" s="404">
        <v>-60965.996027048721</v>
      </c>
      <c r="E1984" s="404">
        <v>-86226.881744492581</v>
      </c>
      <c r="F1984" s="404">
        <v>-98920.092928497703</v>
      </c>
      <c r="G1984" s="404">
        <v>-108302.35780039914</v>
      </c>
      <c r="H1984" s="404">
        <v>-115803.71590397664</v>
      </c>
      <c r="I1984" s="404">
        <v>-156864.88597871904</v>
      </c>
      <c r="J1984" s="404">
        <v>-192371.5306182226</v>
      </c>
      <c r="K1984" s="404">
        <v>-262154.68285510957</v>
      </c>
      <c r="L1984" s="404">
        <v>-274514.62646256847</v>
      </c>
      <c r="M1984" s="404">
        <v>-209035.46436537022</v>
      </c>
      <c r="N1984" s="404">
        <v>-234968.36063169062</v>
      </c>
      <c r="O1984" s="404">
        <v>-219679.09216769069</v>
      </c>
      <c r="P1984" s="404">
        <v>-198816.52750715817</v>
      </c>
      <c r="Q1984" s="404">
        <v>-222370.27289478772</v>
      </c>
      <c r="R1984" s="404">
        <v>-204501.47078899431</v>
      </c>
      <c r="S1984" s="404">
        <v>-224078.64365781232</v>
      </c>
      <c r="T1984" s="404">
        <v>-191744.26729954788</v>
      </c>
      <c r="U1984" s="404">
        <v>-202409.85965082719</v>
      </c>
      <c r="V1984" s="404">
        <v>-245710.99012228646</v>
      </c>
      <c r="W1984" s="327"/>
    </row>
    <row r="1985" spans="1:23" x14ac:dyDescent="0.2">
      <c r="A1985" s="9"/>
      <c r="B1985" s="309" t="s">
        <v>32</v>
      </c>
      <c r="C1985" s="443">
        <v>0</v>
      </c>
      <c r="D1985" s="404">
        <v>0</v>
      </c>
      <c r="E1985" s="404">
        <v>0</v>
      </c>
      <c r="F1985" s="404">
        <v>0</v>
      </c>
      <c r="G1985" s="404">
        <v>0</v>
      </c>
      <c r="H1985" s="404">
        <v>0</v>
      </c>
      <c r="I1985" s="404">
        <v>93418.023327088376</v>
      </c>
      <c r="J1985" s="404">
        <v>103546.416256845</v>
      </c>
      <c r="K1985" s="404">
        <v>114259.16746337658</v>
      </c>
      <c r="L1985" s="404">
        <v>125495.63771574097</v>
      </c>
      <c r="M1985" s="404">
        <v>139570.44415525725</v>
      </c>
      <c r="N1985" s="404">
        <v>153747.39907892016</v>
      </c>
      <c r="O1985" s="404">
        <v>170347.50869303249</v>
      </c>
      <c r="P1985" s="404">
        <v>191004.36881418826</v>
      </c>
      <c r="Q1985" s="404">
        <v>212617.66815241956</v>
      </c>
      <c r="R1985" s="404">
        <v>235515.42537247401</v>
      </c>
      <c r="S1985" s="404">
        <v>258595.6474313915</v>
      </c>
      <c r="T1985" s="404">
        <v>254057.61645580616</v>
      </c>
      <c r="U1985" s="404">
        <v>217360.03222342019</v>
      </c>
      <c r="V1985" s="404">
        <v>225362.25124239805</v>
      </c>
      <c r="W1985" s="327"/>
    </row>
    <row r="1986" spans="1:23" ht="13.5" thickBot="1" x14ac:dyDescent="0.25">
      <c r="A1986" s="9"/>
      <c r="B1986" s="310" t="s">
        <v>33</v>
      </c>
      <c r="C1986" s="444">
        <v>0</v>
      </c>
      <c r="D1986" s="406">
        <v>0</v>
      </c>
      <c r="E1986" s="406">
        <v>0</v>
      </c>
      <c r="F1986" s="406">
        <v>0</v>
      </c>
      <c r="G1986" s="406">
        <v>0</v>
      </c>
      <c r="H1986" s="406">
        <v>0</v>
      </c>
      <c r="I1986" s="406">
        <v>0</v>
      </c>
      <c r="J1986" s="406">
        <v>0</v>
      </c>
      <c r="K1986" s="406">
        <v>0</v>
      </c>
      <c r="L1986" s="406">
        <v>0</v>
      </c>
      <c r="M1986" s="406">
        <v>0</v>
      </c>
      <c r="N1986" s="406">
        <v>0</v>
      </c>
      <c r="O1986" s="406">
        <v>0</v>
      </c>
      <c r="P1986" s="406">
        <v>0</v>
      </c>
      <c r="Q1986" s="406">
        <v>0</v>
      </c>
      <c r="R1986" s="406">
        <v>0</v>
      </c>
      <c r="S1986" s="406">
        <v>0</v>
      </c>
      <c r="T1986" s="406">
        <v>0</v>
      </c>
      <c r="U1986" s="406">
        <v>0</v>
      </c>
      <c r="V1986" s="406">
        <v>0</v>
      </c>
      <c r="W1986" s="327"/>
    </row>
    <row r="1987" spans="1:23" ht="13.5" thickTop="1" x14ac:dyDescent="0.2">
      <c r="A1987" s="9"/>
      <c r="B1987" s="311" t="s">
        <v>38</v>
      </c>
      <c r="C1987" s="445">
        <v>0</v>
      </c>
      <c r="D1987" s="408">
        <v>5697462.2444387656</v>
      </c>
      <c r="E1987" s="408">
        <v>4141317.2614028053</v>
      </c>
      <c r="F1987" s="408">
        <v>3641470.1360890637</v>
      </c>
      <c r="G1987" s="408">
        <v>3046307.2064210088</v>
      </c>
      <c r="H1987" s="408">
        <v>2966686.2196707823</v>
      </c>
      <c r="I1987" s="408">
        <v>2868044.918887652</v>
      </c>
      <c r="J1987" s="408">
        <v>3224358.5752925975</v>
      </c>
      <c r="K1987" s="408">
        <v>4246135.1183832381</v>
      </c>
      <c r="L1987" s="408">
        <v>4428382.9549194369</v>
      </c>
      <c r="M1987" s="408">
        <v>4514883.2101322031</v>
      </c>
      <c r="N1987" s="408">
        <v>3652058.8695019707</v>
      </c>
      <c r="O1987" s="408">
        <v>4188966.691842569</v>
      </c>
      <c r="P1987" s="408">
        <v>3968393.721354505</v>
      </c>
      <c r="Q1987" s="408">
        <v>4812345.2759416467</v>
      </c>
      <c r="R1987" s="408">
        <v>4244688.8742641248</v>
      </c>
      <c r="S1987" s="408">
        <v>3565470.6988462717</v>
      </c>
      <c r="T1987" s="408">
        <v>3827586.8060073494</v>
      </c>
      <c r="U1987" s="408">
        <v>4347576.6986460863</v>
      </c>
      <c r="V1987" s="408">
        <v>3949197.330521646</v>
      </c>
      <c r="W1987" s="327"/>
    </row>
    <row r="1988" spans="1:23" x14ac:dyDescent="0.2">
      <c r="A1988" s="9"/>
      <c r="B1988" s="309" t="s">
        <v>34</v>
      </c>
      <c r="C1988" s="443">
        <v>0</v>
      </c>
      <c r="D1988" s="404">
        <v>-355535.16277078062</v>
      </c>
      <c r="E1988" s="404">
        <v>-362645.86602619622</v>
      </c>
      <c r="F1988" s="404">
        <v>-369898.78334672016</v>
      </c>
      <c r="G1988" s="404">
        <v>-377296.75901365455</v>
      </c>
      <c r="H1988" s="404">
        <v>-384842.69419392763</v>
      </c>
      <c r="I1988" s="404">
        <v>-392539.54807780619</v>
      </c>
      <c r="J1988" s="404">
        <v>-400390.33903936233</v>
      </c>
      <c r="K1988" s="404">
        <v>-408398.14582014957</v>
      </c>
      <c r="L1988" s="404">
        <v>-416566.10873655259</v>
      </c>
      <c r="M1988" s="404">
        <v>-424897.43091128365</v>
      </c>
      <c r="N1988" s="404">
        <v>-433395.37952950934</v>
      </c>
      <c r="O1988" s="404">
        <v>-442063.28712009953</v>
      </c>
      <c r="P1988" s="404">
        <v>-450904.55286250153</v>
      </c>
      <c r="Q1988" s="404">
        <v>-459922.64391975157</v>
      </c>
      <c r="R1988" s="404">
        <v>-469121.09679814661</v>
      </c>
      <c r="S1988" s="404">
        <v>-478503.51873410953</v>
      </c>
      <c r="T1988" s="404">
        <v>-488073.58910879173</v>
      </c>
      <c r="U1988" s="404">
        <v>-497835.06089096755</v>
      </c>
      <c r="V1988" s="404">
        <v>-507791.7621087869</v>
      </c>
      <c r="W1988" s="327"/>
    </row>
    <row r="1989" spans="1:23" x14ac:dyDescent="0.2">
      <c r="A1989" s="9"/>
      <c r="B1989" s="309" t="s">
        <v>35</v>
      </c>
      <c r="C1989" s="443">
        <v>0</v>
      </c>
      <c r="D1989" s="404">
        <v>-171612.57929687499</v>
      </c>
      <c r="E1989" s="404">
        <v>-171612.57929687499</v>
      </c>
      <c r="F1989" s="404">
        <v>-171612.57929687499</v>
      </c>
      <c r="G1989" s="404">
        <v>-171612.57929687499</v>
      </c>
      <c r="H1989" s="404">
        <v>-171612.57929687499</v>
      </c>
      <c r="I1989" s="404">
        <v>-171612.57929687499</v>
      </c>
      <c r="J1989" s="404">
        <v>-171612.57929687499</v>
      </c>
      <c r="K1989" s="404">
        <v>-171612.57929687499</v>
      </c>
      <c r="L1989" s="404">
        <v>-171612.57929687499</v>
      </c>
      <c r="M1989" s="404">
        <v>-171612.57929687499</v>
      </c>
      <c r="N1989" s="404">
        <v>-171612.57929687499</v>
      </c>
      <c r="O1989" s="404">
        <v>-171612.57929687499</v>
      </c>
      <c r="P1989" s="404">
        <v>-171612.57929687499</v>
      </c>
      <c r="Q1989" s="404">
        <v>-171612.57929687499</v>
      </c>
      <c r="R1989" s="404">
        <v>-171612.57929687499</v>
      </c>
      <c r="S1989" s="404">
        <v>-171612.57929687499</v>
      </c>
      <c r="T1989" s="404">
        <v>-171612.57929687499</v>
      </c>
      <c r="U1989" s="404">
        <v>-171612.57929687499</v>
      </c>
      <c r="V1989" s="404">
        <v>-171612.57929687499</v>
      </c>
      <c r="W1989" s="327"/>
    </row>
    <row r="1990" spans="1:23" ht="13.5" thickBot="1" x14ac:dyDescent="0.25">
      <c r="A1990" s="9"/>
      <c r="B1990" s="310" t="s">
        <v>36</v>
      </c>
      <c r="C1990" s="444">
        <v>0</v>
      </c>
      <c r="D1990" s="406">
        <v>-34547.1907058574</v>
      </c>
      <c r="E1990" s="406">
        <v>-35276.136429751197</v>
      </c>
      <c r="F1990" s="406">
        <v>-36048.6838175628</v>
      </c>
      <c r="G1990" s="406">
        <v>-36863.384071839399</v>
      </c>
      <c r="H1990" s="406">
        <v>-37740.7326127493</v>
      </c>
      <c r="I1990" s="406">
        <v>-38686.5191661684</v>
      </c>
      <c r="J1990" s="406">
        <v>-39646.052617166402</v>
      </c>
      <c r="K1990" s="406">
        <v>-40649.576140416597</v>
      </c>
      <c r="L1990" s="406">
        <v>-41653.6206710849</v>
      </c>
      <c r="M1990" s="406">
        <v>-42715.787998197498</v>
      </c>
      <c r="N1990" s="406">
        <v>-43749.510067754003</v>
      </c>
      <c r="O1990" s="406">
        <v>-44851.997721461303</v>
      </c>
      <c r="P1990" s="406">
        <v>-45991.238463586298</v>
      </c>
      <c r="Q1990" s="406">
        <v>-47141.019425175997</v>
      </c>
      <c r="R1990" s="406">
        <v>-48324.259012747898</v>
      </c>
      <c r="S1990" s="406">
        <v>-49532.365488066702</v>
      </c>
      <c r="T1990" s="406">
        <v>-50760.768152170604</v>
      </c>
      <c r="U1990" s="406">
        <v>-52034.863432790196</v>
      </c>
      <c r="V1990" s="406">
        <v>-53340.938504953301</v>
      </c>
      <c r="W1990" s="327"/>
    </row>
    <row r="1991" spans="1:23" ht="13.5" thickTop="1" x14ac:dyDescent="0.2">
      <c r="A1991" s="9"/>
      <c r="B1991" s="311" t="s">
        <v>220</v>
      </c>
      <c r="C1991" s="446">
        <v>0</v>
      </c>
      <c r="D1991" s="410">
        <v>5135767.3116652528</v>
      </c>
      <c r="E1991" s="410">
        <v>3571782.6796499831</v>
      </c>
      <c r="F1991" s="410">
        <v>3063910.0896279062</v>
      </c>
      <c r="G1991" s="410">
        <v>2460534.4840386398</v>
      </c>
      <c r="H1991" s="410">
        <v>2372490.2135672309</v>
      </c>
      <c r="I1991" s="410">
        <v>2265206.2723468025</v>
      </c>
      <c r="J1991" s="410">
        <v>2612709.604339194</v>
      </c>
      <c r="K1991" s="410">
        <v>3625474.8171257968</v>
      </c>
      <c r="L1991" s="410">
        <v>3798550.6462149243</v>
      </c>
      <c r="M1991" s="410">
        <v>3875657.4119258472</v>
      </c>
      <c r="N1991" s="410">
        <v>3003301.4006078327</v>
      </c>
      <c r="O1991" s="410">
        <v>3530438.8277041335</v>
      </c>
      <c r="P1991" s="410">
        <v>3299885.3507315423</v>
      </c>
      <c r="Q1991" s="410">
        <v>4133669.0332998438</v>
      </c>
      <c r="R1991" s="410">
        <v>3555630.9391563553</v>
      </c>
      <c r="S1991" s="410">
        <v>2865822.2353272205</v>
      </c>
      <c r="T1991" s="410">
        <v>3117139.8694495121</v>
      </c>
      <c r="U1991" s="410">
        <v>3626094.1950254538</v>
      </c>
      <c r="V1991" s="410">
        <v>3216452.0506110308</v>
      </c>
      <c r="W1991" s="327"/>
    </row>
    <row r="1992" spans="1:23" x14ac:dyDescent="0.2">
      <c r="A1992" s="9"/>
      <c r="B1992" s="309" t="s">
        <v>37</v>
      </c>
      <c r="C1992" s="443">
        <v>0</v>
      </c>
      <c r="D1992" s="404">
        <v>-2192540.6332916664</v>
      </c>
      <c r="E1992" s="404">
        <v>-2210158.6552009</v>
      </c>
      <c r="F1992" s="404">
        <v>-2220800.1739075333</v>
      </c>
      <c r="G1992" s="404">
        <v>-2222765.9934726334</v>
      </c>
      <c r="H1992" s="404">
        <v>-2221622.5140418001</v>
      </c>
      <c r="I1992" s="404">
        <v>-2229059.5415241667</v>
      </c>
      <c r="J1992" s="404">
        <v>-1258985.9031358557</v>
      </c>
      <c r="K1992" s="404">
        <v>-179632.74748216567</v>
      </c>
      <c r="L1992" s="404">
        <v>-59593.322103499304</v>
      </c>
      <c r="M1992" s="404">
        <v>-52343.292619258624</v>
      </c>
      <c r="N1992" s="404">
        <v>-57576.108262161724</v>
      </c>
      <c r="O1992" s="404">
        <v>-62703.340287732244</v>
      </c>
      <c r="P1992" s="404">
        <v>-67940.828551810526</v>
      </c>
      <c r="Q1992" s="404">
        <v>-73212.09813047784</v>
      </c>
      <c r="R1992" s="404">
        <v>-78645.36246317187</v>
      </c>
      <c r="S1992" s="404">
        <v>-84368.143059180002</v>
      </c>
      <c r="T1992" s="404">
        <v>-90262.607073068415</v>
      </c>
      <c r="U1992" s="404">
        <v>-96333.905007373483</v>
      </c>
      <c r="V1992" s="404">
        <v>-102587.34187970767</v>
      </c>
      <c r="W1992" s="327"/>
    </row>
    <row r="1993" spans="1:23" ht="13.5" thickBot="1" x14ac:dyDescent="0.25">
      <c r="A1993" s="9"/>
      <c r="B1993" s="310" t="s">
        <v>221</v>
      </c>
      <c r="C1993" s="444">
        <v>0</v>
      </c>
      <c r="D1993" s="406">
        <v>-1177290.6713494346</v>
      </c>
      <c r="E1993" s="406">
        <v>-544649.60977963323</v>
      </c>
      <c r="F1993" s="406">
        <v>-337243.96628814918</v>
      </c>
      <c r="G1993" s="406">
        <v>-95107.396226402561</v>
      </c>
      <c r="H1993" s="406">
        <v>-60347.079810172319</v>
      </c>
      <c r="I1993" s="406">
        <v>-14458.692329054327</v>
      </c>
      <c r="J1993" s="406">
        <v>-541489.48048133531</v>
      </c>
      <c r="K1993" s="406">
        <v>-1378336.8278574524</v>
      </c>
      <c r="L1993" s="406">
        <v>-1495582.92964457</v>
      </c>
      <c r="M1993" s="406">
        <v>-1529325.6477226354</v>
      </c>
      <c r="N1993" s="406">
        <v>-1178290.1169382685</v>
      </c>
      <c r="O1993" s="406">
        <v>-1387094.1949665605</v>
      </c>
      <c r="P1993" s="406">
        <v>-1292777.8088718927</v>
      </c>
      <c r="Q1993" s="406">
        <v>-1624182.7740677465</v>
      </c>
      <c r="R1993" s="406">
        <v>-1390794.2306772734</v>
      </c>
      <c r="S1993" s="406">
        <v>-1112581.6369072162</v>
      </c>
      <c r="T1993" s="406">
        <v>-1210750.9049505775</v>
      </c>
      <c r="U1993" s="406">
        <v>-1411904.1160072321</v>
      </c>
      <c r="V1993" s="406">
        <v>-1245545.8834925292</v>
      </c>
      <c r="W1993" s="327"/>
    </row>
    <row r="1994" spans="1:23" ht="13.5" thickTop="1" x14ac:dyDescent="0.2">
      <c r="A1994" s="9"/>
      <c r="B1994" s="311" t="s">
        <v>183</v>
      </c>
      <c r="C1994" s="446">
        <v>0</v>
      </c>
      <c r="D1994" s="410">
        <v>1765936.0070241517</v>
      </c>
      <c r="E1994" s="410">
        <v>816974.41466944979</v>
      </c>
      <c r="F1994" s="410">
        <v>505865.94943222374</v>
      </c>
      <c r="G1994" s="410">
        <v>142661.09433960385</v>
      </c>
      <c r="H1994" s="410">
        <v>90520.619715258479</v>
      </c>
      <c r="I1994" s="410">
        <v>21688.038493581487</v>
      </c>
      <c r="J1994" s="410">
        <v>812234.22072200303</v>
      </c>
      <c r="K1994" s="410">
        <v>2067505.2417861787</v>
      </c>
      <c r="L1994" s="410">
        <v>2243374.3944668546</v>
      </c>
      <c r="M1994" s="410">
        <v>2293988.4715839531</v>
      </c>
      <c r="N1994" s="410">
        <v>1767435.1754074025</v>
      </c>
      <c r="O1994" s="410">
        <v>2080641.2924498406</v>
      </c>
      <c r="P1994" s="410">
        <v>1939166.7133078389</v>
      </c>
      <c r="Q1994" s="410">
        <v>2436274.1611016192</v>
      </c>
      <c r="R1994" s="410">
        <v>2086191.3460159099</v>
      </c>
      <c r="S1994" s="410">
        <v>1668872.4553608242</v>
      </c>
      <c r="T1994" s="410">
        <v>1816126.357425866</v>
      </c>
      <c r="U1994" s="410">
        <v>2117856.1740108482</v>
      </c>
      <c r="V1994" s="410">
        <v>1868318.8252387939</v>
      </c>
      <c r="W1994" s="327"/>
    </row>
    <row r="1995" spans="1:23" x14ac:dyDescent="0.2">
      <c r="A1995" s="9"/>
      <c r="B1995" s="309" t="s">
        <v>37</v>
      </c>
      <c r="C1995" s="443">
        <v>0</v>
      </c>
      <c r="D1995" s="404">
        <v>2192540.6332916664</v>
      </c>
      <c r="E1995" s="404">
        <v>2210158.6552009</v>
      </c>
      <c r="F1995" s="404">
        <v>2220800.1739075333</v>
      </c>
      <c r="G1995" s="404">
        <v>2222765.9934726334</v>
      </c>
      <c r="H1995" s="404">
        <v>2221622.5140418001</v>
      </c>
      <c r="I1995" s="404">
        <v>2229059.5415241667</v>
      </c>
      <c r="J1995" s="404">
        <v>1258985.9031358557</v>
      </c>
      <c r="K1995" s="404">
        <v>179632.74748216567</v>
      </c>
      <c r="L1995" s="404">
        <v>59593.322103499304</v>
      </c>
      <c r="M1995" s="404">
        <v>52343.292619258624</v>
      </c>
      <c r="N1995" s="404">
        <v>57576.108262161724</v>
      </c>
      <c r="O1995" s="404">
        <v>62703.340287732244</v>
      </c>
      <c r="P1995" s="404">
        <v>67940.828551810526</v>
      </c>
      <c r="Q1995" s="404">
        <v>73212.09813047784</v>
      </c>
      <c r="R1995" s="404">
        <v>78645.36246317187</v>
      </c>
      <c r="S1995" s="404">
        <v>84368.143059180002</v>
      </c>
      <c r="T1995" s="404">
        <v>90262.607073068415</v>
      </c>
      <c r="U1995" s="404">
        <v>96333.905007373483</v>
      </c>
      <c r="V1995" s="404">
        <v>102587.34187970767</v>
      </c>
      <c r="W1995" s="327"/>
    </row>
    <row r="1996" spans="1:23" x14ac:dyDescent="0.2">
      <c r="A1996" s="9"/>
      <c r="B1996" s="309" t="s">
        <v>39</v>
      </c>
      <c r="C1996" s="443">
        <v>0</v>
      </c>
      <c r="D1996" s="404">
        <v>-14879.11</v>
      </c>
      <c r="E1996" s="404">
        <v>-378160.86</v>
      </c>
      <c r="F1996" s="404">
        <v>-15780.83</v>
      </c>
      <c r="G1996" s="404">
        <v>-16310.09</v>
      </c>
      <c r="H1996" s="404">
        <v>-88150.02</v>
      </c>
      <c r="I1996" s="404">
        <v>-90794.520600000003</v>
      </c>
      <c r="J1996" s="404">
        <v>-93518.356218000001</v>
      </c>
      <c r="K1996" s="404">
        <v>-96323.90690454001</v>
      </c>
      <c r="L1996" s="404">
        <v>-99213.62411167621</v>
      </c>
      <c r="M1996" s="404">
        <v>-102190.0328350265</v>
      </c>
      <c r="N1996" s="404">
        <v>-105255.73382007731</v>
      </c>
      <c r="O1996" s="404">
        <v>-108413.40583467964</v>
      </c>
      <c r="P1996" s="404">
        <v>-111665.80800972003</v>
      </c>
      <c r="Q1996" s="404">
        <v>-115015.78225001163</v>
      </c>
      <c r="R1996" s="404">
        <v>-118466.25571751199</v>
      </c>
      <c r="S1996" s="404">
        <v>-122020.24338903735</v>
      </c>
      <c r="T1996" s="404">
        <v>-125680.85069070848</v>
      </c>
      <c r="U1996" s="404">
        <v>-129451.27621142974</v>
      </c>
      <c r="V1996" s="404">
        <v>-133334.81449777263</v>
      </c>
      <c r="W1996" s="327"/>
    </row>
    <row r="1997" spans="1:23" ht="13.5" thickBot="1" x14ac:dyDescent="0.25">
      <c r="A1997" s="9"/>
      <c r="B1997" s="310" t="s">
        <v>40</v>
      </c>
      <c r="C1997" s="444">
        <v>0</v>
      </c>
      <c r="D1997" s="406">
        <v>0</v>
      </c>
      <c r="E1997" s="406">
        <v>0</v>
      </c>
      <c r="F1997" s="406">
        <v>0</v>
      </c>
      <c r="G1997" s="406">
        <v>0</v>
      </c>
      <c r="H1997" s="406">
        <v>0</v>
      </c>
      <c r="I1997" s="406">
        <v>0</v>
      </c>
      <c r="J1997" s="406">
        <v>0</v>
      </c>
      <c r="K1997" s="406">
        <v>0</v>
      </c>
      <c r="L1997" s="406">
        <v>0</v>
      </c>
      <c r="M1997" s="406">
        <v>0</v>
      </c>
      <c r="N1997" s="406">
        <v>0</v>
      </c>
      <c r="O1997" s="406">
        <v>0</v>
      </c>
      <c r="P1997" s="406">
        <v>0</v>
      </c>
      <c r="Q1997" s="406">
        <v>0</v>
      </c>
      <c r="R1997" s="406">
        <v>0</v>
      </c>
      <c r="S1997" s="406">
        <v>0</v>
      </c>
      <c r="T1997" s="406">
        <v>0</v>
      </c>
      <c r="U1997" s="406">
        <v>0</v>
      </c>
      <c r="V1997" s="406">
        <v>0</v>
      </c>
      <c r="W1997" s="327"/>
    </row>
    <row r="1998" spans="1:23" ht="13.5" thickTop="1" x14ac:dyDescent="0.2">
      <c r="A1998" s="9"/>
      <c r="B1998" s="309"/>
      <c r="C1998" s="447"/>
      <c r="D1998" s="327"/>
      <c r="E1998" s="327"/>
      <c r="F1998" s="327"/>
      <c r="G1998" s="327"/>
      <c r="H1998" s="327"/>
      <c r="I1998" s="327"/>
      <c r="J1998" s="327"/>
      <c r="K1998" s="327"/>
      <c r="L1998" s="327"/>
      <c r="M1998" s="327"/>
      <c r="N1998" s="327"/>
      <c r="O1998" s="327"/>
      <c r="P1998" s="327"/>
      <c r="Q1998" s="327"/>
      <c r="R1998" s="327"/>
      <c r="S1998" s="327"/>
      <c r="T1998" s="327"/>
      <c r="U1998" s="327"/>
      <c r="V1998" s="327"/>
      <c r="W1998" s="327"/>
    </row>
    <row r="1999" spans="1:23" x14ac:dyDescent="0.2">
      <c r="A1999" s="9"/>
      <c r="B1999" s="311" t="s">
        <v>233</v>
      </c>
      <c r="C1999" s="446">
        <v>0</v>
      </c>
      <c r="D1999" s="410">
        <v>3943597.5303158183</v>
      </c>
      <c r="E1999" s="410">
        <v>2648972.2098703501</v>
      </c>
      <c r="F1999" s="410">
        <v>2710885.2933397568</v>
      </c>
      <c r="G1999" s="410">
        <v>2349116.9978122376</v>
      </c>
      <c r="H1999" s="410">
        <v>2223993.1137570585</v>
      </c>
      <c r="I1999" s="410">
        <v>2159953.0594177484</v>
      </c>
      <c r="J1999" s="410">
        <v>1977701.7676398586</v>
      </c>
      <c r="K1999" s="410">
        <v>2150814.0823638043</v>
      </c>
      <c r="L1999" s="410">
        <v>2203754.0924586779</v>
      </c>
      <c r="M1999" s="410">
        <v>2244141.731368185</v>
      </c>
      <c r="N1999" s="410">
        <v>1719755.5498494869</v>
      </c>
      <c r="O1999" s="410">
        <v>2034931.226902893</v>
      </c>
      <c r="P1999" s="410">
        <v>1895441.7338499294</v>
      </c>
      <c r="Q1999" s="410">
        <v>2394470.4769820855</v>
      </c>
      <c r="R1999" s="410">
        <v>2046370.4527615698</v>
      </c>
      <c r="S1999" s="410">
        <v>1631220.3550309669</v>
      </c>
      <c r="T1999" s="410">
        <v>1780708.1138082258</v>
      </c>
      <c r="U1999" s="410">
        <v>2084738.8028067918</v>
      </c>
      <c r="V1999" s="410">
        <v>1837571.352620729</v>
      </c>
      <c r="W1999" s="408">
        <v>12085963.974698318</v>
      </c>
    </row>
    <row r="2000" spans="1:23" x14ac:dyDescent="0.2">
      <c r="A2000" s="9"/>
      <c r="B2000" s="286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</row>
    <row r="2001" spans="1:23" x14ac:dyDescent="0.2">
      <c r="A2001" s="302" t="s">
        <v>218</v>
      </c>
      <c r="B2001" s="300" t="s">
        <v>170</v>
      </c>
      <c r="C2001" s="433">
        <v>10796453.404054895</v>
      </c>
      <c r="D2001" s="9"/>
      <c r="E2001" s="137" t="s">
        <v>219</v>
      </c>
      <c r="F2001" s="313" t="s">
        <v>170</v>
      </c>
      <c r="G2001" s="437">
        <v>10796453.404054895</v>
      </c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</row>
    <row r="2002" spans="1:23" x14ac:dyDescent="0.2">
      <c r="A2002" s="9"/>
      <c r="B2002" s="300" t="s">
        <v>180</v>
      </c>
      <c r="C2002" s="433">
        <v>9340644.3956188671</v>
      </c>
      <c r="D2002" s="9"/>
      <c r="E2002" s="315"/>
      <c r="F2002" s="313" t="s">
        <v>180</v>
      </c>
      <c r="G2002" s="437">
        <v>9340644.3956188671</v>
      </c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</row>
    <row r="2003" spans="1:23" ht="13.5" thickBot="1" x14ac:dyDescent="0.25">
      <c r="A2003" s="9"/>
      <c r="B2003" s="316" t="s">
        <v>137</v>
      </c>
      <c r="C2003" s="434">
        <v>1796501.5333682555</v>
      </c>
      <c r="D2003" s="317"/>
      <c r="E2003" s="315"/>
      <c r="F2003" s="313" t="s">
        <v>137</v>
      </c>
      <c r="G2003" s="437">
        <v>1796501.5333682555</v>
      </c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</row>
    <row r="2004" spans="1:23" ht="14.25" thickTop="1" thickBot="1" x14ac:dyDescent="0.25">
      <c r="A2004" s="9"/>
      <c r="B2004" s="300" t="s">
        <v>28</v>
      </c>
      <c r="C2004" s="432">
        <v>21933599.333042022</v>
      </c>
      <c r="D2004" s="299"/>
      <c r="E2004" s="315"/>
      <c r="F2004" s="318" t="s">
        <v>203</v>
      </c>
      <c r="G2004" s="319">
        <v>0</v>
      </c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</row>
    <row r="2005" spans="1:23" ht="13.5" thickTop="1" x14ac:dyDescent="0.2">
      <c r="A2005" s="9"/>
      <c r="B2005" s="286"/>
      <c r="C2005" s="320"/>
      <c r="D2005" s="9"/>
      <c r="E2005" s="321"/>
      <c r="F2005" s="313" t="s">
        <v>28</v>
      </c>
      <c r="G2005" s="362">
        <v>21933599.333042022</v>
      </c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</row>
    <row r="2006" spans="1:23" x14ac:dyDescent="0.2">
      <c r="A2006" s="9"/>
      <c r="B2006" s="286"/>
      <c r="C2006" s="320"/>
      <c r="D2006" s="9"/>
      <c r="E2006" s="321"/>
      <c r="F2006" s="313"/>
      <c r="G2006" s="322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</row>
    <row r="2007" spans="1:23" x14ac:dyDescent="0.2">
      <c r="A2007" s="9"/>
      <c r="B2007" s="286"/>
      <c r="C2007" s="320"/>
      <c r="D2007" s="9"/>
      <c r="E2007" s="321"/>
      <c r="F2007" s="313"/>
      <c r="G2007" s="322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</row>
    <row r="2008" spans="1:23" x14ac:dyDescent="0.2">
      <c r="A2008" s="9"/>
      <c r="B2008" s="323" t="s">
        <v>222</v>
      </c>
      <c r="C2008" s="320"/>
      <c r="D2008" s="9"/>
      <c r="E2008" s="321"/>
      <c r="F2008" s="313"/>
      <c r="G2008" s="322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</row>
    <row r="2009" spans="1:23" x14ac:dyDescent="0.2">
      <c r="A2009" s="324" t="s">
        <v>224</v>
      </c>
      <c r="B2009" s="323" t="s">
        <v>223</v>
      </c>
      <c r="C2009" s="325"/>
      <c r="D2009" s="326">
        <v>1765936.0070241517</v>
      </c>
      <c r="E2009" s="326">
        <v>816974.41466944979</v>
      </c>
      <c r="F2009" s="326">
        <v>505865.94943222374</v>
      </c>
      <c r="G2009" s="326">
        <v>142661.09433960385</v>
      </c>
      <c r="H2009" s="326">
        <v>90520.619715258479</v>
      </c>
      <c r="I2009" s="326">
        <v>21688.038493581487</v>
      </c>
      <c r="J2009" s="326">
        <v>812234.22072200303</v>
      </c>
      <c r="K2009" s="326">
        <v>2067505.2417861787</v>
      </c>
      <c r="L2009" s="326">
        <v>2243374.3944668546</v>
      </c>
      <c r="M2009" s="326">
        <v>2293988.4715839531</v>
      </c>
      <c r="N2009" s="326">
        <v>1767435.1754074025</v>
      </c>
      <c r="O2009" s="326">
        <v>2080641.2924498406</v>
      </c>
      <c r="P2009" s="326">
        <v>1939166.7133078389</v>
      </c>
      <c r="Q2009" s="326">
        <v>2436274.1611016192</v>
      </c>
      <c r="R2009" s="326">
        <v>2086191.3460159099</v>
      </c>
      <c r="S2009" s="326">
        <v>1668872.4553608242</v>
      </c>
      <c r="T2009" s="326">
        <v>1816126.357425866</v>
      </c>
      <c r="U2009" s="326">
        <v>2117856.1740108482</v>
      </c>
      <c r="V2009" s="326">
        <v>1868318.8252387939</v>
      </c>
      <c r="W2009" s="9"/>
    </row>
    <row r="2010" spans="1:23" x14ac:dyDescent="0.2">
      <c r="A2010" s="9"/>
      <c r="B2010" s="286" t="s">
        <v>225</v>
      </c>
      <c r="C2010" s="320"/>
      <c r="D2010" s="327">
        <v>1177290.6713494346</v>
      </c>
      <c r="E2010" s="327">
        <v>544649.60977963323</v>
      </c>
      <c r="F2010" s="327">
        <v>337243.96628814918</v>
      </c>
      <c r="G2010" s="327">
        <v>95107.396226402561</v>
      </c>
      <c r="H2010" s="327">
        <v>60347.079810172319</v>
      </c>
      <c r="I2010" s="327">
        <v>14458.692329054327</v>
      </c>
      <c r="J2010" s="327">
        <v>541489.48048133531</v>
      </c>
      <c r="K2010" s="327">
        <v>1378336.8278574524</v>
      </c>
      <c r="L2010" s="327">
        <v>1495582.92964457</v>
      </c>
      <c r="M2010" s="327">
        <v>1529325.6477226354</v>
      </c>
      <c r="N2010" s="327">
        <v>1178290.1169382685</v>
      </c>
      <c r="O2010" s="327">
        <v>1387094.1949665605</v>
      </c>
      <c r="P2010" s="327">
        <v>1292777.8088718927</v>
      </c>
      <c r="Q2010" s="327">
        <v>1624182.7740677465</v>
      </c>
      <c r="R2010" s="327">
        <v>1390794.2306772734</v>
      </c>
      <c r="S2010" s="327">
        <v>1112581.6369072162</v>
      </c>
      <c r="T2010" s="327">
        <v>1210750.9049505775</v>
      </c>
      <c r="U2010" s="327">
        <v>1411904.1160072321</v>
      </c>
      <c r="V2010" s="327">
        <v>1245545.8834925292</v>
      </c>
      <c r="W2010" s="9"/>
    </row>
    <row r="2011" spans="1:23" x14ac:dyDescent="0.2">
      <c r="A2011" s="9"/>
      <c r="B2011" s="328" t="s">
        <v>226</v>
      </c>
      <c r="C2011" s="329"/>
      <c r="D2011" s="327">
        <v>2192540.6332916664</v>
      </c>
      <c r="E2011" s="327">
        <v>2210158.6552009</v>
      </c>
      <c r="F2011" s="327">
        <v>2220800.1739075333</v>
      </c>
      <c r="G2011" s="327">
        <v>2222765.9934726334</v>
      </c>
      <c r="H2011" s="327">
        <v>2221622.5140418001</v>
      </c>
      <c r="I2011" s="327">
        <v>2229059.5415241667</v>
      </c>
      <c r="J2011" s="327">
        <v>1258985.9031358557</v>
      </c>
      <c r="K2011" s="327">
        <v>179632.74748216567</v>
      </c>
      <c r="L2011" s="327">
        <v>59593.322103499304</v>
      </c>
      <c r="M2011" s="327">
        <v>52343.292619258624</v>
      </c>
      <c r="N2011" s="327">
        <v>57576.108262161724</v>
      </c>
      <c r="O2011" s="327">
        <v>62703.340287732244</v>
      </c>
      <c r="P2011" s="327">
        <v>67940.828551810526</v>
      </c>
      <c r="Q2011" s="327">
        <v>73212.09813047784</v>
      </c>
      <c r="R2011" s="327">
        <v>78645.36246317187</v>
      </c>
      <c r="S2011" s="327">
        <v>84368.143059180002</v>
      </c>
      <c r="T2011" s="327">
        <v>90262.607073068415</v>
      </c>
      <c r="U2011" s="327">
        <v>96333.905007373483</v>
      </c>
      <c r="V2011" s="327">
        <v>102587.34187970767</v>
      </c>
      <c r="W2011" s="9"/>
    </row>
    <row r="2012" spans="1:23" ht="13.5" thickBot="1" x14ac:dyDescent="0.25">
      <c r="A2012" s="9"/>
      <c r="B2012" s="330" t="s">
        <v>227</v>
      </c>
      <c r="C2012" s="331"/>
      <c r="D2012" s="332">
        <v>5135767.3116652528</v>
      </c>
      <c r="E2012" s="332">
        <v>3571782.6796499831</v>
      </c>
      <c r="F2012" s="332">
        <v>3063910.0896279062</v>
      </c>
      <c r="G2012" s="332">
        <v>2460534.4840386398</v>
      </c>
      <c r="H2012" s="332">
        <v>2372490.2135672309</v>
      </c>
      <c r="I2012" s="332">
        <v>2265206.2723468025</v>
      </c>
      <c r="J2012" s="332">
        <v>2612709.604339194</v>
      </c>
      <c r="K2012" s="332">
        <v>3625474.8171257968</v>
      </c>
      <c r="L2012" s="332">
        <v>3798550.6462149238</v>
      </c>
      <c r="M2012" s="332">
        <v>3875657.4119258472</v>
      </c>
      <c r="N2012" s="332">
        <v>3003301.4006078327</v>
      </c>
      <c r="O2012" s="332">
        <v>3530438.8277041335</v>
      </c>
      <c r="P2012" s="332">
        <v>3299885.3507315423</v>
      </c>
      <c r="Q2012" s="332">
        <v>4133669.0332998438</v>
      </c>
      <c r="R2012" s="332">
        <v>3555630.9391563553</v>
      </c>
      <c r="S2012" s="332">
        <v>2865822.2353272205</v>
      </c>
      <c r="T2012" s="332">
        <v>3117139.8694495121</v>
      </c>
      <c r="U2012" s="332">
        <v>3626094.1950254538</v>
      </c>
      <c r="V2012" s="332">
        <v>3216452.0506110308</v>
      </c>
      <c r="W2012" s="9"/>
    </row>
    <row r="2013" spans="1:23" ht="13.5" thickTop="1" x14ac:dyDescent="0.2">
      <c r="A2013" s="324" t="s">
        <v>228</v>
      </c>
      <c r="B2013" s="286" t="s">
        <v>229</v>
      </c>
      <c r="C2013" s="320"/>
      <c r="D2013" s="327">
        <v>-1830966.4370308665</v>
      </c>
      <c r="E2013" s="327">
        <v>-1849874.4800308666</v>
      </c>
      <c r="F2013" s="327">
        <v>-1850663.5215308666</v>
      </c>
      <c r="G2013" s="327">
        <v>-1851479.0260308667</v>
      </c>
      <c r="H2013" s="327">
        <v>-1855886.5270308666</v>
      </c>
      <c r="I2013" s="327">
        <v>-1860426.2530608666</v>
      </c>
      <c r="J2013" s="327">
        <v>-1865102.1708717665</v>
      </c>
      <c r="K2013" s="327">
        <v>-1869918.3662169937</v>
      </c>
      <c r="L2013" s="327">
        <v>-1874879.0474225774</v>
      </c>
      <c r="M2013" s="327">
        <v>-1879988.5490643287</v>
      </c>
      <c r="N2013" s="327">
        <v>-1885251.3357553326</v>
      </c>
      <c r="O2013" s="327">
        <v>-1890672.0060470665</v>
      </c>
      <c r="P2013" s="327">
        <v>-1896255.2964475525</v>
      </c>
      <c r="Q2013" s="327">
        <v>-1902006.0855600531</v>
      </c>
      <c r="R2013" s="327">
        <v>-544532.43501260015</v>
      </c>
      <c r="S2013" s="327">
        <v>-161892.5771820473</v>
      </c>
      <c r="T2013" s="327">
        <v>-168176.6197165827</v>
      </c>
      <c r="U2013" s="327">
        <v>-174649.18352715421</v>
      </c>
      <c r="V2013" s="327">
        <v>-181315.92425204284</v>
      </c>
      <c r="W2013" s="9"/>
    </row>
    <row r="2014" spans="1:23" x14ac:dyDescent="0.2">
      <c r="A2014" s="9"/>
      <c r="B2014" s="286" t="s">
        <v>230</v>
      </c>
      <c r="C2014" s="320"/>
      <c r="D2014" s="327">
        <v>0</v>
      </c>
      <c r="E2014" s="327">
        <v>0</v>
      </c>
      <c r="F2014" s="327">
        <v>0</v>
      </c>
      <c r="G2014" s="327">
        <v>0</v>
      </c>
      <c r="H2014" s="327">
        <v>0</v>
      </c>
      <c r="I2014" s="327">
        <v>0</v>
      </c>
      <c r="J2014" s="327">
        <v>0</v>
      </c>
      <c r="K2014" s="327">
        <v>0</v>
      </c>
      <c r="L2014" s="327">
        <v>0</v>
      </c>
      <c r="M2014" s="327">
        <v>0</v>
      </c>
      <c r="N2014" s="327">
        <v>0</v>
      </c>
      <c r="O2014" s="327">
        <v>0</v>
      </c>
      <c r="P2014" s="327">
        <v>0</v>
      </c>
      <c r="Q2014" s="327">
        <v>0</v>
      </c>
      <c r="R2014" s="327">
        <v>0</v>
      </c>
      <c r="S2014" s="327">
        <v>0</v>
      </c>
      <c r="T2014" s="327">
        <v>0</v>
      </c>
      <c r="U2014" s="327">
        <v>0</v>
      </c>
      <c r="V2014" s="327">
        <v>0</v>
      </c>
      <c r="W2014" s="9"/>
    </row>
    <row r="2015" spans="1:23" x14ac:dyDescent="0.2">
      <c r="A2015" s="9"/>
      <c r="B2015" s="323" t="s">
        <v>231</v>
      </c>
      <c r="C2015" s="325"/>
      <c r="D2015" s="326">
        <v>3304800.874634386</v>
      </c>
      <c r="E2015" s="326">
        <v>1721908.1996191165</v>
      </c>
      <c r="F2015" s="326">
        <v>1213246.5680970396</v>
      </c>
      <c r="G2015" s="326">
        <v>609055.45800777315</v>
      </c>
      <c r="H2015" s="326">
        <v>516603.68653636426</v>
      </c>
      <c r="I2015" s="326">
        <v>404780.01928593591</v>
      </c>
      <c r="J2015" s="326">
        <v>747607.4334674275</v>
      </c>
      <c r="K2015" s="326">
        <v>1755556.4509088031</v>
      </c>
      <c r="L2015" s="326">
        <v>1923671.5987923464</v>
      </c>
      <c r="M2015" s="326">
        <v>1995668.8628615185</v>
      </c>
      <c r="N2015" s="326">
        <v>1118050.0648525001</v>
      </c>
      <c r="O2015" s="326">
        <v>1639766.8216570669</v>
      </c>
      <c r="P2015" s="326">
        <v>1403630.0542839898</v>
      </c>
      <c r="Q2015" s="326">
        <v>2231662.9477397907</v>
      </c>
      <c r="R2015" s="326">
        <v>3011098.504143755</v>
      </c>
      <c r="S2015" s="326">
        <v>2703929.6581451735</v>
      </c>
      <c r="T2015" s="326">
        <v>2948963.2497329293</v>
      </c>
      <c r="U2015" s="326">
        <v>3451445.0114982994</v>
      </c>
      <c r="V2015" s="326">
        <v>3035136.1263589878</v>
      </c>
      <c r="W2015" s="9"/>
    </row>
    <row r="2016" spans="1:23" ht="13.5" thickBot="1" x14ac:dyDescent="0.25">
      <c r="A2016" s="9"/>
      <c r="B2016" s="333" t="s">
        <v>237</v>
      </c>
      <c r="C2016" s="334"/>
      <c r="D2016" s="335">
        <v>-1321920.3498537545</v>
      </c>
      <c r="E2016" s="335">
        <v>-688763.2798476466</v>
      </c>
      <c r="F2016" s="335">
        <v>-485298.62723881588</v>
      </c>
      <c r="G2016" s="335">
        <v>-243622.18320310928</v>
      </c>
      <c r="H2016" s="335">
        <v>-206641.4746145457</v>
      </c>
      <c r="I2016" s="335">
        <v>-161912.00771437437</v>
      </c>
      <c r="J2016" s="335">
        <v>-299042.97338697099</v>
      </c>
      <c r="K2016" s="335">
        <v>-702222.58036352135</v>
      </c>
      <c r="L2016" s="335">
        <v>-769468.63951693859</v>
      </c>
      <c r="M2016" s="335">
        <v>-798267.54514460743</v>
      </c>
      <c r="N2016" s="335">
        <v>-447220.02594100009</v>
      </c>
      <c r="O2016" s="335">
        <v>-655906.72866282682</v>
      </c>
      <c r="P2016" s="335">
        <v>-561452.02171359595</v>
      </c>
      <c r="Q2016" s="335">
        <v>-892665.17909591633</v>
      </c>
      <c r="R2016" s="335">
        <v>-1204439.4016575019</v>
      </c>
      <c r="S2016" s="335">
        <v>-1081571.8632580694</v>
      </c>
      <c r="T2016" s="335">
        <v>-1179585.2998931718</v>
      </c>
      <c r="U2016" s="335">
        <v>-1380578.0045993198</v>
      </c>
      <c r="V2016" s="335">
        <v>-1214054.4505435952</v>
      </c>
      <c r="W2016" s="9"/>
    </row>
    <row r="2017" spans="1:23" ht="13.5" thickTop="1" x14ac:dyDescent="0.2">
      <c r="A2017" s="9"/>
      <c r="B2017" s="323" t="s">
        <v>232</v>
      </c>
      <c r="C2017" s="325"/>
      <c r="D2017" s="326">
        <v>1982880.5247806315</v>
      </c>
      <c r="E2017" s="326">
        <v>1033144.9197714699</v>
      </c>
      <c r="F2017" s="326">
        <v>727947.94085822371</v>
      </c>
      <c r="G2017" s="326">
        <v>365433.27480466384</v>
      </c>
      <c r="H2017" s="326">
        <v>309962.21192181855</v>
      </c>
      <c r="I2017" s="326">
        <v>242868.01157156154</v>
      </c>
      <c r="J2017" s="326">
        <v>448564.46008045651</v>
      </c>
      <c r="K2017" s="326">
        <v>1053333.8705452818</v>
      </c>
      <c r="L2017" s="326">
        <v>1154202.9592754077</v>
      </c>
      <c r="M2017" s="326">
        <v>1197401.317716911</v>
      </c>
      <c r="N2017" s="326">
        <v>670830.03891150001</v>
      </c>
      <c r="O2017" s="326">
        <v>983860.09299424011</v>
      </c>
      <c r="P2017" s="326">
        <v>842178.03257039387</v>
      </c>
      <c r="Q2017" s="326">
        <v>1338997.7686438742</v>
      </c>
      <c r="R2017" s="326">
        <v>1806659.102486253</v>
      </c>
      <c r="S2017" s="326">
        <v>1622357.7948871041</v>
      </c>
      <c r="T2017" s="326">
        <v>1769377.9498397575</v>
      </c>
      <c r="U2017" s="326">
        <v>2070867.0068989797</v>
      </c>
      <c r="V2017" s="326">
        <v>1821081.6758153925</v>
      </c>
      <c r="W2017" s="9"/>
    </row>
    <row r="2018" spans="1:23" x14ac:dyDescent="0.2">
      <c r="A2018" s="9"/>
      <c r="B2018" s="9"/>
      <c r="C2018" s="320"/>
      <c r="D2018" s="9"/>
      <c r="E2018" s="321"/>
      <c r="F2018" s="313"/>
      <c r="G2018" s="322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</row>
    <row r="2019" spans="1:23" ht="15.75" x14ac:dyDescent="0.25">
      <c r="A2019" s="336" t="s">
        <v>205</v>
      </c>
      <c r="B2019" s="337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</row>
    <row r="2020" spans="1:23" x14ac:dyDescent="0.2">
      <c r="A2020" s="284" t="s">
        <v>190</v>
      </c>
      <c r="B2020" s="303"/>
      <c r="C2020" s="338">
        <v>0</v>
      </c>
      <c r="D2020" s="277"/>
      <c r="E2020" s="277"/>
      <c r="F2020" s="277"/>
      <c r="G2020" s="277"/>
      <c r="H2020" s="277"/>
      <c r="I2020" s="277"/>
      <c r="J2020" s="277"/>
      <c r="K2020" s="277"/>
      <c r="L2020" s="277"/>
      <c r="M2020" s="277"/>
      <c r="N2020" s="277"/>
      <c r="O2020" s="277"/>
      <c r="P2020" s="277"/>
      <c r="Q2020" s="277"/>
      <c r="R2020" s="277"/>
      <c r="S2020" s="277"/>
      <c r="T2020" s="277"/>
      <c r="U2020" s="277"/>
      <c r="V2020" s="277"/>
      <c r="W2020" s="277"/>
    </row>
    <row r="2021" spans="1:23" x14ac:dyDescent="0.2">
      <c r="A2021" s="284" t="s">
        <v>191</v>
      </c>
      <c r="B2021" s="303"/>
      <c r="C2021" s="339">
        <v>0</v>
      </c>
      <c r="D2021" s="277"/>
      <c r="E2021" s="277"/>
      <c r="F2021" s="277"/>
      <c r="G2021" s="277"/>
      <c r="H2021" s="277"/>
      <c r="I2021" s="277"/>
      <c r="J2021" s="277"/>
      <c r="K2021" s="277"/>
      <c r="L2021" s="277"/>
      <c r="M2021" s="277"/>
      <c r="N2021" s="277"/>
      <c r="O2021" s="277"/>
      <c r="P2021" s="277"/>
      <c r="Q2021" s="277"/>
      <c r="R2021" s="277"/>
      <c r="S2021" s="277"/>
      <c r="T2021" s="277"/>
      <c r="U2021" s="277"/>
      <c r="V2021" s="277"/>
      <c r="W2021" s="277"/>
    </row>
    <row r="2022" spans="1:23" x14ac:dyDescent="0.2">
      <c r="A2022" s="284" t="s">
        <v>201</v>
      </c>
      <c r="B2022" s="303"/>
      <c r="C2022" s="284">
        <v>15</v>
      </c>
      <c r="D2022" s="277"/>
      <c r="E2022" s="277"/>
      <c r="F2022" s="277"/>
      <c r="G2022" s="277"/>
      <c r="H2022" s="277"/>
      <c r="I2022" s="277"/>
      <c r="J2022" s="277"/>
      <c r="K2022" s="277"/>
      <c r="L2022" s="277"/>
      <c r="M2022" s="277"/>
      <c r="N2022" s="277"/>
      <c r="O2022" s="277"/>
      <c r="P2022" s="277"/>
      <c r="Q2022" s="277"/>
      <c r="R2022" s="277"/>
      <c r="S2022" s="277"/>
      <c r="T2022" s="277"/>
      <c r="U2022" s="277"/>
      <c r="V2022" s="277"/>
      <c r="W2022" s="277"/>
    </row>
    <row r="2023" spans="1:23" x14ac:dyDescent="0.2">
      <c r="A2023" s="284" t="s">
        <v>192</v>
      </c>
      <c r="B2023" s="303"/>
      <c r="C2023" s="339">
        <v>0</v>
      </c>
      <c r="D2023" s="277"/>
      <c r="E2023" s="277"/>
      <c r="F2023" s="277"/>
      <c r="G2023" s="277"/>
      <c r="H2023" s="277"/>
      <c r="I2023" s="277"/>
      <c r="J2023" s="277"/>
      <c r="K2023" s="277"/>
      <c r="L2023" s="277"/>
      <c r="M2023" s="277"/>
      <c r="N2023" s="277"/>
      <c r="O2023" s="277"/>
      <c r="P2023" s="277"/>
      <c r="Q2023" s="277"/>
      <c r="R2023" s="277"/>
      <c r="S2023" s="277"/>
      <c r="T2023" s="277"/>
      <c r="U2023" s="277"/>
      <c r="V2023" s="277"/>
      <c r="W2023" s="277"/>
    </row>
    <row r="2024" spans="1:23" x14ac:dyDescent="0.2">
      <c r="A2024" s="284" t="s">
        <v>193</v>
      </c>
      <c r="B2024" s="303"/>
      <c r="C2024" s="340">
        <v>8.7499999999999994E-2</v>
      </c>
      <c r="D2024" s="277"/>
      <c r="E2024" s="277"/>
      <c r="F2024" s="277"/>
      <c r="G2024" s="277"/>
      <c r="H2024" s="277"/>
      <c r="I2024" s="277"/>
      <c r="J2024" s="277"/>
      <c r="K2024" s="277"/>
      <c r="L2024" s="277"/>
      <c r="M2024" s="277"/>
      <c r="N2024" s="277"/>
      <c r="O2024" s="277"/>
      <c r="P2024" s="277"/>
      <c r="Q2024" s="277"/>
      <c r="R2024" s="277"/>
      <c r="S2024" s="277"/>
      <c r="T2024" s="277"/>
      <c r="U2024" s="277"/>
      <c r="V2024" s="277"/>
      <c r="W2024" s="277"/>
    </row>
    <row r="2025" spans="1:23" x14ac:dyDescent="0.2">
      <c r="A2025" s="284"/>
      <c r="B2025" s="303"/>
      <c r="C2025" s="277"/>
      <c r="D2025" s="306">
        <v>2001</v>
      </c>
      <c r="E2025" s="306">
        <v>2002</v>
      </c>
      <c r="F2025" s="306">
        <v>2003</v>
      </c>
      <c r="G2025" s="306">
        <v>2004</v>
      </c>
      <c r="H2025" s="306">
        <v>2005</v>
      </c>
      <c r="I2025" s="306">
        <v>2006</v>
      </c>
      <c r="J2025" s="306">
        <v>2007</v>
      </c>
      <c r="K2025" s="306">
        <v>2008</v>
      </c>
      <c r="L2025" s="306">
        <v>2009</v>
      </c>
      <c r="M2025" s="306">
        <v>2010</v>
      </c>
      <c r="N2025" s="306">
        <v>2011</v>
      </c>
      <c r="O2025" s="306">
        <v>2012</v>
      </c>
      <c r="P2025" s="306">
        <v>2013</v>
      </c>
      <c r="Q2025" s="306">
        <v>2014</v>
      </c>
      <c r="R2025" s="306">
        <v>2015</v>
      </c>
      <c r="S2025" s="306">
        <v>2016</v>
      </c>
      <c r="T2025" s="306">
        <v>2017</v>
      </c>
      <c r="U2025" s="306">
        <v>2018</v>
      </c>
      <c r="V2025" s="306">
        <v>2019</v>
      </c>
      <c r="W2025" s="306" t="s">
        <v>154</v>
      </c>
    </row>
    <row r="2026" spans="1:23" x14ac:dyDescent="0.2">
      <c r="A2026" s="284" t="s">
        <v>194</v>
      </c>
      <c r="B2026" s="303"/>
      <c r="C2026" s="277"/>
      <c r="D2026" s="341">
        <v>0</v>
      </c>
      <c r="E2026" s="341">
        <v>0</v>
      </c>
      <c r="F2026" s="341">
        <v>0</v>
      </c>
      <c r="G2026" s="341">
        <v>0</v>
      </c>
      <c r="H2026" s="341">
        <v>0</v>
      </c>
      <c r="I2026" s="341">
        <v>0</v>
      </c>
      <c r="J2026" s="341">
        <v>0</v>
      </c>
      <c r="K2026" s="341">
        <v>0</v>
      </c>
      <c r="L2026" s="341">
        <v>0</v>
      </c>
      <c r="M2026" s="341">
        <v>0</v>
      </c>
      <c r="N2026" s="341">
        <v>0</v>
      </c>
      <c r="O2026" s="341">
        <v>0</v>
      </c>
      <c r="P2026" s="341">
        <v>0</v>
      </c>
      <c r="Q2026" s="341">
        <v>0</v>
      </c>
      <c r="R2026" s="341">
        <v>0</v>
      </c>
      <c r="S2026" s="341">
        <v>0</v>
      </c>
      <c r="T2026" s="341">
        <v>0</v>
      </c>
      <c r="U2026" s="341">
        <v>0</v>
      </c>
      <c r="V2026" s="341">
        <v>0</v>
      </c>
      <c r="W2026" s="341">
        <v>0</v>
      </c>
    </row>
    <row r="2027" spans="1:23" x14ac:dyDescent="0.2">
      <c r="A2027" s="284" t="s">
        <v>195</v>
      </c>
      <c r="B2027" s="303"/>
      <c r="C2027" s="277"/>
      <c r="D2027" s="341">
        <v>0</v>
      </c>
      <c r="E2027" s="341">
        <v>0</v>
      </c>
      <c r="F2027" s="341">
        <v>0</v>
      </c>
      <c r="G2027" s="341">
        <v>0</v>
      </c>
      <c r="H2027" s="341">
        <v>0</v>
      </c>
      <c r="I2027" s="341">
        <v>0</v>
      </c>
      <c r="J2027" s="341">
        <v>0</v>
      </c>
      <c r="K2027" s="341">
        <v>0</v>
      </c>
      <c r="L2027" s="341">
        <v>0</v>
      </c>
      <c r="M2027" s="341">
        <v>0</v>
      </c>
      <c r="N2027" s="341">
        <v>0</v>
      </c>
      <c r="O2027" s="341">
        <v>0</v>
      </c>
      <c r="P2027" s="341">
        <v>0</v>
      </c>
      <c r="Q2027" s="341">
        <v>0</v>
      </c>
      <c r="R2027" s="341">
        <v>0</v>
      </c>
      <c r="S2027" s="341">
        <v>0</v>
      </c>
      <c r="T2027" s="341">
        <v>0</v>
      </c>
      <c r="U2027" s="341">
        <v>0</v>
      </c>
      <c r="V2027" s="341">
        <v>0</v>
      </c>
      <c r="W2027" s="341">
        <v>0</v>
      </c>
    </row>
    <row r="2028" spans="1:23" x14ac:dyDescent="0.2">
      <c r="A2028" s="284" t="s">
        <v>196</v>
      </c>
      <c r="B2028" s="303"/>
      <c r="C2028" s="277"/>
      <c r="D2028" s="341">
        <v>0</v>
      </c>
      <c r="E2028" s="341">
        <v>0</v>
      </c>
      <c r="F2028" s="341">
        <v>0</v>
      </c>
      <c r="G2028" s="341">
        <v>0</v>
      </c>
      <c r="H2028" s="341">
        <v>0</v>
      </c>
      <c r="I2028" s="341">
        <v>0</v>
      </c>
      <c r="J2028" s="341">
        <v>0</v>
      </c>
      <c r="K2028" s="341">
        <v>0</v>
      </c>
      <c r="L2028" s="341">
        <v>0</v>
      </c>
      <c r="M2028" s="341">
        <v>0</v>
      </c>
      <c r="N2028" s="341">
        <v>0</v>
      </c>
      <c r="O2028" s="341">
        <v>0</v>
      </c>
      <c r="P2028" s="341">
        <v>0</v>
      </c>
      <c r="Q2028" s="341">
        <v>0</v>
      </c>
      <c r="R2028" s="341">
        <v>0</v>
      </c>
      <c r="S2028" s="341">
        <v>0</v>
      </c>
      <c r="T2028" s="341">
        <v>0</v>
      </c>
      <c r="U2028" s="341">
        <v>0</v>
      </c>
      <c r="V2028" s="341">
        <v>0</v>
      </c>
      <c r="W2028" s="341">
        <v>0</v>
      </c>
    </row>
    <row r="2029" spans="1:23" x14ac:dyDescent="0.2">
      <c r="A2029" s="284" t="s">
        <v>197</v>
      </c>
      <c r="B2029" s="303"/>
      <c r="C2029" s="277"/>
      <c r="D2029" s="342">
        <v>0</v>
      </c>
      <c r="E2029" s="342">
        <v>0</v>
      </c>
      <c r="F2029" s="342">
        <v>0</v>
      </c>
      <c r="G2029" s="342">
        <v>0</v>
      </c>
      <c r="H2029" s="342">
        <v>0</v>
      </c>
      <c r="I2029" s="342">
        <v>0</v>
      </c>
      <c r="J2029" s="342">
        <v>0</v>
      </c>
      <c r="K2029" s="342">
        <v>0</v>
      </c>
      <c r="L2029" s="342">
        <v>0</v>
      </c>
      <c r="M2029" s="342">
        <v>0</v>
      </c>
      <c r="N2029" s="342">
        <v>0</v>
      </c>
      <c r="O2029" s="342">
        <v>0</v>
      </c>
      <c r="P2029" s="342">
        <v>0</v>
      </c>
      <c r="Q2029" s="342">
        <v>0</v>
      </c>
      <c r="R2029" s="342">
        <v>0</v>
      </c>
      <c r="S2029" s="342">
        <v>0</v>
      </c>
      <c r="T2029" s="342">
        <v>0</v>
      </c>
      <c r="U2029" s="342">
        <v>0</v>
      </c>
      <c r="V2029" s="342">
        <v>0</v>
      </c>
      <c r="W2029" s="342">
        <v>0</v>
      </c>
    </row>
    <row r="2030" spans="1:23" ht="13.5" thickBot="1" x14ac:dyDescent="0.25">
      <c r="A2030" s="284" t="s">
        <v>198</v>
      </c>
      <c r="B2030" s="303"/>
      <c r="C2030" s="277"/>
      <c r="D2030" s="343">
        <v>0</v>
      </c>
      <c r="E2030" s="343">
        <v>0</v>
      </c>
      <c r="F2030" s="343">
        <v>0</v>
      </c>
      <c r="G2030" s="343">
        <v>0</v>
      </c>
      <c r="H2030" s="343">
        <v>0</v>
      </c>
      <c r="I2030" s="343">
        <v>0</v>
      </c>
      <c r="J2030" s="343">
        <v>0</v>
      </c>
      <c r="K2030" s="343">
        <v>0</v>
      </c>
      <c r="L2030" s="343">
        <v>0</v>
      </c>
      <c r="M2030" s="343">
        <v>0</v>
      </c>
      <c r="N2030" s="343">
        <v>0</v>
      </c>
      <c r="O2030" s="343">
        <v>0</v>
      </c>
      <c r="P2030" s="343">
        <v>0</v>
      </c>
      <c r="Q2030" s="343">
        <v>0</v>
      </c>
      <c r="R2030" s="343">
        <v>0</v>
      </c>
      <c r="S2030" s="343">
        <v>0</v>
      </c>
      <c r="T2030" s="343">
        <v>0</v>
      </c>
      <c r="U2030" s="343">
        <v>0</v>
      </c>
      <c r="V2030" s="343">
        <v>0</v>
      </c>
      <c r="W2030" s="343">
        <v>0</v>
      </c>
    </row>
    <row r="2031" spans="1:23" ht="13.5" thickTop="1" x14ac:dyDescent="0.2">
      <c r="A2031" s="284"/>
      <c r="B2031" s="303"/>
      <c r="C2031" s="277"/>
      <c r="D2031" s="341"/>
      <c r="E2031" s="341"/>
      <c r="F2031" s="341"/>
      <c r="G2031" s="341"/>
      <c r="H2031" s="341"/>
      <c r="I2031" s="341"/>
      <c r="J2031" s="341"/>
      <c r="K2031" s="341"/>
      <c r="L2031" s="341"/>
      <c r="M2031" s="341"/>
      <c r="N2031" s="341"/>
      <c r="O2031" s="341"/>
      <c r="P2031" s="341"/>
      <c r="Q2031" s="341"/>
      <c r="R2031" s="341"/>
      <c r="S2031" s="341"/>
      <c r="T2031" s="341"/>
      <c r="U2031" s="341"/>
      <c r="V2031" s="341"/>
      <c r="W2031" s="341"/>
    </row>
    <row r="2032" spans="1:23" x14ac:dyDescent="0.2">
      <c r="A2032" s="284" t="s">
        <v>199</v>
      </c>
      <c r="B2032" s="303"/>
      <c r="C2032" s="277"/>
      <c r="D2032" s="341">
        <v>0</v>
      </c>
      <c r="E2032" s="341">
        <v>0</v>
      </c>
      <c r="F2032" s="341">
        <v>0</v>
      </c>
      <c r="G2032" s="341">
        <v>0</v>
      </c>
      <c r="H2032" s="341">
        <v>0</v>
      </c>
      <c r="I2032" s="341">
        <v>0</v>
      </c>
      <c r="J2032" s="341">
        <v>0</v>
      </c>
      <c r="K2032" s="341">
        <v>0</v>
      </c>
      <c r="L2032" s="341">
        <v>0</v>
      </c>
      <c r="M2032" s="341">
        <v>0</v>
      </c>
      <c r="N2032" s="341">
        <v>0</v>
      </c>
      <c r="O2032" s="341">
        <v>0</v>
      </c>
      <c r="P2032" s="341">
        <v>0</v>
      </c>
      <c r="Q2032" s="341">
        <v>0</v>
      </c>
      <c r="R2032" s="341">
        <v>0</v>
      </c>
      <c r="S2032" s="341">
        <v>0</v>
      </c>
      <c r="T2032" s="341">
        <v>0</v>
      </c>
      <c r="U2032" s="341">
        <v>0</v>
      </c>
      <c r="V2032" s="341">
        <v>0</v>
      </c>
      <c r="W2032" s="341">
        <v>0</v>
      </c>
    </row>
    <row r="2033" spans="1:23" x14ac:dyDescent="0.2">
      <c r="A2033" s="284"/>
      <c r="B2033" s="303"/>
      <c r="C2033" s="277"/>
      <c r="D2033" s="277"/>
      <c r="E2033" s="277"/>
      <c r="F2033" s="277"/>
      <c r="G2033" s="277"/>
      <c r="H2033" s="277"/>
      <c r="I2033" s="277"/>
      <c r="J2033" s="277"/>
      <c r="K2033" s="277"/>
      <c r="L2033" s="277"/>
      <c r="M2033" s="277"/>
      <c r="N2033" s="277"/>
      <c r="O2033" s="277"/>
      <c r="P2033" s="277"/>
      <c r="Q2033" s="277"/>
      <c r="R2033" s="277"/>
      <c r="S2033" s="277"/>
      <c r="T2033" s="277"/>
      <c r="U2033" s="277"/>
      <c r="V2033" s="277"/>
      <c r="W2033" s="277"/>
    </row>
    <row r="2034" spans="1:23" x14ac:dyDescent="0.2">
      <c r="A2034" s="284" t="s">
        <v>200</v>
      </c>
      <c r="B2034" s="303"/>
      <c r="C2034" s="277"/>
      <c r="D2034" s="341">
        <v>0</v>
      </c>
      <c r="E2034" s="341">
        <v>0</v>
      </c>
      <c r="F2034" s="341">
        <v>0</v>
      </c>
      <c r="G2034" s="341">
        <v>0</v>
      </c>
      <c r="H2034" s="341">
        <v>0</v>
      </c>
      <c r="I2034" s="341">
        <v>0</v>
      </c>
      <c r="J2034" s="341">
        <v>0</v>
      </c>
      <c r="K2034" s="341">
        <v>0</v>
      </c>
      <c r="L2034" s="341">
        <v>0</v>
      </c>
      <c r="M2034" s="341">
        <v>0</v>
      </c>
      <c r="N2034" s="341">
        <v>0</v>
      </c>
      <c r="O2034" s="341">
        <v>0</v>
      </c>
      <c r="P2034" s="341">
        <v>0</v>
      </c>
      <c r="Q2034" s="341">
        <v>0</v>
      </c>
      <c r="R2034" s="341">
        <v>0</v>
      </c>
      <c r="S2034" s="341">
        <v>0</v>
      </c>
      <c r="T2034" s="341">
        <v>0</v>
      </c>
      <c r="U2034" s="341">
        <v>0</v>
      </c>
      <c r="V2034" s="341">
        <v>0</v>
      </c>
      <c r="W2034" s="341">
        <v>0</v>
      </c>
    </row>
    <row r="2035" spans="1:23" x14ac:dyDescent="0.2">
      <c r="A2035" s="277"/>
      <c r="B2035" s="303"/>
      <c r="C2035" s="277"/>
      <c r="D2035" s="277"/>
      <c r="E2035" s="277"/>
      <c r="F2035" s="277"/>
      <c r="G2035" s="277"/>
      <c r="H2035" s="277"/>
      <c r="I2035" s="277"/>
      <c r="J2035" s="277"/>
      <c r="K2035" s="277"/>
      <c r="L2035" s="277"/>
      <c r="M2035" s="277"/>
      <c r="N2035" s="277"/>
      <c r="O2035" s="277"/>
      <c r="P2035" s="277"/>
      <c r="Q2035" s="277"/>
      <c r="R2035" s="277"/>
      <c r="S2035" s="277"/>
      <c r="T2035" s="277"/>
      <c r="U2035" s="277"/>
      <c r="V2035" s="277"/>
      <c r="W2035" s="277"/>
    </row>
    <row r="2036" spans="1:23" x14ac:dyDescent="0.2">
      <c r="A2036" s="277"/>
      <c r="B2036" s="303"/>
      <c r="C2036" s="277"/>
      <c r="D2036" s="277"/>
      <c r="E2036" s="277"/>
      <c r="F2036" s="277"/>
      <c r="G2036" s="277"/>
      <c r="H2036" s="277"/>
      <c r="I2036" s="277"/>
      <c r="J2036" s="277"/>
      <c r="K2036" s="277"/>
      <c r="L2036" s="277"/>
      <c r="M2036" s="277"/>
      <c r="N2036" s="277"/>
      <c r="O2036" s="277"/>
      <c r="P2036" s="277"/>
      <c r="Q2036" s="277"/>
      <c r="R2036" s="277"/>
      <c r="S2036" s="277"/>
      <c r="T2036" s="277"/>
      <c r="U2036" s="277"/>
      <c r="V2036" s="277"/>
      <c r="W2036" s="277"/>
    </row>
    <row r="2037" spans="1:23" x14ac:dyDescent="0.2">
      <c r="A2037" s="284" t="s">
        <v>202</v>
      </c>
      <c r="B2037" s="279"/>
      <c r="C2037" s="278"/>
      <c r="D2037" s="435">
        <v>3943597.5303158183</v>
      </c>
      <c r="E2037" s="435">
        <v>2648972.2098703501</v>
      </c>
      <c r="F2037" s="435">
        <v>2710885.2933397568</v>
      </c>
      <c r="G2037" s="435">
        <v>2349116.9978122376</v>
      </c>
      <c r="H2037" s="435">
        <v>2223993.1137570585</v>
      </c>
      <c r="I2037" s="435">
        <v>2159953.0594177484</v>
      </c>
      <c r="J2037" s="435">
        <v>1977701.7676398586</v>
      </c>
      <c r="K2037" s="435">
        <v>2150814.0823638043</v>
      </c>
      <c r="L2037" s="435">
        <v>2203754.0924586779</v>
      </c>
      <c r="M2037" s="435">
        <v>2244141.731368185</v>
      </c>
      <c r="N2037" s="435">
        <v>1719755.5498494869</v>
      </c>
      <c r="O2037" s="435">
        <v>2034931.226902893</v>
      </c>
      <c r="P2037" s="435">
        <v>1895441.7338499294</v>
      </c>
      <c r="Q2037" s="435">
        <v>2394470.4769820855</v>
      </c>
      <c r="R2037" s="435">
        <v>2046370.4527615698</v>
      </c>
      <c r="S2037" s="435">
        <v>1631220.3550309669</v>
      </c>
      <c r="T2037" s="435">
        <v>1780708.1138082258</v>
      </c>
      <c r="U2037" s="435">
        <v>2084738.8028067918</v>
      </c>
      <c r="V2037" s="435">
        <v>1837571.352620729</v>
      </c>
      <c r="W2037" s="435">
        <v>12085963.974698318</v>
      </c>
    </row>
    <row r="2038" spans="1:23" x14ac:dyDescent="0.2">
      <c r="A2038" s="9"/>
      <c r="B2038" s="6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</row>
    <row r="2039" spans="1:23" x14ac:dyDescent="0.2">
      <c r="A2039" s="370"/>
      <c r="B2039" s="360"/>
      <c r="C2039" s="370"/>
      <c r="D2039" s="370"/>
      <c r="E2039" s="370"/>
      <c r="F2039" s="370"/>
      <c r="G2039" s="370"/>
      <c r="H2039" s="370"/>
      <c r="I2039" s="370"/>
      <c r="J2039" s="370"/>
      <c r="K2039" s="370"/>
      <c r="L2039" s="370"/>
      <c r="M2039" s="370"/>
      <c r="N2039" s="370"/>
      <c r="O2039" s="370"/>
      <c r="P2039" s="370"/>
      <c r="Q2039" s="370"/>
      <c r="R2039" s="370"/>
      <c r="S2039" s="370"/>
      <c r="T2039" s="370"/>
      <c r="U2039" s="370"/>
      <c r="V2039" s="370"/>
      <c r="W2039" s="370"/>
    </row>
    <row r="2040" spans="1:23" x14ac:dyDescent="0.2">
      <c r="A2040" s="370"/>
      <c r="B2040" s="360"/>
      <c r="C2040" s="370"/>
      <c r="D2040" s="370"/>
      <c r="E2040" s="370"/>
      <c r="F2040" s="370"/>
      <c r="G2040" s="370"/>
      <c r="H2040" s="370"/>
      <c r="I2040" s="370"/>
      <c r="J2040" s="370"/>
      <c r="K2040" s="370"/>
      <c r="L2040" s="370"/>
      <c r="M2040" s="370"/>
      <c r="N2040" s="370"/>
      <c r="O2040" s="370"/>
      <c r="P2040" s="370"/>
      <c r="Q2040" s="370"/>
      <c r="R2040" s="370"/>
      <c r="S2040" s="370"/>
      <c r="T2040" s="370"/>
      <c r="U2040" s="370"/>
      <c r="V2040" s="370"/>
      <c r="W2040" s="370"/>
    </row>
    <row r="2041" spans="1:23" x14ac:dyDescent="0.2">
      <c r="A2041" s="292"/>
      <c r="B2041" s="373"/>
      <c r="C2041" s="280"/>
      <c r="D2041" s="374"/>
      <c r="E2041" s="374"/>
      <c r="F2041" s="374"/>
      <c r="G2041" s="374"/>
      <c r="H2041" s="374"/>
      <c r="I2041" s="374"/>
      <c r="J2041" s="374"/>
      <c r="K2041" s="374"/>
      <c r="L2041" s="374"/>
      <c r="M2041" s="374"/>
      <c r="N2041" s="374"/>
      <c r="O2041" s="374"/>
      <c r="P2041" s="374"/>
      <c r="Q2041" s="374"/>
      <c r="R2041" s="374"/>
      <c r="S2041" s="374"/>
      <c r="T2041" s="374"/>
      <c r="U2041" s="374"/>
      <c r="V2041" s="374"/>
      <c r="W2041" s="374"/>
    </row>
    <row r="2042" spans="1:23" x14ac:dyDescent="0.2">
      <c r="B2042" s="23"/>
    </row>
    <row r="2046" spans="1:23" ht="15.75" x14ac:dyDescent="0.25">
      <c r="A2046" s="302" t="s">
        <v>29</v>
      </c>
      <c r="B2046" s="305" t="s">
        <v>84</v>
      </c>
      <c r="C2046" s="306">
        <v>2000</v>
      </c>
      <c r="D2046" s="306">
        <v>2001</v>
      </c>
      <c r="E2046" s="306">
        <v>2002</v>
      </c>
      <c r="F2046" s="306">
        <v>2003</v>
      </c>
      <c r="G2046" s="306">
        <v>2004</v>
      </c>
      <c r="H2046" s="306">
        <v>2005</v>
      </c>
      <c r="I2046" s="306">
        <v>2006</v>
      </c>
      <c r="J2046" s="306">
        <v>2007</v>
      </c>
      <c r="K2046" s="306">
        <v>2008</v>
      </c>
      <c r="L2046" s="306">
        <v>2009</v>
      </c>
      <c r="M2046" s="306">
        <v>2010</v>
      </c>
      <c r="N2046" s="306">
        <v>2011</v>
      </c>
      <c r="O2046" s="306">
        <v>2012</v>
      </c>
      <c r="P2046" s="306">
        <v>2013</v>
      </c>
      <c r="Q2046" s="306">
        <v>2014</v>
      </c>
      <c r="R2046" s="306">
        <v>2015</v>
      </c>
      <c r="S2046" s="306">
        <v>2016</v>
      </c>
      <c r="T2046" s="306">
        <v>2017</v>
      </c>
      <c r="U2046" s="306">
        <v>2018</v>
      </c>
      <c r="V2046" s="306">
        <v>2019</v>
      </c>
      <c r="W2046" s="306" t="s">
        <v>154</v>
      </c>
    </row>
    <row r="2047" spans="1:23" x14ac:dyDescent="0.2">
      <c r="A2047" s="302" t="s">
        <v>26</v>
      </c>
      <c r="B2047" s="303">
        <v>83.433000000000007</v>
      </c>
      <c r="C2047" s="308"/>
      <c r="D2047" s="308"/>
      <c r="E2047" s="308"/>
      <c r="F2047" s="308"/>
      <c r="G2047" s="308"/>
      <c r="H2047" s="308"/>
      <c r="I2047" s="308"/>
      <c r="J2047" s="308"/>
      <c r="K2047" s="308"/>
      <c r="L2047" s="308"/>
      <c r="M2047" s="308"/>
      <c r="N2047" s="308"/>
      <c r="O2047" s="308"/>
      <c r="P2047" s="308"/>
      <c r="Q2047" s="308"/>
      <c r="R2047" s="308"/>
      <c r="S2047" s="308"/>
      <c r="T2047" s="308"/>
      <c r="U2047" s="308"/>
      <c r="V2047" s="308"/>
      <c r="W2047" s="308"/>
    </row>
    <row r="2048" spans="1:23" x14ac:dyDescent="0.2">
      <c r="A2048" s="9"/>
      <c r="B2048" s="309" t="s">
        <v>27</v>
      </c>
      <c r="C2048" s="443">
        <v>0</v>
      </c>
      <c r="D2048" s="404">
        <v>8202175.3914196901</v>
      </c>
      <c r="E2048" s="404">
        <v>7219125.1955624679</v>
      </c>
      <c r="F2048" s="404">
        <v>6975429.9289103542</v>
      </c>
      <c r="G2048" s="404">
        <v>6698801.5398195479</v>
      </c>
      <c r="H2048" s="404">
        <v>6877286.9012491489</v>
      </c>
      <c r="I2048" s="404">
        <v>7875918.1611640118</v>
      </c>
      <c r="J2048" s="404">
        <v>9532366.5123401303</v>
      </c>
      <c r="K2048" s="404">
        <v>12117113.010367623</v>
      </c>
      <c r="L2048" s="404">
        <v>12861496.066195816</v>
      </c>
      <c r="M2048" s="404">
        <v>11066696.097163459</v>
      </c>
      <c r="N2048" s="404">
        <v>10846097.9980071</v>
      </c>
      <c r="O2048" s="404">
        <v>10837165.461976836</v>
      </c>
      <c r="P2048" s="404">
        <v>10010041.080739968</v>
      </c>
      <c r="Q2048" s="404">
        <v>11607660.599296786</v>
      </c>
      <c r="R2048" s="404">
        <v>10822858.676266527</v>
      </c>
      <c r="S2048" s="404">
        <v>10915874.081664842</v>
      </c>
      <c r="T2048" s="404">
        <v>10065899.077409105</v>
      </c>
      <c r="U2048" s="404">
        <v>11407206.886303719</v>
      </c>
      <c r="V2048" s="404">
        <v>12342873.484122811</v>
      </c>
      <c r="W2048" s="327"/>
    </row>
    <row r="2049" spans="1:23" x14ac:dyDescent="0.2">
      <c r="A2049" s="9"/>
      <c r="B2049" s="309" t="s">
        <v>20</v>
      </c>
      <c r="C2049" s="443">
        <v>0</v>
      </c>
      <c r="D2049" s="404">
        <v>-2443747.1509538759</v>
      </c>
      <c r="E2049" s="404">
        <v>-2991581.0524151698</v>
      </c>
      <c r="F2049" s="404">
        <v>-3235039.6998927929</v>
      </c>
      <c r="G2049" s="404">
        <v>-3544191.9755981402</v>
      </c>
      <c r="H2049" s="404">
        <v>-3794796.9656743901</v>
      </c>
      <c r="I2049" s="404">
        <v>-4944426.379624729</v>
      </c>
      <c r="J2049" s="404">
        <v>-6219182.8226861553</v>
      </c>
      <c r="K2049" s="404">
        <v>-7723082.376592651</v>
      </c>
      <c r="L2049" s="404">
        <v>-8284094.1225295514</v>
      </c>
      <c r="M2049" s="404">
        <v>-6482347.8668211428</v>
      </c>
      <c r="N2049" s="404">
        <v>-7112818.1669523586</v>
      </c>
      <c r="O2049" s="404">
        <v>-6598867.186659608</v>
      </c>
      <c r="P2049" s="404">
        <v>-6033835.2006924925</v>
      </c>
      <c r="Q2049" s="404">
        <v>-6785562.7186127715</v>
      </c>
      <c r="R2049" s="404">
        <v>-6609183.756585882</v>
      </c>
      <c r="S2049" s="404">
        <v>-7384920.3865921488</v>
      </c>
      <c r="T2049" s="404">
        <v>-6300625.6205580141</v>
      </c>
      <c r="U2049" s="404">
        <v>-7074580.3602302261</v>
      </c>
      <c r="V2049" s="404">
        <v>-8373327.4147212766</v>
      </c>
      <c r="W2049" s="327"/>
    </row>
    <row r="2050" spans="1:23" x14ac:dyDescent="0.2">
      <c r="A2050" s="9"/>
      <c r="B2050" s="309" t="s">
        <v>31</v>
      </c>
      <c r="C2050" s="443">
        <v>0</v>
      </c>
      <c r="D2050" s="404">
        <v>-60965.996027048721</v>
      </c>
      <c r="E2050" s="404">
        <v>-86226.881744492581</v>
      </c>
      <c r="F2050" s="404">
        <v>-98920.092928497703</v>
      </c>
      <c r="G2050" s="404">
        <v>-108302.35780039914</v>
      </c>
      <c r="H2050" s="404">
        <v>-115803.71590397664</v>
      </c>
      <c r="I2050" s="404">
        <v>-156864.88597871904</v>
      </c>
      <c r="J2050" s="404">
        <v>-192371.5306182226</v>
      </c>
      <c r="K2050" s="404">
        <v>-262154.68285510957</v>
      </c>
      <c r="L2050" s="404">
        <v>-274514.62646256847</v>
      </c>
      <c r="M2050" s="404">
        <v>-209035.46436537022</v>
      </c>
      <c r="N2050" s="404">
        <v>-234968.36063169062</v>
      </c>
      <c r="O2050" s="404">
        <v>-219679.09216769069</v>
      </c>
      <c r="P2050" s="404">
        <v>-198816.52750715817</v>
      </c>
      <c r="Q2050" s="404">
        <v>-222370.27289478772</v>
      </c>
      <c r="R2050" s="404">
        <v>-204501.47078899431</v>
      </c>
      <c r="S2050" s="404">
        <v>-224078.64365781232</v>
      </c>
      <c r="T2050" s="404">
        <v>-191744.26729954788</v>
      </c>
      <c r="U2050" s="404">
        <v>-202409.85965082719</v>
      </c>
      <c r="V2050" s="404">
        <v>-245710.99012228646</v>
      </c>
      <c r="W2050" s="327"/>
    </row>
    <row r="2051" spans="1:23" x14ac:dyDescent="0.2">
      <c r="A2051" s="9"/>
      <c r="B2051" s="309" t="s">
        <v>32</v>
      </c>
      <c r="C2051" s="443">
        <v>0</v>
      </c>
      <c r="D2051" s="404">
        <v>0</v>
      </c>
      <c r="E2051" s="404">
        <v>0</v>
      </c>
      <c r="F2051" s="404">
        <v>0</v>
      </c>
      <c r="G2051" s="404">
        <v>0</v>
      </c>
      <c r="H2051" s="404">
        <v>0</v>
      </c>
      <c r="I2051" s="404">
        <v>93418.023327088376</v>
      </c>
      <c r="J2051" s="404">
        <v>103546.416256845</v>
      </c>
      <c r="K2051" s="404">
        <v>114259.16746337658</v>
      </c>
      <c r="L2051" s="404">
        <v>125495.63771574097</v>
      </c>
      <c r="M2051" s="404">
        <v>139570.44415525725</v>
      </c>
      <c r="N2051" s="404">
        <v>153747.39907892016</v>
      </c>
      <c r="O2051" s="404">
        <v>170347.50869303249</v>
      </c>
      <c r="P2051" s="404">
        <v>191004.36881418826</v>
      </c>
      <c r="Q2051" s="404">
        <v>212617.66815241956</v>
      </c>
      <c r="R2051" s="404">
        <v>235515.42537247401</v>
      </c>
      <c r="S2051" s="404">
        <v>258595.6474313915</v>
      </c>
      <c r="T2051" s="404">
        <v>254057.61645580616</v>
      </c>
      <c r="U2051" s="404">
        <v>217360.03222342019</v>
      </c>
      <c r="V2051" s="404">
        <v>225362.25124239805</v>
      </c>
      <c r="W2051" s="327"/>
    </row>
    <row r="2052" spans="1:23" ht="13.5" thickBot="1" x14ac:dyDescent="0.25">
      <c r="A2052" s="9"/>
      <c r="B2052" s="310" t="s">
        <v>33</v>
      </c>
      <c r="C2052" s="444">
        <v>0</v>
      </c>
      <c r="D2052" s="406">
        <v>0</v>
      </c>
      <c r="E2052" s="406">
        <v>0</v>
      </c>
      <c r="F2052" s="406">
        <v>0</v>
      </c>
      <c r="G2052" s="406">
        <v>0</v>
      </c>
      <c r="H2052" s="406">
        <v>0</v>
      </c>
      <c r="I2052" s="406">
        <v>0</v>
      </c>
      <c r="J2052" s="406">
        <v>0</v>
      </c>
      <c r="K2052" s="406">
        <v>0</v>
      </c>
      <c r="L2052" s="406">
        <v>0</v>
      </c>
      <c r="M2052" s="406">
        <v>0</v>
      </c>
      <c r="N2052" s="406">
        <v>0</v>
      </c>
      <c r="O2052" s="406">
        <v>0</v>
      </c>
      <c r="P2052" s="406">
        <v>0</v>
      </c>
      <c r="Q2052" s="406">
        <v>0</v>
      </c>
      <c r="R2052" s="406">
        <v>0</v>
      </c>
      <c r="S2052" s="406">
        <v>0</v>
      </c>
      <c r="T2052" s="406">
        <v>0</v>
      </c>
      <c r="U2052" s="406">
        <v>0</v>
      </c>
      <c r="V2052" s="406">
        <v>0</v>
      </c>
      <c r="W2052" s="327"/>
    </row>
    <row r="2053" spans="1:23" ht="13.5" thickTop="1" x14ac:dyDescent="0.2">
      <c r="A2053" s="9"/>
      <c r="B2053" s="311" t="s">
        <v>38</v>
      </c>
      <c r="C2053" s="445">
        <v>0</v>
      </c>
      <c r="D2053" s="408">
        <v>5697462.2444387656</v>
      </c>
      <c r="E2053" s="408">
        <v>4141317.2614028053</v>
      </c>
      <c r="F2053" s="408">
        <v>3641470.1360890637</v>
      </c>
      <c r="G2053" s="408">
        <v>3046307.2064210088</v>
      </c>
      <c r="H2053" s="408">
        <v>2966686.2196707823</v>
      </c>
      <c r="I2053" s="408">
        <v>2868044.918887652</v>
      </c>
      <c r="J2053" s="408">
        <v>3224358.5752925975</v>
      </c>
      <c r="K2053" s="408">
        <v>4246135.1183832381</v>
      </c>
      <c r="L2053" s="408">
        <v>4428382.9549194369</v>
      </c>
      <c r="M2053" s="408">
        <v>4514883.2101322031</v>
      </c>
      <c r="N2053" s="408">
        <v>3652058.8695019707</v>
      </c>
      <c r="O2053" s="408">
        <v>4188966.691842569</v>
      </c>
      <c r="P2053" s="408">
        <v>3968393.721354505</v>
      </c>
      <c r="Q2053" s="408">
        <v>4812345.2759416467</v>
      </c>
      <c r="R2053" s="408">
        <v>4244688.8742641248</v>
      </c>
      <c r="S2053" s="408">
        <v>3565470.6988462717</v>
      </c>
      <c r="T2053" s="408">
        <v>3827586.8060073494</v>
      </c>
      <c r="U2053" s="408">
        <v>4347576.6986460863</v>
      </c>
      <c r="V2053" s="408">
        <v>3949197.330521646</v>
      </c>
      <c r="W2053" s="327"/>
    </row>
    <row r="2054" spans="1:23" x14ac:dyDescent="0.2">
      <c r="A2054" s="9"/>
      <c r="B2054" s="309" t="s">
        <v>34</v>
      </c>
      <c r="C2054" s="443">
        <v>0</v>
      </c>
      <c r="D2054" s="404">
        <v>-355535.16277078062</v>
      </c>
      <c r="E2054" s="404">
        <v>-362645.86602619622</v>
      </c>
      <c r="F2054" s="404">
        <v>-369898.78334672016</v>
      </c>
      <c r="G2054" s="404">
        <v>-377296.75901365455</v>
      </c>
      <c r="H2054" s="404">
        <v>-384842.69419392763</v>
      </c>
      <c r="I2054" s="404">
        <v>-392539.54807780619</v>
      </c>
      <c r="J2054" s="404">
        <v>-400390.33903936233</v>
      </c>
      <c r="K2054" s="404">
        <v>-408398.14582014957</v>
      </c>
      <c r="L2054" s="404">
        <v>-416566.10873655259</v>
      </c>
      <c r="M2054" s="404">
        <v>-424897.43091128365</v>
      </c>
      <c r="N2054" s="404">
        <v>-433395.37952950934</v>
      </c>
      <c r="O2054" s="404">
        <v>-442063.28712009953</v>
      </c>
      <c r="P2054" s="404">
        <v>-450904.55286250153</v>
      </c>
      <c r="Q2054" s="404">
        <v>-459922.64391975157</v>
      </c>
      <c r="R2054" s="404">
        <v>-469121.09679814661</v>
      </c>
      <c r="S2054" s="404">
        <v>-478503.51873410953</v>
      </c>
      <c r="T2054" s="404">
        <v>-488073.58910879173</v>
      </c>
      <c r="U2054" s="404">
        <v>-497835.06089096755</v>
      </c>
      <c r="V2054" s="404">
        <v>-507791.7621087869</v>
      </c>
      <c r="W2054" s="327"/>
    </row>
    <row r="2055" spans="1:23" x14ac:dyDescent="0.2">
      <c r="A2055" s="9"/>
      <c r="B2055" s="309" t="s">
        <v>35</v>
      </c>
      <c r="C2055" s="443">
        <v>0</v>
      </c>
      <c r="D2055" s="404">
        <v>-171612.57929687499</v>
      </c>
      <c r="E2055" s="404">
        <v>-171612.57929687499</v>
      </c>
      <c r="F2055" s="404">
        <v>-171612.57929687499</v>
      </c>
      <c r="G2055" s="404">
        <v>-171612.57929687499</v>
      </c>
      <c r="H2055" s="404">
        <v>-171612.57929687499</v>
      </c>
      <c r="I2055" s="404">
        <v>-171612.57929687499</v>
      </c>
      <c r="J2055" s="404">
        <v>-171612.57929687499</v>
      </c>
      <c r="K2055" s="404">
        <v>-171612.57929687499</v>
      </c>
      <c r="L2055" s="404">
        <v>-171612.57929687499</v>
      </c>
      <c r="M2055" s="404">
        <v>-171612.57929687499</v>
      </c>
      <c r="N2055" s="404">
        <v>-171612.57929687499</v>
      </c>
      <c r="O2055" s="404">
        <v>-171612.57929687499</v>
      </c>
      <c r="P2055" s="404">
        <v>-171612.57929687499</v>
      </c>
      <c r="Q2055" s="404">
        <v>-171612.57929687499</v>
      </c>
      <c r="R2055" s="404">
        <v>-171612.57929687499</v>
      </c>
      <c r="S2055" s="404">
        <v>-171612.57929687499</v>
      </c>
      <c r="T2055" s="404">
        <v>-171612.57929687499</v>
      </c>
      <c r="U2055" s="404">
        <v>-171612.57929687499</v>
      </c>
      <c r="V2055" s="404">
        <v>-171612.57929687499</v>
      </c>
      <c r="W2055" s="327"/>
    </row>
    <row r="2056" spans="1:23" ht="13.5" thickBot="1" x14ac:dyDescent="0.25">
      <c r="A2056" s="9"/>
      <c r="B2056" s="310" t="s">
        <v>36</v>
      </c>
      <c r="C2056" s="444">
        <v>0</v>
      </c>
      <c r="D2056" s="406">
        <v>-34547.1907058574</v>
      </c>
      <c r="E2056" s="406">
        <v>-35276.136429751197</v>
      </c>
      <c r="F2056" s="406">
        <v>-36048.6838175628</v>
      </c>
      <c r="G2056" s="406">
        <v>-36863.384071839399</v>
      </c>
      <c r="H2056" s="406">
        <v>-37740.7326127493</v>
      </c>
      <c r="I2056" s="406">
        <v>-38686.5191661684</v>
      </c>
      <c r="J2056" s="406">
        <v>-39646.052617166402</v>
      </c>
      <c r="K2056" s="406">
        <v>-40649.576140416597</v>
      </c>
      <c r="L2056" s="406">
        <v>-41653.6206710849</v>
      </c>
      <c r="M2056" s="406">
        <v>-42715.787998197498</v>
      </c>
      <c r="N2056" s="406">
        <v>-43749.510067754003</v>
      </c>
      <c r="O2056" s="406">
        <v>-44851.997721461303</v>
      </c>
      <c r="P2056" s="406">
        <v>-45991.238463586298</v>
      </c>
      <c r="Q2056" s="406">
        <v>-47141.019425175997</v>
      </c>
      <c r="R2056" s="406">
        <v>-48324.259012747898</v>
      </c>
      <c r="S2056" s="406">
        <v>-49532.365488066702</v>
      </c>
      <c r="T2056" s="406">
        <v>-50760.768152170604</v>
      </c>
      <c r="U2056" s="406">
        <v>-52034.863432790196</v>
      </c>
      <c r="V2056" s="406">
        <v>-53340.938504953301</v>
      </c>
      <c r="W2056" s="327"/>
    </row>
    <row r="2057" spans="1:23" ht="13.5" thickTop="1" x14ac:dyDescent="0.2">
      <c r="A2057" s="9"/>
      <c r="B2057" s="311" t="s">
        <v>220</v>
      </c>
      <c r="C2057" s="446">
        <v>0</v>
      </c>
      <c r="D2057" s="410">
        <v>5135767.3116652528</v>
      </c>
      <c r="E2057" s="410">
        <v>3571782.6796499831</v>
      </c>
      <c r="F2057" s="410">
        <v>3063910.0896279062</v>
      </c>
      <c r="G2057" s="410">
        <v>2460534.4840386398</v>
      </c>
      <c r="H2057" s="410">
        <v>2372490.2135672309</v>
      </c>
      <c r="I2057" s="410">
        <v>2265206.2723468025</v>
      </c>
      <c r="J2057" s="410">
        <v>2612709.604339194</v>
      </c>
      <c r="K2057" s="410">
        <v>3625474.8171257968</v>
      </c>
      <c r="L2057" s="410">
        <v>3798550.6462149243</v>
      </c>
      <c r="M2057" s="410">
        <v>3875657.4119258472</v>
      </c>
      <c r="N2057" s="410">
        <v>3003301.4006078327</v>
      </c>
      <c r="O2057" s="410">
        <v>3530438.8277041335</v>
      </c>
      <c r="P2057" s="410">
        <v>3299885.3507315423</v>
      </c>
      <c r="Q2057" s="410">
        <v>4133669.0332998438</v>
      </c>
      <c r="R2057" s="410">
        <v>3555630.9391563553</v>
      </c>
      <c r="S2057" s="410">
        <v>2865822.2353272205</v>
      </c>
      <c r="T2057" s="410">
        <v>3117139.8694495121</v>
      </c>
      <c r="U2057" s="410">
        <v>3626094.1950254538</v>
      </c>
      <c r="V2057" s="410">
        <v>3216452.0506110308</v>
      </c>
      <c r="W2057" s="327"/>
    </row>
    <row r="2058" spans="1:23" x14ac:dyDescent="0.2">
      <c r="A2058" s="9"/>
      <c r="B2058" s="309" t="s">
        <v>37</v>
      </c>
      <c r="C2058" s="443">
        <v>0</v>
      </c>
      <c r="D2058" s="404">
        <v>-2205815.0036666663</v>
      </c>
      <c r="E2058" s="404">
        <v>-2222106.2867557998</v>
      </c>
      <c r="F2058" s="404">
        <v>-2218245.9140550336</v>
      </c>
      <c r="G2058" s="404">
        <v>-2220404.7699058335</v>
      </c>
      <c r="H2058" s="404">
        <v>-2219370.1278626998</v>
      </c>
      <c r="I2058" s="404">
        <v>-2226838.6718359864</v>
      </c>
      <c r="J2058" s="404">
        <v>-1256795.6851576173</v>
      </c>
      <c r="K2058" s="404">
        <v>-177461.22997631613</v>
      </c>
      <c r="L2058" s="404">
        <v>-58419.559668315262</v>
      </c>
      <c r="M2058" s="404">
        <v>-51284.26516026906</v>
      </c>
      <c r="N2058" s="404">
        <v>-56410.562440250484</v>
      </c>
      <c r="O2058" s="404">
        <v>-61434.579799051658</v>
      </c>
      <c r="P2058" s="404">
        <v>-66566.854921797538</v>
      </c>
      <c r="Q2058" s="404">
        <v>-71729.754964892476</v>
      </c>
      <c r="R2058" s="404">
        <v>-77051.398675946912</v>
      </c>
      <c r="S2058" s="404">
        <v>-82659.210031666327</v>
      </c>
      <c r="T2058" s="404">
        <v>-88435.255728057295</v>
      </c>
      <c r="U2058" s="404">
        <v>-94384.582795340015</v>
      </c>
      <c r="V2058" s="404">
        <v>-100512.38967464124</v>
      </c>
      <c r="W2058" s="327"/>
    </row>
    <row r="2059" spans="1:23" ht="13.5" thickBot="1" x14ac:dyDescent="0.25">
      <c r="A2059" s="9"/>
      <c r="B2059" s="310" t="s">
        <v>221</v>
      </c>
      <c r="C2059" s="444">
        <v>0</v>
      </c>
      <c r="D2059" s="406">
        <v>-1171980.9231994345</v>
      </c>
      <c r="E2059" s="406">
        <v>-539870.55715767329</v>
      </c>
      <c r="F2059" s="406">
        <v>-338265.67022914905</v>
      </c>
      <c r="G2059" s="406">
        <v>-96051.885653122517</v>
      </c>
      <c r="H2059" s="406">
        <v>-61248.034281812426</v>
      </c>
      <c r="I2059" s="406">
        <v>-15347.040204326437</v>
      </c>
      <c r="J2059" s="406">
        <v>-542365.56767263066</v>
      </c>
      <c r="K2059" s="406">
        <v>-1379205.4348597925</v>
      </c>
      <c r="L2059" s="406">
        <v>-1496052.4346186437</v>
      </c>
      <c r="M2059" s="406">
        <v>-1529749.2587062314</v>
      </c>
      <c r="N2059" s="406">
        <v>-1178756.335267033</v>
      </c>
      <c r="O2059" s="406">
        <v>-1387601.6991620327</v>
      </c>
      <c r="P2059" s="406">
        <v>-1293327.398323898</v>
      </c>
      <c r="Q2059" s="406">
        <v>-1624775.7113339808</v>
      </c>
      <c r="R2059" s="406">
        <v>-1391431.8161921634</v>
      </c>
      <c r="S2059" s="406">
        <v>-1113265.2101182218</v>
      </c>
      <c r="T2059" s="406">
        <v>-1211481.845488582</v>
      </c>
      <c r="U2059" s="406">
        <v>-1412683.8448920455</v>
      </c>
      <c r="V2059" s="406">
        <v>-1246375.8643745559</v>
      </c>
      <c r="W2059" s="327"/>
    </row>
    <row r="2060" spans="1:23" ht="13.5" thickTop="1" x14ac:dyDescent="0.2">
      <c r="A2060" s="9"/>
      <c r="B2060" s="311" t="s">
        <v>183</v>
      </c>
      <c r="C2060" s="446">
        <v>0</v>
      </c>
      <c r="D2060" s="410">
        <v>1757971.3847991519</v>
      </c>
      <c r="E2060" s="410">
        <v>809805.83573650999</v>
      </c>
      <c r="F2060" s="410">
        <v>507398.50534372358</v>
      </c>
      <c r="G2060" s="410">
        <v>144077.82847968378</v>
      </c>
      <c r="H2060" s="410">
        <v>91872.051422718621</v>
      </c>
      <c r="I2060" s="410">
        <v>23020.560306489653</v>
      </c>
      <c r="J2060" s="410">
        <v>813548.35150894604</v>
      </c>
      <c r="K2060" s="410">
        <v>2068808.1522896884</v>
      </c>
      <c r="L2060" s="410">
        <v>2244078.6519279657</v>
      </c>
      <c r="M2060" s="410">
        <v>2294623.8880593469</v>
      </c>
      <c r="N2060" s="410">
        <v>1768134.5029005492</v>
      </c>
      <c r="O2060" s="410">
        <v>2081402.5487430489</v>
      </c>
      <c r="P2060" s="410">
        <v>1939991.0974858466</v>
      </c>
      <c r="Q2060" s="410">
        <v>2437163.5670009707</v>
      </c>
      <c r="R2060" s="410">
        <v>2087147.724288245</v>
      </c>
      <c r="S2060" s="410">
        <v>1669897.8151773324</v>
      </c>
      <c r="T2060" s="410">
        <v>1817222.7682328729</v>
      </c>
      <c r="U2060" s="410">
        <v>2119025.7673380682</v>
      </c>
      <c r="V2060" s="410">
        <v>1869563.7965618337</v>
      </c>
      <c r="W2060" s="327"/>
    </row>
    <row r="2061" spans="1:23" x14ac:dyDescent="0.2">
      <c r="A2061" s="9"/>
      <c r="B2061" s="309" t="s">
        <v>37</v>
      </c>
      <c r="C2061" s="443">
        <v>0</v>
      </c>
      <c r="D2061" s="404">
        <v>2205815.0036666663</v>
      </c>
      <c r="E2061" s="404">
        <v>2222106.2867557998</v>
      </c>
      <c r="F2061" s="404">
        <v>2218245.9140550336</v>
      </c>
      <c r="G2061" s="404">
        <v>2220404.7699058335</v>
      </c>
      <c r="H2061" s="404">
        <v>2219370.1278626998</v>
      </c>
      <c r="I2061" s="404">
        <v>2226838.6718359864</v>
      </c>
      <c r="J2061" s="404">
        <v>1256795.6851576173</v>
      </c>
      <c r="K2061" s="404">
        <v>177461.22997631613</v>
      </c>
      <c r="L2061" s="404">
        <v>58419.559668315262</v>
      </c>
      <c r="M2061" s="404">
        <v>51284.26516026906</v>
      </c>
      <c r="N2061" s="404">
        <v>56410.562440250484</v>
      </c>
      <c r="O2061" s="404">
        <v>61434.579799051658</v>
      </c>
      <c r="P2061" s="404">
        <v>66566.854921797538</v>
      </c>
      <c r="Q2061" s="404">
        <v>71729.754964892476</v>
      </c>
      <c r="R2061" s="404">
        <v>77051.398675946912</v>
      </c>
      <c r="S2061" s="404">
        <v>82659.210031666327</v>
      </c>
      <c r="T2061" s="404">
        <v>88435.255728057295</v>
      </c>
      <c r="U2061" s="404">
        <v>94384.582795340015</v>
      </c>
      <c r="V2061" s="404">
        <v>100512.38967464124</v>
      </c>
      <c r="W2061" s="327"/>
    </row>
    <row r="2062" spans="1:23" x14ac:dyDescent="0.2">
      <c r="A2062" s="9"/>
      <c r="B2062" s="309" t="s">
        <v>39</v>
      </c>
      <c r="C2062" s="443">
        <v>0</v>
      </c>
      <c r="D2062" s="404">
        <v>-368862.32</v>
      </c>
      <c r="E2062" s="404">
        <v>-15323.09</v>
      </c>
      <c r="F2062" s="404">
        <v>-15780.83</v>
      </c>
      <c r="G2062" s="404">
        <v>-16310.09</v>
      </c>
      <c r="H2062" s="404">
        <v>-86379.108000000022</v>
      </c>
      <c r="I2062" s="404">
        <v>-88970.481240000023</v>
      </c>
      <c r="J2062" s="404">
        <v>-91639.595677200021</v>
      </c>
      <c r="K2062" s="404">
        <v>-94388.783547516025</v>
      </c>
      <c r="L2062" s="404">
        <v>-97220.447053941505</v>
      </c>
      <c r="M2062" s="404">
        <v>-100137.06046555976</v>
      </c>
      <c r="N2062" s="404">
        <v>-103141.17227952655</v>
      </c>
      <c r="O2062" s="404">
        <v>-106235.40744791235</v>
      </c>
      <c r="P2062" s="404">
        <v>-109422.46967134973</v>
      </c>
      <c r="Q2062" s="404">
        <v>-112705.14376149022</v>
      </c>
      <c r="R2062" s="404">
        <v>-116086.29807433493</v>
      </c>
      <c r="S2062" s="404">
        <v>-119568.88701656499</v>
      </c>
      <c r="T2062" s="404">
        <v>-123155.95362706194</v>
      </c>
      <c r="U2062" s="404">
        <v>-126850.63223587381</v>
      </c>
      <c r="V2062" s="404">
        <v>-130656.15120295003</v>
      </c>
      <c r="W2062" s="327"/>
    </row>
    <row r="2063" spans="1:23" ht="13.5" thickBot="1" x14ac:dyDescent="0.25">
      <c r="A2063" s="9"/>
      <c r="B2063" s="310" t="s">
        <v>40</v>
      </c>
      <c r="C2063" s="444">
        <v>0</v>
      </c>
      <c r="D2063" s="406">
        <v>0</v>
      </c>
      <c r="E2063" s="406">
        <v>0</v>
      </c>
      <c r="F2063" s="406">
        <v>0</v>
      </c>
      <c r="G2063" s="406">
        <v>0</v>
      </c>
      <c r="H2063" s="406">
        <v>0</v>
      </c>
      <c r="I2063" s="406">
        <v>0</v>
      </c>
      <c r="J2063" s="406">
        <v>0</v>
      </c>
      <c r="K2063" s="406">
        <v>0</v>
      </c>
      <c r="L2063" s="406">
        <v>0</v>
      </c>
      <c r="M2063" s="406">
        <v>0</v>
      </c>
      <c r="N2063" s="406">
        <v>0</v>
      </c>
      <c r="O2063" s="406">
        <v>0</v>
      </c>
      <c r="P2063" s="406">
        <v>0</v>
      </c>
      <c r="Q2063" s="406">
        <v>0</v>
      </c>
      <c r="R2063" s="406">
        <v>0</v>
      </c>
      <c r="S2063" s="406">
        <v>0</v>
      </c>
      <c r="T2063" s="406">
        <v>0</v>
      </c>
      <c r="U2063" s="406">
        <v>0</v>
      </c>
      <c r="V2063" s="406">
        <v>0</v>
      </c>
      <c r="W2063" s="327"/>
    </row>
    <row r="2064" spans="1:23" ht="13.5" thickTop="1" x14ac:dyDescent="0.2">
      <c r="A2064" s="9"/>
      <c r="B2064" s="309"/>
      <c r="C2064" s="447"/>
      <c r="D2064" s="327"/>
      <c r="E2064" s="327"/>
      <c r="F2064" s="327"/>
      <c r="G2064" s="327"/>
      <c r="H2064" s="327"/>
      <c r="I2064" s="327"/>
      <c r="J2064" s="327"/>
      <c r="K2064" s="327"/>
      <c r="L2064" s="327"/>
      <c r="M2064" s="327"/>
      <c r="N2064" s="327"/>
      <c r="O2064" s="327"/>
      <c r="P2064" s="327"/>
      <c r="Q2064" s="327"/>
      <c r="R2064" s="327"/>
      <c r="S2064" s="327"/>
      <c r="T2064" s="327"/>
      <c r="U2064" s="327"/>
      <c r="V2064" s="327"/>
      <c r="W2064" s="327"/>
    </row>
    <row r="2065" spans="1:23" x14ac:dyDescent="0.2">
      <c r="A2065" s="9"/>
      <c r="B2065" s="311" t="s">
        <v>233</v>
      </c>
      <c r="C2065" s="446">
        <v>0</v>
      </c>
      <c r="D2065" s="410">
        <v>3594924.0684658182</v>
      </c>
      <c r="E2065" s="410">
        <v>3016589.0324923098</v>
      </c>
      <c r="F2065" s="410">
        <v>2709863.5893987571</v>
      </c>
      <c r="G2065" s="410">
        <v>2348172.5083855176</v>
      </c>
      <c r="H2065" s="410">
        <v>2224863.0712854182</v>
      </c>
      <c r="I2065" s="410">
        <v>2160888.7509024758</v>
      </c>
      <c r="J2065" s="410">
        <v>1978704.4409893632</v>
      </c>
      <c r="K2065" s="410">
        <v>2151880.5987184886</v>
      </c>
      <c r="L2065" s="410">
        <v>2205277.7645423394</v>
      </c>
      <c r="M2065" s="410">
        <v>2245771.0927540562</v>
      </c>
      <c r="N2065" s="410">
        <v>1721403.8930612733</v>
      </c>
      <c r="O2065" s="410">
        <v>2036601.7210941883</v>
      </c>
      <c r="P2065" s="410">
        <v>1897135.4827362944</v>
      </c>
      <c r="Q2065" s="410">
        <v>2396188.178204373</v>
      </c>
      <c r="R2065" s="410">
        <v>2048112.8248898569</v>
      </c>
      <c r="S2065" s="410">
        <v>1632988.1381924336</v>
      </c>
      <c r="T2065" s="410">
        <v>1782502.0703338683</v>
      </c>
      <c r="U2065" s="410">
        <v>2086559.7178975346</v>
      </c>
      <c r="V2065" s="410">
        <v>1839420.035033525</v>
      </c>
      <c r="W2065" s="408">
        <v>12096614.572971191</v>
      </c>
    </row>
    <row r="2066" spans="1:23" x14ac:dyDescent="0.2">
      <c r="A2066" s="9"/>
      <c r="B2066" s="286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</row>
    <row r="2067" spans="1:23" x14ac:dyDescent="0.2">
      <c r="A2067" s="302" t="s">
        <v>218</v>
      </c>
      <c r="B2067" s="300" t="s">
        <v>170</v>
      </c>
      <c r="C2067" s="433">
        <v>10782420.540431323</v>
      </c>
      <c r="D2067" s="9"/>
      <c r="E2067" s="137" t="s">
        <v>219</v>
      </c>
      <c r="F2067" s="313" t="s">
        <v>170</v>
      </c>
      <c r="G2067" s="437">
        <v>10782420.540431323</v>
      </c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</row>
    <row r="2068" spans="1:23" x14ac:dyDescent="0.2">
      <c r="A2068" s="9"/>
      <c r="B2068" s="300" t="s">
        <v>180</v>
      </c>
      <c r="C2068" s="433">
        <v>9347298.4979695641</v>
      </c>
      <c r="D2068" s="9"/>
      <c r="E2068" s="315"/>
      <c r="F2068" s="313" t="s">
        <v>180</v>
      </c>
      <c r="G2068" s="437">
        <v>9347298.4979695641</v>
      </c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</row>
    <row r="2069" spans="1:23" ht="13.5" thickBot="1" x14ac:dyDescent="0.25">
      <c r="A2069" s="9"/>
      <c r="B2069" s="316" t="s">
        <v>137</v>
      </c>
      <c r="C2069" s="434">
        <v>1798084.6769361631</v>
      </c>
      <c r="D2069" s="317"/>
      <c r="E2069" s="315"/>
      <c r="F2069" s="313" t="s">
        <v>137</v>
      </c>
      <c r="G2069" s="437">
        <v>1798084.6769361631</v>
      </c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</row>
    <row r="2070" spans="1:23" ht="14.25" thickTop="1" thickBot="1" x14ac:dyDescent="0.25">
      <c r="A2070" s="9"/>
      <c r="B2070" s="300" t="s">
        <v>28</v>
      </c>
      <c r="C2070" s="432">
        <v>21927803.715337053</v>
      </c>
      <c r="D2070" s="299"/>
      <c r="E2070" s="315"/>
      <c r="F2070" s="318" t="s">
        <v>203</v>
      </c>
      <c r="G2070" s="319">
        <v>0</v>
      </c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</row>
    <row r="2071" spans="1:23" ht="13.5" thickTop="1" x14ac:dyDescent="0.2">
      <c r="A2071" s="9"/>
      <c r="B2071" s="286"/>
      <c r="C2071" s="320"/>
      <c r="D2071" s="9"/>
      <c r="E2071" s="321"/>
      <c r="F2071" s="313" t="s">
        <v>28</v>
      </c>
      <c r="G2071" s="362">
        <v>21927803.715337053</v>
      </c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</row>
    <row r="2072" spans="1:23" x14ac:dyDescent="0.2">
      <c r="A2072" s="9"/>
      <c r="B2072" s="286"/>
      <c r="C2072" s="320"/>
      <c r="D2072" s="9"/>
      <c r="E2072" s="321"/>
      <c r="F2072" s="313"/>
      <c r="G2072" s="322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</row>
    <row r="2073" spans="1:23" x14ac:dyDescent="0.2">
      <c r="A2073" s="9"/>
      <c r="B2073" s="286"/>
      <c r="C2073" s="320"/>
      <c r="D2073" s="9"/>
      <c r="E2073" s="321"/>
      <c r="F2073" s="313"/>
      <c r="G2073" s="322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</row>
    <row r="2074" spans="1:23" x14ac:dyDescent="0.2">
      <c r="A2074" s="9"/>
      <c r="B2074" s="323" t="s">
        <v>222</v>
      </c>
      <c r="C2074" s="320"/>
      <c r="D2074" s="9"/>
      <c r="E2074" s="321"/>
      <c r="F2074" s="313"/>
      <c r="G2074" s="322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</row>
    <row r="2075" spans="1:23" x14ac:dyDescent="0.2">
      <c r="A2075" s="324" t="s">
        <v>224</v>
      </c>
      <c r="B2075" s="323" t="s">
        <v>223</v>
      </c>
      <c r="C2075" s="325"/>
      <c r="D2075" s="326">
        <v>1757971.3847991519</v>
      </c>
      <c r="E2075" s="326">
        <v>809805.83573650999</v>
      </c>
      <c r="F2075" s="326">
        <v>507398.50534372358</v>
      </c>
      <c r="G2075" s="326">
        <v>144077.82847968378</v>
      </c>
      <c r="H2075" s="326">
        <v>91872.051422718621</v>
      </c>
      <c r="I2075" s="326">
        <v>23020.560306489653</v>
      </c>
      <c r="J2075" s="326">
        <v>813548.35150894604</v>
      </c>
      <c r="K2075" s="326">
        <v>2068808.1522896884</v>
      </c>
      <c r="L2075" s="326">
        <v>2244078.6519279657</v>
      </c>
      <c r="M2075" s="326">
        <v>2294623.8880593469</v>
      </c>
      <c r="N2075" s="326">
        <v>1768134.5029005492</v>
      </c>
      <c r="O2075" s="326">
        <v>2081402.5487430489</v>
      </c>
      <c r="P2075" s="326">
        <v>1939991.0974858466</v>
      </c>
      <c r="Q2075" s="326">
        <v>2437163.5670009707</v>
      </c>
      <c r="R2075" s="326">
        <v>2087147.724288245</v>
      </c>
      <c r="S2075" s="326">
        <v>1669897.8151773324</v>
      </c>
      <c r="T2075" s="326">
        <v>1817222.7682328729</v>
      </c>
      <c r="U2075" s="326">
        <v>2119025.7673380682</v>
      </c>
      <c r="V2075" s="326">
        <v>1869563.7965618337</v>
      </c>
      <c r="W2075" s="9"/>
    </row>
    <row r="2076" spans="1:23" x14ac:dyDescent="0.2">
      <c r="A2076" s="9"/>
      <c r="B2076" s="286" t="s">
        <v>225</v>
      </c>
      <c r="C2076" s="320"/>
      <c r="D2076" s="327">
        <v>1171980.9231994345</v>
      </c>
      <c r="E2076" s="327">
        <v>539870.55715767329</v>
      </c>
      <c r="F2076" s="327">
        <v>338265.67022914905</v>
      </c>
      <c r="G2076" s="327">
        <v>96051.885653122517</v>
      </c>
      <c r="H2076" s="327">
        <v>61248.034281812426</v>
      </c>
      <c r="I2076" s="327">
        <v>15347.040204326437</v>
      </c>
      <c r="J2076" s="327">
        <v>542365.56767263066</v>
      </c>
      <c r="K2076" s="327">
        <v>1379205.4348597925</v>
      </c>
      <c r="L2076" s="327">
        <v>1496052.4346186437</v>
      </c>
      <c r="M2076" s="327">
        <v>1529749.2587062314</v>
      </c>
      <c r="N2076" s="327">
        <v>1178756.335267033</v>
      </c>
      <c r="O2076" s="327">
        <v>1387601.6991620327</v>
      </c>
      <c r="P2076" s="327">
        <v>1293327.398323898</v>
      </c>
      <c r="Q2076" s="327">
        <v>1624775.7113339808</v>
      </c>
      <c r="R2076" s="327">
        <v>1391431.8161921634</v>
      </c>
      <c r="S2076" s="327">
        <v>1113265.2101182218</v>
      </c>
      <c r="T2076" s="327">
        <v>1211481.845488582</v>
      </c>
      <c r="U2076" s="327">
        <v>1412683.8448920455</v>
      </c>
      <c r="V2076" s="327">
        <v>1246375.8643745559</v>
      </c>
      <c r="W2076" s="9"/>
    </row>
    <row r="2077" spans="1:23" x14ac:dyDescent="0.2">
      <c r="A2077" s="9"/>
      <c r="B2077" s="328" t="s">
        <v>226</v>
      </c>
      <c r="C2077" s="329"/>
      <c r="D2077" s="327">
        <v>2205815.0036666663</v>
      </c>
      <c r="E2077" s="327">
        <v>2222106.2867557998</v>
      </c>
      <c r="F2077" s="327">
        <v>2218245.9140550336</v>
      </c>
      <c r="G2077" s="327">
        <v>2220404.7699058335</v>
      </c>
      <c r="H2077" s="327">
        <v>2219370.1278626998</v>
      </c>
      <c r="I2077" s="327">
        <v>2226838.6718359864</v>
      </c>
      <c r="J2077" s="327">
        <v>1256795.6851576173</v>
      </c>
      <c r="K2077" s="327">
        <v>177461.22997631613</v>
      </c>
      <c r="L2077" s="327">
        <v>58419.559668315262</v>
      </c>
      <c r="M2077" s="327">
        <v>51284.26516026906</v>
      </c>
      <c r="N2077" s="327">
        <v>56410.562440250484</v>
      </c>
      <c r="O2077" s="327">
        <v>61434.579799051658</v>
      </c>
      <c r="P2077" s="327">
        <v>66566.854921797538</v>
      </c>
      <c r="Q2077" s="327">
        <v>71729.754964892476</v>
      </c>
      <c r="R2077" s="327">
        <v>77051.398675946912</v>
      </c>
      <c r="S2077" s="327">
        <v>82659.210031666327</v>
      </c>
      <c r="T2077" s="327">
        <v>88435.255728057295</v>
      </c>
      <c r="U2077" s="327">
        <v>94384.582795340015</v>
      </c>
      <c r="V2077" s="327">
        <v>100512.38967464124</v>
      </c>
      <c r="W2077" s="9"/>
    </row>
    <row r="2078" spans="1:23" ht="13.5" thickBot="1" x14ac:dyDescent="0.25">
      <c r="A2078" s="9"/>
      <c r="B2078" s="330" t="s">
        <v>227</v>
      </c>
      <c r="C2078" s="331"/>
      <c r="D2078" s="332">
        <v>5135767.3116652528</v>
      </c>
      <c r="E2078" s="332">
        <v>3571782.6796499831</v>
      </c>
      <c r="F2078" s="332">
        <v>3063910.0896279062</v>
      </c>
      <c r="G2078" s="332">
        <v>2460534.4840386398</v>
      </c>
      <c r="H2078" s="332">
        <v>2372490.2135672309</v>
      </c>
      <c r="I2078" s="332">
        <v>2265206.2723468025</v>
      </c>
      <c r="J2078" s="332">
        <v>2612709.604339194</v>
      </c>
      <c r="K2078" s="332">
        <v>3625474.8171257968</v>
      </c>
      <c r="L2078" s="332">
        <v>3798550.6462149243</v>
      </c>
      <c r="M2078" s="332">
        <v>3875657.4119258476</v>
      </c>
      <c r="N2078" s="332">
        <v>3003301.4006078327</v>
      </c>
      <c r="O2078" s="332">
        <v>3530438.8277041335</v>
      </c>
      <c r="P2078" s="332">
        <v>3299885.3507315423</v>
      </c>
      <c r="Q2078" s="332">
        <v>4133669.0332998438</v>
      </c>
      <c r="R2078" s="332">
        <v>3555630.9391563553</v>
      </c>
      <c r="S2078" s="332">
        <v>2865822.2353272205</v>
      </c>
      <c r="T2078" s="332">
        <v>3117139.8694495121</v>
      </c>
      <c r="U2078" s="332">
        <v>3626094.1950254538</v>
      </c>
      <c r="V2078" s="332">
        <v>3216452.0506110308</v>
      </c>
      <c r="W2078" s="9"/>
    </row>
    <row r="2079" spans="1:23" ht="13.5" thickTop="1" x14ac:dyDescent="0.2">
      <c r="A2079" s="324" t="s">
        <v>228</v>
      </c>
      <c r="B2079" s="286" t="s">
        <v>229</v>
      </c>
      <c r="C2079" s="320"/>
      <c r="D2079" s="327">
        <v>-1848665.5975308665</v>
      </c>
      <c r="E2079" s="327">
        <v>-1849431.7520308667</v>
      </c>
      <c r="F2079" s="327">
        <v>-1850220.7935308665</v>
      </c>
      <c r="G2079" s="327">
        <v>-1851036.2980308665</v>
      </c>
      <c r="H2079" s="327">
        <v>-1855355.2534308666</v>
      </c>
      <c r="I2079" s="327">
        <v>-1859803.7774928666</v>
      </c>
      <c r="J2079" s="327">
        <v>-1864385.7572767267</v>
      </c>
      <c r="K2079" s="327">
        <v>-1869105.1964541024</v>
      </c>
      <c r="L2079" s="327">
        <v>-1873966.2188067995</v>
      </c>
      <c r="M2079" s="327">
        <v>-1878973.0718300776</v>
      </c>
      <c r="N2079" s="327">
        <v>-1884130.1304440538</v>
      </c>
      <c r="O2079" s="327">
        <v>-1889441.9008164494</v>
      </c>
      <c r="P2079" s="327">
        <v>-1894913.0243000169</v>
      </c>
      <c r="Q2079" s="327">
        <v>-1900548.2814880915</v>
      </c>
      <c r="R2079" s="327">
        <v>-542955.63305847964</v>
      </c>
      <c r="S2079" s="327">
        <v>-160193.20740930305</v>
      </c>
      <c r="T2079" s="327">
        <v>-166351.00509065617</v>
      </c>
      <c r="U2079" s="327">
        <v>-172693.53670244984</v>
      </c>
      <c r="V2079" s="327">
        <v>-179226.34426259735</v>
      </c>
      <c r="W2079" s="9"/>
    </row>
    <row r="2080" spans="1:23" x14ac:dyDescent="0.2">
      <c r="A2080" s="9"/>
      <c r="B2080" s="286" t="s">
        <v>230</v>
      </c>
      <c r="C2080" s="320"/>
      <c r="D2080" s="327">
        <v>0</v>
      </c>
      <c r="E2080" s="327">
        <v>0</v>
      </c>
      <c r="F2080" s="327">
        <v>0</v>
      </c>
      <c r="G2080" s="327">
        <v>0</v>
      </c>
      <c r="H2080" s="327">
        <v>0</v>
      </c>
      <c r="I2080" s="327">
        <v>0</v>
      </c>
      <c r="J2080" s="327">
        <v>0</v>
      </c>
      <c r="K2080" s="327">
        <v>0</v>
      </c>
      <c r="L2080" s="327">
        <v>0</v>
      </c>
      <c r="M2080" s="327">
        <v>0</v>
      </c>
      <c r="N2080" s="327">
        <v>0</v>
      </c>
      <c r="O2080" s="327">
        <v>0</v>
      </c>
      <c r="P2080" s="327">
        <v>0</v>
      </c>
      <c r="Q2080" s="327">
        <v>0</v>
      </c>
      <c r="R2080" s="327">
        <v>0</v>
      </c>
      <c r="S2080" s="327">
        <v>0</v>
      </c>
      <c r="T2080" s="327">
        <v>0</v>
      </c>
      <c r="U2080" s="327">
        <v>0</v>
      </c>
      <c r="V2080" s="327">
        <v>0</v>
      </c>
      <c r="W2080" s="9"/>
    </row>
    <row r="2081" spans="1:23" x14ac:dyDescent="0.2">
      <c r="A2081" s="9"/>
      <c r="B2081" s="323" t="s">
        <v>231</v>
      </c>
      <c r="C2081" s="325"/>
      <c r="D2081" s="326">
        <v>3287101.7141343863</v>
      </c>
      <c r="E2081" s="326">
        <v>1722350.9276191164</v>
      </c>
      <c r="F2081" s="326">
        <v>1213689.2960970397</v>
      </c>
      <c r="G2081" s="326">
        <v>609498.18600777327</v>
      </c>
      <c r="H2081" s="326">
        <v>517134.96013636421</v>
      </c>
      <c r="I2081" s="326">
        <v>405402.4948539359</v>
      </c>
      <c r="J2081" s="326">
        <v>748323.84706246736</v>
      </c>
      <c r="K2081" s="326">
        <v>1756369.6206716944</v>
      </c>
      <c r="L2081" s="326">
        <v>1924584.4274081248</v>
      </c>
      <c r="M2081" s="326">
        <v>1996684.3400957701</v>
      </c>
      <c r="N2081" s="326">
        <v>1119171.2701637789</v>
      </c>
      <c r="O2081" s="326">
        <v>1640996.926887684</v>
      </c>
      <c r="P2081" s="326">
        <v>1404972.3264315254</v>
      </c>
      <c r="Q2081" s="326">
        <v>2233120.7518117521</v>
      </c>
      <c r="R2081" s="326">
        <v>3012675.3060978758</v>
      </c>
      <c r="S2081" s="326">
        <v>2705629.0279179174</v>
      </c>
      <c r="T2081" s="326">
        <v>2950788.8643588559</v>
      </c>
      <c r="U2081" s="326">
        <v>3453400.6583230039</v>
      </c>
      <c r="V2081" s="326">
        <v>3037225.7063484336</v>
      </c>
      <c r="W2081" s="9"/>
    </row>
    <row r="2082" spans="1:23" ht="13.5" thickBot="1" x14ac:dyDescent="0.25">
      <c r="A2082" s="9"/>
      <c r="B2082" s="333" t="s">
        <v>237</v>
      </c>
      <c r="C2082" s="334"/>
      <c r="D2082" s="335">
        <v>-1314840.6856537545</v>
      </c>
      <c r="E2082" s="335">
        <v>-688940.37104764662</v>
      </c>
      <c r="F2082" s="335">
        <v>-485475.71843881591</v>
      </c>
      <c r="G2082" s="335">
        <v>-243799.27440310933</v>
      </c>
      <c r="H2082" s="335">
        <v>-206853.9840545457</v>
      </c>
      <c r="I2082" s="335">
        <v>-162160.99794157437</v>
      </c>
      <c r="J2082" s="335">
        <v>-299329.53882498696</v>
      </c>
      <c r="K2082" s="335">
        <v>-702547.84826867783</v>
      </c>
      <c r="L2082" s="335">
        <v>-769833.77096324996</v>
      </c>
      <c r="M2082" s="335">
        <v>-798673.73603830812</v>
      </c>
      <c r="N2082" s="335">
        <v>-447668.50806551159</v>
      </c>
      <c r="O2082" s="335">
        <v>-656398.77075507364</v>
      </c>
      <c r="P2082" s="335">
        <v>-561988.93057261023</v>
      </c>
      <c r="Q2082" s="335">
        <v>-893248.30072470091</v>
      </c>
      <c r="R2082" s="335">
        <v>-1205070.1224391505</v>
      </c>
      <c r="S2082" s="335">
        <v>-1082251.6111671671</v>
      </c>
      <c r="T2082" s="335">
        <v>-1180315.5457435425</v>
      </c>
      <c r="U2082" s="335">
        <v>-1381360.2633292016</v>
      </c>
      <c r="V2082" s="335">
        <v>-1214890.2825393735</v>
      </c>
      <c r="W2082" s="9"/>
    </row>
    <row r="2083" spans="1:23" ht="13.5" thickTop="1" x14ac:dyDescent="0.2">
      <c r="A2083" s="9"/>
      <c r="B2083" s="323" t="s">
        <v>232</v>
      </c>
      <c r="C2083" s="325"/>
      <c r="D2083" s="326">
        <v>1972261.0284806318</v>
      </c>
      <c r="E2083" s="326">
        <v>1033410.5565714698</v>
      </c>
      <c r="F2083" s="326">
        <v>728213.5776582238</v>
      </c>
      <c r="G2083" s="326">
        <v>365698.91160466394</v>
      </c>
      <c r="H2083" s="326">
        <v>310280.97608181852</v>
      </c>
      <c r="I2083" s="326">
        <v>243241.49691236153</v>
      </c>
      <c r="J2083" s="326">
        <v>448994.30823748041</v>
      </c>
      <c r="K2083" s="326">
        <v>1053821.7724030167</v>
      </c>
      <c r="L2083" s="326">
        <v>1154750.6564448748</v>
      </c>
      <c r="M2083" s="326">
        <v>1198010.604057462</v>
      </c>
      <c r="N2083" s="326">
        <v>671502.76209826733</v>
      </c>
      <c r="O2083" s="326">
        <v>984598.1561326104</v>
      </c>
      <c r="P2083" s="326">
        <v>842983.39585891517</v>
      </c>
      <c r="Q2083" s="326">
        <v>1339872.4510870511</v>
      </c>
      <c r="R2083" s="326">
        <v>1807605.1836587253</v>
      </c>
      <c r="S2083" s="326">
        <v>1623377.4167507503</v>
      </c>
      <c r="T2083" s="326">
        <v>1770473.3186153134</v>
      </c>
      <c r="U2083" s="326">
        <v>2072040.3949938023</v>
      </c>
      <c r="V2083" s="326">
        <v>1822335.4238090601</v>
      </c>
      <c r="W2083" s="9"/>
    </row>
    <row r="2084" spans="1:23" x14ac:dyDescent="0.2">
      <c r="A2084" s="9"/>
      <c r="B2084" s="9"/>
      <c r="C2084" s="320"/>
      <c r="D2084" s="9"/>
      <c r="E2084" s="321"/>
      <c r="F2084" s="313"/>
      <c r="G2084" s="322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</row>
    <row r="2085" spans="1:23" ht="15.75" x14ac:dyDescent="0.25">
      <c r="A2085" s="336" t="s">
        <v>205</v>
      </c>
      <c r="B2085" s="337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</row>
    <row r="2086" spans="1:23" x14ac:dyDescent="0.2">
      <c r="A2086" s="284" t="s">
        <v>190</v>
      </c>
      <c r="B2086" s="303"/>
      <c r="C2086" s="338">
        <v>0</v>
      </c>
      <c r="D2086" s="277"/>
      <c r="E2086" s="277"/>
      <c r="F2086" s="277"/>
      <c r="G2086" s="277"/>
      <c r="H2086" s="277"/>
      <c r="I2086" s="277"/>
      <c r="J2086" s="277"/>
      <c r="K2086" s="277"/>
      <c r="L2086" s="277"/>
      <c r="M2086" s="277"/>
      <c r="N2086" s="277"/>
      <c r="O2086" s="277"/>
      <c r="P2086" s="277"/>
      <c r="Q2086" s="277"/>
      <c r="R2086" s="277"/>
      <c r="S2086" s="277"/>
      <c r="T2086" s="277"/>
      <c r="U2086" s="277"/>
      <c r="V2086" s="277"/>
      <c r="W2086" s="277"/>
    </row>
    <row r="2087" spans="1:23" x14ac:dyDescent="0.2">
      <c r="A2087" s="284" t="s">
        <v>191</v>
      </c>
      <c r="B2087" s="303"/>
      <c r="C2087" s="339">
        <v>0</v>
      </c>
      <c r="D2087" s="277"/>
      <c r="E2087" s="277"/>
      <c r="F2087" s="277"/>
      <c r="G2087" s="277"/>
      <c r="H2087" s="277"/>
      <c r="I2087" s="277"/>
      <c r="J2087" s="277"/>
      <c r="K2087" s="277"/>
      <c r="L2087" s="277"/>
      <c r="M2087" s="277"/>
      <c r="N2087" s="277"/>
      <c r="O2087" s="277"/>
      <c r="P2087" s="277"/>
      <c r="Q2087" s="277"/>
      <c r="R2087" s="277"/>
      <c r="S2087" s="277"/>
      <c r="T2087" s="277"/>
      <c r="U2087" s="277"/>
      <c r="V2087" s="277"/>
      <c r="W2087" s="277"/>
    </row>
    <row r="2088" spans="1:23" x14ac:dyDescent="0.2">
      <c r="A2088" s="284" t="s">
        <v>201</v>
      </c>
      <c r="B2088" s="303"/>
      <c r="C2088" s="284">
        <v>15</v>
      </c>
      <c r="D2088" s="277"/>
      <c r="E2088" s="277"/>
      <c r="F2088" s="277"/>
      <c r="G2088" s="277"/>
      <c r="H2088" s="277"/>
      <c r="I2088" s="277"/>
      <c r="J2088" s="277"/>
      <c r="K2088" s="277"/>
      <c r="L2088" s="277"/>
      <c r="M2088" s="277"/>
      <c r="N2088" s="277"/>
      <c r="O2088" s="277"/>
      <c r="P2088" s="277"/>
      <c r="Q2088" s="277"/>
      <c r="R2088" s="277"/>
      <c r="S2088" s="277"/>
      <c r="T2088" s="277"/>
      <c r="U2088" s="277"/>
      <c r="V2088" s="277"/>
      <c r="W2088" s="277"/>
    </row>
    <row r="2089" spans="1:23" x14ac:dyDescent="0.2">
      <c r="A2089" s="284" t="s">
        <v>192</v>
      </c>
      <c r="B2089" s="303"/>
      <c r="C2089" s="339">
        <v>0</v>
      </c>
      <c r="D2089" s="277"/>
      <c r="E2089" s="277"/>
      <c r="F2089" s="277"/>
      <c r="G2089" s="277"/>
      <c r="H2089" s="277"/>
      <c r="I2089" s="277"/>
      <c r="J2089" s="277"/>
      <c r="K2089" s="277"/>
      <c r="L2089" s="277"/>
      <c r="M2089" s="277"/>
      <c r="N2089" s="277"/>
      <c r="O2089" s="277"/>
      <c r="P2089" s="277"/>
      <c r="Q2089" s="277"/>
      <c r="R2089" s="277"/>
      <c r="S2089" s="277"/>
      <c r="T2089" s="277"/>
      <c r="U2089" s="277"/>
      <c r="V2089" s="277"/>
      <c r="W2089" s="277"/>
    </row>
    <row r="2090" spans="1:23" x14ac:dyDescent="0.2">
      <c r="A2090" s="284" t="s">
        <v>193</v>
      </c>
      <c r="B2090" s="303"/>
      <c r="C2090" s="340">
        <v>8.7499999999999994E-2</v>
      </c>
      <c r="D2090" s="277"/>
      <c r="E2090" s="277"/>
      <c r="F2090" s="277"/>
      <c r="G2090" s="277"/>
      <c r="H2090" s="277"/>
      <c r="I2090" s="277"/>
      <c r="J2090" s="277"/>
      <c r="K2090" s="277"/>
      <c r="L2090" s="277"/>
      <c r="M2090" s="277"/>
      <c r="N2090" s="277"/>
      <c r="O2090" s="277"/>
      <c r="P2090" s="277"/>
      <c r="Q2090" s="277"/>
      <c r="R2090" s="277"/>
      <c r="S2090" s="277"/>
      <c r="T2090" s="277"/>
      <c r="U2090" s="277"/>
      <c r="V2090" s="277"/>
      <c r="W2090" s="277"/>
    </row>
    <row r="2091" spans="1:23" x14ac:dyDescent="0.2">
      <c r="A2091" s="284"/>
      <c r="B2091" s="303"/>
      <c r="C2091" s="277"/>
      <c r="D2091" s="306">
        <v>2001</v>
      </c>
      <c r="E2091" s="306">
        <v>2002</v>
      </c>
      <c r="F2091" s="306">
        <v>2003</v>
      </c>
      <c r="G2091" s="306">
        <v>2004</v>
      </c>
      <c r="H2091" s="306">
        <v>2005</v>
      </c>
      <c r="I2091" s="306">
        <v>2006</v>
      </c>
      <c r="J2091" s="306">
        <v>2007</v>
      </c>
      <c r="K2091" s="306">
        <v>2008</v>
      </c>
      <c r="L2091" s="306">
        <v>2009</v>
      </c>
      <c r="M2091" s="306">
        <v>2010</v>
      </c>
      <c r="N2091" s="306">
        <v>2011</v>
      </c>
      <c r="O2091" s="306">
        <v>2012</v>
      </c>
      <c r="P2091" s="306">
        <v>2013</v>
      </c>
      <c r="Q2091" s="306">
        <v>2014</v>
      </c>
      <c r="R2091" s="306">
        <v>2015</v>
      </c>
      <c r="S2091" s="306">
        <v>2016</v>
      </c>
      <c r="T2091" s="306">
        <v>2017</v>
      </c>
      <c r="U2091" s="306">
        <v>2018</v>
      </c>
      <c r="V2091" s="306">
        <v>2019</v>
      </c>
      <c r="W2091" s="306" t="s">
        <v>154</v>
      </c>
    </row>
    <row r="2092" spans="1:23" x14ac:dyDescent="0.2">
      <c r="A2092" s="284" t="s">
        <v>194</v>
      </c>
      <c r="B2092" s="303"/>
      <c r="C2092" s="277"/>
      <c r="D2092" s="341">
        <v>0</v>
      </c>
      <c r="E2092" s="341">
        <v>0</v>
      </c>
      <c r="F2092" s="341">
        <v>0</v>
      </c>
      <c r="G2092" s="341">
        <v>0</v>
      </c>
      <c r="H2092" s="341">
        <v>0</v>
      </c>
      <c r="I2092" s="341">
        <v>0</v>
      </c>
      <c r="J2092" s="341">
        <v>0</v>
      </c>
      <c r="K2092" s="341">
        <v>0</v>
      </c>
      <c r="L2092" s="341">
        <v>0</v>
      </c>
      <c r="M2092" s="341">
        <v>0</v>
      </c>
      <c r="N2092" s="341">
        <v>0</v>
      </c>
      <c r="O2092" s="341">
        <v>0</v>
      </c>
      <c r="P2092" s="341">
        <v>0</v>
      </c>
      <c r="Q2092" s="341">
        <v>0</v>
      </c>
      <c r="R2092" s="341">
        <v>0</v>
      </c>
      <c r="S2092" s="341">
        <v>0</v>
      </c>
      <c r="T2092" s="341">
        <v>0</v>
      </c>
      <c r="U2092" s="341">
        <v>0</v>
      </c>
      <c r="V2092" s="341">
        <v>0</v>
      </c>
      <c r="W2092" s="341">
        <v>0</v>
      </c>
    </row>
    <row r="2093" spans="1:23" x14ac:dyDescent="0.2">
      <c r="A2093" s="284" t="s">
        <v>195</v>
      </c>
      <c r="B2093" s="303"/>
      <c r="C2093" s="277"/>
      <c r="D2093" s="341">
        <v>0</v>
      </c>
      <c r="E2093" s="341">
        <v>0</v>
      </c>
      <c r="F2093" s="341">
        <v>0</v>
      </c>
      <c r="G2093" s="341">
        <v>0</v>
      </c>
      <c r="H2093" s="341">
        <v>0</v>
      </c>
      <c r="I2093" s="341">
        <v>0</v>
      </c>
      <c r="J2093" s="341">
        <v>0</v>
      </c>
      <c r="K2093" s="341">
        <v>0</v>
      </c>
      <c r="L2093" s="341">
        <v>0</v>
      </c>
      <c r="M2093" s="341">
        <v>0</v>
      </c>
      <c r="N2093" s="341">
        <v>0</v>
      </c>
      <c r="O2093" s="341">
        <v>0</v>
      </c>
      <c r="P2093" s="341">
        <v>0</v>
      </c>
      <c r="Q2093" s="341">
        <v>0</v>
      </c>
      <c r="R2093" s="341">
        <v>0</v>
      </c>
      <c r="S2093" s="341">
        <v>0</v>
      </c>
      <c r="T2093" s="341">
        <v>0</v>
      </c>
      <c r="U2093" s="341">
        <v>0</v>
      </c>
      <c r="V2093" s="341">
        <v>0</v>
      </c>
      <c r="W2093" s="341">
        <v>0</v>
      </c>
    </row>
    <row r="2094" spans="1:23" x14ac:dyDescent="0.2">
      <c r="A2094" s="284" t="s">
        <v>196</v>
      </c>
      <c r="B2094" s="303"/>
      <c r="C2094" s="277"/>
      <c r="D2094" s="341">
        <v>0</v>
      </c>
      <c r="E2094" s="341">
        <v>0</v>
      </c>
      <c r="F2094" s="341">
        <v>0</v>
      </c>
      <c r="G2094" s="341">
        <v>0</v>
      </c>
      <c r="H2094" s="341">
        <v>0</v>
      </c>
      <c r="I2094" s="341">
        <v>0</v>
      </c>
      <c r="J2094" s="341">
        <v>0</v>
      </c>
      <c r="K2094" s="341">
        <v>0</v>
      </c>
      <c r="L2094" s="341">
        <v>0</v>
      </c>
      <c r="M2094" s="341">
        <v>0</v>
      </c>
      <c r="N2094" s="341">
        <v>0</v>
      </c>
      <c r="O2094" s="341">
        <v>0</v>
      </c>
      <c r="P2094" s="341">
        <v>0</v>
      </c>
      <c r="Q2094" s="341">
        <v>0</v>
      </c>
      <c r="R2094" s="341">
        <v>0</v>
      </c>
      <c r="S2094" s="341">
        <v>0</v>
      </c>
      <c r="T2094" s="341">
        <v>0</v>
      </c>
      <c r="U2094" s="341">
        <v>0</v>
      </c>
      <c r="V2094" s="341">
        <v>0</v>
      </c>
      <c r="W2094" s="341">
        <v>0</v>
      </c>
    </row>
    <row r="2095" spans="1:23" x14ac:dyDescent="0.2">
      <c r="A2095" s="284" t="s">
        <v>197</v>
      </c>
      <c r="B2095" s="303"/>
      <c r="C2095" s="277"/>
      <c r="D2095" s="342">
        <v>0</v>
      </c>
      <c r="E2095" s="342">
        <v>0</v>
      </c>
      <c r="F2095" s="342">
        <v>0</v>
      </c>
      <c r="G2095" s="342">
        <v>0</v>
      </c>
      <c r="H2095" s="342">
        <v>0</v>
      </c>
      <c r="I2095" s="342">
        <v>0</v>
      </c>
      <c r="J2095" s="342">
        <v>0</v>
      </c>
      <c r="K2095" s="342">
        <v>0</v>
      </c>
      <c r="L2095" s="342">
        <v>0</v>
      </c>
      <c r="M2095" s="342">
        <v>0</v>
      </c>
      <c r="N2095" s="342">
        <v>0</v>
      </c>
      <c r="O2095" s="342">
        <v>0</v>
      </c>
      <c r="P2095" s="342">
        <v>0</v>
      </c>
      <c r="Q2095" s="342">
        <v>0</v>
      </c>
      <c r="R2095" s="342">
        <v>0</v>
      </c>
      <c r="S2095" s="342">
        <v>0</v>
      </c>
      <c r="T2095" s="342">
        <v>0</v>
      </c>
      <c r="U2095" s="342">
        <v>0</v>
      </c>
      <c r="V2095" s="342">
        <v>0</v>
      </c>
      <c r="W2095" s="342">
        <v>0</v>
      </c>
    </row>
    <row r="2096" spans="1:23" ht="13.5" thickBot="1" x14ac:dyDescent="0.25">
      <c r="A2096" s="284" t="s">
        <v>198</v>
      </c>
      <c r="B2096" s="303"/>
      <c r="C2096" s="277"/>
      <c r="D2096" s="343">
        <v>0</v>
      </c>
      <c r="E2096" s="343">
        <v>0</v>
      </c>
      <c r="F2096" s="343">
        <v>0</v>
      </c>
      <c r="G2096" s="343">
        <v>0</v>
      </c>
      <c r="H2096" s="343">
        <v>0</v>
      </c>
      <c r="I2096" s="343">
        <v>0</v>
      </c>
      <c r="J2096" s="343">
        <v>0</v>
      </c>
      <c r="K2096" s="343">
        <v>0</v>
      </c>
      <c r="L2096" s="343">
        <v>0</v>
      </c>
      <c r="M2096" s="343">
        <v>0</v>
      </c>
      <c r="N2096" s="343">
        <v>0</v>
      </c>
      <c r="O2096" s="343">
        <v>0</v>
      </c>
      <c r="P2096" s="343">
        <v>0</v>
      </c>
      <c r="Q2096" s="343">
        <v>0</v>
      </c>
      <c r="R2096" s="343">
        <v>0</v>
      </c>
      <c r="S2096" s="343">
        <v>0</v>
      </c>
      <c r="T2096" s="343">
        <v>0</v>
      </c>
      <c r="U2096" s="343">
        <v>0</v>
      </c>
      <c r="V2096" s="343">
        <v>0</v>
      </c>
      <c r="W2096" s="343">
        <v>0</v>
      </c>
    </row>
    <row r="2097" spans="1:23" ht="13.5" thickTop="1" x14ac:dyDescent="0.2">
      <c r="A2097" s="284"/>
      <c r="B2097" s="303"/>
      <c r="C2097" s="277"/>
      <c r="D2097" s="341"/>
      <c r="E2097" s="341"/>
      <c r="F2097" s="341"/>
      <c r="G2097" s="341"/>
      <c r="H2097" s="341"/>
      <c r="I2097" s="341"/>
      <c r="J2097" s="341"/>
      <c r="K2097" s="341"/>
      <c r="L2097" s="341"/>
      <c r="M2097" s="341"/>
      <c r="N2097" s="341"/>
      <c r="O2097" s="341"/>
      <c r="P2097" s="341"/>
      <c r="Q2097" s="341"/>
      <c r="R2097" s="341"/>
      <c r="S2097" s="341"/>
      <c r="T2097" s="341"/>
      <c r="U2097" s="341"/>
      <c r="V2097" s="341"/>
      <c r="W2097" s="341"/>
    </row>
    <row r="2098" spans="1:23" x14ac:dyDescent="0.2">
      <c r="A2098" s="284" t="s">
        <v>199</v>
      </c>
      <c r="B2098" s="303"/>
      <c r="C2098" s="277"/>
      <c r="D2098" s="341">
        <v>0</v>
      </c>
      <c r="E2098" s="341">
        <v>0</v>
      </c>
      <c r="F2098" s="341">
        <v>0</v>
      </c>
      <c r="G2098" s="341">
        <v>0</v>
      </c>
      <c r="H2098" s="341">
        <v>0</v>
      </c>
      <c r="I2098" s="341">
        <v>0</v>
      </c>
      <c r="J2098" s="341">
        <v>0</v>
      </c>
      <c r="K2098" s="341">
        <v>0</v>
      </c>
      <c r="L2098" s="341">
        <v>0</v>
      </c>
      <c r="M2098" s="341">
        <v>0</v>
      </c>
      <c r="N2098" s="341">
        <v>0</v>
      </c>
      <c r="O2098" s="341">
        <v>0</v>
      </c>
      <c r="P2098" s="341">
        <v>0</v>
      </c>
      <c r="Q2098" s="341">
        <v>0</v>
      </c>
      <c r="R2098" s="341">
        <v>0</v>
      </c>
      <c r="S2098" s="341">
        <v>0</v>
      </c>
      <c r="T2098" s="341">
        <v>0</v>
      </c>
      <c r="U2098" s="341">
        <v>0</v>
      </c>
      <c r="V2098" s="341">
        <v>0</v>
      </c>
      <c r="W2098" s="341">
        <v>0</v>
      </c>
    </row>
    <row r="2099" spans="1:23" x14ac:dyDescent="0.2">
      <c r="A2099" s="284"/>
      <c r="B2099" s="303"/>
      <c r="C2099" s="277"/>
      <c r="D2099" s="277"/>
      <c r="E2099" s="277"/>
      <c r="F2099" s="277"/>
      <c r="G2099" s="277"/>
      <c r="H2099" s="277"/>
      <c r="I2099" s="277"/>
      <c r="J2099" s="277"/>
      <c r="K2099" s="277"/>
      <c r="L2099" s="277"/>
      <c r="M2099" s="277"/>
      <c r="N2099" s="277"/>
      <c r="O2099" s="277"/>
      <c r="P2099" s="277"/>
      <c r="Q2099" s="277"/>
      <c r="R2099" s="277"/>
      <c r="S2099" s="277"/>
      <c r="T2099" s="277"/>
      <c r="U2099" s="277"/>
      <c r="V2099" s="277"/>
      <c r="W2099" s="277"/>
    </row>
    <row r="2100" spans="1:23" x14ac:dyDescent="0.2">
      <c r="A2100" s="284" t="s">
        <v>200</v>
      </c>
      <c r="B2100" s="303"/>
      <c r="C2100" s="277"/>
      <c r="D2100" s="341">
        <v>0</v>
      </c>
      <c r="E2100" s="341">
        <v>0</v>
      </c>
      <c r="F2100" s="341">
        <v>0</v>
      </c>
      <c r="G2100" s="341">
        <v>0</v>
      </c>
      <c r="H2100" s="341">
        <v>0</v>
      </c>
      <c r="I2100" s="341">
        <v>0</v>
      </c>
      <c r="J2100" s="341">
        <v>0</v>
      </c>
      <c r="K2100" s="341">
        <v>0</v>
      </c>
      <c r="L2100" s="341">
        <v>0</v>
      </c>
      <c r="M2100" s="341">
        <v>0</v>
      </c>
      <c r="N2100" s="341">
        <v>0</v>
      </c>
      <c r="O2100" s="341">
        <v>0</v>
      </c>
      <c r="P2100" s="341">
        <v>0</v>
      </c>
      <c r="Q2100" s="341">
        <v>0</v>
      </c>
      <c r="R2100" s="341">
        <v>0</v>
      </c>
      <c r="S2100" s="341">
        <v>0</v>
      </c>
      <c r="T2100" s="341">
        <v>0</v>
      </c>
      <c r="U2100" s="341">
        <v>0</v>
      </c>
      <c r="V2100" s="341">
        <v>0</v>
      </c>
      <c r="W2100" s="341">
        <v>0</v>
      </c>
    </row>
    <row r="2101" spans="1:23" x14ac:dyDescent="0.2">
      <c r="A2101" s="277"/>
      <c r="B2101" s="303"/>
      <c r="C2101" s="277"/>
      <c r="D2101" s="277"/>
      <c r="E2101" s="277"/>
      <c r="F2101" s="277"/>
      <c r="G2101" s="277"/>
      <c r="H2101" s="277"/>
      <c r="I2101" s="277"/>
      <c r="J2101" s="277"/>
      <c r="K2101" s="277"/>
      <c r="L2101" s="277"/>
      <c r="M2101" s="277"/>
      <c r="N2101" s="277"/>
      <c r="O2101" s="277"/>
      <c r="P2101" s="277"/>
      <c r="Q2101" s="277"/>
      <c r="R2101" s="277"/>
      <c r="S2101" s="277"/>
      <c r="T2101" s="277"/>
      <c r="U2101" s="277"/>
      <c r="V2101" s="277"/>
      <c r="W2101" s="277"/>
    </row>
    <row r="2102" spans="1:23" x14ac:dyDescent="0.2">
      <c r="A2102" s="277"/>
      <c r="B2102" s="303"/>
      <c r="C2102" s="277"/>
      <c r="D2102" s="277"/>
      <c r="E2102" s="277"/>
      <c r="F2102" s="277"/>
      <c r="G2102" s="277"/>
      <c r="H2102" s="277"/>
      <c r="I2102" s="277"/>
      <c r="J2102" s="277"/>
      <c r="K2102" s="277"/>
      <c r="L2102" s="277"/>
      <c r="M2102" s="277"/>
      <c r="N2102" s="277"/>
      <c r="O2102" s="277"/>
      <c r="P2102" s="277"/>
      <c r="Q2102" s="277"/>
      <c r="R2102" s="277"/>
      <c r="S2102" s="277"/>
      <c r="T2102" s="277"/>
      <c r="U2102" s="277"/>
      <c r="V2102" s="277"/>
      <c r="W2102" s="277"/>
    </row>
    <row r="2103" spans="1:23" x14ac:dyDescent="0.2">
      <c r="A2103" s="284" t="s">
        <v>202</v>
      </c>
      <c r="B2103" s="279"/>
      <c r="C2103" s="278"/>
      <c r="D2103" s="435">
        <v>3594924.0684658182</v>
      </c>
      <c r="E2103" s="435">
        <v>3016589.0324923098</v>
      </c>
      <c r="F2103" s="435">
        <v>2709863.5893987571</v>
      </c>
      <c r="G2103" s="435">
        <v>2348172.5083855176</v>
      </c>
      <c r="H2103" s="435">
        <v>2224863.0712854182</v>
      </c>
      <c r="I2103" s="435">
        <v>2160888.7509024758</v>
      </c>
      <c r="J2103" s="435">
        <v>1978704.4409893632</v>
      </c>
      <c r="K2103" s="435">
        <v>2151880.5987184886</v>
      </c>
      <c r="L2103" s="435">
        <v>2205277.7645423394</v>
      </c>
      <c r="M2103" s="435">
        <v>2245771.0927540562</v>
      </c>
      <c r="N2103" s="435">
        <v>1721403.8930612733</v>
      </c>
      <c r="O2103" s="435">
        <v>2036601.7210941883</v>
      </c>
      <c r="P2103" s="435">
        <v>1897135.4827362944</v>
      </c>
      <c r="Q2103" s="435">
        <v>2396188.178204373</v>
      </c>
      <c r="R2103" s="435">
        <v>2048112.8248898569</v>
      </c>
      <c r="S2103" s="435">
        <v>1632988.1381924336</v>
      </c>
      <c r="T2103" s="435">
        <v>1782502.0703338683</v>
      </c>
      <c r="U2103" s="435">
        <v>2086559.7178975346</v>
      </c>
      <c r="V2103" s="435">
        <v>1839420.035033525</v>
      </c>
      <c r="W2103" s="435">
        <v>12096614.572971191</v>
      </c>
    </row>
    <row r="2104" spans="1:23" x14ac:dyDescent="0.2">
      <c r="A2104" s="9"/>
      <c r="B2104" s="6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</row>
    <row r="2105" spans="1:23" x14ac:dyDescent="0.2">
      <c r="A2105" s="292"/>
      <c r="B2105" s="373"/>
      <c r="C2105" s="280"/>
      <c r="D2105" s="374"/>
      <c r="E2105" s="374"/>
      <c r="F2105" s="374"/>
      <c r="G2105" s="374"/>
      <c r="H2105" s="374"/>
      <c r="I2105" s="374"/>
      <c r="J2105" s="374"/>
      <c r="K2105" s="374"/>
      <c r="L2105" s="374"/>
      <c r="M2105" s="374"/>
      <c r="N2105" s="374"/>
      <c r="O2105" s="374"/>
      <c r="P2105" s="374"/>
      <c r="Q2105" s="374"/>
      <c r="R2105" s="374"/>
      <c r="S2105" s="374"/>
      <c r="T2105" s="374"/>
      <c r="U2105" s="374"/>
      <c r="V2105" s="374"/>
      <c r="W2105" s="374"/>
    </row>
    <row r="2106" spans="1:23" x14ac:dyDescent="0.2">
      <c r="B2106" s="23"/>
    </row>
    <row r="2112" spans="1:23" ht="15.75" x14ac:dyDescent="0.25">
      <c r="A2112" s="302" t="s">
        <v>29</v>
      </c>
      <c r="B2112" s="305" t="s">
        <v>85</v>
      </c>
      <c r="C2112" s="306">
        <v>2000</v>
      </c>
      <c r="D2112" s="306">
        <v>2001</v>
      </c>
      <c r="E2112" s="306">
        <v>2002</v>
      </c>
      <c r="F2112" s="306">
        <v>2003</v>
      </c>
      <c r="G2112" s="306">
        <v>2004</v>
      </c>
      <c r="H2112" s="306">
        <v>2005</v>
      </c>
      <c r="I2112" s="306">
        <v>2006</v>
      </c>
      <c r="J2112" s="306">
        <v>2007</v>
      </c>
      <c r="K2112" s="306">
        <v>2008</v>
      </c>
      <c r="L2112" s="306">
        <v>2009</v>
      </c>
      <c r="M2112" s="306">
        <v>2010</v>
      </c>
      <c r="N2112" s="306">
        <v>2011</v>
      </c>
      <c r="O2112" s="306">
        <v>2012</v>
      </c>
      <c r="P2112" s="306">
        <v>2013</v>
      </c>
      <c r="Q2112" s="306">
        <v>2014</v>
      </c>
      <c r="R2112" s="306">
        <v>2015</v>
      </c>
      <c r="S2112" s="306">
        <v>2016</v>
      </c>
      <c r="T2112" s="306">
        <v>2017</v>
      </c>
      <c r="U2112" s="306">
        <v>2018</v>
      </c>
      <c r="V2112" s="306">
        <v>2019</v>
      </c>
      <c r="W2112" s="306" t="s">
        <v>154</v>
      </c>
    </row>
    <row r="2113" spans="1:23" x14ac:dyDescent="0.2">
      <c r="A2113" s="302" t="s">
        <v>26</v>
      </c>
      <c r="B2113" s="303">
        <v>83.433000000000007</v>
      </c>
      <c r="C2113" s="308"/>
      <c r="D2113" s="308"/>
      <c r="E2113" s="308"/>
      <c r="F2113" s="308"/>
      <c r="G2113" s="308"/>
      <c r="H2113" s="308"/>
      <c r="I2113" s="308"/>
      <c r="J2113" s="308"/>
      <c r="K2113" s="308"/>
      <c r="L2113" s="308"/>
      <c r="M2113" s="308"/>
      <c r="N2113" s="308"/>
      <c r="O2113" s="308"/>
      <c r="P2113" s="308"/>
      <c r="Q2113" s="308"/>
      <c r="R2113" s="308"/>
      <c r="S2113" s="308"/>
      <c r="T2113" s="308"/>
      <c r="U2113" s="308"/>
      <c r="V2113" s="308"/>
      <c r="W2113" s="308"/>
    </row>
    <row r="2114" spans="1:23" x14ac:dyDescent="0.2">
      <c r="A2114" s="9"/>
      <c r="B2114" s="309" t="s">
        <v>27</v>
      </c>
      <c r="C2114" s="443">
        <v>0</v>
      </c>
      <c r="D2114" s="404">
        <v>8202175.3914196901</v>
      </c>
      <c r="E2114" s="404">
        <v>7219125.1955624679</v>
      </c>
      <c r="F2114" s="404">
        <v>6975429.9289103542</v>
      </c>
      <c r="G2114" s="404">
        <v>6698801.5398195479</v>
      </c>
      <c r="H2114" s="404">
        <v>6877286.9012491489</v>
      </c>
      <c r="I2114" s="404">
        <v>7875918.1611640118</v>
      </c>
      <c r="J2114" s="404">
        <v>9532366.5123401303</v>
      </c>
      <c r="K2114" s="404">
        <v>12117113.010367623</v>
      </c>
      <c r="L2114" s="404">
        <v>12861496.066195816</v>
      </c>
      <c r="M2114" s="404">
        <v>11066696.097163459</v>
      </c>
      <c r="N2114" s="404">
        <v>10846097.9980071</v>
      </c>
      <c r="O2114" s="404">
        <v>10837165.461976836</v>
      </c>
      <c r="P2114" s="404">
        <v>10010041.080739968</v>
      </c>
      <c r="Q2114" s="404">
        <v>11607660.599296786</v>
      </c>
      <c r="R2114" s="404">
        <v>10822858.676266527</v>
      </c>
      <c r="S2114" s="404">
        <v>10915874.081664842</v>
      </c>
      <c r="T2114" s="404">
        <v>10065899.077409105</v>
      </c>
      <c r="U2114" s="404">
        <v>11407206.886303719</v>
      </c>
      <c r="V2114" s="404">
        <v>12342873.484122811</v>
      </c>
      <c r="W2114" s="327"/>
    </row>
    <row r="2115" spans="1:23" x14ac:dyDescent="0.2">
      <c r="A2115" s="9"/>
      <c r="B2115" s="309" t="s">
        <v>20</v>
      </c>
      <c r="C2115" s="443">
        <v>0</v>
      </c>
      <c r="D2115" s="404">
        <v>-2443747.1509538759</v>
      </c>
      <c r="E2115" s="404">
        <v>-2991581.0524151698</v>
      </c>
      <c r="F2115" s="404">
        <v>-3235039.6998927929</v>
      </c>
      <c r="G2115" s="404">
        <v>-3544191.9755981402</v>
      </c>
      <c r="H2115" s="404">
        <v>-3794796.9656743901</v>
      </c>
      <c r="I2115" s="404">
        <v>-4944426.379624729</v>
      </c>
      <c r="J2115" s="404">
        <v>-6219182.8226861553</v>
      </c>
      <c r="K2115" s="404">
        <v>-7723082.376592651</v>
      </c>
      <c r="L2115" s="404">
        <v>-8284094.1225295514</v>
      </c>
      <c r="M2115" s="404">
        <v>-6482347.8668211428</v>
      </c>
      <c r="N2115" s="404">
        <v>-7112818.1669523586</v>
      </c>
      <c r="O2115" s="404">
        <v>-6598867.186659608</v>
      </c>
      <c r="P2115" s="404">
        <v>-6033835.2006924925</v>
      </c>
      <c r="Q2115" s="404">
        <v>-6785562.7186127715</v>
      </c>
      <c r="R2115" s="404">
        <v>-6609183.756585882</v>
      </c>
      <c r="S2115" s="404">
        <v>-7384920.3865921488</v>
      </c>
      <c r="T2115" s="404">
        <v>-6300625.6205580141</v>
      </c>
      <c r="U2115" s="404">
        <v>-7074580.3602302261</v>
      </c>
      <c r="V2115" s="404">
        <v>-8373327.4147212766</v>
      </c>
      <c r="W2115" s="327"/>
    </row>
    <row r="2116" spans="1:23" x14ac:dyDescent="0.2">
      <c r="A2116" s="9"/>
      <c r="B2116" s="309" t="s">
        <v>31</v>
      </c>
      <c r="C2116" s="443">
        <v>0</v>
      </c>
      <c r="D2116" s="404">
        <v>-60965.996027048721</v>
      </c>
      <c r="E2116" s="404">
        <v>-86226.881744492581</v>
      </c>
      <c r="F2116" s="404">
        <v>-98920.092928497703</v>
      </c>
      <c r="G2116" s="404">
        <v>-108302.35780039914</v>
      </c>
      <c r="H2116" s="404">
        <v>-115803.71590397664</v>
      </c>
      <c r="I2116" s="404">
        <v>-156864.88597871904</v>
      </c>
      <c r="J2116" s="404">
        <v>-192371.5306182226</v>
      </c>
      <c r="K2116" s="404">
        <v>-262154.68285510957</v>
      </c>
      <c r="L2116" s="404">
        <v>-274514.62646256847</v>
      </c>
      <c r="M2116" s="404">
        <v>-209035.46436537022</v>
      </c>
      <c r="N2116" s="404">
        <v>-234968.36063169062</v>
      </c>
      <c r="O2116" s="404">
        <v>-219679.09216769069</v>
      </c>
      <c r="P2116" s="404">
        <v>-198816.52750715817</v>
      </c>
      <c r="Q2116" s="404">
        <v>-222370.27289478772</v>
      </c>
      <c r="R2116" s="404">
        <v>-204501.47078899431</v>
      </c>
      <c r="S2116" s="404">
        <v>-224078.64365781232</v>
      </c>
      <c r="T2116" s="404">
        <v>-191744.26729954788</v>
      </c>
      <c r="U2116" s="404">
        <v>-202409.85965082719</v>
      </c>
      <c r="V2116" s="404">
        <v>-245710.99012228646</v>
      </c>
      <c r="W2116" s="327"/>
    </row>
    <row r="2117" spans="1:23" x14ac:dyDescent="0.2">
      <c r="A2117" s="9"/>
      <c r="B2117" s="309" t="s">
        <v>32</v>
      </c>
      <c r="C2117" s="443">
        <v>0</v>
      </c>
      <c r="D2117" s="404">
        <v>0</v>
      </c>
      <c r="E2117" s="404">
        <v>0</v>
      </c>
      <c r="F2117" s="404">
        <v>0</v>
      </c>
      <c r="G2117" s="404">
        <v>0</v>
      </c>
      <c r="H2117" s="404">
        <v>0</v>
      </c>
      <c r="I2117" s="404">
        <v>93418.023327088376</v>
      </c>
      <c r="J2117" s="404">
        <v>103546.416256845</v>
      </c>
      <c r="K2117" s="404">
        <v>114259.16746337658</v>
      </c>
      <c r="L2117" s="404">
        <v>125495.63771574097</v>
      </c>
      <c r="M2117" s="404">
        <v>139570.44415525725</v>
      </c>
      <c r="N2117" s="404">
        <v>153747.39907892016</v>
      </c>
      <c r="O2117" s="404">
        <v>170347.50869303249</v>
      </c>
      <c r="P2117" s="404">
        <v>191004.36881418826</v>
      </c>
      <c r="Q2117" s="404">
        <v>212617.66815241956</v>
      </c>
      <c r="R2117" s="404">
        <v>235515.42537247401</v>
      </c>
      <c r="S2117" s="404">
        <v>258595.6474313915</v>
      </c>
      <c r="T2117" s="404">
        <v>254057.61645580616</v>
      </c>
      <c r="U2117" s="404">
        <v>217360.03222342019</v>
      </c>
      <c r="V2117" s="404">
        <v>225362.25124239805</v>
      </c>
      <c r="W2117" s="327"/>
    </row>
    <row r="2118" spans="1:23" ht="13.5" thickBot="1" x14ac:dyDescent="0.25">
      <c r="A2118" s="9"/>
      <c r="B2118" s="310" t="s">
        <v>33</v>
      </c>
      <c r="C2118" s="444">
        <v>0</v>
      </c>
      <c r="D2118" s="406">
        <v>0</v>
      </c>
      <c r="E2118" s="406">
        <v>0</v>
      </c>
      <c r="F2118" s="406">
        <v>0</v>
      </c>
      <c r="G2118" s="406">
        <v>0</v>
      </c>
      <c r="H2118" s="406">
        <v>0</v>
      </c>
      <c r="I2118" s="406">
        <v>0</v>
      </c>
      <c r="J2118" s="406">
        <v>0</v>
      </c>
      <c r="K2118" s="406">
        <v>0</v>
      </c>
      <c r="L2118" s="406">
        <v>0</v>
      </c>
      <c r="M2118" s="406">
        <v>0</v>
      </c>
      <c r="N2118" s="406">
        <v>0</v>
      </c>
      <c r="O2118" s="406">
        <v>0</v>
      </c>
      <c r="P2118" s="406">
        <v>0</v>
      </c>
      <c r="Q2118" s="406">
        <v>0</v>
      </c>
      <c r="R2118" s="406">
        <v>0</v>
      </c>
      <c r="S2118" s="406">
        <v>0</v>
      </c>
      <c r="T2118" s="406">
        <v>0</v>
      </c>
      <c r="U2118" s="406">
        <v>0</v>
      </c>
      <c r="V2118" s="406">
        <v>0</v>
      </c>
      <c r="W2118" s="327"/>
    </row>
    <row r="2119" spans="1:23" ht="13.5" thickTop="1" x14ac:dyDescent="0.2">
      <c r="A2119" s="9"/>
      <c r="B2119" s="311" t="s">
        <v>38</v>
      </c>
      <c r="C2119" s="445">
        <v>0</v>
      </c>
      <c r="D2119" s="408">
        <v>5697462.2444387656</v>
      </c>
      <c r="E2119" s="408">
        <v>4141317.2614028053</v>
      </c>
      <c r="F2119" s="408">
        <v>3641470.1360890637</v>
      </c>
      <c r="G2119" s="408">
        <v>3046307.2064210088</v>
      </c>
      <c r="H2119" s="408">
        <v>2966686.2196707823</v>
      </c>
      <c r="I2119" s="408">
        <v>2868044.918887652</v>
      </c>
      <c r="J2119" s="408">
        <v>3224358.5752925975</v>
      </c>
      <c r="K2119" s="408">
        <v>4246135.1183832381</v>
      </c>
      <c r="L2119" s="408">
        <v>4428382.9549194369</v>
      </c>
      <c r="M2119" s="408">
        <v>4514883.2101322031</v>
      </c>
      <c r="N2119" s="408">
        <v>3652058.8695019707</v>
      </c>
      <c r="O2119" s="408">
        <v>4188966.691842569</v>
      </c>
      <c r="P2119" s="408">
        <v>3968393.721354505</v>
      </c>
      <c r="Q2119" s="408">
        <v>4812345.2759416467</v>
      </c>
      <c r="R2119" s="408">
        <v>4244688.8742641248</v>
      </c>
      <c r="S2119" s="408">
        <v>3565470.6988462717</v>
      </c>
      <c r="T2119" s="408">
        <v>3827586.8060073494</v>
      </c>
      <c r="U2119" s="408">
        <v>4347576.6986460863</v>
      </c>
      <c r="V2119" s="408">
        <v>3949197.330521646</v>
      </c>
      <c r="W2119" s="327"/>
    </row>
    <row r="2120" spans="1:23" x14ac:dyDescent="0.2">
      <c r="A2120" s="9"/>
      <c r="B2120" s="309" t="s">
        <v>34</v>
      </c>
      <c r="C2120" s="443">
        <v>0</v>
      </c>
      <c r="D2120" s="404">
        <v>-355535.16277078062</v>
      </c>
      <c r="E2120" s="404">
        <v>-362645.86602619622</v>
      </c>
      <c r="F2120" s="404">
        <v>-369898.78334672016</v>
      </c>
      <c r="G2120" s="404">
        <v>-377296.75901365455</v>
      </c>
      <c r="H2120" s="404">
        <v>-384842.69419392763</v>
      </c>
      <c r="I2120" s="404">
        <v>-392539.54807780619</v>
      </c>
      <c r="J2120" s="404">
        <v>-400390.33903936233</v>
      </c>
      <c r="K2120" s="404">
        <v>-408398.14582014957</v>
      </c>
      <c r="L2120" s="404">
        <v>-416566.10873655259</v>
      </c>
      <c r="M2120" s="404">
        <v>-424897.43091128365</v>
      </c>
      <c r="N2120" s="404">
        <v>-433395.37952950934</v>
      </c>
      <c r="O2120" s="404">
        <v>-442063.28712009953</v>
      </c>
      <c r="P2120" s="404">
        <v>-450904.55286250153</v>
      </c>
      <c r="Q2120" s="404">
        <v>-459922.64391975157</v>
      </c>
      <c r="R2120" s="404">
        <v>-469121.09679814661</v>
      </c>
      <c r="S2120" s="404">
        <v>-478503.51873410953</v>
      </c>
      <c r="T2120" s="404">
        <v>-488073.58910879173</v>
      </c>
      <c r="U2120" s="404">
        <v>-497835.06089096755</v>
      </c>
      <c r="V2120" s="404">
        <v>-507791.7621087869</v>
      </c>
      <c r="W2120" s="327"/>
    </row>
    <row r="2121" spans="1:23" x14ac:dyDescent="0.2">
      <c r="A2121" s="9"/>
      <c r="B2121" s="309" t="s">
        <v>35</v>
      </c>
      <c r="C2121" s="443">
        <v>0</v>
      </c>
      <c r="D2121" s="404">
        <v>-171612.57929687499</v>
      </c>
      <c r="E2121" s="404">
        <v>-171612.57929687499</v>
      </c>
      <c r="F2121" s="404">
        <v>-171612.57929687499</v>
      </c>
      <c r="G2121" s="404">
        <v>-171612.57929687499</v>
      </c>
      <c r="H2121" s="404">
        <v>-171612.57929687499</v>
      </c>
      <c r="I2121" s="404">
        <v>-171612.57929687499</v>
      </c>
      <c r="J2121" s="404">
        <v>-171612.57929687499</v>
      </c>
      <c r="K2121" s="404">
        <v>-171612.57929687499</v>
      </c>
      <c r="L2121" s="404">
        <v>-171612.57929687499</v>
      </c>
      <c r="M2121" s="404">
        <v>-171612.57929687499</v>
      </c>
      <c r="N2121" s="404">
        <v>-171612.57929687499</v>
      </c>
      <c r="O2121" s="404">
        <v>-171612.57929687499</v>
      </c>
      <c r="P2121" s="404">
        <v>-171612.57929687499</v>
      </c>
      <c r="Q2121" s="404">
        <v>-171612.57929687499</v>
      </c>
      <c r="R2121" s="404">
        <v>-171612.57929687499</v>
      </c>
      <c r="S2121" s="404">
        <v>-171612.57929687499</v>
      </c>
      <c r="T2121" s="404">
        <v>-171612.57929687499</v>
      </c>
      <c r="U2121" s="404">
        <v>-171612.57929687499</v>
      </c>
      <c r="V2121" s="404">
        <v>-171612.57929687499</v>
      </c>
      <c r="W2121" s="327"/>
    </row>
    <row r="2122" spans="1:23" ht="13.5" thickBot="1" x14ac:dyDescent="0.25">
      <c r="A2122" s="9"/>
      <c r="B2122" s="310" t="s">
        <v>36</v>
      </c>
      <c r="C2122" s="444">
        <v>0</v>
      </c>
      <c r="D2122" s="406">
        <v>-34547.1907058574</v>
      </c>
      <c r="E2122" s="406">
        <v>-35276.136429751197</v>
      </c>
      <c r="F2122" s="406">
        <v>-36048.6838175628</v>
      </c>
      <c r="G2122" s="406">
        <v>-36863.384071839399</v>
      </c>
      <c r="H2122" s="406">
        <v>-37740.7326127493</v>
      </c>
      <c r="I2122" s="406">
        <v>-38686.5191661684</v>
      </c>
      <c r="J2122" s="406">
        <v>-39646.052617166402</v>
      </c>
      <c r="K2122" s="406">
        <v>-40649.576140416597</v>
      </c>
      <c r="L2122" s="406">
        <v>-41653.6206710849</v>
      </c>
      <c r="M2122" s="406">
        <v>-42715.787998197498</v>
      </c>
      <c r="N2122" s="406">
        <v>-43749.510067754003</v>
      </c>
      <c r="O2122" s="406">
        <v>-44851.997721461303</v>
      </c>
      <c r="P2122" s="406">
        <v>-45991.238463586298</v>
      </c>
      <c r="Q2122" s="406">
        <v>-47141.019425175997</v>
      </c>
      <c r="R2122" s="406">
        <v>-48324.259012747898</v>
      </c>
      <c r="S2122" s="406">
        <v>-49532.365488066702</v>
      </c>
      <c r="T2122" s="406">
        <v>-50760.768152170604</v>
      </c>
      <c r="U2122" s="406">
        <v>-52034.863432790196</v>
      </c>
      <c r="V2122" s="406">
        <v>-53340.938504953301</v>
      </c>
      <c r="W2122" s="327"/>
    </row>
    <row r="2123" spans="1:23" ht="13.5" thickTop="1" x14ac:dyDescent="0.2">
      <c r="A2123" s="9"/>
      <c r="B2123" s="311" t="s">
        <v>220</v>
      </c>
      <c r="C2123" s="446">
        <v>0</v>
      </c>
      <c r="D2123" s="410">
        <v>5135767.3116652528</v>
      </c>
      <c r="E2123" s="410">
        <v>3571782.6796499831</v>
      </c>
      <c r="F2123" s="410">
        <v>3063910.0896279062</v>
      </c>
      <c r="G2123" s="410">
        <v>2460534.4840386398</v>
      </c>
      <c r="H2123" s="410">
        <v>2372490.2135672309</v>
      </c>
      <c r="I2123" s="410">
        <v>2265206.2723468025</v>
      </c>
      <c r="J2123" s="410">
        <v>2612709.604339194</v>
      </c>
      <c r="K2123" s="410">
        <v>3625474.8171257968</v>
      </c>
      <c r="L2123" s="410">
        <v>3798550.6462149243</v>
      </c>
      <c r="M2123" s="410">
        <v>3875657.4119258472</v>
      </c>
      <c r="N2123" s="410">
        <v>3003301.4006078327</v>
      </c>
      <c r="O2123" s="410">
        <v>3530438.8277041335</v>
      </c>
      <c r="P2123" s="410">
        <v>3299885.3507315423</v>
      </c>
      <c r="Q2123" s="410">
        <v>4133669.0332998438</v>
      </c>
      <c r="R2123" s="410">
        <v>3555630.9391563553</v>
      </c>
      <c r="S2123" s="410">
        <v>2865822.2353272205</v>
      </c>
      <c r="T2123" s="410">
        <v>3117139.8694495121</v>
      </c>
      <c r="U2123" s="410">
        <v>3626094.1950254538</v>
      </c>
      <c r="V2123" s="410">
        <v>3216452.0506110308</v>
      </c>
      <c r="W2123" s="327"/>
    </row>
    <row r="2124" spans="1:23" x14ac:dyDescent="0.2">
      <c r="A2124" s="9"/>
      <c r="B2124" s="309" t="s">
        <v>37</v>
      </c>
      <c r="C2124" s="443">
        <v>0</v>
      </c>
      <c r="D2124" s="404">
        <v>-2205792.4777916665</v>
      </c>
      <c r="E2124" s="404">
        <v>-2222039.8326947</v>
      </c>
      <c r="F2124" s="404">
        <v>-2218137.6819562335</v>
      </c>
      <c r="G2124" s="404">
        <v>-2220256.6387888333</v>
      </c>
      <c r="H2124" s="404">
        <v>-2219185.1215633</v>
      </c>
      <c r="I2124" s="404">
        <v>-2226619.5543877864</v>
      </c>
      <c r="J2124" s="404">
        <v>-1256543.5727660493</v>
      </c>
      <c r="K2124" s="404">
        <v>-177177.11623212308</v>
      </c>
      <c r="L2124" s="404">
        <v>-58102.652253174434</v>
      </c>
      <c r="M2124" s="404">
        <v>-50933.398863777002</v>
      </c>
      <c r="N2124" s="404">
        <v>-56024.561237648646</v>
      </c>
      <c r="O2124" s="404">
        <v>-61012.248515047766</v>
      </c>
      <c r="P2124" s="404">
        <v>-66107.079919419528</v>
      </c>
      <c r="Q2124" s="404">
        <v>-71231.412932589112</v>
      </c>
      <c r="R2124" s="404">
        <v>-76513.332602820446</v>
      </c>
      <c r="S2124" s="404">
        <v>-82080.228196492069</v>
      </c>
      <c r="T2124" s="404">
        <v>-87814.130657973845</v>
      </c>
      <c r="U2124" s="404">
        <v>-93720.050193300063</v>
      </c>
      <c r="V2124" s="404">
        <v>-99803.147314686066</v>
      </c>
      <c r="W2124" s="327"/>
    </row>
    <row r="2125" spans="1:23" ht="13.5" thickBot="1" x14ac:dyDescent="0.25">
      <c r="A2125" s="9"/>
      <c r="B2125" s="310" t="s">
        <v>221</v>
      </c>
      <c r="C2125" s="444">
        <v>0</v>
      </c>
      <c r="D2125" s="406">
        <v>-1171989.9335494346</v>
      </c>
      <c r="E2125" s="406">
        <v>-539897.13878211321</v>
      </c>
      <c r="F2125" s="406">
        <v>-338308.96306866914</v>
      </c>
      <c r="G2125" s="406">
        <v>-96111.138099922624</v>
      </c>
      <c r="H2125" s="406">
        <v>-61322.036801572336</v>
      </c>
      <c r="I2125" s="406">
        <v>-15434.687183606438</v>
      </c>
      <c r="J2125" s="406">
        <v>-542466.41262925789</v>
      </c>
      <c r="K2125" s="406">
        <v>-1379319.0803574696</v>
      </c>
      <c r="L2125" s="406">
        <v>-1496179.1975847001</v>
      </c>
      <c r="M2125" s="406">
        <v>-1529889.6052248282</v>
      </c>
      <c r="N2125" s="406">
        <v>-1178910.7357480738</v>
      </c>
      <c r="O2125" s="406">
        <v>-1387770.6316756345</v>
      </c>
      <c r="P2125" s="406">
        <v>-1293511.3083248492</v>
      </c>
      <c r="Q2125" s="406">
        <v>-1624975.0481469019</v>
      </c>
      <c r="R2125" s="406">
        <v>-1391647.0426214142</v>
      </c>
      <c r="S2125" s="406">
        <v>-1113496.8028522914</v>
      </c>
      <c r="T2125" s="406">
        <v>-1211730.2955166155</v>
      </c>
      <c r="U2125" s="406">
        <v>-1412949.6579328617</v>
      </c>
      <c r="V2125" s="406">
        <v>-1246659.5613185379</v>
      </c>
      <c r="W2125" s="327"/>
    </row>
    <row r="2126" spans="1:23" ht="13.5" thickTop="1" x14ac:dyDescent="0.2">
      <c r="A2126" s="9"/>
      <c r="B2126" s="311" t="s">
        <v>183</v>
      </c>
      <c r="C2126" s="446">
        <v>0</v>
      </c>
      <c r="D2126" s="410">
        <v>1757984.9003241516</v>
      </c>
      <c r="E2126" s="410">
        <v>809845.70817316987</v>
      </c>
      <c r="F2126" s="410">
        <v>507463.44460300362</v>
      </c>
      <c r="G2126" s="410">
        <v>144166.70714988391</v>
      </c>
      <c r="H2126" s="410">
        <v>91983.05520235849</v>
      </c>
      <c r="I2126" s="410">
        <v>23152.030775409658</v>
      </c>
      <c r="J2126" s="410">
        <v>813699.61894388683</v>
      </c>
      <c r="K2126" s="410">
        <v>2068978.620536204</v>
      </c>
      <c r="L2126" s="410">
        <v>2244268.7963770498</v>
      </c>
      <c r="M2126" s="410">
        <v>2294834.4078372419</v>
      </c>
      <c r="N2126" s="410">
        <v>1768366.1036221103</v>
      </c>
      <c r="O2126" s="410">
        <v>2081655.9475134513</v>
      </c>
      <c r="P2126" s="410">
        <v>1940266.9624872734</v>
      </c>
      <c r="Q2126" s="410">
        <v>2437462.5722203525</v>
      </c>
      <c r="R2126" s="410">
        <v>2087470.5639321208</v>
      </c>
      <c r="S2126" s="410">
        <v>1670245.2042784372</v>
      </c>
      <c r="T2126" s="410">
        <v>1817595.4432749229</v>
      </c>
      <c r="U2126" s="410">
        <v>2119424.4868992921</v>
      </c>
      <c r="V2126" s="410">
        <v>1869989.341977807</v>
      </c>
      <c r="W2126" s="327"/>
    </row>
    <row r="2127" spans="1:23" x14ac:dyDescent="0.2">
      <c r="A2127" s="9"/>
      <c r="B2127" s="309" t="s">
        <v>37</v>
      </c>
      <c r="C2127" s="443">
        <v>0</v>
      </c>
      <c r="D2127" s="404">
        <v>2205792.4777916665</v>
      </c>
      <c r="E2127" s="404">
        <v>2222039.8326947</v>
      </c>
      <c r="F2127" s="404">
        <v>2218137.6819562335</v>
      </c>
      <c r="G2127" s="404">
        <v>2220256.6387888333</v>
      </c>
      <c r="H2127" s="404">
        <v>2219185.1215633</v>
      </c>
      <c r="I2127" s="404">
        <v>2226619.5543877864</v>
      </c>
      <c r="J2127" s="404">
        <v>1256543.5727660493</v>
      </c>
      <c r="K2127" s="404">
        <v>177177.11623212308</v>
      </c>
      <c r="L2127" s="404">
        <v>58102.652253174434</v>
      </c>
      <c r="M2127" s="404">
        <v>50933.398863777002</v>
      </c>
      <c r="N2127" s="404">
        <v>56024.561237648646</v>
      </c>
      <c r="O2127" s="404">
        <v>61012.248515047766</v>
      </c>
      <c r="P2127" s="404">
        <v>66107.079919419528</v>
      </c>
      <c r="Q2127" s="404">
        <v>71231.412932589112</v>
      </c>
      <c r="R2127" s="404">
        <v>76513.332602820446</v>
      </c>
      <c r="S2127" s="404">
        <v>82080.228196492069</v>
      </c>
      <c r="T2127" s="404">
        <v>87814.130657973845</v>
      </c>
      <c r="U2127" s="404">
        <v>93720.050193300063</v>
      </c>
      <c r="V2127" s="404">
        <v>99803.147314686066</v>
      </c>
      <c r="W2127" s="327"/>
    </row>
    <row r="2128" spans="1:23" x14ac:dyDescent="0.2">
      <c r="A2128" s="9"/>
      <c r="B2128" s="309" t="s">
        <v>39</v>
      </c>
      <c r="C2128" s="443">
        <v>0</v>
      </c>
      <c r="D2128" s="404">
        <v>-368261.63</v>
      </c>
      <c r="E2128" s="404">
        <v>-14707.35</v>
      </c>
      <c r="F2128" s="404">
        <v>-15149.69</v>
      </c>
      <c r="G2128" s="404">
        <v>-15661.04</v>
      </c>
      <c r="H2128" s="404">
        <v>-85748.867999999988</v>
      </c>
      <c r="I2128" s="404">
        <v>-88321.334039999987</v>
      </c>
      <c r="J2128" s="404">
        <v>-90970.974061199988</v>
      </c>
      <c r="K2128" s="404">
        <v>-93700.103283035991</v>
      </c>
      <c r="L2128" s="404">
        <v>-96511.106381527075</v>
      </c>
      <c r="M2128" s="404">
        <v>-99406.439572972886</v>
      </c>
      <c r="N2128" s="404">
        <v>-102388.63276016207</v>
      </c>
      <c r="O2128" s="404">
        <v>-105460.29174296693</v>
      </c>
      <c r="P2128" s="404">
        <v>-108624.10049525595</v>
      </c>
      <c r="Q2128" s="404">
        <v>-111882.82351011362</v>
      </c>
      <c r="R2128" s="404">
        <v>-115239.30821541704</v>
      </c>
      <c r="S2128" s="404">
        <v>-118696.48746187956</v>
      </c>
      <c r="T2128" s="404">
        <v>-122257.38208573595</v>
      </c>
      <c r="U2128" s="404">
        <v>-125925.10354830803</v>
      </c>
      <c r="V2128" s="404">
        <v>-129702.85665475728</v>
      </c>
      <c r="W2128" s="327"/>
    </row>
    <row r="2129" spans="1:23" ht="13.5" thickBot="1" x14ac:dyDescent="0.25">
      <c r="A2129" s="9"/>
      <c r="B2129" s="310" t="s">
        <v>40</v>
      </c>
      <c r="C2129" s="444">
        <v>0</v>
      </c>
      <c r="D2129" s="406">
        <v>0</v>
      </c>
      <c r="E2129" s="406">
        <v>0</v>
      </c>
      <c r="F2129" s="406">
        <v>0</v>
      </c>
      <c r="G2129" s="406">
        <v>0</v>
      </c>
      <c r="H2129" s="406">
        <v>0</v>
      </c>
      <c r="I2129" s="406">
        <v>0</v>
      </c>
      <c r="J2129" s="406">
        <v>0</v>
      </c>
      <c r="K2129" s="406">
        <v>0</v>
      </c>
      <c r="L2129" s="406">
        <v>0</v>
      </c>
      <c r="M2129" s="406">
        <v>0</v>
      </c>
      <c r="N2129" s="406">
        <v>0</v>
      </c>
      <c r="O2129" s="406">
        <v>0</v>
      </c>
      <c r="P2129" s="406">
        <v>0</v>
      </c>
      <c r="Q2129" s="406">
        <v>0</v>
      </c>
      <c r="R2129" s="406">
        <v>0</v>
      </c>
      <c r="S2129" s="406">
        <v>0</v>
      </c>
      <c r="T2129" s="406">
        <v>0</v>
      </c>
      <c r="U2129" s="406">
        <v>0</v>
      </c>
      <c r="V2129" s="406">
        <v>0</v>
      </c>
      <c r="W2129" s="327"/>
    </row>
    <row r="2130" spans="1:23" ht="13.5" thickTop="1" x14ac:dyDescent="0.2">
      <c r="A2130" s="9"/>
      <c r="B2130" s="309"/>
      <c r="C2130" s="447"/>
      <c r="D2130" s="327"/>
      <c r="E2130" s="327"/>
      <c r="F2130" s="327"/>
      <c r="G2130" s="327"/>
      <c r="H2130" s="327"/>
      <c r="I2130" s="327"/>
      <c r="J2130" s="327"/>
      <c r="K2130" s="327"/>
      <c r="L2130" s="327"/>
      <c r="M2130" s="327"/>
      <c r="N2130" s="327"/>
      <c r="O2130" s="327"/>
      <c r="P2130" s="327"/>
      <c r="Q2130" s="327"/>
      <c r="R2130" s="327"/>
      <c r="S2130" s="327"/>
      <c r="T2130" s="327"/>
      <c r="U2130" s="327"/>
      <c r="V2130" s="327"/>
      <c r="W2130" s="327"/>
    </row>
    <row r="2131" spans="1:23" x14ac:dyDescent="0.2">
      <c r="A2131" s="9"/>
      <c r="B2131" s="311" t="s">
        <v>233</v>
      </c>
      <c r="C2131" s="446">
        <v>0</v>
      </c>
      <c r="D2131" s="410">
        <v>3595515.748115818</v>
      </c>
      <c r="E2131" s="410">
        <v>3017178.1908678696</v>
      </c>
      <c r="F2131" s="410">
        <v>2710451.4365592371</v>
      </c>
      <c r="G2131" s="410">
        <v>2348762.305938717</v>
      </c>
      <c r="H2131" s="410">
        <v>2225419.3087656586</v>
      </c>
      <c r="I2131" s="410">
        <v>2161450.251123196</v>
      </c>
      <c r="J2131" s="410">
        <v>1979272.2176487362</v>
      </c>
      <c r="K2131" s="410">
        <v>2152455.6334852912</v>
      </c>
      <c r="L2131" s="410">
        <v>2205860.3422486968</v>
      </c>
      <c r="M2131" s="410">
        <v>2246361.3671280462</v>
      </c>
      <c r="N2131" s="410">
        <v>1722002.0320995969</v>
      </c>
      <c r="O2131" s="410">
        <v>2037207.904285532</v>
      </c>
      <c r="P2131" s="410">
        <v>1897749.9419114369</v>
      </c>
      <c r="Q2131" s="410">
        <v>2396811.161642828</v>
      </c>
      <c r="R2131" s="410">
        <v>2048744.5883195242</v>
      </c>
      <c r="S2131" s="410">
        <v>1633628.9450130498</v>
      </c>
      <c r="T2131" s="410">
        <v>1783152.1918471609</v>
      </c>
      <c r="U2131" s="410">
        <v>2087219.433544284</v>
      </c>
      <c r="V2131" s="410">
        <v>1840089.6326377359</v>
      </c>
      <c r="W2131" s="408">
        <v>12100475.84611894</v>
      </c>
    </row>
    <row r="2132" spans="1:23" x14ac:dyDescent="0.2">
      <c r="A2132" s="9"/>
      <c r="B2132" s="286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</row>
    <row r="2133" spans="1:23" x14ac:dyDescent="0.2">
      <c r="A2133" s="302" t="s">
        <v>218</v>
      </c>
      <c r="B2133" s="300" t="s">
        <v>170</v>
      </c>
      <c r="C2133" s="433">
        <v>10784635.216419905</v>
      </c>
      <c r="D2133" s="9"/>
      <c r="E2133" s="137" t="s">
        <v>219</v>
      </c>
      <c r="F2133" s="313" t="s">
        <v>170</v>
      </c>
      <c r="G2133" s="437">
        <v>10784635.216419905</v>
      </c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</row>
    <row r="2134" spans="1:23" x14ac:dyDescent="0.2">
      <c r="A2134" s="9"/>
      <c r="B2134" s="300" t="s">
        <v>180</v>
      </c>
      <c r="C2134" s="433">
        <v>9350042.0048572831</v>
      </c>
      <c r="D2134" s="9"/>
      <c r="E2134" s="315"/>
      <c r="F2134" s="313" t="s">
        <v>180</v>
      </c>
      <c r="G2134" s="437">
        <v>9350042.0048572831</v>
      </c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</row>
    <row r="2135" spans="1:23" ht="13.5" thickBot="1" x14ac:dyDescent="0.25">
      <c r="A2135" s="9"/>
      <c r="B2135" s="316" t="s">
        <v>137</v>
      </c>
      <c r="C2135" s="434">
        <v>1798658.6305856367</v>
      </c>
      <c r="D2135" s="317"/>
      <c r="E2135" s="315"/>
      <c r="F2135" s="313" t="s">
        <v>137</v>
      </c>
      <c r="G2135" s="437">
        <v>1798658.6305856367</v>
      </c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</row>
    <row r="2136" spans="1:23" ht="14.25" thickTop="1" thickBot="1" x14ac:dyDescent="0.25">
      <c r="A2136" s="9"/>
      <c r="B2136" s="300" t="s">
        <v>28</v>
      </c>
      <c r="C2136" s="432">
        <v>21933335.851862825</v>
      </c>
      <c r="D2136" s="299"/>
      <c r="E2136" s="315"/>
      <c r="F2136" s="318" t="s">
        <v>203</v>
      </c>
      <c r="G2136" s="319">
        <v>0</v>
      </c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</row>
    <row r="2137" spans="1:23" ht="13.5" thickTop="1" x14ac:dyDescent="0.2">
      <c r="A2137" s="9"/>
      <c r="B2137" s="286"/>
      <c r="C2137" s="320"/>
      <c r="D2137" s="9"/>
      <c r="E2137" s="321"/>
      <c r="F2137" s="313" t="s">
        <v>28</v>
      </c>
      <c r="G2137" s="362">
        <v>21933335.851862825</v>
      </c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</row>
    <row r="2138" spans="1:23" x14ac:dyDescent="0.2">
      <c r="A2138" s="9"/>
      <c r="B2138" s="286"/>
      <c r="C2138" s="320"/>
      <c r="D2138" s="9"/>
      <c r="E2138" s="321"/>
      <c r="F2138" s="313"/>
      <c r="G2138" s="322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</row>
    <row r="2139" spans="1:23" x14ac:dyDescent="0.2">
      <c r="A2139" s="9"/>
      <c r="B2139" s="286"/>
      <c r="C2139" s="320"/>
      <c r="D2139" s="9"/>
      <c r="E2139" s="321"/>
      <c r="F2139" s="313"/>
      <c r="G2139" s="322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</row>
    <row r="2140" spans="1:23" x14ac:dyDescent="0.2">
      <c r="A2140" s="9"/>
      <c r="B2140" s="323" t="s">
        <v>222</v>
      </c>
      <c r="C2140" s="320"/>
      <c r="D2140" s="9"/>
      <c r="E2140" s="321"/>
      <c r="F2140" s="313"/>
      <c r="G2140" s="322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</row>
    <row r="2141" spans="1:23" x14ac:dyDescent="0.2">
      <c r="A2141" s="324" t="s">
        <v>224</v>
      </c>
      <c r="B2141" s="323" t="s">
        <v>223</v>
      </c>
      <c r="C2141" s="325"/>
      <c r="D2141" s="326">
        <v>1757984.9003241516</v>
      </c>
      <c r="E2141" s="326">
        <v>809845.70817316987</v>
      </c>
      <c r="F2141" s="326">
        <v>507463.44460300362</v>
      </c>
      <c r="G2141" s="326">
        <v>144166.70714988391</v>
      </c>
      <c r="H2141" s="326">
        <v>91983.05520235849</v>
      </c>
      <c r="I2141" s="326">
        <v>23152.030775409658</v>
      </c>
      <c r="J2141" s="326">
        <v>813699.61894388683</v>
      </c>
      <c r="K2141" s="326">
        <v>2068978.620536204</v>
      </c>
      <c r="L2141" s="326">
        <v>2244268.7963770498</v>
      </c>
      <c r="M2141" s="326">
        <v>2294834.4078372419</v>
      </c>
      <c r="N2141" s="326">
        <v>1768366.1036221103</v>
      </c>
      <c r="O2141" s="326">
        <v>2081655.9475134513</v>
      </c>
      <c r="P2141" s="326">
        <v>1940266.9624872734</v>
      </c>
      <c r="Q2141" s="326">
        <v>2437462.5722203525</v>
      </c>
      <c r="R2141" s="326">
        <v>2087470.5639321208</v>
      </c>
      <c r="S2141" s="326">
        <v>1670245.2042784372</v>
      </c>
      <c r="T2141" s="326">
        <v>1817595.4432749229</v>
      </c>
      <c r="U2141" s="326">
        <v>2119424.4868992921</v>
      </c>
      <c r="V2141" s="326">
        <v>1869989.341977807</v>
      </c>
      <c r="W2141" s="9"/>
    </row>
    <row r="2142" spans="1:23" x14ac:dyDescent="0.2">
      <c r="A2142" s="9"/>
      <c r="B2142" s="286" t="s">
        <v>225</v>
      </c>
      <c r="C2142" s="320"/>
      <c r="D2142" s="327">
        <v>1171989.9335494346</v>
      </c>
      <c r="E2142" s="327">
        <v>539897.13878211321</v>
      </c>
      <c r="F2142" s="327">
        <v>338308.96306866914</v>
      </c>
      <c r="G2142" s="327">
        <v>96111.138099922624</v>
      </c>
      <c r="H2142" s="327">
        <v>61322.036801572336</v>
      </c>
      <c r="I2142" s="327">
        <v>15434.687183606438</v>
      </c>
      <c r="J2142" s="327">
        <v>542466.41262925789</v>
      </c>
      <c r="K2142" s="327">
        <v>1379319.0803574696</v>
      </c>
      <c r="L2142" s="327">
        <v>1496179.1975847001</v>
      </c>
      <c r="M2142" s="327">
        <v>1529889.6052248282</v>
      </c>
      <c r="N2142" s="327">
        <v>1178910.7357480738</v>
      </c>
      <c r="O2142" s="327">
        <v>1387770.6316756345</v>
      </c>
      <c r="P2142" s="327">
        <v>1293511.3083248492</v>
      </c>
      <c r="Q2142" s="327">
        <v>1624975.0481469019</v>
      </c>
      <c r="R2142" s="327">
        <v>1391647.0426214142</v>
      </c>
      <c r="S2142" s="327">
        <v>1113496.8028522914</v>
      </c>
      <c r="T2142" s="327">
        <v>1211730.2955166155</v>
      </c>
      <c r="U2142" s="327">
        <v>1412949.6579328617</v>
      </c>
      <c r="V2142" s="327">
        <v>1246659.5613185379</v>
      </c>
      <c r="W2142" s="9"/>
    </row>
    <row r="2143" spans="1:23" x14ac:dyDescent="0.2">
      <c r="A2143" s="9"/>
      <c r="B2143" s="328" t="s">
        <v>226</v>
      </c>
      <c r="C2143" s="329"/>
      <c r="D2143" s="327">
        <v>2205792.4777916665</v>
      </c>
      <c r="E2143" s="327">
        <v>2222039.8326947</v>
      </c>
      <c r="F2143" s="327">
        <v>2218137.6819562335</v>
      </c>
      <c r="G2143" s="327">
        <v>2220256.6387888333</v>
      </c>
      <c r="H2143" s="327">
        <v>2219185.1215633</v>
      </c>
      <c r="I2143" s="327">
        <v>2226619.5543877864</v>
      </c>
      <c r="J2143" s="327">
        <v>1256543.5727660493</v>
      </c>
      <c r="K2143" s="327">
        <v>177177.11623212308</v>
      </c>
      <c r="L2143" s="327">
        <v>58102.652253174434</v>
      </c>
      <c r="M2143" s="327">
        <v>50933.398863777002</v>
      </c>
      <c r="N2143" s="327">
        <v>56024.561237648646</v>
      </c>
      <c r="O2143" s="327">
        <v>61012.248515047766</v>
      </c>
      <c r="P2143" s="327">
        <v>66107.079919419528</v>
      </c>
      <c r="Q2143" s="327">
        <v>71231.412932589112</v>
      </c>
      <c r="R2143" s="327">
        <v>76513.332602820446</v>
      </c>
      <c r="S2143" s="327">
        <v>82080.228196492069</v>
      </c>
      <c r="T2143" s="327">
        <v>87814.130657973845</v>
      </c>
      <c r="U2143" s="327">
        <v>93720.050193300063</v>
      </c>
      <c r="V2143" s="327">
        <v>99803.147314686066</v>
      </c>
      <c r="W2143" s="9"/>
    </row>
    <row r="2144" spans="1:23" ht="13.5" thickBot="1" x14ac:dyDescent="0.25">
      <c r="A2144" s="9"/>
      <c r="B2144" s="330" t="s">
        <v>227</v>
      </c>
      <c r="C2144" s="331"/>
      <c r="D2144" s="332">
        <v>5135767.3116652528</v>
      </c>
      <c r="E2144" s="332">
        <v>3571782.6796499831</v>
      </c>
      <c r="F2144" s="332">
        <v>3063910.0896279062</v>
      </c>
      <c r="G2144" s="332">
        <v>2460534.4840386398</v>
      </c>
      <c r="H2144" s="332">
        <v>2372490.2135672309</v>
      </c>
      <c r="I2144" s="332">
        <v>2265206.2723468025</v>
      </c>
      <c r="J2144" s="332">
        <v>2612709.604339194</v>
      </c>
      <c r="K2144" s="332">
        <v>3625474.8171257968</v>
      </c>
      <c r="L2144" s="332">
        <v>3798550.6462149238</v>
      </c>
      <c r="M2144" s="332">
        <v>3875657.4119258472</v>
      </c>
      <c r="N2144" s="332">
        <v>3003301.4006078327</v>
      </c>
      <c r="O2144" s="332">
        <v>3530438.8277041335</v>
      </c>
      <c r="P2144" s="332">
        <v>3299885.3507315423</v>
      </c>
      <c r="Q2144" s="332">
        <v>4133669.0332998433</v>
      </c>
      <c r="R2144" s="332">
        <v>3555630.9391563553</v>
      </c>
      <c r="S2144" s="332">
        <v>2865822.2353272205</v>
      </c>
      <c r="T2144" s="332">
        <v>3117139.8694495121</v>
      </c>
      <c r="U2144" s="332">
        <v>3626094.1950254538</v>
      </c>
      <c r="V2144" s="332">
        <v>3216452.0506110308</v>
      </c>
      <c r="W2144" s="9"/>
    </row>
    <row r="2145" spans="1:23" ht="13.5" thickTop="1" x14ac:dyDescent="0.2">
      <c r="A2145" s="324" t="s">
        <v>228</v>
      </c>
      <c r="B2145" s="286" t="s">
        <v>229</v>
      </c>
      <c r="C2145" s="320"/>
      <c r="D2145" s="327">
        <v>-1848635.5630308667</v>
      </c>
      <c r="E2145" s="327">
        <v>-1849370.9305308666</v>
      </c>
      <c r="F2145" s="327">
        <v>-1850128.4150308666</v>
      </c>
      <c r="G2145" s="327">
        <v>-1850911.4670308665</v>
      </c>
      <c r="H2145" s="327">
        <v>-1855198.9104308665</v>
      </c>
      <c r="I2145" s="327">
        <v>-1859614.9771328666</v>
      </c>
      <c r="J2145" s="327">
        <v>-1864163.5258359266</v>
      </c>
      <c r="K2145" s="327">
        <v>-1868848.5310000784</v>
      </c>
      <c r="L2145" s="327">
        <v>-1873674.0863191548</v>
      </c>
      <c r="M2145" s="327">
        <v>-1878644.4082978035</v>
      </c>
      <c r="N2145" s="327">
        <v>-1883763.8399358115</v>
      </c>
      <c r="O2145" s="327">
        <v>-1889036.8545229598</v>
      </c>
      <c r="P2145" s="327">
        <v>-1894468.0595477226</v>
      </c>
      <c r="Q2145" s="327">
        <v>-1900062.2007232283</v>
      </c>
      <c r="R2145" s="327">
        <v>-542427.20280067064</v>
      </c>
      <c r="S2145" s="327">
        <v>-159621.1571737598</v>
      </c>
      <c r="T2145" s="327">
        <v>-165734.0262780466</v>
      </c>
      <c r="U2145" s="327">
        <v>-172030.28145546198</v>
      </c>
      <c r="V2145" s="327">
        <v>-178515.42428819987</v>
      </c>
      <c r="W2145" s="9"/>
    </row>
    <row r="2146" spans="1:23" x14ac:dyDescent="0.2">
      <c r="A2146" s="9"/>
      <c r="B2146" s="286" t="s">
        <v>230</v>
      </c>
      <c r="C2146" s="320"/>
      <c r="D2146" s="327">
        <v>0</v>
      </c>
      <c r="E2146" s="327">
        <v>0</v>
      </c>
      <c r="F2146" s="327">
        <v>0</v>
      </c>
      <c r="G2146" s="327">
        <v>0</v>
      </c>
      <c r="H2146" s="327">
        <v>0</v>
      </c>
      <c r="I2146" s="327">
        <v>0</v>
      </c>
      <c r="J2146" s="327">
        <v>0</v>
      </c>
      <c r="K2146" s="327">
        <v>0</v>
      </c>
      <c r="L2146" s="327">
        <v>0</v>
      </c>
      <c r="M2146" s="327">
        <v>0</v>
      </c>
      <c r="N2146" s="327">
        <v>0</v>
      </c>
      <c r="O2146" s="327">
        <v>0</v>
      </c>
      <c r="P2146" s="327">
        <v>0</v>
      </c>
      <c r="Q2146" s="327">
        <v>0</v>
      </c>
      <c r="R2146" s="327">
        <v>0</v>
      </c>
      <c r="S2146" s="327">
        <v>0</v>
      </c>
      <c r="T2146" s="327">
        <v>0</v>
      </c>
      <c r="U2146" s="327">
        <v>0</v>
      </c>
      <c r="V2146" s="327">
        <v>0</v>
      </c>
      <c r="W2146" s="9"/>
    </row>
    <row r="2147" spans="1:23" x14ac:dyDescent="0.2">
      <c r="A2147" s="9"/>
      <c r="B2147" s="323" t="s">
        <v>231</v>
      </c>
      <c r="C2147" s="325"/>
      <c r="D2147" s="326">
        <v>3287131.7486343859</v>
      </c>
      <c r="E2147" s="326">
        <v>1722411.7491191165</v>
      </c>
      <c r="F2147" s="326">
        <v>1213781.6745970396</v>
      </c>
      <c r="G2147" s="326">
        <v>609623.01700777328</v>
      </c>
      <c r="H2147" s="326">
        <v>517291.30313636432</v>
      </c>
      <c r="I2147" s="326">
        <v>405591.2952139359</v>
      </c>
      <c r="J2147" s="326">
        <v>748546.07850326737</v>
      </c>
      <c r="K2147" s="326">
        <v>1756626.2861257184</v>
      </c>
      <c r="L2147" s="326">
        <v>1924876.559895769</v>
      </c>
      <c r="M2147" s="326">
        <v>1997013.0036280437</v>
      </c>
      <c r="N2147" s="326">
        <v>1119537.5606720212</v>
      </c>
      <c r="O2147" s="326">
        <v>1641401.9731811737</v>
      </c>
      <c r="P2147" s="326">
        <v>1405417.2911838198</v>
      </c>
      <c r="Q2147" s="326">
        <v>2233606.8325766148</v>
      </c>
      <c r="R2147" s="326">
        <v>3013203.7363556847</v>
      </c>
      <c r="S2147" s="326">
        <v>2706201.0781534608</v>
      </c>
      <c r="T2147" s="326">
        <v>2951405.8431714657</v>
      </c>
      <c r="U2147" s="326">
        <v>3454063.9135699919</v>
      </c>
      <c r="V2147" s="326">
        <v>3037936.626322831</v>
      </c>
      <c r="W2147" s="9"/>
    </row>
    <row r="2148" spans="1:23" ht="13.5" thickBot="1" x14ac:dyDescent="0.25">
      <c r="A2148" s="9"/>
      <c r="B2148" s="333" t="s">
        <v>237</v>
      </c>
      <c r="C2148" s="334"/>
      <c r="D2148" s="335">
        <v>-1314852.6994537544</v>
      </c>
      <c r="E2148" s="335">
        <v>-688964.69964764663</v>
      </c>
      <c r="F2148" s="335">
        <v>-485512.66983881587</v>
      </c>
      <c r="G2148" s="335">
        <v>-243849.20680310932</v>
      </c>
      <c r="H2148" s="335">
        <v>-206916.52125454575</v>
      </c>
      <c r="I2148" s="335">
        <v>-162236.51808557438</v>
      </c>
      <c r="J2148" s="335">
        <v>-299418.43140130694</v>
      </c>
      <c r="K2148" s="335">
        <v>-702650.51445028745</v>
      </c>
      <c r="L2148" s="335">
        <v>-769950.62395830767</v>
      </c>
      <c r="M2148" s="335">
        <v>-798805.20145121752</v>
      </c>
      <c r="N2148" s="335">
        <v>-447815.02426880854</v>
      </c>
      <c r="O2148" s="335">
        <v>-656560.78927246947</v>
      </c>
      <c r="P2148" s="335">
        <v>-562166.9164735279</v>
      </c>
      <c r="Q2148" s="335">
        <v>-893442.73303064599</v>
      </c>
      <c r="R2148" s="335">
        <v>-1205281.4945422739</v>
      </c>
      <c r="S2148" s="335">
        <v>-1082480.4312613844</v>
      </c>
      <c r="T2148" s="335">
        <v>-1180562.3372685863</v>
      </c>
      <c r="U2148" s="335">
        <v>-1381625.5654279969</v>
      </c>
      <c r="V2148" s="335">
        <v>-1215174.6505291325</v>
      </c>
      <c r="W2148" s="9"/>
    </row>
    <row r="2149" spans="1:23" ht="13.5" thickTop="1" x14ac:dyDescent="0.2">
      <c r="A2149" s="9"/>
      <c r="B2149" s="323" t="s">
        <v>232</v>
      </c>
      <c r="C2149" s="325"/>
      <c r="D2149" s="326">
        <v>1972279.0491806315</v>
      </c>
      <c r="E2149" s="326">
        <v>1033447.0494714698</v>
      </c>
      <c r="F2149" s="326">
        <v>728269.00475822366</v>
      </c>
      <c r="G2149" s="326">
        <v>365773.81020466395</v>
      </c>
      <c r="H2149" s="326">
        <v>310374.78188181855</v>
      </c>
      <c r="I2149" s="326">
        <v>243354.77712836151</v>
      </c>
      <c r="J2149" s="326">
        <v>449127.64710196044</v>
      </c>
      <c r="K2149" s="326">
        <v>1053975.7716754309</v>
      </c>
      <c r="L2149" s="326">
        <v>1154925.9359374614</v>
      </c>
      <c r="M2149" s="326">
        <v>1198207.8021768262</v>
      </c>
      <c r="N2149" s="326">
        <v>671722.5364032127</v>
      </c>
      <c r="O2149" s="326">
        <v>984841.1839087042</v>
      </c>
      <c r="P2149" s="326">
        <v>843250.37471029186</v>
      </c>
      <c r="Q2149" s="326">
        <v>1340164.0995459687</v>
      </c>
      <c r="R2149" s="326">
        <v>1807922.2418134108</v>
      </c>
      <c r="S2149" s="326">
        <v>1623720.6468920764</v>
      </c>
      <c r="T2149" s="326">
        <v>1770843.5059028794</v>
      </c>
      <c r="U2149" s="326">
        <v>2072438.348141995</v>
      </c>
      <c r="V2149" s="326">
        <v>1822761.9757936986</v>
      </c>
      <c r="W2149" s="9"/>
    </row>
    <row r="2150" spans="1:23" x14ac:dyDescent="0.2">
      <c r="A2150" s="9"/>
      <c r="B2150" s="9"/>
      <c r="C2150" s="320"/>
      <c r="D2150" s="9"/>
      <c r="E2150" s="321"/>
      <c r="F2150" s="313"/>
      <c r="G2150" s="322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</row>
    <row r="2151" spans="1:23" ht="15.75" x14ac:dyDescent="0.25">
      <c r="A2151" s="336" t="s">
        <v>205</v>
      </c>
      <c r="B2151" s="337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</row>
    <row r="2152" spans="1:23" x14ac:dyDescent="0.2">
      <c r="A2152" s="284" t="s">
        <v>190</v>
      </c>
      <c r="B2152" s="303"/>
      <c r="C2152" s="338">
        <v>0</v>
      </c>
      <c r="D2152" s="277"/>
      <c r="E2152" s="277"/>
      <c r="F2152" s="277"/>
      <c r="G2152" s="277"/>
      <c r="H2152" s="277"/>
      <c r="I2152" s="277"/>
      <c r="J2152" s="277"/>
      <c r="K2152" s="277"/>
      <c r="L2152" s="277"/>
      <c r="M2152" s="277"/>
      <c r="N2152" s="277"/>
      <c r="O2152" s="277"/>
      <c r="P2152" s="277"/>
      <c r="Q2152" s="277"/>
      <c r="R2152" s="277"/>
      <c r="S2152" s="277"/>
      <c r="T2152" s="277"/>
      <c r="U2152" s="277"/>
      <c r="V2152" s="277"/>
      <c r="W2152" s="277"/>
    </row>
    <row r="2153" spans="1:23" x14ac:dyDescent="0.2">
      <c r="A2153" s="284" t="s">
        <v>191</v>
      </c>
      <c r="B2153" s="303"/>
      <c r="C2153" s="339">
        <v>0</v>
      </c>
      <c r="D2153" s="277"/>
      <c r="E2153" s="277"/>
      <c r="F2153" s="277"/>
      <c r="G2153" s="277"/>
      <c r="H2153" s="277"/>
      <c r="I2153" s="277"/>
      <c r="J2153" s="277"/>
      <c r="K2153" s="277"/>
      <c r="L2153" s="277"/>
      <c r="M2153" s="277"/>
      <c r="N2153" s="277"/>
      <c r="O2153" s="277"/>
      <c r="P2153" s="277"/>
      <c r="Q2153" s="277"/>
      <c r="R2153" s="277"/>
      <c r="S2153" s="277"/>
      <c r="T2153" s="277"/>
      <c r="U2153" s="277"/>
      <c r="V2153" s="277"/>
      <c r="W2153" s="277"/>
    </row>
    <row r="2154" spans="1:23" x14ac:dyDescent="0.2">
      <c r="A2154" s="284" t="s">
        <v>201</v>
      </c>
      <c r="B2154" s="303"/>
      <c r="C2154" s="284">
        <v>15</v>
      </c>
      <c r="D2154" s="277"/>
      <c r="E2154" s="277"/>
      <c r="F2154" s="277"/>
      <c r="G2154" s="277"/>
      <c r="H2154" s="277"/>
      <c r="I2154" s="277"/>
      <c r="J2154" s="277"/>
      <c r="K2154" s="277"/>
      <c r="L2154" s="277"/>
      <c r="M2154" s="277"/>
      <c r="N2154" s="277"/>
      <c r="O2154" s="277"/>
      <c r="P2154" s="277"/>
      <c r="Q2154" s="277"/>
      <c r="R2154" s="277"/>
      <c r="S2154" s="277"/>
      <c r="T2154" s="277"/>
      <c r="U2154" s="277"/>
      <c r="V2154" s="277"/>
      <c r="W2154" s="277"/>
    </row>
    <row r="2155" spans="1:23" x14ac:dyDescent="0.2">
      <c r="A2155" s="284" t="s">
        <v>192</v>
      </c>
      <c r="B2155" s="303"/>
      <c r="C2155" s="339">
        <v>0</v>
      </c>
      <c r="D2155" s="277"/>
      <c r="E2155" s="277"/>
      <c r="F2155" s="277"/>
      <c r="G2155" s="277"/>
      <c r="H2155" s="277"/>
      <c r="I2155" s="277"/>
      <c r="J2155" s="277"/>
      <c r="K2155" s="277"/>
      <c r="L2155" s="277"/>
      <c r="M2155" s="277"/>
      <c r="N2155" s="277"/>
      <c r="O2155" s="277"/>
      <c r="P2155" s="277"/>
      <c r="Q2155" s="277"/>
      <c r="R2155" s="277"/>
      <c r="S2155" s="277"/>
      <c r="T2155" s="277"/>
      <c r="U2155" s="277"/>
      <c r="V2155" s="277"/>
      <c r="W2155" s="277"/>
    </row>
    <row r="2156" spans="1:23" x14ac:dyDescent="0.2">
      <c r="A2156" s="284" t="s">
        <v>193</v>
      </c>
      <c r="B2156" s="303"/>
      <c r="C2156" s="340">
        <v>8.7499999999999994E-2</v>
      </c>
      <c r="D2156" s="277"/>
      <c r="E2156" s="277"/>
      <c r="F2156" s="277"/>
      <c r="G2156" s="277"/>
      <c r="H2156" s="277"/>
      <c r="I2156" s="277"/>
      <c r="J2156" s="277"/>
      <c r="K2156" s="277"/>
      <c r="L2156" s="277"/>
      <c r="M2156" s="277"/>
      <c r="N2156" s="277"/>
      <c r="O2156" s="277"/>
      <c r="P2156" s="277"/>
      <c r="Q2156" s="277"/>
      <c r="R2156" s="277"/>
      <c r="S2156" s="277"/>
      <c r="T2156" s="277"/>
      <c r="U2156" s="277"/>
      <c r="V2156" s="277"/>
      <c r="W2156" s="277"/>
    </row>
    <row r="2157" spans="1:23" x14ac:dyDescent="0.2">
      <c r="A2157" s="284"/>
      <c r="B2157" s="303"/>
      <c r="C2157" s="277"/>
      <c r="D2157" s="306">
        <v>2001</v>
      </c>
      <c r="E2157" s="306">
        <v>2002</v>
      </c>
      <c r="F2157" s="306">
        <v>2003</v>
      </c>
      <c r="G2157" s="306">
        <v>2004</v>
      </c>
      <c r="H2157" s="306">
        <v>2005</v>
      </c>
      <c r="I2157" s="306">
        <v>2006</v>
      </c>
      <c r="J2157" s="306">
        <v>2007</v>
      </c>
      <c r="K2157" s="306">
        <v>2008</v>
      </c>
      <c r="L2157" s="306">
        <v>2009</v>
      </c>
      <c r="M2157" s="306">
        <v>2010</v>
      </c>
      <c r="N2157" s="306">
        <v>2011</v>
      </c>
      <c r="O2157" s="306">
        <v>2012</v>
      </c>
      <c r="P2157" s="306">
        <v>2013</v>
      </c>
      <c r="Q2157" s="306">
        <v>2014</v>
      </c>
      <c r="R2157" s="306">
        <v>2015</v>
      </c>
      <c r="S2157" s="306">
        <v>2016</v>
      </c>
      <c r="T2157" s="306">
        <v>2017</v>
      </c>
      <c r="U2157" s="306">
        <v>2018</v>
      </c>
      <c r="V2157" s="306">
        <v>2019</v>
      </c>
      <c r="W2157" s="306" t="s">
        <v>154</v>
      </c>
    </row>
    <row r="2158" spans="1:23" x14ac:dyDescent="0.2">
      <c r="A2158" s="284" t="s">
        <v>194</v>
      </c>
      <c r="B2158" s="303"/>
      <c r="C2158" s="277"/>
      <c r="D2158" s="341">
        <v>0</v>
      </c>
      <c r="E2158" s="341">
        <v>0</v>
      </c>
      <c r="F2158" s="341">
        <v>0</v>
      </c>
      <c r="G2158" s="341">
        <v>0</v>
      </c>
      <c r="H2158" s="341">
        <v>0</v>
      </c>
      <c r="I2158" s="341">
        <v>0</v>
      </c>
      <c r="J2158" s="341">
        <v>0</v>
      </c>
      <c r="K2158" s="341">
        <v>0</v>
      </c>
      <c r="L2158" s="341">
        <v>0</v>
      </c>
      <c r="M2158" s="341">
        <v>0</v>
      </c>
      <c r="N2158" s="341">
        <v>0</v>
      </c>
      <c r="O2158" s="341">
        <v>0</v>
      </c>
      <c r="P2158" s="341">
        <v>0</v>
      </c>
      <c r="Q2158" s="341">
        <v>0</v>
      </c>
      <c r="R2158" s="341">
        <v>0</v>
      </c>
      <c r="S2158" s="341">
        <v>0</v>
      </c>
      <c r="T2158" s="341">
        <v>0</v>
      </c>
      <c r="U2158" s="341">
        <v>0</v>
      </c>
      <c r="V2158" s="341">
        <v>0</v>
      </c>
      <c r="W2158" s="341">
        <v>0</v>
      </c>
    </row>
    <row r="2159" spans="1:23" x14ac:dyDescent="0.2">
      <c r="A2159" s="284" t="s">
        <v>195</v>
      </c>
      <c r="B2159" s="303"/>
      <c r="C2159" s="277"/>
      <c r="D2159" s="341">
        <v>0</v>
      </c>
      <c r="E2159" s="341">
        <v>0</v>
      </c>
      <c r="F2159" s="341">
        <v>0</v>
      </c>
      <c r="G2159" s="341">
        <v>0</v>
      </c>
      <c r="H2159" s="341">
        <v>0</v>
      </c>
      <c r="I2159" s="341">
        <v>0</v>
      </c>
      <c r="J2159" s="341">
        <v>0</v>
      </c>
      <c r="K2159" s="341">
        <v>0</v>
      </c>
      <c r="L2159" s="341">
        <v>0</v>
      </c>
      <c r="M2159" s="341">
        <v>0</v>
      </c>
      <c r="N2159" s="341">
        <v>0</v>
      </c>
      <c r="O2159" s="341">
        <v>0</v>
      </c>
      <c r="P2159" s="341">
        <v>0</v>
      </c>
      <c r="Q2159" s="341">
        <v>0</v>
      </c>
      <c r="R2159" s="341">
        <v>0</v>
      </c>
      <c r="S2159" s="341">
        <v>0</v>
      </c>
      <c r="T2159" s="341">
        <v>0</v>
      </c>
      <c r="U2159" s="341">
        <v>0</v>
      </c>
      <c r="V2159" s="341">
        <v>0</v>
      </c>
      <c r="W2159" s="341">
        <v>0</v>
      </c>
    </row>
    <row r="2160" spans="1:23" x14ac:dyDescent="0.2">
      <c r="A2160" s="284" t="s">
        <v>196</v>
      </c>
      <c r="B2160" s="303"/>
      <c r="C2160" s="277"/>
      <c r="D2160" s="341">
        <v>0</v>
      </c>
      <c r="E2160" s="341">
        <v>0</v>
      </c>
      <c r="F2160" s="341">
        <v>0</v>
      </c>
      <c r="G2160" s="341">
        <v>0</v>
      </c>
      <c r="H2160" s="341">
        <v>0</v>
      </c>
      <c r="I2160" s="341">
        <v>0</v>
      </c>
      <c r="J2160" s="341">
        <v>0</v>
      </c>
      <c r="K2160" s="341">
        <v>0</v>
      </c>
      <c r="L2160" s="341">
        <v>0</v>
      </c>
      <c r="M2160" s="341">
        <v>0</v>
      </c>
      <c r="N2160" s="341">
        <v>0</v>
      </c>
      <c r="O2160" s="341">
        <v>0</v>
      </c>
      <c r="P2160" s="341">
        <v>0</v>
      </c>
      <c r="Q2160" s="341">
        <v>0</v>
      </c>
      <c r="R2160" s="341">
        <v>0</v>
      </c>
      <c r="S2160" s="341">
        <v>0</v>
      </c>
      <c r="T2160" s="341">
        <v>0</v>
      </c>
      <c r="U2160" s="341">
        <v>0</v>
      </c>
      <c r="V2160" s="341">
        <v>0</v>
      </c>
      <c r="W2160" s="341">
        <v>0</v>
      </c>
    </row>
    <row r="2161" spans="1:23" x14ac:dyDescent="0.2">
      <c r="A2161" s="284" t="s">
        <v>197</v>
      </c>
      <c r="B2161" s="303"/>
      <c r="C2161" s="277"/>
      <c r="D2161" s="342">
        <v>0</v>
      </c>
      <c r="E2161" s="342">
        <v>0</v>
      </c>
      <c r="F2161" s="342">
        <v>0</v>
      </c>
      <c r="G2161" s="342">
        <v>0</v>
      </c>
      <c r="H2161" s="342">
        <v>0</v>
      </c>
      <c r="I2161" s="342">
        <v>0</v>
      </c>
      <c r="J2161" s="342">
        <v>0</v>
      </c>
      <c r="K2161" s="342">
        <v>0</v>
      </c>
      <c r="L2161" s="342">
        <v>0</v>
      </c>
      <c r="M2161" s="342">
        <v>0</v>
      </c>
      <c r="N2161" s="342">
        <v>0</v>
      </c>
      <c r="O2161" s="342">
        <v>0</v>
      </c>
      <c r="P2161" s="342">
        <v>0</v>
      </c>
      <c r="Q2161" s="342">
        <v>0</v>
      </c>
      <c r="R2161" s="342">
        <v>0</v>
      </c>
      <c r="S2161" s="342">
        <v>0</v>
      </c>
      <c r="T2161" s="342">
        <v>0</v>
      </c>
      <c r="U2161" s="342">
        <v>0</v>
      </c>
      <c r="V2161" s="342">
        <v>0</v>
      </c>
      <c r="W2161" s="342">
        <v>0</v>
      </c>
    </row>
    <row r="2162" spans="1:23" ht="13.5" thickBot="1" x14ac:dyDescent="0.25">
      <c r="A2162" s="284" t="s">
        <v>198</v>
      </c>
      <c r="B2162" s="303"/>
      <c r="C2162" s="277"/>
      <c r="D2162" s="343">
        <v>0</v>
      </c>
      <c r="E2162" s="343">
        <v>0</v>
      </c>
      <c r="F2162" s="343">
        <v>0</v>
      </c>
      <c r="G2162" s="343">
        <v>0</v>
      </c>
      <c r="H2162" s="343">
        <v>0</v>
      </c>
      <c r="I2162" s="343">
        <v>0</v>
      </c>
      <c r="J2162" s="343">
        <v>0</v>
      </c>
      <c r="K2162" s="343">
        <v>0</v>
      </c>
      <c r="L2162" s="343">
        <v>0</v>
      </c>
      <c r="M2162" s="343">
        <v>0</v>
      </c>
      <c r="N2162" s="343">
        <v>0</v>
      </c>
      <c r="O2162" s="343">
        <v>0</v>
      </c>
      <c r="P2162" s="343">
        <v>0</v>
      </c>
      <c r="Q2162" s="343">
        <v>0</v>
      </c>
      <c r="R2162" s="343">
        <v>0</v>
      </c>
      <c r="S2162" s="343">
        <v>0</v>
      </c>
      <c r="T2162" s="343">
        <v>0</v>
      </c>
      <c r="U2162" s="343">
        <v>0</v>
      </c>
      <c r="V2162" s="343">
        <v>0</v>
      </c>
      <c r="W2162" s="343">
        <v>0</v>
      </c>
    </row>
    <row r="2163" spans="1:23" ht="13.5" thickTop="1" x14ac:dyDescent="0.2">
      <c r="A2163" s="284"/>
      <c r="B2163" s="303"/>
      <c r="C2163" s="277"/>
      <c r="D2163" s="341"/>
      <c r="E2163" s="341"/>
      <c r="F2163" s="341"/>
      <c r="G2163" s="341"/>
      <c r="H2163" s="341"/>
      <c r="I2163" s="341"/>
      <c r="J2163" s="341"/>
      <c r="K2163" s="341"/>
      <c r="L2163" s="341"/>
      <c r="M2163" s="341"/>
      <c r="N2163" s="341"/>
      <c r="O2163" s="341"/>
      <c r="P2163" s="341"/>
      <c r="Q2163" s="341"/>
      <c r="R2163" s="341"/>
      <c r="S2163" s="341"/>
      <c r="T2163" s="341"/>
      <c r="U2163" s="341"/>
      <c r="V2163" s="341"/>
      <c r="W2163" s="341"/>
    </row>
    <row r="2164" spans="1:23" x14ac:dyDescent="0.2">
      <c r="A2164" s="284" t="s">
        <v>199</v>
      </c>
      <c r="B2164" s="303"/>
      <c r="C2164" s="277"/>
      <c r="D2164" s="341">
        <v>0</v>
      </c>
      <c r="E2164" s="341">
        <v>0</v>
      </c>
      <c r="F2164" s="341">
        <v>0</v>
      </c>
      <c r="G2164" s="341">
        <v>0</v>
      </c>
      <c r="H2164" s="341">
        <v>0</v>
      </c>
      <c r="I2164" s="341">
        <v>0</v>
      </c>
      <c r="J2164" s="341">
        <v>0</v>
      </c>
      <c r="K2164" s="341">
        <v>0</v>
      </c>
      <c r="L2164" s="341">
        <v>0</v>
      </c>
      <c r="M2164" s="341">
        <v>0</v>
      </c>
      <c r="N2164" s="341">
        <v>0</v>
      </c>
      <c r="O2164" s="341">
        <v>0</v>
      </c>
      <c r="P2164" s="341">
        <v>0</v>
      </c>
      <c r="Q2164" s="341">
        <v>0</v>
      </c>
      <c r="R2164" s="341">
        <v>0</v>
      </c>
      <c r="S2164" s="341">
        <v>0</v>
      </c>
      <c r="T2164" s="341">
        <v>0</v>
      </c>
      <c r="U2164" s="341">
        <v>0</v>
      </c>
      <c r="V2164" s="341">
        <v>0</v>
      </c>
      <c r="W2164" s="341">
        <v>0</v>
      </c>
    </row>
    <row r="2165" spans="1:23" x14ac:dyDescent="0.2">
      <c r="A2165" s="284"/>
      <c r="B2165" s="303"/>
      <c r="C2165" s="277"/>
      <c r="D2165" s="277"/>
      <c r="E2165" s="277"/>
      <c r="F2165" s="277"/>
      <c r="G2165" s="277"/>
      <c r="H2165" s="277"/>
      <c r="I2165" s="277"/>
      <c r="J2165" s="277"/>
      <c r="K2165" s="277"/>
      <c r="L2165" s="277"/>
      <c r="M2165" s="277"/>
      <c r="N2165" s="277"/>
      <c r="O2165" s="277"/>
      <c r="P2165" s="277"/>
      <c r="Q2165" s="277"/>
      <c r="R2165" s="277"/>
      <c r="S2165" s="277"/>
      <c r="T2165" s="277"/>
      <c r="U2165" s="277"/>
      <c r="V2165" s="277"/>
      <c r="W2165" s="277"/>
    </row>
    <row r="2166" spans="1:23" x14ac:dyDescent="0.2">
      <c r="A2166" s="284" t="s">
        <v>200</v>
      </c>
      <c r="B2166" s="303"/>
      <c r="C2166" s="277"/>
      <c r="D2166" s="341">
        <v>0</v>
      </c>
      <c r="E2166" s="341">
        <v>0</v>
      </c>
      <c r="F2166" s="341">
        <v>0</v>
      </c>
      <c r="G2166" s="341">
        <v>0</v>
      </c>
      <c r="H2166" s="341">
        <v>0</v>
      </c>
      <c r="I2166" s="341">
        <v>0</v>
      </c>
      <c r="J2166" s="341">
        <v>0</v>
      </c>
      <c r="K2166" s="341">
        <v>0</v>
      </c>
      <c r="L2166" s="341">
        <v>0</v>
      </c>
      <c r="M2166" s="341">
        <v>0</v>
      </c>
      <c r="N2166" s="341">
        <v>0</v>
      </c>
      <c r="O2166" s="341">
        <v>0</v>
      </c>
      <c r="P2166" s="341">
        <v>0</v>
      </c>
      <c r="Q2166" s="341">
        <v>0</v>
      </c>
      <c r="R2166" s="341">
        <v>0</v>
      </c>
      <c r="S2166" s="341">
        <v>0</v>
      </c>
      <c r="T2166" s="341">
        <v>0</v>
      </c>
      <c r="U2166" s="341">
        <v>0</v>
      </c>
      <c r="V2166" s="341">
        <v>0</v>
      </c>
      <c r="W2166" s="341">
        <v>0</v>
      </c>
    </row>
    <row r="2167" spans="1:23" x14ac:dyDescent="0.2">
      <c r="A2167" s="277"/>
      <c r="B2167" s="303"/>
      <c r="C2167" s="277"/>
      <c r="D2167" s="277"/>
      <c r="E2167" s="277"/>
      <c r="F2167" s="277"/>
      <c r="G2167" s="277"/>
      <c r="H2167" s="277"/>
      <c r="I2167" s="277"/>
      <c r="J2167" s="277"/>
      <c r="K2167" s="277"/>
      <c r="L2167" s="277"/>
      <c r="M2167" s="277"/>
      <c r="N2167" s="277"/>
      <c r="O2167" s="277"/>
      <c r="P2167" s="277"/>
      <c r="Q2167" s="277"/>
      <c r="R2167" s="277"/>
      <c r="S2167" s="277"/>
      <c r="T2167" s="277"/>
      <c r="U2167" s="277"/>
      <c r="V2167" s="277"/>
      <c r="W2167" s="277"/>
    </row>
    <row r="2168" spans="1:23" x14ac:dyDescent="0.2">
      <c r="A2168" s="277"/>
      <c r="B2168" s="303"/>
      <c r="C2168" s="277"/>
      <c r="D2168" s="277"/>
      <c r="E2168" s="277"/>
      <c r="F2168" s="277"/>
      <c r="G2168" s="277"/>
      <c r="H2168" s="277"/>
      <c r="I2168" s="277"/>
      <c r="J2168" s="277"/>
      <c r="K2168" s="277"/>
      <c r="L2168" s="277"/>
      <c r="M2168" s="277"/>
      <c r="N2168" s="277"/>
      <c r="O2168" s="277"/>
      <c r="P2168" s="277"/>
      <c r="Q2168" s="277"/>
      <c r="R2168" s="277"/>
      <c r="S2168" s="277"/>
      <c r="T2168" s="277"/>
      <c r="U2168" s="277"/>
      <c r="V2168" s="277"/>
      <c r="W2168" s="277"/>
    </row>
    <row r="2169" spans="1:23" x14ac:dyDescent="0.2">
      <c r="A2169" s="284" t="s">
        <v>202</v>
      </c>
      <c r="B2169" s="279"/>
      <c r="C2169" s="278"/>
      <c r="D2169" s="435">
        <v>3595515.748115818</v>
      </c>
      <c r="E2169" s="435">
        <v>3017178.1908678696</v>
      </c>
      <c r="F2169" s="435">
        <v>2710451.4365592371</v>
      </c>
      <c r="G2169" s="435">
        <v>2348762.305938717</v>
      </c>
      <c r="H2169" s="435">
        <v>2225419.3087656586</v>
      </c>
      <c r="I2169" s="435">
        <v>2161450.251123196</v>
      </c>
      <c r="J2169" s="435">
        <v>1979272.2176487362</v>
      </c>
      <c r="K2169" s="435">
        <v>2152455.6334852912</v>
      </c>
      <c r="L2169" s="435">
        <v>2205860.3422486968</v>
      </c>
      <c r="M2169" s="435">
        <v>2246361.3671280462</v>
      </c>
      <c r="N2169" s="435">
        <v>1722002.0320995969</v>
      </c>
      <c r="O2169" s="435">
        <v>2037207.904285532</v>
      </c>
      <c r="P2169" s="435">
        <v>1897749.9419114369</v>
      </c>
      <c r="Q2169" s="435">
        <v>2396811.161642828</v>
      </c>
      <c r="R2169" s="435">
        <v>2048744.5883195242</v>
      </c>
      <c r="S2169" s="435">
        <v>1633628.9450130498</v>
      </c>
      <c r="T2169" s="435">
        <v>1783152.1918471609</v>
      </c>
      <c r="U2169" s="435">
        <v>2087219.433544284</v>
      </c>
      <c r="V2169" s="435">
        <v>1840089.6326377359</v>
      </c>
      <c r="W2169" s="435">
        <v>12100475.84611894</v>
      </c>
    </row>
    <row r="2170" spans="1:23" x14ac:dyDescent="0.2">
      <c r="A2170" s="9"/>
      <c r="B2170" s="6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</row>
    <row r="2178" spans="1:23" ht="15.75" x14ac:dyDescent="0.25">
      <c r="A2178" s="302" t="s">
        <v>29</v>
      </c>
      <c r="B2178" s="305" t="s">
        <v>181</v>
      </c>
      <c r="C2178" s="306">
        <v>2000</v>
      </c>
      <c r="D2178" s="306">
        <v>2001</v>
      </c>
      <c r="E2178" s="306">
        <v>2002</v>
      </c>
      <c r="F2178" s="306">
        <v>2003</v>
      </c>
      <c r="G2178" s="306">
        <v>2004</v>
      </c>
      <c r="H2178" s="306">
        <v>2005</v>
      </c>
      <c r="I2178" s="306">
        <v>2006</v>
      </c>
      <c r="J2178" s="306">
        <v>2007</v>
      </c>
      <c r="K2178" s="306">
        <v>2008</v>
      </c>
      <c r="L2178" s="306">
        <v>2009</v>
      </c>
      <c r="M2178" s="306">
        <v>2010</v>
      </c>
      <c r="N2178" s="306">
        <v>2011</v>
      </c>
      <c r="O2178" s="306">
        <v>2012</v>
      </c>
      <c r="P2178" s="306">
        <v>2013</v>
      </c>
      <c r="Q2178" s="306">
        <v>2014</v>
      </c>
      <c r="R2178" s="306">
        <v>2015</v>
      </c>
      <c r="S2178" s="306">
        <v>2016</v>
      </c>
      <c r="T2178" s="306">
        <v>2017</v>
      </c>
      <c r="U2178" s="306">
        <v>2018</v>
      </c>
      <c r="V2178" s="306">
        <v>2019</v>
      </c>
      <c r="W2178" s="306" t="s">
        <v>154</v>
      </c>
    </row>
    <row r="2179" spans="1:23" x14ac:dyDescent="0.2">
      <c r="A2179" s="302" t="s">
        <v>26</v>
      </c>
      <c r="B2179" s="303">
        <v>705</v>
      </c>
      <c r="C2179" s="308"/>
      <c r="D2179" s="308"/>
      <c r="E2179" s="308"/>
      <c r="F2179" s="308"/>
      <c r="G2179" s="308"/>
      <c r="H2179" s="308"/>
      <c r="I2179" s="308"/>
      <c r="J2179" s="308"/>
      <c r="K2179" s="308"/>
      <c r="L2179" s="308"/>
      <c r="M2179" s="308"/>
      <c r="N2179" s="308"/>
      <c r="O2179" s="308"/>
      <c r="P2179" s="308"/>
      <c r="Q2179" s="308"/>
      <c r="R2179" s="308"/>
      <c r="S2179" s="308"/>
      <c r="T2179" s="308"/>
      <c r="U2179" s="308"/>
      <c r="V2179" s="308"/>
      <c r="W2179" s="308"/>
    </row>
    <row r="2180" spans="1:23" x14ac:dyDescent="0.2">
      <c r="A2180" s="9"/>
      <c r="B2180" s="309" t="s">
        <v>27</v>
      </c>
      <c r="C2180" s="443">
        <v>0</v>
      </c>
      <c r="D2180" s="404">
        <v>120377710.54242951</v>
      </c>
      <c r="E2180" s="404">
        <v>117550058.87955378</v>
      </c>
      <c r="F2180" s="404">
        <v>128518742.12984456</v>
      </c>
      <c r="G2180" s="404">
        <v>104186860.25534205</v>
      </c>
      <c r="H2180" s="404">
        <v>109276259.30194648</v>
      </c>
      <c r="I2180" s="404">
        <v>126403348.78019422</v>
      </c>
      <c r="J2180" s="404">
        <v>138612873.42785889</v>
      </c>
      <c r="K2180" s="404">
        <v>160241383.93459985</v>
      </c>
      <c r="L2180" s="404">
        <v>158167046.64463222</v>
      </c>
      <c r="M2180" s="404">
        <v>145972996.68676126</v>
      </c>
      <c r="N2180" s="404">
        <v>157796271.57159024</v>
      </c>
      <c r="O2180" s="404">
        <v>149704969.23776889</v>
      </c>
      <c r="P2180" s="404">
        <v>151331084.27878508</v>
      </c>
      <c r="Q2180" s="404">
        <v>165717611.82775313</v>
      </c>
      <c r="R2180" s="404">
        <v>176489496.35491177</v>
      </c>
      <c r="S2180" s="404">
        <v>154172018.60518801</v>
      </c>
      <c r="T2180" s="404">
        <v>150840898.81053019</v>
      </c>
      <c r="U2180" s="404">
        <v>151684851.30113536</v>
      </c>
      <c r="V2180" s="404">
        <v>168908307.03313816</v>
      </c>
      <c r="W2180" s="327"/>
    </row>
    <row r="2181" spans="1:23" x14ac:dyDescent="0.2">
      <c r="A2181" s="9"/>
      <c r="B2181" s="309" t="s">
        <v>20</v>
      </c>
      <c r="C2181" s="443">
        <v>0</v>
      </c>
      <c r="D2181" s="404">
        <v>-58074337.235708684</v>
      </c>
      <c r="E2181" s="404">
        <v>-63426607.742694505</v>
      </c>
      <c r="F2181" s="404">
        <v>-73979802.786386475</v>
      </c>
      <c r="G2181" s="404">
        <v>-58708561.382497877</v>
      </c>
      <c r="H2181" s="404">
        <v>-62532308.354626089</v>
      </c>
      <c r="I2181" s="404">
        <v>-77290926.620368525</v>
      </c>
      <c r="J2181" s="404">
        <v>-83281850.042701006</v>
      </c>
      <c r="K2181" s="404">
        <v>-92558008.952629387</v>
      </c>
      <c r="L2181" s="404">
        <v>-92194228.261153236</v>
      </c>
      <c r="M2181" s="404">
        <v>-82359172.709541544</v>
      </c>
      <c r="N2181" s="404">
        <v>-96395067.724466786</v>
      </c>
      <c r="O2181" s="404">
        <v>-87589725.466332853</v>
      </c>
      <c r="P2181" s="404">
        <v>-89899624.548630148</v>
      </c>
      <c r="Q2181" s="404">
        <v>-96769735.451788872</v>
      </c>
      <c r="R2181" s="404">
        <v>-111731236.85413741</v>
      </c>
      <c r="S2181" s="404">
        <v>-95866462.7815741</v>
      </c>
      <c r="T2181" s="404">
        <v>-90504686.160081089</v>
      </c>
      <c r="U2181" s="404">
        <v>-86418779.359448731</v>
      </c>
      <c r="V2181" s="404">
        <v>-103582712.87832922</v>
      </c>
      <c r="W2181" s="327"/>
    </row>
    <row r="2182" spans="1:23" x14ac:dyDescent="0.2">
      <c r="A2182" s="9"/>
      <c r="B2182" s="309" t="s">
        <v>31</v>
      </c>
      <c r="C2182" s="443">
        <v>0</v>
      </c>
      <c r="D2182" s="404">
        <v>-779656.83445161069</v>
      </c>
      <c r="E2182" s="404">
        <v>-964911.02386395028</v>
      </c>
      <c r="F2182" s="404">
        <v>-1211779.4455034002</v>
      </c>
      <c r="G2182" s="404">
        <v>-970917.97355928621</v>
      </c>
      <c r="H2182" s="404">
        <v>-1044934.5559591956</v>
      </c>
      <c r="I2182" s="404">
        <v>-1304686.0175381764</v>
      </c>
      <c r="J2182" s="404">
        <v>-1424641.4638617863</v>
      </c>
      <c r="K2182" s="404">
        <v>-1717117.8617693339</v>
      </c>
      <c r="L2182" s="404">
        <v>-1695930.8709132685</v>
      </c>
      <c r="M2182" s="404">
        <v>-1472182.3608345997</v>
      </c>
      <c r="N2182" s="404">
        <v>-1746246.2878038441</v>
      </c>
      <c r="O2182" s="404">
        <v>-1616025.996518855</v>
      </c>
      <c r="P2182" s="404">
        <v>-1603321.9018275992</v>
      </c>
      <c r="Q2182" s="404">
        <v>-1766521.7890154566</v>
      </c>
      <c r="R2182" s="404">
        <v>-1911564.6102993614</v>
      </c>
      <c r="S2182" s="404">
        <v>-1592542.2069708239</v>
      </c>
      <c r="T2182" s="404">
        <v>-1462251.8216732061</v>
      </c>
      <c r="U2182" s="404">
        <v>-1352164.3578234185</v>
      </c>
      <c r="V2182" s="404">
        <v>-1667278.0233568859</v>
      </c>
      <c r="W2182" s="327"/>
    </row>
    <row r="2183" spans="1:23" x14ac:dyDescent="0.2">
      <c r="A2183" s="9"/>
      <c r="B2183" s="309" t="s">
        <v>32</v>
      </c>
      <c r="C2183" s="443">
        <v>0</v>
      </c>
      <c r="D2183" s="404">
        <v>0</v>
      </c>
      <c r="E2183" s="404">
        <v>0</v>
      </c>
      <c r="F2183" s="404">
        <v>0</v>
      </c>
      <c r="G2183" s="404">
        <v>0</v>
      </c>
      <c r="H2183" s="404">
        <v>0</v>
      </c>
      <c r="I2183" s="404">
        <v>0</v>
      </c>
      <c r="J2183" s="404">
        <v>0</v>
      </c>
      <c r="K2183" s="404">
        <v>0</v>
      </c>
      <c r="L2183" s="404">
        <v>0</v>
      </c>
      <c r="M2183" s="404">
        <v>0</v>
      </c>
      <c r="N2183" s="404">
        <v>0</v>
      </c>
      <c r="O2183" s="404">
        <v>0</v>
      </c>
      <c r="P2183" s="404">
        <v>0</v>
      </c>
      <c r="Q2183" s="404">
        <v>0</v>
      </c>
      <c r="R2183" s="404">
        <v>0</v>
      </c>
      <c r="S2183" s="404">
        <v>0</v>
      </c>
      <c r="T2183" s="404">
        <v>0</v>
      </c>
      <c r="U2183" s="404">
        <v>0</v>
      </c>
      <c r="V2183" s="404">
        <v>0</v>
      </c>
      <c r="W2183" s="327"/>
    </row>
    <row r="2184" spans="1:23" ht="13.5" thickBot="1" x14ac:dyDescent="0.25">
      <c r="A2184" s="9"/>
      <c r="B2184" s="310" t="s">
        <v>33</v>
      </c>
      <c r="C2184" s="444">
        <v>0</v>
      </c>
      <c r="D2184" s="406">
        <v>0</v>
      </c>
      <c r="E2184" s="406">
        <v>0</v>
      </c>
      <c r="F2184" s="406">
        <v>0</v>
      </c>
      <c r="G2184" s="406">
        <v>0</v>
      </c>
      <c r="H2184" s="406">
        <v>0</v>
      </c>
      <c r="I2184" s="406">
        <v>0</v>
      </c>
      <c r="J2184" s="406">
        <v>0</v>
      </c>
      <c r="K2184" s="406">
        <v>0</v>
      </c>
      <c r="L2184" s="406">
        <v>0</v>
      </c>
      <c r="M2184" s="406">
        <v>0</v>
      </c>
      <c r="N2184" s="406">
        <v>0</v>
      </c>
      <c r="O2184" s="406">
        <v>0</v>
      </c>
      <c r="P2184" s="406">
        <v>0</v>
      </c>
      <c r="Q2184" s="406">
        <v>0</v>
      </c>
      <c r="R2184" s="406">
        <v>0</v>
      </c>
      <c r="S2184" s="406">
        <v>0</v>
      </c>
      <c r="T2184" s="406">
        <v>0</v>
      </c>
      <c r="U2184" s="406">
        <v>0</v>
      </c>
      <c r="V2184" s="406">
        <v>0</v>
      </c>
      <c r="W2184" s="327"/>
    </row>
    <row r="2185" spans="1:23" ht="13.5" thickTop="1" x14ac:dyDescent="0.2">
      <c r="A2185" s="9"/>
      <c r="B2185" s="311" t="s">
        <v>38</v>
      </c>
      <c r="C2185" s="445">
        <v>0</v>
      </c>
      <c r="D2185" s="408">
        <v>61523716.472269215</v>
      </c>
      <c r="E2185" s="408">
        <v>53158540.112995327</v>
      </c>
      <c r="F2185" s="408">
        <v>53327159.897954687</v>
      </c>
      <c r="G2185" s="408">
        <v>44507380.899284892</v>
      </c>
      <c r="H2185" s="408">
        <v>45699016.391361192</v>
      </c>
      <c r="I2185" s="408">
        <v>47807736.142287523</v>
      </c>
      <c r="J2185" s="408">
        <v>53906381.921296097</v>
      </c>
      <c r="K2185" s="408">
        <v>65966257.120201126</v>
      </c>
      <c r="L2185" s="408">
        <v>64276887.512565717</v>
      </c>
      <c r="M2185" s="408">
        <v>62141641.616385117</v>
      </c>
      <c r="N2185" s="408">
        <v>59654957.559319615</v>
      </c>
      <c r="O2185" s="408">
        <v>60499217.774917178</v>
      </c>
      <c r="P2185" s="408">
        <v>59828137.828327335</v>
      </c>
      <c r="Q2185" s="408">
        <v>67181354.586948797</v>
      </c>
      <c r="R2185" s="408">
        <v>62846694.890475005</v>
      </c>
      <c r="S2185" s="408">
        <v>56713013.616643086</v>
      </c>
      <c r="T2185" s="408">
        <v>58873960.82877589</v>
      </c>
      <c r="U2185" s="408">
        <v>63913907.583863214</v>
      </c>
      <c r="V2185" s="408">
        <v>63658316.131452054</v>
      </c>
      <c r="W2185" s="327"/>
    </row>
    <row r="2186" spans="1:23" x14ac:dyDescent="0.2">
      <c r="A2186" s="9"/>
      <c r="B2186" s="309" t="s">
        <v>34</v>
      </c>
      <c r="C2186" s="443">
        <v>0</v>
      </c>
      <c r="D2186" s="404">
        <v>-3235950</v>
      </c>
      <c r="E2186" s="404">
        <v>-3300669</v>
      </c>
      <c r="F2186" s="404">
        <v>-3366682.38</v>
      </c>
      <c r="G2186" s="404">
        <v>-3434016.0276000001</v>
      </c>
      <c r="H2186" s="404">
        <v>-3502696.348152</v>
      </c>
      <c r="I2186" s="404">
        <v>-3572750.2751150401</v>
      </c>
      <c r="J2186" s="404">
        <v>-3644205.2806173409</v>
      </c>
      <c r="K2186" s="404">
        <v>-3717089.3862296878</v>
      </c>
      <c r="L2186" s="404">
        <v>-3791431.1739542815</v>
      </c>
      <c r="M2186" s="404">
        <v>-3867259.797433367</v>
      </c>
      <c r="N2186" s="404">
        <v>-3944604.9933820344</v>
      </c>
      <c r="O2186" s="404">
        <v>-4023497.0932496749</v>
      </c>
      <c r="P2186" s="404">
        <v>-4103967.0351146683</v>
      </c>
      <c r="Q2186" s="404">
        <v>-4186046.3758169618</v>
      </c>
      <c r="R2186" s="404">
        <v>-4269767.3033333011</v>
      </c>
      <c r="S2186" s="404">
        <v>-4355162.6493999669</v>
      </c>
      <c r="T2186" s="404">
        <v>-4442265.9023879664</v>
      </c>
      <c r="U2186" s="404">
        <v>-4531111.2204357255</v>
      </c>
      <c r="V2186" s="404">
        <v>-4621733.4448444406</v>
      </c>
      <c r="W2186" s="327"/>
    </row>
    <row r="2187" spans="1:23" x14ac:dyDescent="0.2">
      <c r="A2187" s="9"/>
      <c r="B2187" s="309" t="s">
        <v>35</v>
      </c>
      <c r="C2187" s="443">
        <v>0</v>
      </c>
      <c r="D2187" s="404">
        <v>-171612.57929687499</v>
      </c>
      <c r="E2187" s="404">
        <v>-171612.57929687499</v>
      </c>
      <c r="F2187" s="404">
        <v>-171612.57929687499</v>
      </c>
      <c r="G2187" s="404">
        <v>-171612.57929687499</v>
      </c>
      <c r="H2187" s="404">
        <v>-171612.57929687499</v>
      </c>
      <c r="I2187" s="404">
        <v>-171612.57929687499</v>
      </c>
      <c r="J2187" s="404">
        <v>-171612.57929687499</v>
      </c>
      <c r="K2187" s="404">
        <v>-171612.57929687499</v>
      </c>
      <c r="L2187" s="404">
        <v>-171612.57929687499</v>
      </c>
      <c r="M2187" s="404">
        <v>-171612.57929687499</v>
      </c>
      <c r="N2187" s="404">
        <v>-171612.57929687499</v>
      </c>
      <c r="O2187" s="404">
        <v>-171612.57929687499</v>
      </c>
      <c r="P2187" s="404">
        <v>-171612.57929687499</v>
      </c>
      <c r="Q2187" s="404">
        <v>-171612.57929687499</v>
      </c>
      <c r="R2187" s="404">
        <v>-171612.57929687499</v>
      </c>
      <c r="S2187" s="404">
        <v>-171612.57929687499</v>
      </c>
      <c r="T2187" s="404">
        <v>-171612.57929687499</v>
      </c>
      <c r="U2187" s="404">
        <v>-171612.57929687499</v>
      </c>
      <c r="V2187" s="404">
        <v>-171612.57929687499</v>
      </c>
      <c r="W2187" s="327"/>
    </row>
    <row r="2188" spans="1:23" ht="13.5" thickBot="1" x14ac:dyDescent="0.25">
      <c r="A2188" s="9"/>
      <c r="B2188" s="310" t="s">
        <v>36</v>
      </c>
      <c r="C2188" s="444">
        <v>0</v>
      </c>
      <c r="D2188" s="406">
        <v>-374900</v>
      </c>
      <c r="E2188" s="406">
        <v>-383147.8</v>
      </c>
      <c r="F2188" s="406">
        <v>-391577.05160000001</v>
      </c>
      <c r="G2188" s="406">
        <v>-400191.74673519999</v>
      </c>
      <c r="H2188" s="406">
        <v>-408995.96516337403</v>
      </c>
      <c r="I2188" s="406">
        <v>-417993.87639696902</v>
      </c>
      <c r="J2188" s="406">
        <v>-427189.741677702</v>
      </c>
      <c r="K2188" s="406">
        <v>-436587.91599461099</v>
      </c>
      <c r="L2188" s="406">
        <v>-446192.850146493</v>
      </c>
      <c r="M2188" s="406">
        <v>-456009.09284971602</v>
      </c>
      <c r="N2188" s="406">
        <v>-466041.29289240902</v>
      </c>
      <c r="O2188" s="406">
        <v>-476294.20133604301</v>
      </c>
      <c r="P2188" s="406">
        <v>-486772.673765435</v>
      </c>
      <c r="Q2188" s="406">
        <v>-497481.67258827499</v>
      </c>
      <c r="R2188" s="406">
        <v>-508426.26938521699</v>
      </c>
      <c r="S2188" s="406">
        <v>-519611.64731169201</v>
      </c>
      <c r="T2188" s="406">
        <v>-531043.10355254903</v>
      </c>
      <c r="U2188" s="406">
        <v>-542726.05183070502</v>
      </c>
      <c r="V2188" s="406">
        <v>-554666.02497098094</v>
      </c>
      <c r="W2188" s="327"/>
    </row>
    <row r="2189" spans="1:23" ht="13.5" thickTop="1" x14ac:dyDescent="0.2">
      <c r="A2189" s="9"/>
      <c r="B2189" s="311" t="s">
        <v>220</v>
      </c>
      <c r="C2189" s="446">
        <v>0</v>
      </c>
      <c r="D2189" s="410">
        <v>57741253.892972343</v>
      </c>
      <c r="E2189" s="410">
        <v>49303110.733698457</v>
      </c>
      <c r="F2189" s="410">
        <v>49397287.887057811</v>
      </c>
      <c r="G2189" s="410">
        <v>40501560.545652822</v>
      </c>
      <c r="H2189" s="410">
        <v>41615711.498748951</v>
      </c>
      <c r="I2189" s="410">
        <v>43645379.411478639</v>
      </c>
      <c r="J2189" s="410">
        <v>49663374.319704182</v>
      </c>
      <c r="K2189" s="410">
        <v>61640967.238679953</v>
      </c>
      <c r="L2189" s="410">
        <v>59867650.909168072</v>
      </c>
      <c r="M2189" s="410">
        <v>57646760.14680516</v>
      </c>
      <c r="N2189" s="410">
        <v>55072698.693748295</v>
      </c>
      <c r="O2189" s="410">
        <v>55827813.901034594</v>
      </c>
      <c r="P2189" s="410">
        <v>55065785.540150359</v>
      </c>
      <c r="Q2189" s="410">
        <v>62326213.959246688</v>
      </c>
      <c r="R2189" s="410">
        <v>57896888.738459617</v>
      </c>
      <c r="S2189" s="410">
        <v>51666626.740634553</v>
      </c>
      <c r="T2189" s="410">
        <v>53729039.243538499</v>
      </c>
      <c r="U2189" s="410">
        <v>58668457.732299916</v>
      </c>
      <c r="V2189" s="410">
        <v>58310304.082339764</v>
      </c>
      <c r="W2189" s="327"/>
    </row>
    <row r="2190" spans="1:23" x14ac:dyDescent="0.2">
      <c r="A2190" s="9"/>
      <c r="B2190" s="309" t="s">
        <v>37</v>
      </c>
      <c r="C2190" s="443">
        <v>0</v>
      </c>
      <c r="D2190" s="404">
        <v>-32528000</v>
      </c>
      <c r="E2190" s="404">
        <v>-29275200</v>
      </c>
      <c r="F2190" s="404">
        <v>-26364800</v>
      </c>
      <c r="G2190" s="404">
        <v>-23728320</v>
      </c>
      <c r="H2190" s="404">
        <v>-21331520</v>
      </c>
      <c r="I2190" s="404">
        <v>-20201600</v>
      </c>
      <c r="J2190" s="404">
        <v>-20201600</v>
      </c>
      <c r="K2190" s="404">
        <v>-20235840</v>
      </c>
      <c r="L2190" s="404">
        <v>-20201600</v>
      </c>
      <c r="M2190" s="404">
        <v>-20235840</v>
      </c>
      <c r="N2190" s="404">
        <v>-20201600</v>
      </c>
      <c r="O2190" s="404">
        <v>-20235840</v>
      </c>
      <c r="P2190" s="404">
        <v>-20235840</v>
      </c>
      <c r="Q2190" s="404">
        <v>-20235840</v>
      </c>
      <c r="R2190" s="404">
        <v>-10100800</v>
      </c>
      <c r="S2190" s="404">
        <v>-10846000</v>
      </c>
      <c r="T2190" s="404">
        <v>-10846000</v>
      </c>
      <c r="U2190" s="404">
        <v>-10846000</v>
      </c>
      <c r="V2190" s="404">
        <v>-10846000</v>
      </c>
      <c r="W2190" s="327"/>
    </row>
    <row r="2191" spans="1:23" ht="13.5" thickBot="1" x14ac:dyDescent="0.25">
      <c r="A2191" s="9"/>
      <c r="B2191" s="310" t="s">
        <v>221</v>
      </c>
      <c r="C2191" s="444">
        <v>0</v>
      </c>
      <c r="D2191" s="406">
        <v>-10085301.557188937</v>
      </c>
      <c r="E2191" s="406">
        <v>-8011164.293479383</v>
      </c>
      <c r="F2191" s="406">
        <v>-9212995.1548231244</v>
      </c>
      <c r="G2191" s="406">
        <v>-6709296.2182611292</v>
      </c>
      <c r="H2191" s="406">
        <v>-8113676.5994995805</v>
      </c>
      <c r="I2191" s="406">
        <v>-9377511.7645914555</v>
      </c>
      <c r="J2191" s="406">
        <v>-11784709.727881674</v>
      </c>
      <c r="K2191" s="406">
        <v>-16562050.895471983</v>
      </c>
      <c r="L2191" s="406">
        <v>-15866420.363667229</v>
      </c>
      <c r="M2191" s="406">
        <v>-14964368.058722064</v>
      </c>
      <c r="N2191" s="406">
        <v>-13948439.477499319</v>
      </c>
      <c r="O2191" s="406">
        <v>-14236789.560413837</v>
      </c>
      <c r="P2191" s="406">
        <v>-13931978.216060145</v>
      </c>
      <c r="Q2191" s="406">
        <v>-16836149.583698675</v>
      </c>
      <c r="R2191" s="406">
        <v>-19118435.495383848</v>
      </c>
      <c r="S2191" s="406">
        <v>-16328250.696253821</v>
      </c>
      <c r="T2191" s="406">
        <v>-17153215.6974154</v>
      </c>
      <c r="U2191" s="406">
        <v>-19128983.092919968</v>
      </c>
      <c r="V2191" s="406">
        <v>-18985721.632935908</v>
      </c>
      <c r="W2191" s="327"/>
    </row>
    <row r="2192" spans="1:23" ht="13.5" thickTop="1" x14ac:dyDescent="0.2">
      <c r="A2192" s="9"/>
      <c r="B2192" s="311" t="s">
        <v>183</v>
      </c>
      <c r="C2192" s="446">
        <v>0</v>
      </c>
      <c r="D2192" s="410">
        <v>15127952.335783405</v>
      </c>
      <c r="E2192" s="410">
        <v>12016746.440219074</v>
      </c>
      <c r="F2192" s="410">
        <v>13819492.732234687</v>
      </c>
      <c r="G2192" s="410">
        <v>10063944.327391692</v>
      </c>
      <c r="H2192" s="410">
        <v>12170514.899249371</v>
      </c>
      <c r="I2192" s="410">
        <v>14066267.646887183</v>
      </c>
      <c r="J2192" s="410">
        <v>17677064.591822509</v>
      </c>
      <c r="K2192" s="410">
        <v>24843076.34320797</v>
      </c>
      <c r="L2192" s="410">
        <v>23799630.545500845</v>
      </c>
      <c r="M2192" s="410">
        <v>22446552.088083096</v>
      </c>
      <c r="N2192" s="410">
        <v>20922659.216248974</v>
      </c>
      <c r="O2192" s="410">
        <v>21355184.340620756</v>
      </c>
      <c r="P2192" s="410">
        <v>20897967.324090213</v>
      </c>
      <c r="Q2192" s="410">
        <v>25254224.375548013</v>
      </c>
      <c r="R2192" s="410">
        <v>28677653.243075769</v>
      </c>
      <c r="S2192" s="410">
        <v>24492376.044380732</v>
      </c>
      <c r="T2192" s="410">
        <v>25729823.546123099</v>
      </c>
      <c r="U2192" s="410">
        <v>28693474.639379948</v>
      </c>
      <c r="V2192" s="410">
        <v>28478582.449403856</v>
      </c>
      <c r="W2192" s="327"/>
    </row>
    <row r="2193" spans="1:23" x14ac:dyDescent="0.2">
      <c r="A2193" s="9"/>
      <c r="B2193" s="309" t="s">
        <v>37</v>
      </c>
      <c r="C2193" s="443">
        <v>0</v>
      </c>
      <c r="D2193" s="404">
        <v>32528000</v>
      </c>
      <c r="E2193" s="404">
        <v>29275200</v>
      </c>
      <c r="F2193" s="404">
        <v>26364800</v>
      </c>
      <c r="G2193" s="404">
        <v>23728320</v>
      </c>
      <c r="H2193" s="404">
        <v>21331520</v>
      </c>
      <c r="I2193" s="404">
        <v>20201600</v>
      </c>
      <c r="J2193" s="404">
        <v>20201600</v>
      </c>
      <c r="K2193" s="404">
        <v>20235840</v>
      </c>
      <c r="L2193" s="404">
        <v>20201600</v>
      </c>
      <c r="M2193" s="404">
        <v>20235840</v>
      </c>
      <c r="N2193" s="404">
        <v>20201600</v>
      </c>
      <c r="O2193" s="404">
        <v>20235840</v>
      </c>
      <c r="P2193" s="404">
        <v>20235840</v>
      </c>
      <c r="Q2193" s="404">
        <v>20235840</v>
      </c>
      <c r="R2193" s="404">
        <v>10100800</v>
      </c>
      <c r="S2193" s="404">
        <v>10846000</v>
      </c>
      <c r="T2193" s="404">
        <v>10846000</v>
      </c>
      <c r="U2193" s="404">
        <v>10846000</v>
      </c>
      <c r="V2193" s="404">
        <v>10846000</v>
      </c>
      <c r="W2193" s="327"/>
    </row>
    <row r="2194" spans="1:23" x14ac:dyDescent="0.2">
      <c r="A2194" s="9"/>
      <c r="B2194" s="309" t="s">
        <v>39</v>
      </c>
      <c r="C2194" s="443">
        <v>0</v>
      </c>
      <c r="D2194" s="404">
        <v>0</v>
      </c>
      <c r="E2194" s="404">
        <v>0</v>
      </c>
      <c r="F2194" s="404">
        <v>0</v>
      </c>
      <c r="G2194" s="404">
        <v>0</v>
      </c>
      <c r="H2194" s="404">
        <v>0</v>
      </c>
      <c r="I2194" s="404">
        <v>0</v>
      </c>
      <c r="J2194" s="404">
        <v>0</v>
      </c>
      <c r="K2194" s="404">
        <v>0</v>
      </c>
      <c r="L2194" s="404">
        <v>0</v>
      </c>
      <c r="M2194" s="404">
        <v>0</v>
      </c>
      <c r="N2194" s="404">
        <v>0</v>
      </c>
      <c r="O2194" s="404">
        <v>0</v>
      </c>
      <c r="P2194" s="404">
        <v>0</v>
      </c>
      <c r="Q2194" s="404">
        <v>0</v>
      </c>
      <c r="R2194" s="404">
        <v>0</v>
      </c>
      <c r="S2194" s="404">
        <v>0</v>
      </c>
      <c r="T2194" s="404">
        <v>0</v>
      </c>
      <c r="U2194" s="404">
        <v>0</v>
      </c>
      <c r="V2194" s="404">
        <v>0</v>
      </c>
      <c r="W2194" s="327"/>
    </row>
    <row r="2195" spans="1:23" ht="13.5" thickBot="1" x14ac:dyDescent="0.25">
      <c r="A2195" s="9"/>
      <c r="B2195" s="310" t="s">
        <v>40</v>
      </c>
      <c r="C2195" s="444">
        <v>0</v>
      </c>
      <c r="D2195" s="406">
        <v>0</v>
      </c>
      <c r="E2195" s="406">
        <v>0</v>
      </c>
      <c r="F2195" s="406">
        <v>0</v>
      </c>
      <c r="G2195" s="406">
        <v>0</v>
      </c>
      <c r="H2195" s="406">
        <v>0</v>
      </c>
      <c r="I2195" s="406">
        <v>0</v>
      </c>
      <c r="J2195" s="406">
        <v>0</v>
      </c>
      <c r="K2195" s="406">
        <v>0</v>
      </c>
      <c r="L2195" s="406">
        <v>0</v>
      </c>
      <c r="M2195" s="406">
        <v>0</v>
      </c>
      <c r="N2195" s="406">
        <v>0</v>
      </c>
      <c r="O2195" s="406">
        <v>0</v>
      </c>
      <c r="P2195" s="406">
        <v>0</v>
      </c>
      <c r="Q2195" s="406">
        <v>0</v>
      </c>
      <c r="R2195" s="406">
        <v>0</v>
      </c>
      <c r="S2195" s="406">
        <v>0</v>
      </c>
      <c r="T2195" s="406">
        <v>0</v>
      </c>
      <c r="U2195" s="406">
        <v>0</v>
      </c>
      <c r="V2195" s="406">
        <v>0</v>
      </c>
      <c r="W2195" s="327"/>
    </row>
    <row r="2196" spans="1:23" ht="13.5" thickTop="1" x14ac:dyDescent="0.2">
      <c r="A2196" s="9"/>
      <c r="B2196" s="309"/>
      <c r="C2196" s="447"/>
      <c r="D2196" s="327"/>
      <c r="E2196" s="327"/>
      <c r="F2196" s="327"/>
      <c r="G2196" s="327"/>
      <c r="H2196" s="327"/>
      <c r="I2196" s="327"/>
      <c r="J2196" s="327"/>
      <c r="K2196" s="327"/>
      <c r="L2196" s="327"/>
      <c r="M2196" s="327"/>
      <c r="N2196" s="327"/>
      <c r="O2196" s="327"/>
      <c r="P2196" s="327"/>
      <c r="Q2196" s="327"/>
      <c r="R2196" s="327"/>
      <c r="S2196" s="327"/>
      <c r="T2196" s="327"/>
      <c r="U2196" s="327"/>
      <c r="V2196" s="327"/>
      <c r="W2196" s="327"/>
    </row>
    <row r="2197" spans="1:23" x14ac:dyDescent="0.2">
      <c r="A2197" s="9"/>
      <c r="B2197" s="311" t="s">
        <v>233</v>
      </c>
      <c r="C2197" s="446">
        <v>0</v>
      </c>
      <c r="D2197" s="410">
        <v>47655952.335783407</v>
      </c>
      <c r="E2197" s="410">
        <v>41291946.440219074</v>
      </c>
      <c r="F2197" s="410">
        <v>40184292.732234687</v>
      </c>
      <c r="G2197" s="410">
        <v>33792264.327391692</v>
      </c>
      <c r="H2197" s="410">
        <v>33502034.899249371</v>
      </c>
      <c r="I2197" s="410">
        <v>34267867.646887183</v>
      </c>
      <c r="J2197" s="410">
        <v>37878664.591822505</v>
      </c>
      <c r="K2197" s="410">
        <v>45078916.34320797</v>
      </c>
      <c r="L2197" s="410">
        <v>44001230.545500845</v>
      </c>
      <c r="M2197" s="410">
        <v>42682392.088083096</v>
      </c>
      <c r="N2197" s="410">
        <v>41124259.216248974</v>
      </c>
      <c r="O2197" s="410">
        <v>41591024.340620756</v>
      </c>
      <c r="P2197" s="410">
        <v>41133807.324090213</v>
      </c>
      <c r="Q2197" s="410">
        <v>45490064.375548013</v>
      </c>
      <c r="R2197" s="410">
        <v>38778453.243075773</v>
      </c>
      <c r="S2197" s="410">
        <v>35338376.044380732</v>
      </c>
      <c r="T2197" s="410">
        <v>36575823.546123102</v>
      </c>
      <c r="U2197" s="410">
        <v>39539474.639379948</v>
      </c>
      <c r="V2197" s="410">
        <v>39324582.449403852</v>
      </c>
      <c r="W2197" s="408">
        <v>246752454.99687415</v>
      </c>
    </row>
    <row r="2198" spans="1:23" x14ac:dyDescent="0.2">
      <c r="A2198" s="9"/>
      <c r="B2198" s="286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</row>
    <row r="2199" spans="1:23" x14ac:dyDescent="0.2">
      <c r="A2199" s="302" t="s">
        <v>218</v>
      </c>
      <c r="B2199" s="300" t="s">
        <v>170</v>
      </c>
      <c r="C2199" s="433">
        <v>151522921.55412644</v>
      </c>
      <c r="D2199" s="9"/>
      <c r="E2199" s="137" t="s">
        <v>219</v>
      </c>
      <c r="F2199" s="313" t="s">
        <v>170</v>
      </c>
      <c r="G2199" s="437">
        <v>151522921.55412644</v>
      </c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</row>
    <row r="2200" spans="1:23" x14ac:dyDescent="0.2">
      <c r="A2200" s="9"/>
      <c r="B2200" s="300" t="s">
        <v>180</v>
      </c>
      <c r="C2200" s="433">
        <v>184239025.68653578</v>
      </c>
      <c r="D2200" s="9"/>
      <c r="E2200" s="315"/>
      <c r="F2200" s="313" t="s">
        <v>180</v>
      </c>
      <c r="G2200" s="437">
        <v>184239025.68653578</v>
      </c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</row>
    <row r="2201" spans="1:23" ht="13.5" thickBot="1" x14ac:dyDescent="0.25">
      <c r="A2201" s="9"/>
      <c r="B2201" s="316" t="s">
        <v>137</v>
      </c>
      <c r="C2201" s="434">
        <v>36678180.134599566</v>
      </c>
      <c r="D2201" s="317"/>
      <c r="E2201" s="315"/>
      <c r="F2201" s="313" t="s">
        <v>137</v>
      </c>
      <c r="G2201" s="437">
        <v>36678180.134599566</v>
      </c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</row>
    <row r="2202" spans="1:23" ht="14.25" thickTop="1" thickBot="1" x14ac:dyDescent="0.25">
      <c r="A2202" s="9"/>
      <c r="B2202" s="300" t="s">
        <v>28</v>
      </c>
      <c r="C2202" s="432">
        <v>372440127.37526184</v>
      </c>
      <c r="D2202" s="299"/>
      <c r="E2202" s="315"/>
      <c r="F2202" s="318" t="s">
        <v>203</v>
      </c>
      <c r="G2202" s="319">
        <v>0</v>
      </c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</row>
    <row r="2203" spans="1:23" ht="13.5" thickTop="1" x14ac:dyDescent="0.2">
      <c r="A2203" s="9"/>
      <c r="B2203" s="286"/>
      <c r="C2203" s="320"/>
      <c r="D2203" s="9"/>
      <c r="E2203" s="321"/>
      <c r="F2203" s="313" t="s">
        <v>28</v>
      </c>
      <c r="G2203" s="362">
        <v>372440127.37526184</v>
      </c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</row>
    <row r="2204" spans="1:23" x14ac:dyDescent="0.2">
      <c r="A2204" s="9"/>
      <c r="B2204" s="286"/>
      <c r="C2204" s="320"/>
      <c r="D2204" s="9"/>
      <c r="E2204" s="321"/>
      <c r="F2204" s="313"/>
      <c r="G2204" s="322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</row>
    <row r="2205" spans="1:23" x14ac:dyDescent="0.2">
      <c r="A2205" s="9"/>
      <c r="B2205" s="286"/>
      <c r="C2205" s="320"/>
      <c r="D2205" s="9"/>
      <c r="E2205" s="321"/>
      <c r="F2205" s="313"/>
      <c r="G2205" s="322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</row>
    <row r="2206" spans="1:23" x14ac:dyDescent="0.2">
      <c r="A2206" s="9"/>
      <c r="B2206" s="323" t="s">
        <v>222</v>
      </c>
      <c r="C2206" s="320"/>
      <c r="D2206" s="9"/>
      <c r="E2206" s="321"/>
      <c r="F2206" s="313"/>
      <c r="G2206" s="322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</row>
    <row r="2207" spans="1:23" x14ac:dyDescent="0.2">
      <c r="A2207" s="324" t="s">
        <v>224</v>
      </c>
      <c r="B2207" s="323" t="s">
        <v>223</v>
      </c>
      <c r="C2207" s="325"/>
      <c r="D2207" s="326">
        <v>15127952.335783405</v>
      </c>
      <c r="E2207" s="326">
        <v>12016746.440219074</v>
      </c>
      <c r="F2207" s="326">
        <v>13819492.732234687</v>
      </c>
      <c r="G2207" s="326">
        <v>10063944.327391692</v>
      </c>
      <c r="H2207" s="326">
        <v>12170514.899249371</v>
      </c>
      <c r="I2207" s="326">
        <v>14066267.646887183</v>
      </c>
      <c r="J2207" s="326">
        <v>17677064.591822509</v>
      </c>
      <c r="K2207" s="326">
        <v>24843076.34320797</v>
      </c>
      <c r="L2207" s="326">
        <v>23799630.545500845</v>
      </c>
      <c r="M2207" s="326">
        <v>22446552.088083096</v>
      </c>
      <c r="N2207" s="326">
        <v>20922659.216248974</v>
      </c>
      <c r="O2207" s="326">
        <v>21355184.340620756</v>
      </c>
      <c r="P2207" s="326">
        <v>20897967.324090213</v>
      </c>
      <c r="Q2207" s="326">
        <v>25254224.375548013</v>
      </c>
      <c r="R2207" s="326">
        <v>28677653.243075769</v>
      </c>
      <c r="S2207" s="326">
        <v>24492376.044380732</v>
      </c>
      <c r="T2207" s="326">
        <v>25729823.546123099</v>
      </c>
      <c r="U2207" s="326">
        <v>28693474.639379948</v>
      </c>
      <c r="V2207" s="326">
        <v>28478582.449403856</v>
      </c>
      <c r="W2207" s="9"/>
    </row>
    <row r="2208" spans="1:23" x14ac:dyDescent="0.2">
      <c r="A2208" s="9"/>
      <c r="B2208" s="286" t="s">
        <v>225</v>
      </c>
      <c r="C2208" s="320"/>
      <c r="D2208" s="327">
        <v>10085301.557188937</v>
      </c>
      <c r="E2208" s="327">
        <v>8011164.293479383</v>
      </c>
      <c r="F2208" s="327">
        <v>9212995.1548231244</v>
      </c>
      <c r="G2208" s="327">
        <v>6709296.2182611292</v>
      </c>
      <c r="H2208" s="327">
        <v>8113676.5994995805</v>
      </c>
      <c r="I2208" s="327">
        <v>9377511.7645914555</v>
      </c>
      <c r="J2208" s="327">
        <v>11784709.727881674</v>
      </c>
      <c r="K2208" s="327">
        <v>16562050.895471983</v>
      </c>
      <c r="L2208" s="327">
        <v>15866420.363667229</v>
      </c>
      <c r="M2208" s="327">
        <v>14964368.058722064</v>
      </c>
      <c r="N2208" s="327">
        <v>13948439.477499319</v>
      </c>
      <c r="O2208" s="327">
        <v>14236789.560413837</v>
      </c>
      <c r="P2208" s="327">
        <v>13931978.216060145</v>
      </c>
      <c r="Q2208" s="327">
        <v>16836149.583698675</v>
      </c>
      <c r="R2208" s="327">
        <v>19118435.495383848</v>
      </c>
      <c r="S2208" s="327">
        <v>16328250.696253821</v>
      </c>
      <c r="T2208" s="327">
        <v>17153215.6974154</v>
      </c>
      <c r="U2208" s="327">
        <v>19128983.092919968</v>
      </c>
      <c r="V2208" s="327">
        <v>18985721.632935908</v>
      </c>
      <c r="W2208" s="9"/>
    </row>
    <row r="2209" spans="1:23" x14ac:dyDescent="0.2">
      <c r="A2209" s="9"/>
      <c r="B2209" s="328" t="s">
        <v>226</v>
      </c>
      <c r="C2209" s="329"/>
      <c r="D2209" s="327">
        <v>32528000</v>
      </c>
      <c r="E2209" s="327">
        <v>29275200</v>
      </c>
      <c r="F2209" s="327">
        <v>26364800</v>
      </c>
      <c r="G2209" s="327">
        <v>23728320</v>
      </c>
      <c r="H2209" s="327">
        <v>21331520</v>
      </c>
      <c r="I2209" s="327">
        <v>20201600</v>
      </c>
      <c r="J2209" s="327">
        <v>20201600</v>
      </c>
      <c r="K2209" s="327">
        <v>20235840</v>
      </c>
      <c r="L2209" s="327">
        <v>20201600</v>
      </c>
      <c r="M2209" s="327">
        <v>20235840</v>
      </c>
      <c r="N2209" s="327">
        <v>20201600</v>
      </c>
      <c r="O2209" s="327">
        <v>20235840</v>
      </c>
      <c r="P2209" s="327">
        <v>20235840</v>
      </c>
      <c r="Q2209" s="327">
        <v>20235840</v>
      </c>
      <c r="R2209" s="327">
        <v>10100800</v>
      </c>
      <c r="S2209" s="327">
        <v>10846000</v>
      </c>
      <c r="T2209" s="327">
        <v>10846000</v>
      </c>
      <c r="U2209" s="327">
        <v>10846000</v>
      </c>
      <c r="V2209" s="327">
        <v>10846000</v>
      </c>
      <c r="W2209" s="9"/>
    </row>
    <row r="2210" spans="1:23" ht="13.5" thickBot="1" x14ac:dyDescent="0.25">
      <c r="A2210" s="9"/>
      <c r="B2210" s="330" t="s">
        <v>227</v>
      </c>
      <c r="C2210" s="331"/>
      <c r="D2210" s="332">
        <v>57741253.892972343</v>
      </c>
      <c r="E2210" s="332">
        <v>49303110.733698457</v>
      </c>
      <c r="F2210" s="332">
        <v>49397287.887057811</v>
      </c>
      <c r="G2210" s="332">
        <v>40501560.545652822</v>
      </c>
      <c r="H2210" s="332">
        <v>41615711.498748951</v>
      </c>
      <c r="I2210" s="332">
        <v>43645379.411478639</v>
      </c>
      <c r="J2210" s="332">
        <v>49663374.319704182</v>
      </c>
      <c r="K2210" s="332">
        <v>61640967.238679953</v>
      </c>
      <c r="L2210" s="332">
        <v>59867650.909168072</v>
      </c>
      <c r="M2210" s="332">
        <v>57646760.14680516</v>
      </c>
      <c r="N2210" s="332">
        <v>55072698.693748295</v>
      </c>
      <c r="O2210" s="332">
        <v>55827813.901034594</v>
      </c>
      <c r="P2210" s="332">
        <v>55065785.540150359</v>
      </c>
      <c r="Q2210" s="332">
        <v>62326213.959246688</v>
      </c>
      <c r="R2210" s="332">
        <v>57896888.738459617</v>
      </c>
      <c r="S2210" s="332">
        <v>51666626.740634553</v>
      </c>
      <c r="T2210" s="332">
        <v>53729039.243538499</v>
      </c>
      <c r="U2210" s="332">
        <v>58668457.732299916</v>
      </c>
      <c r="V2210" s="332">
        <v>58310304.082339764</v>
      </c>
      <c r="W2210" s="9"/>
    </row>
    <row r="2211" spans="1:23" ht="13.5" thickTop="1" x14ac:dyDescent="0.2">
      <c r="A2211" s="324" t="s">
        <v>228</v>
      </c>
      <c r="B2211" s="286" t="s">
        <v>229</v>
      </c>
      <c r="C2211" s="320"/>
      <c r="D2211" s="327">
        <v>-10846000</v>
      </c>
      <c r="E2211" s="327">
        <v>-10846000</v>
      </c>
      <c r="F2211" s="327">
        <v>-10846000</v>
      </c>
      <c r="G2211" s="327">
        <v>-10846000</v>
      </c>
      <c r="H2211" s="327">
        <v>-10846000</v>
      </c>
      <c r="I2211" s="327">
        <v>-10846000</v>
      </c>
      <c r="J2211" s="327">
        <v>-10846000</v>
      </c>
      <c r="K2211" s="327">
        <v>-10846000</v>
      </c>
      <c r="L2211" s="327">
        <v>-10846000</v>
      </c>
      <c r="M2211" s="327">
        <v>-10846000</v>
      </c>
      <c r="N2211" s="327">
        <v>-10846000</v>
      </c>
      <c r="O2211" s="327">
        <v>-10846000</v>
      </c>
      <c r="P2211" s="327">
        <v>-10846000</v>
      </c>
      <c r="Q2211" s="327">
        <v>-10846000</v>
      </c>
      <c r="R2211" s="327">
        <v>-10846000</v>
      </c>
      <c r="S2211" s="327">
        <v>-10846000</v>
      </c>
      <c r="T2211" s="327">
        <v>-10846000</v>
      </c>
      <c r="U2211" s="327">
        <v>-10846000</v>
      </c>
      <c r="V2211" s="327">
        <v>-10846000</v>
      </c>
      <c r="W2211" s="9"/>
    </row>
    <row r="2212" spans="1:23" x14ac:dyDescent="0.2">
      <c r="A2212" s="9"/>
      <c r="B2212" s="286" t="s">
        <v>230</v>
      </c>
      <c r="C2212" s="320"/>
      <c r="D2212" s="327">
        <v>0</v>
      </c>
      <c r="E2212" s="327">
        <v>0</v>
      </c>
      <c r="F2212" s="327">
        <v>0</v>
      </c>
      <c r="G2212" s="327">
        <v>0</v>
      </c>
      <c r="H2212" s="327">
        <v>0</v>
      </c>
      <c r="I2212" s="327">
        <v>0</v>
      </c>
      <c r="J2212" s="327">
        <v>0</v>
      </c>
      <c r="K2212" s="327">
        <v>0</v>
      </c>
      <c r="L2212" s="327">
        <v>0</v>
      </c>
      <c r="M2212" s="327">
        <v>0</v>
      </c>
      <c r="N2212" s="327">
        <v>0</v>
      </c>
      <c r="O2212" s="327">
        <v>0</v>
      </c>
      <c r="P2212" s="327">
        <v>0</v>
      </c>
      <c r="Q2212" s="327">
        <v>0</v>
      </c>
      <c r="R2212" s="327">
        <v>0</v>
      </c>
      <c r="S2212" s="327">
        <v>0</v>
      </c>
      <c r="T2212" s="327">
        <v>0</v>
      </c>
      <c r="U2212" s="327">
        <v>0</v>
      </c>
      <c r="V2212" s="327">
        <v>0</v>
      </c>
      <c r="W2212" s="9"/>
    </row>
    <row r="2213" spans="1:23" x14ac:dyDescent="0.2">
      <c r="A2213" s="9"/>
      <c r="B2213" s="323" t="s">
        <v>231</v>
      </c>
      <c r="C2213" s="325"/>
      <c r="D2213" s="326">
        <v>46895253.892972343</v>
      </c>
      <c r="E2213" s="326">
        <v>38457110.733698457</v>
      </c>
      <c r="F2213" s="326">
        <v>38551287.887057811</v>
      </c>
      <c r="G2213" s="326">
        <v>29655560.545652822</v>
      </c>
      <c r="H2213" s="326">
        <v>30769711.498748951</v>
      </c>
      <c r="I2213" s="326">
        <v>32799379.411478639</v>
      </c>
      <c r="J2213" s="326">
        <v>38817374.319704182</v>
      </c>
      <c r="K2213" s="326">
        <v>50794967.238679953</v>
      </c>
      <c r="L2213" s="326">
        <v>49021650.909168072</v>
      </c>
      <c r="M2213" s="326">
        <v>46800760.14680516</v>
      </c>
      <c r="N2213" s="326">
        <v>44226698.693748295</v>
      </c>
      <c r="O2213" s="326">
        <v>44981813.901034594</v>
      </c>
      <c r="P2213" s="326">
        <v>44219785.540150359</v>
      </c>
      <c r="Q2213" s="326">
        <v>51480213.959246688</v>
      </c>
      <c r="R2213" s="326">
        <v>47050888.738459617</v>
      </c>
      <c r="S2213" s="326">
        <v>40820626.740634553</v>
      </c>
      <c r="T2213" s="326">
        <v>42883039.243538499</v>
      </c>
      <c r="U2213" s="326">
        <v>47822457.732299916</v>
      </c>
      <c r="V2213" s="326">
        <v>47464304.082339764</v>
      </c>
      <c r="W2213" s="9"/>
    </row>
    <row r="2214" spans="1:23" ht="13.5" thickBot="1" x14ac:dyDescent="0.25">
      <c r="A2214" s="9"/>
      <c r="B2214" s="333" t="s">
        <v>237</v>
      </c>
      <c r="C2214" s="334"/>
      <c r="D2214" s="335">
        <v>-18758101.557188939</v>
      </c>
      <c r="E2214" s="335">
        <v>-15382844.293479383</v>
      </c>
      <c r="F2214" s="335">
        <v>-15420515.154823124</v>
      </c>
      <c r="G2214" s="335">
        <v>-11862224.21826113</v>
      </c>
      <c r="H2214" s="335">
        <v>-12307884.599499581</v>
      </c>
      <c r="I2214" s="335">
        <v>-13119751.764591455</v>
      </c>
      <c r="J2214" s="335">
        <v>-15526949.727881674</v>
      </c>
      <c r="K2214" s="335">
        <v>-20317986.895471983</v>
      </c>
      <c r="L2214" s="335">
        <v>-19608660.363667231</v>
      </c>
      <c r="M2214" s="335">
        <v>-18720304.058722064</v>
      </c>
      <c r="N2214" s="335">
        <v>-17690679.477499317</v>
      </c>
      <c r="O2214" s="335">
        <v>-17992725.560413837</v>
      </c>
      <c r="P2214" s="335">
        <v>-17687914.216060143</v>
      </c>
      <c r="Q2214" s="335">
        <v>-20592085.583698675</v>
      </c>
      <c r="R2214" s="335">
        <v>-18820355.495383848</v>
      </c>
      <c r="S2214" s="335">
        <v>-16328250.696253821</v>
      </c>
      <c r="T2214" s="335">
        <v>-17153215.6974154</v>
      </c>
      <c r="U2214" s="335">
        <v>-19128983.092919968</v>
      </c>
      <c r="V2214" s="335">
        <v>-18985721.632935908</v>
      </c>
      <c r="W2214" s="9"/>
    </row>
    <row r="2215" spans="1:23" ht="13.5" thickTop="1" x14ac:dyDescent="0.2">
      <c r="A2215" s="9"/>
      <c r="B2215" s="323" t="s">
        <v>232</v>
      </c>
      <c r="C2215" s="325"/>
      <c r="D2215" s="326">
        <v>28137152.335783403</v>
      </c>
      <c r="E2215" s="326">
        <v>23074266.440219074</v>
      </c>
      <c r="F2215" s="326">
        <v>23130772.732234687</v>
      </c>
      <c r="G2215" s="326">
        <v>17793336.327391692</v>
      </c>
      <c r="H2215" s="326">
        <v>18461826.899249367</v>
      </c>
      <c r="I2215" s="326">
        <v>19679627.646887183</v>
      </c>
      <c r="J2215" s="326">
        <v>23290424.591822509</v>
      </c>
      <c r="K2215" s="326">
        <v>30476980.34320797</v>
      </c>
      <c r="L2215" s="326">
        <v>29412990.545500841</v>
      </c>
      <c r="M2215" s="326">
        <v>28080456.088083096</v>
      </c>
      <c r="N2215" s="326">
        <v>26536019.216248978</v>
      </c>
      <c r="O2215" s="326">
        <v>26989088.340620756</v>
      </c>
      <c r="P2215" s="326">
        <v>26531871.324090216</v>
      </c>
      <c r="Q2215" s="326">
        <v>30888128.375548013</v>
      </c>
      <c r="R2215" s="326">
        <v>28230533.243075769</v>
      </c>
      <c r="S2215" s="326">
        <v>24492376.044380732</v>
      </c>
      <c r="T2215" s="326">
        <v>25729823.546123099</v>
      </c>
      <c r="U2215" s="326">
        <v>28693474.639379948</v>
      </c>
      <c r="V2215" s="326">
        <v>28478582.449403856</v>
      </c>
      <c r="W2215" s="9"/>
    </row>
    <row r="2216" spans="1:23" x14ac:dyDescent="0.2">
      <c r="A2216" s="9"/>
      <c r="B2216" s="9"/>
      <c r="C2216" s="320"/>
      <c r="D2216" s="9"/>
      <c r="E2216" s="321"/>
      <c r="F2216" s="313"/>
      <c r="G2216" s="322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</row>
    <row r="2217" spans="1:23" ht="15.75" x14ac:dyDescent="0.25">
      <c r="A2217" s="336" t="s">
        <v>205</v>
      </c>
      <c r="B2217" s="337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</row>
    <row r="2218" spans="1:23" x14ac:dyDescent="0.2">
      <c r="A2218" s="284" t="s">
        <v>190</v>
      </c>
      <c r="B2218" s="303"/>
      <c r="C2218" s="338">
        <v>0</v>
      </c>
      <c r="D2218" s="277"/>
      <c r="E2218" s="277"/>
      <c r="F2218" s="277"/>
      <c r="G2218" s="277"/>
      <c r="H2218" s="277"/>
      <c r="I2218" s="277"/>
      <c r="J2218" s="277"/>
      <c r="K2218" s="277"/>
      <c r="L2218" s="277"/>
      <c r="M2218" s="277"/>
      <c r="N2218" s="277"/>
      <c r="O2218" s="277"/>
      <c r="P2218" s="277"/>
      <c r="Q2218" s="277"/>
      <c r="R2218" s="277"/>
      <c r="S2218" s="277"/>
      <c r="T2218" s="277"/>
      <c r="U2218" s="277"/>
      <c r="V2218" s="277"/>
      <c r="W2218" s="277"/>
    </row>
    <row r="2219" spans="1:23" x14ac:dyDescent="0.2">
      <c r="A2219" s="284" t="s">
        <v>191</v>
      </c>
      <c r="B2219" s="303"/>
      <c r="C2219" s="339">
        <v>0</v>
      </c>
      <c r="D2219" s="277"/>
      <c r="E2219" s="277"/>
      <c r="F2219" s="277"/>
      <c r="G2219" s="277"/>
      <c r="H2219" s="277"/>
      <c r="I2219" s="277"/>
      <c r="J2219" s="277"/>
      <c r="K2219" s="277"/>
      <c r="L2219" s="277"/>
      <c r="M2219" s="277"/>
      <c r="N2219" s="277"/>
      <c r="O2219" s="277"/>
      <c r="P2219" s="277"/>
      <c r="Q2219" s="277"/>
      <c r="R2219" s="277"/>
      <c r="S2219" s="277"/>
      <c r="T2219" s="277"/>
      <c r="U2219" s="277"/>
      <c r="V2219" s="277"/>
      <c r="W2219" s="277"/>
    </row>
    <row r="2220" spans="1:23" x14ac:dyDescent="0.2">
      <c r="A2220" s="284" t="s">
        <v>201</v>
      </c>
      <c r="B2220" s="303"/>
      <c r="C2220" s="284">
        <v>15</v>
      </c>
      <c r="D2220" s="277"/>
      <c r="E2220" s="277"/>
      <c r="F2220" s="277"/>
      <c r="G2220" s="277"/>
      <c r="H2220" s="277"/>
      <c r="I2220" s="277"/>
      <c r="J2220" s="277"/>
      <c r="K2220" s="277"/>
      <c r="L2220" s="277"/>
      <c r="M2220" s="277"/>
      <c r="N2220" s="277"/>
      <c r="O2220" s="277"/>
      <c r="P2220" s="277"/>
      <c r="Q2220" s="277"/>
      <c r="R2220" s="277"/>
      <c r="S2220" s="277"/>
      <c r="T2220" s="277"/>
      <c r="U2220" s="277"/>
      <c r="V2220" s="277"/>
      <c r="W2220" s="277"/>
    </row>
    <row r="2221" spans="1:23" x14ac:dyDescent="0.2">
      <c r="A2221" s="284" t="s">
        <v>192</v>
      </c>
      <c r="B2221" s="303"/>
      <c r="C2221" s="339">
        <v>0</v>
      </c>
      <c r="D2221" s="277"/>
      <c r="E2221" s="277"/>
      <c r="F2221" s="277"/>
      <c r="G2221" s="277"/>
      <c r="H2221" s="277"/>
      <c r="I2221" s="277"/>
      <c r="J2221" s="277"/>
      <c r="K2221" s="277"/>
      <c r="L2221" s="277"/>
      <c r="M2221" s="277"/>
      <c r="N2221" s="277"/>
      <c r="O2221" s="277"/>
      <c r="P2221" s="277"/>
      <c r="Q2221" s="277"/>
      <c r="R2221" s="277"/>
      <c r="S2221" s="277"/>
      <c r="T2221" s="277"/>
      <c r="U2221" s="277"/>
      <c r="V2221" s="277"/>
      <c r="W2221" s="277"/>
    </row>
    <row r="2222" spans="1:23" x14ac:dyDescent="0.2">
      <c r="A2222" s="284" t="s">
        <v>193</v>
      </c>
      <c r="B2222" s="303"/>
      <c r="C2222" s="340">
        <v>8.7499999999999994E-2</v>
      </c>
      <c r="D2222" s="277"/>
      <c r="E2222" s="277"/>
      <c r="F2222" s="277"/>
      <c r="G2222" s="277"/>
      <c r="H2222" s="277"/>
      <c r="I2222" s="277"/>
      <c r="J2222" s="277"/>
      <c r="K2222" s="277"/>
      <c r="L2222" s="277"/>
      <c r="M2222" s="277"/>
      <c r="N2222" s="277"/>
      <c r="O2222" s="277"/>
      <c r="P2222" s="277"/>
      <c r="Q2222" s="277"/>
      <c r="R2222" s="277"/>
      <c r="S2222" s="277"/>
      <c r="T2222" s="277"/>
      <c r="U2222" s="277"/>
      <c r="V2222" s="277"/>
      <c r="W2222" s="277"/>
    </row>
    <row r="2223" spans="1:23" x14ac:dyDescent="0.2">
      <c r="A2223" s="284"/>
      <c r="B2223" s="303"/>
      <c r="C2223" s="277"/>
      <c r="D2223" s="306">
        <v>2001</v>
      </c>
      <c r="E2223" s="306">
        <v>2002</v>
      </c>
      <c r="F2223" s="306">
        <v>2003</v>
      </c>
      <c r="G2223" s="306">
        <v>2004</v>
      </c>
      <c r="H2223" s="306">
        <v>2005</v>
      </c>
      <c r="I2223" s="306">
        <v>2006</v>
      </c>
      <c r="J2223" s="306">
        <v>2007</v>
      </c>
      <c r="K2223" s="306">
        <v>2008</v>
      </c>
      <c r="L2223" s="306">
        <v>2009</v>
      </c>
      <c r="M2223" s="306">
        <v>2010</v>
      </c>
      <c r="N2223" s="306">
        <v>2011</v>
      </c>
      <c r="O2223" s="306">
        <v>2012</v>
      </c>
      <c r="P2223" s="306">
        <v>2013</v>
      </c>
      <c r="Q2223" s="306">
        <v>2014</v>
      </c>
      <c r="R2223" s="306">
        <v>2015</v>
      </c>
      <c r="S2223" s="306">
        <v>2016</v>
      </c>
      <c r="T2223" s="306">
        <v>2017</v>
      </c>
      <c r="U2223" s="306">
        <v>2018</v>
      </c>
      <c r="V2223" s="306">
        <v>2019</v>
      </c>
      <c r="W2223" s="306" t="s">
        <v>154</v>
      </c>
    </row>
    <row r="2224" spans="1:23" x14ac:dyDescent="0.2">
      <c r="A2224" s="284" t="s">
        <v>194</v>
      </c>
      <c r="B2224" s="303"/>
      <c r="C2224" s="277"/>
      <c r="D2224" s="341">
        <v>0</v>
      </c>
      <c r="E2224" s="341">
        <v>0</v>
      </c>
      <c r="F2224" s="341">
        <v>0</v>
      </c>
      <c r="G2224" s="341">
        <v>0</v>
      </c>
      <c r="H2224" s="341">
        <v>0</v>
      </c>
      <c r="I2224" s="341">
        <v>0</v>
      </c>
      <c r="J2224" s="341">
        <v>0</v>
      </c>
      <c r="K2224" s="341">
        <v>0</v>
      </c>
      <c r="L2224" s="341">
        <v>0</v>
      </c>
      <c r="M2224" s="341">
        <v>0</v>
      </c>
      <c r="N2224" s="341">
        <v>0</v>
      </c>
      <c r="O2224" s="341">
        <v>0</v>
      </c>
      <c r="P2224" s="341">
        <v>0</v>
      </c>
      <c r="Q2224" s="341">
        <v>0</v>
      </c>
      <c r="R2224" s="341">
        <v>0</v>
      </c>
      <c r="S2224" s="341">
        <v>0</v>
      </c>
      <c r="T2224" s="341">
        <v>0</v>
      </c>
      <c r="U2224" s="341">
        <v>0</v>
      </c>
      <c r="V2224" s="341">
        <v>0</v>
      </c>
      <c r="W2224" s="341">
        <v>0</v>
      </c>
    </row>
    <row r="2225" spans="1:23" x14ac:dyDescent="0.2">
      <c r="A2225" s="284" t="s">
        <v>195</v>
      </c>
      <c r="B2225" s="303"/>
      <c r="C2225" s="277"/>
      <c r="D2225" s="341">
        <v>0</v>
      </c>
      <c r="E2225" s="341">
        <v>0</v>
      </c>
      <c r="F2225" s="341">
        <v>0</v>
      </c>
      <c r="G2225" s="341">
        <v>0</v>
      </c>
      <c r="H2225" s="341">
        <v>0</v>
      </c>
      <c r="I2225" s="341">
        <v>0</v>
      </c>
      <c r="J2225" s="341">
        <v>0</v>
      </c>
      <c r="K2225" s="341">
        <v>0</v>
      </c>
      <c r="L2225" s="341">
        <v>0</v>
      </c>
      <c r="M2225" s="341">
        <v>0</v>
      </c>
      <c r="N2225" s="341">
        <v>0</v>
      </c>
      <c r="O2225" s="341">
        <v>0</v>
      </c>
      <c r="P2225" s="341">
        <v>0</v>
      </c>
      <c r="Q2225" s="341">
        <v>0</v>
      </c>
      <c r="R2225" s="341">
        <v>0</v>
      </c>
      <c r="S2225" s="341">
        <v>0</v>
      </c>
      <c r="T2225" s="341">
        <v>0</v>
      </c>
      <c r="U2225" s="341">
        <v>0</v>
      </c>
      <c r="V2225" s="341">
        <v>0</v>
      </c>
      <c r="W2225" s="341">
        <v>0</v>
      </c>
    </row>
    <row r="2226" spans="1:23" x14ac:dyDescent="0.2">
      <c r="A2226" s="284" t="s">
        <v>196</v>
      </c>
      <c r="B2226" s="303"/>
      <c r="C2226" s="277"/>
      <c r="D2226" s="341">
        <v>0</v>
      </c>
      <c r="E2226" s="341">
        <v>0</v>
      </c>
      <c r="F2226" s="341">
        <v>0</v>
      </c>
      <c r="G2226" s="341">
        <v>0</v>
      </c>
      <c r="H2226" s="341">
        <v>0</v>
      </c>
      <c r="I2226" s="341">
        <v>0</v>
      </c>
      <c r="J2226" s="341">
        <v>0</v>
      </c>
      <c r="K2226" s="341">
        <v>0</v>
      </c>
      <c r="L2226" s="341">
        <v>0</v>
      </c>
      <c r="M2226" s="341">
        <v>0</v>
      </c>
      <c r="N2226" s="341">
        <v>0</v>
      </c>
      <c r="O2226" s="341">
        <v>0</v>
      </c>
      <c r="P2226" s="341">
        <v>0</v>
      </c>
      <c r="Q2226" s="341">
        <v>0</v>
      </c>
      <c r="R2226" s="341">
        <v>0</v>
      </c>
      <c r="S2226" s="341">
        <v>0</v>
      </c>
      <c r="T2226" s="341">
        <v>0</v>
      </c>
      <c r="U2226" s="341">
        <v>0</v>
      </c>
      <c r="V2226" s="341">
        <v>0</v>
      </c>
      <c r="W2226" s="341">
        <v>0</v>
      </c>
    </row>
    <row r="2227" spans="1:23" x14ac:dyDescent="0.2">
      <c r="A2227" s="284" t="s">
        <v>197</v>
      </c>
      <c r="B2227" s="303"/>
      <c r="C2227" s="277"/>
      <c r="D2227" s="342">
        <v>0</v>
      </c>
      <c r="E2227" s="342">
        <v>0</v>
      </c>
      <c r="F2227" s="342">
        <v>0</v>
      </c>
      <c r="G2227" s="342">
        <v>0</v>
      </c>
      <c r="H2227" s="342">
        <v>0</v>
      </c>
      <c r="I2227" s="342">
        <v>0</v>
      </c>
      <c r="J2227" s="342">
        <v>0</v>
      </c>
      <c r="K2227" s="342">
        <v>0</v>
      </c>
      <c r="L2227" s="342">
        <v>0</v>
      </c>
      <c r="M2227" s="342">
        <v>0</v>
      </c>
      <c r="N2227" s="342">
        <v>0</v>
      </c>
      <c r="O2227" s="342">
        <v>0</v>
      </c>
      <c r="P2227" s="342">
        <v>0</v>
      </c>
      <c r="Q2227" s="342">
        <v>0</v>
      </c>
      <c r="R2227" s="342">
        <v>0</v>
      </c>
      <c r="S2227" s="342">
        <v>0</v>
      </c>
      <c r="T2227" s="342">
        <v>0</v>
      </c>
      <c r="U2227" s="342">
        <v>0</v>
      </c>
      <c r="V2227" s="342">
        <v>0</v>
      </c>
      <c r="W2227" s="342">
        <v>0</v>
      </c>
    </row>
    <row r="2228" spans="1:23" ht="13.5" thickBot="1" x14ac:dyDescent="0.25">
      <c r="A2228" s="284" t="s">
        <v>198</v>
      </c>
      <c r="B2228" s="303"/>
      <c r="C2228" s="277"/>
      <c r="D2228" s="343">
        <v>0</v>
      </c>
      <c r="E2228" s="343">
        <v>0</v>
      </c>
      <c r="F2228" s="343">
        <v>0</v>
      </c>
      <c r="G2228" s="343">
        <v>0</v>
      </c>
      <c r="H2228" s="343">
        <v>0</v>
      </c>
      <c r="I2228" s="343">
        <v>0</v>
      </c>
      <c r="J2228" s="343">
        <v>0</v>
      </c>
      <c r="K2228" s="343">
        <v>0</v>
      </c>
      <c r="L2228" s="343">
        <v>0</v>
      </c>
      <c r="M2228" s="343">
        <v>0</v>
      </c>
      <c r="N2228" s="343">
        <v>0</v>
      </c>
      <c r="O2228" s="343">
        <v>0</v>
      </c>
      <c r="P2228" s="343">
        <v>0</v>
      </c>
      <c r="Q2228" s="343">
        <v>0</v>
      </c>
      <c r="R2228" s="343">
        <v>0</v>
      </c>
      <c r="S2228" s="343">
        <v>0</v>
      </c>
      <c r="T2228" s="343">
        <v>0</v>
      </c>
      <c r="U2228" s="343">
        <v>0</v>
      </c>
      <c r="V2228" s="343">
        <v>0</v>
      </c>
      <c r="W2228" s="343">
        <v>0</v>
      </c>
    </row>
    <row r="2229" spans="1:23" ht="13.5" thickTop="1" x14ac:dyDescent="0.2">
      <c r="A2229" s="284"/>
      <c r="B2229" s="303"/>
      <c r="C2229" s="277"/>
      <c r="D2229" s="341"/>
      <c r="E2229" s="341"/>
      <c r="F2229" s="341"/>
      <c r="G2229" s="341"/>
      <c r="H2229" s="341"/>
      <c r="I2229" s="341"/>
      <c r="J2229" s="341"/>
      <c r="K2229" s="341"/>
      <c r="L2229" s="341"/>
      <c r="M2229" s="341"/>
      <c r="N2229" s="341"/>
      <c r="O2229" s="341"/>
      <c r="P2229" s="341"/>
      <c r="Q2229" s="341"/>
      <c r="R2229" s="341"/>
      <c r="S2229" s="341"/>
      <c r="T2229" s="341"/>
      <c r="U2229" s="341"/>
      <c r="V2229" s="341"/>
      <c r="W2229" s="341"/>
    </row>
    <row r="2230" spans="1:23" x14ac:dyDescent="0.2">
      <c r="A2230" s="284" t="s">
        <v>199</v>
      </c>
      <c r="B2230" s="303"/>
      <c r="C2230" s="277"/>
      <c r="D2230" s="341">
        <v>0</v>
      </c>
      <c r="E2230" s="341">
        <v>0</v>
      </c>
      <c r="F2230" s="341">
        <v>0</v>
      </c>
      <c r="G2230" s="341">
        <v>0</v>
      </c>
      <c r="H2230" s="341">
        <v>0</v>
      </c>
      <c r="I2230" s="341">
        <v>0</v>
      </c>
      <c r="J2230" s="341">
        <v>0</v>
      </c>
      <c r="K2230" s="341">
        <v>0</v>
      </c>
      <c r="L2230" s="341">
        <v>0</v>
      </c>
      <c r="M2230" s="341">
        <v>0</v>
      </c>
      <c r="N2230" s="341">
        <v>0</v>
      </c>
      <c r="O2230" s="341">
        <v>0</v>
      </c>
      <c r="P2230" s="341">
        <v>0</v>
      </c>
      <c r="Q2230" s="341">
        <v>0</v>
      </c>
      <c r="R2230" s="341">
        <v>0</v>
      </c>
      <c r="S2230" s="341">
        <v>0</v>
      </c>
      <c r="T2230" s="341">
        <v>0</v>
      </c>
      <c r="U2230" s="341">
        <v>0</v>
      </c>
      <c r="V2230" s="341">
        <v>0</v>
      </c>
      <c r="W2230" s="341">
        <v>0</v>
      </c>
    </row>
    <row r="2231" spans="1:23" x14ac:dyDescent="0.2">
      <c r="A2231" s="284"/>
      <c r="B2231" s="303"/>
      <c r="C2231" s="277"/>
      <c r="D2231" s="277"/>
      <c r="E2231" s="277"/>
      <c r="F2231" s="277"/>
      <c r="G2231" s="277"/>
      <c r="H2231" s="277"/>
      <c r="I2231" s="277"/>
      <c r="J2231" s="277"/>
      <c r="K2231" s="277"/>
      <c r="L2231" s="277"/>
      <c r="M2231" s="277"/>
      <c r="N2231" s="277"/>
      <c r="O2231" s="277"/>
      <c r="P2231" s="277"/>
      <c r="Q2231" s="277"/>
      <c r="R2231" s="277"/>
      <c r="S2231" s="277"/>
      <c r="T2231" s="277"/>
      <c r="U2231" s="277"/>
      <c r="V2231" s="277"/>
      <c r="W2231" s="277"/>
    </row>
    <row r="2232" spans="1:23" x14ac:dyDescent="0.2">
      <c r="A2232" s="284" t="s">
        <v>200</v>
      </c>
      <c r="B2232" s="303"/>
      <c r="C2232" s="277"/>
      <c r="D2232" s="341">
        <v>0</v>
      </c>
      <c r="E2232" s="341">
        <v>0</v>
      </c>
      <c r="F2232" s="341">
        <v>0</v>
      </c>
      <c r="G2232" s="341">
        <v>0</v>
      </c>
      <c r="H2232" s="341">
        <v>0</v>
      </c>
      <c r="I2232" s="341">
        <v>0</v>
      </c>
      <c r="J2232" s="341">
        <v>0</v>
      </c>
      <c r="K2232" s="341">
        <v>0</v>
      </c>
      <c r="L2232" s="341">
        <v>0</v>
      </c>
      <c r="M2232" s="341">
        <v>0</v>
      </c>
      <c r="N2232" s="341">
        <v>0</v>
      </c>
      <c r="O2232" s="341">
        <v>0</v>
      </c>
      <c r="P2232" s="341">
        <v>0</v>
      </c>
      <c r="Q2232" s="341">
        <v>0</v>
      </c>
      <c r="R2232" s="341">
        <v>0</v>
      </c>
      <c r="S2232" s="341">
        <v>0</v>
      </c>
      <c r="T2232" s="341">
        <v>0</v>
      </c>
      <c r="U2232" s="341">
        <v>0</v>
      </c>
      <c r="V2232" s="341">
        <v>0</v>
      </c>
      <c r="W2232" s="341">
        <v>0</v>
      </c>
    </row>
    <row r="2233" spans="1:23" x14ac:dyDescent="0.2">
      <c r="A2233" s="277"/>
      <c r="B2233" s="303"/>
      <c r="C2233" s="277"/>
      <c r="D2233" s="277"/>
      <c r="E2233" s="277"/>
      <c r="F2233" s="277"/>
      <c r="G2233" s="277"/>
      <c r="H2233" s="277"/>
      <c r="I2233" s="277"/>
      <c r="J2233" s="277"/>
      <c r="K2233" s="277"/>
      <c r="L2233" s="277"/>
      <c r="M2233" s="277"/>
      <c r="N2233" s="277"/>
      <c r="O2233" s="277"/>
      <c r="P2233" s="277"/>
      <c r="Q2233" s="277"/>
      <c r="R2233" s="277"/>
      <c r="S2233" s="277"/>
      <c r="T2233" s="277"/>
      <c r="U2233" s="277"/>
      <c r="V2233" s="277"/>
      <c r="W2233" s="277"/>
    </row>
    <row r="2234" spans="1:23" x14ac:dyDescent="0.2">
      <c r="A2234" s="277"/>
      <c r="B2234" s="303"/>
      <c r="C2234" s="277"/>
      <c r="D2234" s="277"/>
      <c r="E2234" s="277"/>
      <c r="F2234" s="277"/>
      <c r="G2234" s="277"/>
      <c r="H2234" s="277"/>
      <c r="I2234" s="277"/>
      <c r="J2234" s="277"/>
      <c r="K2234" s="277"/>
      <c r="L2234" s="277"/>
      <c r="M2234" s="277"/>
      <c r="N2234" s="277"/>
      <c r="O2234" s="277"/>
      <c r="P2234" s="277"/>
      <c r="Q2234" s="277"/>
      <c r="R2234" s="277"/>
      <c r="S2234" s="277"/>
      <c r="T2234" s="277"/>
      <c r="U2234" s="277"/>
      <c r="V2234" s="277"/>
      <c r="W2234" s="277"/>
    </row>
    <row r="2235" spans="1:23" x14ac:dyDescent="0.2">
      <c r="A2235" s="284" t="s">
        <v>202</v>
      </c>
      <c r="B2235" s="279"/>
      <c r="C2235" s="278"/>
      <c r="D2235" s="435">
        <v>47655952.335783407</v>
      </c>
      <c r="E2235" s="435">
        <v>41291946.440219074</v>
      </c>
      <c r="F2235" s="435">
        <v>40184292.732234687</v>
      </c>
      <c r="G2235" s="435">
        <v>33792264.327391692</v>
      </c>
      <c r="H2235" s="435">
        <v>33502034.899249371</v>
      </c>
      <c r="I2235" s="435">
        <v>34267867.646887183</v>
      </c>
      <c r="J2235" s="435">
        <v>37878664.591822505</v>
      </c>
      <c r="K2235" s="435">
        <v>45078916.34320797</v>
      </c>
      <c r="L2235" s="435">
        <v>44001230.545500845</v>
      </c>
      <c r="M2235" s="435">
        <v>42682392.088083096</v>
      </c>
      <c r="N2235" s="435">
        <v>41124259.216248974</v>
      </c>
      <c r="O2235" s="435">
        <v>41591024.340620756</v>
      </c>
      <c r="P2235" s="435">
        <v>41133807.324090213</v>
      </c>
      <c r="Q2235" s="435">
        <v>45490064.375548013</v>
      </c>
      <c r="R2235" s="435">
        <v>38778453.243075773</v>
      </c>
      <c r="S2235" s="435">
        <v>35338376.044380732</v>
      </c>
      <c r="T2235" s="435">
        <v>36575823.546123102</v>
      </c>
      <c r="U2235" s="435">
        <v>39539474.639379948</v>
      </c>
      <c r="V2235" s="435">
        <v>39324582.449403852</v>
      </c>
      <c r="W2235" s="435">
        <v>246752454.99687415</v>
      </c>
    </row>
    <row r="2236" spans="1:23" x14ac:dyDescent="0.2">
      <c r="A2236" s="9"/>
      <c r="B2236" s="6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</row>
    <row r="2237" spans="1:23" x14ac:dyDescent="0.2">
      <c r="B2237" s="297" t="s">
        <v>55</v>
      </c>
      <c r="C2237" s="24">
        <v>2</v>
      </c>
    </row>
    <row r="2238" spans="1:23" x14ac:dyDescent="0.2">
      <c r="B2238" s="297" t="s">
        <v>56</v>
      </c>
    </row>
    <row r="2239" spans="1:23" x14ac:dyDescent="0.2">
      <c r="B2239" s="297" t="s">
        <v>57</v>
      </c>
    </row>
    <row r="2240" spans="1:23" x14ac:dyDescent="0.2">
      <c r="B2240" s="297" t="s">
        <v>58</v>
      </c>
    </row>
    <row r="2241" spans="2:2" x14ac:dyDescent="0.2">
      <c r="B2241" s="297" t="s">
        <v>59</v>
      </c>
    </row>
    <row r="2242" spans="2:2" x14ac:dyDescent="0.2">
      <c r="B2242" s="297" t="s">
        <v>60</v>
      </c>
    </row>
    <row r="2243" spans="2:2" x14ac:dyDescent="0.2">
      <c r="B2243" s="297" t="s">
        <v>61</v>
      </c>
    </row>
    <row r="2244" spans="2:2" x14ac:dyDescent="0.2">
      <c r="B2244" s="297" t="s">
        <v>62</v>
      </c>
    </row>
    <row r="2245" spans="2:2" x14ac:dyDescent="0.2">
      <c r="B2245" s="297" t="s">
        <v>63</v>
      </c>
    </row>
    <row r="2246" spans="2:2" x14ac:dyDescent="0.2">
      <c r="B2246" s="297" t="s">
        <v>64</v>
      </c>
    </row>
    <row r="2247" spans="2:2" x14ac:dyDescent="0.2">
      <c r="B2247" s="297" t="s">
        <v>65</v>
      </c>
    </row>
    <row r="2248" spans="2:2" x14ac:dyDescent="0.2">
      <c r="B2248" s="297" t="s">
        <v>66</v>
      </c>
    </row>
    <row r="2249" spans="2:2" x14ac:dyDescent="0.2">
      <c r="B2249" s="297" t="s">
        <v>67</v>
      </c>
    </row>
    <row r="2250" spans="2:2" x14ac:dyDescent="0.2">
      <c r="B2250" s="297" t="s">
        <v>70</v>
      </c>
    </row>
    <row r="2251" spans="2:2" x14ac:dyDescent="0.2">
      <c r="B2251" s="297" t="s">
        <v>68</v>
      </c>
    </row>
    <row r="2252" spans="2:2" x14ac:dyDescent="0.2">
      <c r="B2252" s="297" t="s">
        <v>69</v>
      </c>
    </row>
    <row r="2253" spans="2:2" x14ac:dyDescent="0.2">
      <c r="B2253" s="297" t="s">
        <v>71</v>
      </c>
    </row>
    <row r="2254" spans="2:2" x14ac:dyDescent="0.2">
      <c r="B2254" s="297" t="s">
        <v>72</v>
      </c>
    </row>
    <row r="2255" spans="2:2" x14ac:dyDescent="0.2">
      <c r="B2255" s="297" t="s">
        <v>73</v>
      </c>
    </row>
    <row r="2256" spans="2:2" x14ac:dyDescent="0.2">
      <c r="B2256" s="297" t="s">
        <v>74</v>
      </c>
    </row>
    <row r="2257" spans="2:2" x14ac:dyDescent="0.2">
      <c r="B2257" s="297" t="s">
        <v>75</v>
      </c>
    </row>
    <row r="2258" spans="2:2" x14ac:dyDescent="0.2">
      <c r="B2258" s="297" t="s">
        <v>86</v>
      </c>
    </row>
    <row r="2259" spans="2:2" x14ac:dyDescent="0.2">
      <c r="B2259" s="297" t="s">
        <v>76</v>
      </c>
    </row>
    <row r="2260" spans="2:2" x14ac:dyDescent="0.2">
      <c r="B2260" s="297" t="s">
        <v>77</v>
      </c>
    </row>
    <row r="2261" spans="2:2" x14ac:dyDescent="0.2">
      <c r="B2261" s="297" t="s">
        <v>78</v>
      </c>
    </row>
    <row r="2262" spans="2:2" x14ac:dyDescent="0.2">
      <c r="B2262" s="297" t="s">
        <v>79</v>
      </c>
    </row>
    <row r="2263" spans="2:2" x14ac:dyDescent="0.2">
      <c r="B2263" s="297" t="s">
        <v>80</v>
      </c>
    </row>
    <row r="2264" spans="2:2" x14ac:dyDescent="0.2">
      <c r="B2264" s="297" t="s">
        <v>81</v>
      </c>
    </row>
    <row r="2265" spans="2:2" x14ac:dyDescent="0.2">
      <c r="B2265" s="297" t="s">
        <v>82</v>
      </c>
    </row>
    <row r="2266" spans="2:2" x14ac:dyDescent="0.2">
      <c r="B2266" s="297" t="s">
        <v>83</v>
      </c>
    </row>
    <row r="2267" spans="2:2" x14ac:dyDescent="0.2">
      <c r="B2267" s="297" t="s">
        <v>84</v>
      </c>
    </row>
    <row r="2268" spans="2:2" x14ac:dyDescent="0.2">
      <c r="B2268" s="297" t="s">
        <v>85</v>
      </c>
    </row>
    <row r="2269" spans="2:2" x14ac:dyDescent="0.2">
      <c r="B2269" s="23" t="s">
        <v>181</v>
      </c>
    </row>
  </sheetData>
  <mergeCells count="1">
    <mergeCell ref="F1:I1"/>
  </mergeCells>
  <conditionalFormatting sqref="D24 D26:D29">
    <cfRule type="cellIs" dxfId="0" priority="1" stopIfTrue="1" operator="notEqual">
      <formula>0</formula>
    </cfRule>
  </conditionalFormatting>
  <pageMargins left="0.17" right="0.17" top="1" bottom="1" header="0.5" footer="0.5"/>
  <pageSetup paperSize="5" scale="42" orientation="landscape" r:id="rId1"/>
  <headerFooter alignWithMargins="0">
    <oddFooter>&amp;L&amp;D&amp;C&amp;F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7" r:id="rId4" name="Button 5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1118</xdr:row>
                    <xdr:rowOff>66675</xdr:rowOff>
                  </from>
                  <to>
                    <xdr:col>0</xdr:col>
                    <xdr:colOff>733425</xdr:colOff>
                    <xdr:row>1119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9" r:id="rId5" name="Button 89">
              <controlPr defaultSize="0" print="0" autoFill="0" autoPict="0" macro="[0]!Home">
                <anchor moveWithCells="1">
                  <from>
                    <xdr:col>0</xdr:col>
                    <xdr:colOff>104775</xdr:colOff>
                    <xdr:row>69</xdr:row>
                    <xdr:rowOff>66675</xdr:rowOff>
                  </from>
                  <to>
                    <xdr:col>0</xdr:col>
                    <xdr:colOff>685800</xdr:colOff>
                    <xdr:row>70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6" name="Button 90">
              <controlPr defaultSize="0" print="0" autoFill="0" autoPict="0" macro="[0]!Home">
                <anchor moveWithCells="1">
                  <from>
                    <xdr:col>0</xdr:col>
                    <xdr:colOff>104775</xdr:colOff>
                    <xdr:row>128</xdr:row>
                    <xdr:rowOff>66675</xdr:rowOff>
                  </from>
                  <to>
                    <xdr:col>0</xdr:col>
                    <xdr:colOff>685800</xdr:colOff>
                    <xdr:row>129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7" name="Button 91">
              <controlPr defaultSize="0" print="0" autoFill="0" autoPict="0" macro="[0]!Home">
                <anchor moveWithCells="1">
                  <from>
                    <xdr:col>0</xdr:col>
                    <xdr:colOff>76200</xdr:colOff>
                    <xdr:row>194</xdr:row>
                    <xdr:rowOff>9525</xdr:rowOff>
                  </from>
                  <to>
                    <xdr:col>0</xdr:col>
                    <xdr:colOff>657225</xdr:colOff>
                    <xdr:row>195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8" name="Button 92">
              <controlPr defaultSize="0" print="0" autoFill="0" autoPict="0" macro="[0]!Home">
                <anchor moveWithCells="1">
                  <from>
                    <xdr:col>0</xdr:col>
                    <xdr:colOff>95250</xdr:colOff>
                    <xdr:row>261</xdr:row>
                    <xdr:rowOff>152400</xdr:rowOff>
                  </from>
                  <to>
                    <xdr:col>0</xdr:col>
                    <xdr:colOff>676275</xdr:colOff>
                    <xdr:row>263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9" name="Button 93">
              <controlPr defaultSize="0" print="0" autoFill="0" autoPict="0" macro="[0]!Home">
                <anchor moveWithCells="1">
                  <from>
                    <xdr:col>0</xdr:col>
                    <xdr:colOff>114300</xdr:colOff>
                    <xdr:row>327</xdr:row>
                    <xdr:rowOff>19050</xdr:rowOff>
                  </from>
                  <to>
                    <xdr:col>0</xdr:col>
                    <xdr:colOff>695325</xdr:colOff>
                    <xdr:row>328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10" name="Button 94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393</xdr:row>
                    <xdr:rowOff>19050</xdr:rowOff>
                  </from>
                  <to>
                    <xdr:col>0</xdr:col>
                    <xdr:colOff>771525</xdr:colOff>
                    <xdr:row>394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5" r:id="rId11" name="Button 95">
              <controlPr defaultSize="0" print="0" autoFill="0" autoPict="0" macro="[0]!Home">
                <anchor moveWithCells="1">
                  <from>
                    <xdr:col>0</xdr:col>
                    <xdr:colOff>76200</xdr:colOff>
                    <xdr:row>459</xdr:row>
                    <xdr:rowOff>76200</xdr:rowOff>
                  </from>
                  <to>
                    <xdr:col>0</xdr:col>
                    <xdr:colOff>657225</xdr:colOff>
                    <xdr:row>460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12" name="Button 9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525</xdr:row>
                    <xdr:rowOff>142875</xdr:rowOff>
                  </from>
                  <to>
                    <xdr:col>0</xdr:col>
                    <xdr:colOff>733425</xdr:colOff>
                    <xdr:row>527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7" r:id="rId13" name="Button 97">
              <controlPr defaultSize="0" print="0" autoFill="0" autoPict="0" macro="[0]!Home">
                <anchor moveWithCells="1">
                  <from>
                    <xdr:col>0</xdr:col>
                    <xdr:colOff>66675</xdr:colOff>
                    <xdr:row>591</xdr:row>
                    <xdr:rowOff>9525</xdr:rowOff>
                  </from>
                  <to>
                    <xdr:col>0</xdr:col>
                    <xdr:colOff>647700</xdr:colOff>
                    <xdr:row>592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8" r:id="rId14" name="Button 98">
              <controlPr defaultSize="0" print="0" autoFill="0" autoPict="0" macro="[0]!Home">
                <anchor moveWithCells="1">
                  <from>
                    <xdr:col>0</xdr:col>
                    <xdr:colOff>114300</xdr:colOff>
                    <xdr:row>657</xdr:row>
                    <xdr:rowOff>104775</xdr:rowOff>
                  </from>
                  <to>
                    <xdr:col>0</xdr:col>
                    <xdr:colOff>695325</xdr:colOff>
                    <xdr:row>658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9" r:id="rId15" name="Button 99">
              <controlPr defaultSize="0" print="0" autoFill="0" autoPict="0" macro="[0]!Home">
                <anchor moveWithCells="1">
                  <from>
                    <xdr:col>0</xdr:col>
                    <xdr:colOff>123825</xdr:colOff>
                    <xdr:row>723</xdr:row>
                    <xdr:rowOff>28575</xdr:rowOff>
                  </from>
                  <to>
                    <xdr:col>0</xdr:col>
                    <xdr:colOff>714375</xdr:colOff>
                    <xdr:row>724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0" r:id="rId16" name="Button 100">
              <controlPr defaultSize="0" print="0" autoFill="0" autoPict="0" macro="[0]!Home">
                <anchor moveWithCells="1">
                  <from>
                    <xdr:col>0</xdr:col>
                    <xdr:colOff>95250</xdr:colOff>
                    <xdr:row>789</xdr:row>
                    <xdr:rowOff>57150</xdr:rowOff>
                  </from>
                  <to>
                    <xdr:col>0</xdr:col>
                    <xdr:colOff>676275</xdr:colOff>
                    <xdr:row>790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1" r:id="rId17" name="Button 101">
              <controlPr defaultSize="0" print="0" autoFill="0" autoPict="0" macro="[0]!Home">
                <anchor moveWithCells="1">
                  <from>
                    <xdr:col>0</xdr:col>
                    <xdr:colOff>133350</xdr:colOff>
                    <xdr:row>855</xdr:row>
                    <xdr:rowOff>142875</xdr:rowOff>
                  </from>
                  <to>
                    <xdr:col>0</xdr:col>
                    <xdr:colOff>714375</xdr:colOff>
                    <xdr:row>857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18" name="Button 102">
              <controlPr defaultSize="0" print="0" autoFill="0" autoPict="0" macro="[0]!Home">
                <anchor moveWithCells="1">
                  <from>
                    <xdr:col>0</xdr:col>
                    <xdr:colOff>209550</xdr:colOff>
                    <xdr:row>921</xdr:row>
                    <xdr:rowOff>28575</xdr:rowOff>
                  </from>
                  <to>
                    <xdr:col>0</xdr:col>
                    <xdr:colOff>790575</xdr:colOff>
                    <xdr:row>922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19" name="Button 103">
              <controlPr defaultSize="0" print="0" autoFill="0" autoPict="0" macro="[0]!Home">
                <anchor moveWithCells="1">
                  <from>
                    <xdr:col>0</xdr:col>
                    <xdr:colOff>161925</xdr:colOff>
                    <xdr:row>987</xdr:row>
                    <xdr:rowOff>0</xdr:rowOff>
                  </from>
                  <to>
                    <xdr:col>0</xdr:col>
                    <xdr:colOff>742950</xdr:colOff>
                    <xdr:row>988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20" name="Button 104">
              <controlPr defaultSize="0" print="0" autoFill="0" autoPict="0" macro="[0]!Home">
                <anchor moveWithCells="1">
                  <from>
                    <xdr:col>0</xdr:col>
                    <xdr:colOff>142875</xdr:colOff>
                    <xdr:row>1053</xdr:row>
                    <xdr:rowOff>142875</xdr:rowOff>
                  </from>
                  <to>
                    <xdr:col>0</xdr:col>
                    <xdr:colOff>723900</xdr:colOff>
                    <xdr:row>1055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21" name="Button 10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1185</xdr:row>
                    <xdr:rowOff>66675</xdr:rowOff>
                  </from>
                  <to>
                    <xdr:col>0</xdr:col>
                    <xdr:colOff>733425</xdr:colOff>
                    <xdr:row>1186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6" r:id="rId22" name="Button 10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1251</xdr:row>
                    <xdr:rowOff>66675</xdr:rowOff>
                  </from>
                  <to>
                    <xdr:col>0</xdr:col>
                    <xdr:colOff>733425</xdr:colOff>
                    <xdr:row>1252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7" r:id="rId23" name="Button 10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1317</xdr:row>
                    <xdr:rowOff>66675</xdr:rowOff>
                  </from>
                  <to>
                    <xdr:col>0</xdr:col>
                    <xdr:colOff>733425</xdr:colOff>
                    <xdr:row>1318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24" name="Button 108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1383</xdr:row>
                    <xdr:rowOff>66675</xdr:rowOff>
                  </from>
                  <to>
                    <xdr:col>0</xdr:col>
                    <xdr:colOff>733425</xdr:colOff>
                    <xdr:row>1384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25" name="Button 109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1449</xdr:row>
                    <xdr:rowOff>66675</xdr:rowOff>
                  </from>
                  <to>
                    <xdr:col>0</xdr:col>
                    <xdr:colOff>733425</xdr:colOff>
                    <xdr:row>1450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26" name="Button 110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1515</xdr:row>
                    <xdr:rowOff>66675</xdr:rowOff>
                  </from>
                  <to>
                    <xdr:col>0</xdr:col>
                    <xdr:colOff>733425</xdr:colOff>
                    <xdr:row>1516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27" name="Button 111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1581</xdr:row>
                    <xdr:rowOff>66675</xdr:rowOff>
                  </from>
                  <to>
                    <xdr:col>0</xdr:col>
                    <xdr:colOff>733425</xdr:colOff>
                    <xdr:row>1582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28" name="Button 112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1647</xdr:row>
                    <xdr:rowOff>66675</xdr:rowOff>
                  </from>
                  <to>
                    <xdr:col>0</xdr:col>
                    <xdr:colOff>733425</xdr:colOff>
                    <xdr:row>1648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29" name="Button 113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1713</xdr:row>
                    <xdr:rowOff>66675</xdr:rowOff>
                  </from>
                  <to>
                    <xdr:col>0</xdr:col>
                    <xdr:colOff>733425</xdr:colOff>
                    <xdr:row>1714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4" r:id="rId30" name="Button 114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1779</xdr:row>
                    <xdr:rowOff>66675</xdr:rowOff>
                  </from>
                  <to>
                    <xdr:col>0</xdr:col>
                    <xdr:colOff>733425</xdr:colOff>
                    <xdr:row>1780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5" r:id="rId31" name="Button 11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1845</xdr:row>
                    <xdr:rowOff>66675</xdr:rowOff>
                  </from>
                  <to>
                    <xdr:col>0</xdr:col>
                    <xdr:colOff>733425</xdr:colOff>
                    <xdr:row>1846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32" name="Button 11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1911</xdr:row>
                    <xdr:rowOff>66675</xdr:rowOff>
                  </from>
                  <to>
                    <xdr:col>0</xdr:col>
                    <xdr:colOff>733425</xdr:colOff>
                    <xdr:row>1912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7" r:id="rId33" name="Button 11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1977</xdr:row>
                    <xdr:rowOff>66675</xdr:rowOff>
                  </from>
                  <to>
                    <xdr:col>0</xdr:col>
                    <xdr:colOff>733425</xdr:colOff>
                    <xdr:row>1978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8" r:id="rId34" name="Button 118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2043</xdr:row>
                    <xdr:rowOff>66675</xdr:rowOff>
                  </from>
                  <to>
                    <xdr:col>0</xdr:col>
                    <xdr:colOff>733425</xdr:colOff>
                    <xdr:row>2044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9" r:id="rId35" name="Button 119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2108</xdr:row>
                    <xdr:rowOff>66675</xdr:rowOff>
                  </from>
                  <to>
                    <xdr:col>0</xdr:col>
                    <xdr:colOff>733425</xdr:colOff>
                    <xdr:row>2109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0" r:id="rId36" name="Button 120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2175</xdr:row>
                    <xdr:rowOff>66675</xdr:rowOff>
                  </from>
                  <to>
                    <xdr:col>0</xdr:col>
                    <xdr:colOff>733425</xdr:colOff>
                    <xdr:row>2176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3" r:id="rId37" name="Drop Down 123">
              <controlPr defaultSize="0" print="0" autoLine="0" autoPict="0" macro="[0]!DRPDWN">
                <anchor moveWithCells="1">
                  <from>
                    <xdr:col>2</xdr:col>
                    <xdr:colOff>76200</xdr:colOff>
                    <xdr:row>1</xdr:row>
                    <xdr:rowOff>66675</xdr:rowOff>
                  </from>
                  <to>
                    <xdr:col>3</xdr:col>
                    <xdr:colOff>609600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249"/>
  <sheetViews>
    <sheetView topLeftCell="T1" workbookViewId="0">
      <selection activeCell="AC2" sqref="AC2"/>
    </sheetView>
  </sheetViews>
  <sheetFormatPr defaultRowHeight="12.75" x14ac:dyDescent="0.2"/>
  <cols>
    <col min="1" max="1" width="8.140625" bestFit="1" customWidth="1"/>
    <col min="2" max="2" width="12.28515625" bestFit="1" customWidth="1"/>
    <col min="3" max="9" width="11.42578125" bestFit="1" customWidth="1"/>
    <col min="10" max="10" width="11.140625" bestFit="1" customWidth="1"/>
    <col min="11" max="11" width="13.85546875" bestFit="1" customWidth="1"/>
    <col min="12" max="21" width="10.7109375" bestFit="1" customWidth="1"/>
    <col min="22" max="22" width="11.140625" style="13" bestFit="1" customWidth="1"/>
    <col min="23" max="23" width="11.7109375" style="104" bestFit="1" customWidth="1"/>
    <col min="24" max="24" width="11.7109375" style="108" bestFit="1" customWidth="1"/>
    <col min="25" max="25" width="9.5703125" style="104" bestFit="1" customWidth="1"/>
    <col min="26" max="26" width="10.42578125" style="108" bestFit="1" customWidth="1"/>
    <col min="27" max="28" width="9.5703125" style="104" bestFit="1" customWidth="1"/>
    <col min="29" max="30" width="10.42578125" style="104" bestFit="1" customWidth="1"/>
  </cols>
  <sheetData>
    <row r="1" spans="1:30" x14ac:dyDescent="0.2">
      <c r="A1" s="13" t="str">
        <f>IS!$C$2</f>
        <v>Peak</v>
      </c>
    </row>
    <row r="2" spans="1:30" x14ac:dyDescent="0.2">
      <c r="A2" s="13"/>
    </row>
    <row r="3" spans="1:30" x14ac:dyDescent="0.2">
      <c r="A3" s="13"/>
    </row>
    <row r="4" spans="1:30" x14ac:dyDescent="0.2">
      <c r="A4" s="13"/>
      <c r="K4" s="232"/>
    </row>
    <row r="5" spans="1:30" x14ac:dyDescent="0.2">
      <c r="A5" s="13"/>
    </row>
    <row r="6" spans="1:30" x14ac:dyDescent="0.2">
      <c r="A6" s="13"/>
    </row>
    <row r="7" spans="1:30" x14ac:dyDescent="0.2">
      <c r="V7" s="3" t="s">
        <v>46</v>
      </c>
      <c r="W7" s="105" t="s">
        <v>20</v>
      </c>
      <c r="X7" s="105" t="s">
        <v>46</v>
      </c>
      <c r="Y7" s="105" t="s">
        <v>21</v>
      </c>
      <c r="Z7" s="105" t="s">
        <v>46</v>
      </c>
      <c r="AA7" s="105" t="s">
        <v>22</v>
      </c>
      <c r="AB7" s="105" t="s">
        <v>46</v>
      </c>
      <c r="AC7" s="105" t="s">
        <v>23</v>
      </c>
      <c r="AD7" s="105" t="s">
        <v>46</v>
      </c>
    </row>
    <row r="8" spans="1:30" x14ac:dyDescent="0.2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27</v>
      </c>
      <c r="W8" s="105" t="s">
        <v>25</v>
      </c>
      <c r="X8" s="105" t="s">
        <v>20</v>
      </c>
      <c r="Y8" s="105" t="s">
        <v>25</v>
      </c>
      <c r="Z8" s="105" t="s">
        <v>21</v>
      </c>
      <c r="AA8" s="105" t="s">
        <v>25</v>
      </c>
      <c r="AB8" s="105" t="s">
        <v>22</v>
      </c>
      <c r="AC8" s="105" t="s">
        <v>25</v>
      </c>
      <c r="AD8" s="105" t="s">
        <v>23</v>
      </c>
    </row>
    <row r="10" spans="1:30" x14ac:dyDescent="0.2">
      <c r="A10" s="1">
        <v>36540</v>
      </c>
      <c r="B10" s="177">
        <f>IF($A$1="BL",0,'Peak Hours'!B10*Peak!H11*'Peak Hours'!$Y10)</f>
        <v>0</v>
      </c>
      <c r="C10" s="177">
        <f>IF($A$1="BL",0,'Peak Hours'!C10*Peak!I11*'Peak Hours'!$Y10)</f>
        <v>0</v>
      </c>
      <c r="D10" s="177">
        <f>IF($A$1="BL",0,'Peak Hours'!D10*Peak!J11*'Peak Hours'!$Y10)</f>
        <v>0</v>
      </c>
      <c r="E10" s="177">
        <f>IF($A$1="BL",0,'Peak Hours'!E10*Peak!K11*'Peak Hours'!$Y10)</f>
        <v>0</v>
      </c>
      <c r="F10" s="177">
        <f>IF($A$1="BL",0,'Peak Hours'!F10*Peak!L11*'Peak Hours'!$Y10)</f>
        <v>0</v>
      </c>
      <c r="G10" s="177">
        <f>IF($A$1="BL",0,'Peak Hours'!G10*Peak!M11*'Peak Hours'!$Y10)</f>
        <v>0</v>
      </c>
      <c r="H10" s="177">
        <f>IF($A$1="BL",0,'Peak Hours'!H10*Peak!N11*'Peak Hours'!$Y10)</f>
        <v>0</v>
      </c>
      <c r="I10" s="177">
        <f>IF($A$1="BL",0,'Peak Hours'!I10*Peak!O11*'Peak Hours'!$Y10)</f>
        <v>0</v>
      </c>
      <c r="J10" s="177">
        <f>IF($A$1="BL",0,'Peak Hours'!J10*Peak!P11*'Peak Hours'!$Y10)</f>
        <v>0</v>
      </c>
      <c r="K10" s="177">
        <f>IF($A$1="BL",0,'Peak Hours'!K10*Peak!Q11*'Peak Hours'!$Y10)</f>
        <v>0</v>
      </c>
      <c r="L10" s="177">
        <f>IF($A$1="BL",0,'Peak Hours'!L10*Peak!R11*'Peak Hours'!$Y10)</f>
        <v>0</v>
      </c>
      <c r="M10" s="177">
        <f>IF($A$1="BL",0,'Peak Hours'!M10*Peak!S11*'Peak Hours'!$Y10)</f>
        <v>0</v>
      </c>
      <c r="N10" s="177">
        <f>IF($A$1="BL",0,'Peak Hours'!N10*Peak!T11*'Peak Hours'!$Y10)</f>
        <v>0</v>
      </c>
      <c r="O10" s="177">
        <f>IF($A$1="BL",0,'Peak Hours'!O10*Peak!U11*'Peak Hours'!$Y10)</f>
        <v>0</v>
      </c>
      <c r="P10" s="177">
        <f>IF($A$1="BL",0,'Peak Hours'!P10*Peak!V11*'Peak Hours'!$Y10)</f>
        <v>0</v>
      </c>
      <c r="Q10" s="177">
        <f>IF($A$1="BL",0,'Peak Hours'!Q10*Peak!W11*'Peak Hours'!$Y10)</f>
        <v>0</v>
      </c>
      <c r="R10" s="177">
        <f>IF($A$1="BL",0,'Peak Hours'!R10*Peak!X11*'Peak Hours'!$Y10)</f>
        <v>0</v>
      </c>
      <c r="S10" s="177">
        <f>IF($A$1="BL",0,'Peak Hours'!S10*Peak!Y11*'Peak Hours'!$Y10)</f>
        <v>0</v>
      </c>
      <c r="T10" s="177">
        <f>IF($A$1="BL",0,'Peak Hours'!T10*Peak!Z11*'Peak Hours'!$Y10)</f>
        <v>0</v>
      </c>
      <c r="U10" s="177">
        <f>IF($A$1="BL",0,'Peak Hours'!U10*Peak!AA11*'Peak Hours'!$Y10)</f>
        <v>0</v>
      </c>
      <c r="V10" s="206"/>
      <c r="W10" s="203">
        <f>(IF($A$1="BL",0,Peak!C11*'Peak Hours'!V10*'Peak Hours'!$Y10))*-1</f>
        <v>0</v>
      </c>
      <c r="X10" s="206"/>
      <c r="Y10" s="203">
        <f>(IF($A$1="bl",0,Peak!D11*'Peak Hours'!V10*'Peak Hours'!$Y10))*-1</f>
        <v>0</v>
      </c>
      <c r="Z10" s="206"/>
      <c r="AA10" s="203">
        <f>(Peak!E11*'Peak Hours'!V10*'Peak Hours'!$Y10)*-1</f>
        <v>0</v>
      </c>
      <c r="AB10" s="202"/>
      <c r="AC10" s="203">
        <f>(Peak!F11*'Peak Hours'!V10*'Peak Hours'!$Y10)*-1</f>
        <v>0</v>
      </c>
      <c r="AD10" s="202"/>
    </row>
    <row r="11" spans="1:30" x14ac:dyDescent="0.2">
      <c r="A11" s="1">
        <f>A10+30.417</f>
        <v>36570.417000000001</v>
      </c>
      <c r="B11" s="177">
        <f>IF($A$1="BL",0,'Peak Hours'!B11*Peak!H12*'Peak Hours'!$Y11)</f>
        <v>0</v>
      </c>
      <c r="C11" s="177">
        <f>IF($A$1="BL",0,'Peak Hours'!C11*Peak!I12*'Peak Hours'!$Y11)</f>
        <v>0</v>
      </c>
      <c r="D11" s="177">
        <f>IF($A$1="BL",0,'Peak Hours'!D11*Peak!J12*'Peak Hours'!$Y11)</f>
        <v>0</v>
      </c>
      <c r="E11" s="177">
        <f>IF($A$1="BL",0,'Peak Hours'!E11*Peak!K12*'Peak Hours'!$Y11)</f>
        <v>0</v>
      </c>
      <c r="F11" s="177">
        <f>IF($A$1="BL",0,'Peak Hours'!F11*Peak!L12*'Peak Hours'!$Y11)</f>
        <v>0</v>
      </c>
      <c r="G11" s="177">
        <f>IF($A$1="BL",0,'Peak Hours'!G11*Peak!M12*'Peak Hours'!$Y11)</f>
        <v>0</v>
      </c>
      <c r="H11" s="177">
        <f>IF($A$1="BL",0,'Peak Hours'!H11*Peak!N12*'Peak Hours'!$Y11)</f>
        <v>0</v>
      </c>
      <c r="I11" s="177">
        <f>IF($A$1="BL",0,'Peak Hours'!I11*Peak!O12*'Peak Hours'!$Y11)</f>
        <v>0</v>
      </c>
      <c r="J11" s="177">
        <f>IF($A$1="BL",0,'Peak Hours'!J11*Peak!P12*'Peak Hours'!$Y11)</f>
        <v>0</v>
      </c>
      <c r="K11" s="177">
        <f>IF($A$1="BL",0,'Peak Hours'!K11*Peak!Q12*'Peak Hours'!$Y11)</f>
        <v>0</v>
      </c>
      <c r="L11" s="177">
        <f>IF($A$1="BL",0,'Peak Hours'!L11*Peak!R12*'Peak Hours'!$Y11)</f>
        <v>0</v>
      </c>
      <c r="M11" s="177">
        <f>IF($A$1="BL",0,'Peak Hours'!M11*Peak!S12*'Peak Hours'!$Y11)</f>
        <v>0</v>
      </c>
      <c r="N11" s="177">
        <f>IF($A$1="BL",0,'Peak Hours'!N11*Peak!T12*'Peak Hours'!$Y11)</f>
        <v>0</v>
      </c>
      <c r="O11" s="177">
        <f>IF($A$1="BL",0,'Peak Hours'!O11*Peak!U12*'Peak Hours'!$Y11)</f>
        <v>0</v>
      </c>
      <c r="P11" s="177">
        <f>IF($A$1="BL",0,'Peak Hours'!P11*Peak!V12*'Peak Hours'!$Y11)</f>
        <v>0</v>
      </c>
      <c r="Q11" s="177">
        <f>IF($A$1="BL",0,'Peak Hours'!Q11*Peak!W12*'Peak Hours'!$Y11)</f>
        <v>0</v>
      </c>
      <c r="R11" s="177">
        <f>IF($A$1="BL",0,'Peak Hours'!R11*Peak!X12*'Peak Hours'!$Y11)</f>
        <v>0</v>
      </c>
      <c r="S11" s="177">
        <f>IF($A$1="BL",0,'Peak Hours'!S11*Peak!Y12*'Peak Hours'!$Y11)</f>
        <v>0</v>
      </c>
      <c r="T11" s="177">
        <f>IF($A$1="BL",0,'Peak Hours'!T11*Peak!Z12*'Peak Hours'!$Y11)</f>
        <v>0</v>
      </c>
      <c r="U11" s="177">
        <f>IF($A$1="BL",0,'Peak Hours'!U11*Peak!AA12*'Peak Hours'!$Y11)</f>
        <v>0</v>
      </c>
      <c r="V11" s="207"/>
      <c r="W11" s="203">
        <f>(IF($A$1="BL",0,Peak!C12*'Peak Hours'!V11*'Peak Hours'!$Y11))*-1</f>
        <v>0</v>
      </c>
      <c r="X11" s="207"/>
      <c r="Y11" s="203">
        <f>(IF($A$1="bl",0,Peak!D12*'Peak Hours'!V11*'Peak Hours'!$Y11))*-1</f>
        <v>0</v>
      </c>
      <c r="Z11" s="207"/>
      <c r="AA11" s="203">
        <f>(Peak!E12*'Peak Hours'!V11*'Peak Hours'!$Y11)*-1</f>
        <v>0</v>
      </c>
      <c r="AB11" s="204"/>
      <c r="AC11" s="203">
        <f>(Peak!F12*'Peak Hours'!V11*'Peak Hours'!$Y11)*-1</f>
        <v>0</v>
      </c>
      <c r="AD11" s="204"/>
    </row>
    <row r="12" spans="1:30" x14ac:dyDescent="0.2">
      <c r="A12" s="1">
        <f t="shared" ref="A12:A75" si="0">A11+30.417</f>
        <v>36600.834000000003</v>
      </c>
      <c r="B12" s="177">
        <f>IF($A$1="BL",0,'Peak Hours'!B12*Peak!H13*'Peak Hours'!$Y12)</f>
        <v>0</v>
      </c>
      <c r="C12" s="177">
        <f>IF($A$1="BL",0,'Peak Hours'!C12*Peak!I13*'Peak Hours'!$Y12)</f>
        <v>0</v>
      </c>
      <c r="D12" s="177">
        <f>IF($A$1="BL",0,'Peak Hours'!D12*Peak!J13*'Peak Hours'!$Y12)</f>
        <v>0</v>
      </c>
      <c r="E12" s="177">
        <f>IF($A$1="BL",0,'Peak Hours'!E12*Peak!K13*'Peak Hours'!$Y12)</f>
        <v>0</v>
      </c>
      <c r="F12" s="177">
        <f>IF($A$1="BL",0,'Peak Hours'!F12*Peak!L13*'Peak Hours'!$Y12)</f>
        <v>0</v>
      </c>
      <c r="G12" s="177">
        <f>IF($A$1="BL",0,'Peak Hours'!G12*Peak!M13*'Peak Hours'!$Y12)</f>
        <v>0</v>
      </c>
      <c r="H12" s="177">
        <f>IF($A$1="BL",0,'Peak Hours'!H12*Peak!N13*'Peak Hours'!$Y12)</f>
        <v>0</v>
      </c>
      <c r="I12" s="177">
        <f>IF($A$1="BL",0,'Peak Hours'!I12*Peak!O13*'Peak Hours'!$Y12)</f>
        <v>0</v>
      </c>
      <c r="J12" s="177">
        <f>IF($A$1="BL",0,'Peak Hours'!J12*Peak!P13*'Peak Hours'!$Y12)</f>
        <v>0</v>
      </c>
      <c r="K12" s="177">
        <f>IF($A$1="BL",0,'Peak Hours'!K12*Peak!Q13*'Peak Hours'!$Y12)</f>
        <v>0</v>
      </c>
      <c r="L12" s="177">
        <f>IF($A$1="BL",0,'Peak Hours'!L12*Peak!R13*'Peak Hours'!$Y12)</f>
        <v>0</v>
      </c>
      <c r="M12" s="177">
        <f>IF($A$1="BL",0,'Peak Hours'!M12*Peak!S13*'Peak Hours'!$Y12)</f>
        <v>0</v>
      </c>
      <c r="N12" s="177">
        <f>IF($A$1="BL",0,'Peak Hours'!N12*Peak!T13*'Peak Hours'!$Y12)</f>
        <v>0</v>
      </c>
      <c r="O12" s="177">
        <f>IF($A$1="BL",0,'Peak Hours'!O12*Peak!U13*'Peak Hours'!$Y12)</f>
        <v>0</v>
      </c>
      <c r="P12" s="177">
        <f>IF($A$1="BL",0,'Peak Hours'!P12*Peak!V13*'Peak Hours'!$Y12)</f>
        <v>0</v>
      </c>
      <c r="Q12" s="177">
        <f>IF($A$1="BL",0,'Peak Hours'!Q12*Peak!W13*'Peak Hours'!$Y12)</f>
        <v>0</v>
      </c>
      <c r="R12" s="177">
        <f>IF($A$1="BL",0,'Peak Hours'!R12*Peak!X13*'Peak Hours'!$Y12)</f>
        <v>0</v>
      </c>
      <c r="S12" s="177">
        <f>IF($A$1="BL",0,'Peak Hours'!S12*Peak!Y13*'Peak Hours'!$Y12)</f>
        <v>0</v>
      </c>
      <c r="T12" s="177">
        <f>IF($A$1="BL",0,'Peak Hours'!T12*Peak!Z13*'Peak Hours'!$Y12)</f>
        <v>0</v>
      </c>
      <c r="U12" s="177">
        <f>IF($A$1="BL",0,'Peak Hours'!U12*Peak!AA13*'Peak Hours'!$Y12)</f>
        <v>0</v>
      </c>
      <c r="V12" s="207"/>
      <c r="W12" s="203">
        <f>(IF($A$1="BL",0,Peak!C13*'Peak Hours'!V12*'Peak Hours'!$Y12))*-1</f>
        <v>0</v>
      </c>
      <c r="X12" s="207"/>
      <c r="Y12" s="203">
        <f>(IF($A$1="bl",0,Peak!D13*'Peak Hours'!V12*'Peak Hours'!$Y12))*-1</f>
        <v>0</v>
      </c>
      <c r="Z12" s="207"/>
      <c r="AA12" s="203">
        <f>(Peak!E13*'Peak Hours'!V12*'Peak Hours'!$Y12)*-1</f>
        <v>0</v>
      </c>
      <c r="AB12" s="204"/>
      <c r="AC12" s="203">
        <f>(Peak!F13*'Peak Hours'!V12*'Peak Hours'!$Y12)*-1</f>
        <v>0</v>
      </c>
      <c r="AD12" s="204"/>
    </row>
    <row r="13" spans="1:30" x14ac:dyDescent="0.2">
      <c r="A13" s="1">
        <f t="shared" si="0"/>
        <v>36631.251000000004</v>
      </c>
      <c r="B13" s="177">
        <f>IF($A$1="BL",0,'Peak Hours'!B13*Peak!H14*'Peak Hours'!$Y13)</f>
        <v>0</v>
      </c>
      <c r="C13" s="177">
        <f>IF($A$1="BL",0,'Peak Hours'!C13*Peak!I14*'Peak Hours'!$Y13)</f>
        <v>0</v>
      </c>
      <c r="D13" s="177">
        <f>IF($A$1="BL",0,'Peak Hours'!D13*Peak!J14*'Peak Hours'!$Y13)</f>
        <v>0</v>
      </c>
      <c r="E13" s="177">
        <f>IF($A$1="BL",0,'Peak Hours'!E13*Peak!K14*'Peak Hours'!$Y13)</f>
        <v>0</v>
      </c>
      <c r="F13" s="177">
        <f>IF($A$1="BL",0,'Peak Hours'!F13*Peak!L14*'Peak Hours'!$Y13)</f>
        <v>0</v>
      </c>
      <c r="G13" s="177">
        <f>IF($A$1="BL",0,'Peak Hours'!G13*Peak!M14*'Peak Hours'!$Y13)</f>
        <v>0</v>
      </c>
      <c r="H13" s="177">
        <f>IF($A$1="BL",0,'Peak Hours'!H13*Peak!N14*'Peak Hours'!$Y13)</f>
        <v>0</v>
      </c>
      <c r="I13" s="177">
        <f>IF($A$1="BL",0,'Peak Hours'!I13*Peak!O14*'Peak Hours'!$Y13)</f>
        <v>0</v>
      </c>
      <c r="J13" s="177">
        <f>IF($A$1="BL",0,'Peak Hours'!J13*Peak!P14*'Peak Hours'!$Y13)</f>
        <v>0</v>
      </c>
      <c r="K13" s="177">
        <f>IF($A$1="BL",0,'Peak Hours'!K13*Peak!Q14*'Peak Hours'!$Y13)</f>
        <v>0</v>
      </c>
      <c r="L13" s="177">
        <f>IF($A$1="BL",0,'Peak Hours'!L13*Peak!R14*'Peak Hours'!$Y13)</f>
        <v>0</v>
      </c>
      <c r="M13" s="177">
        <f>IF($A$1="BL",0,'Peak Hours'!M13*Peak!S14*'Peak Hours'!$Y13)</f>
        <v>0</v>
      </c>
      <c r="N13" s="177">
        <f>IF($A$1="BL",0,'Peak Hours'!N13*Peak!T14*'Peak Hours'!$Y13)</f>
        <v>0</v>
      </c>
      <c r="O13" s="177">
        <f>IF($A$1="BL",0,'Peak Hours'!O13*Peak!U14*'Peak Hours'!$Y13)</f>
        <v>0</v>
      </c>
      <c r="P13" s="177">
        <f>IF($A$1="BL",0,'Peak Hours'!P13*Peak!V14*'Peak Hours'!$Y13)</f>
        <v>0</v>
      </c>
      <c r="Q13" s="177">
        <f>IF($A$1="BL",0,'Peak Hours'!Q13*Peak!W14*'Peak Hours'!$Y13)</f>
        <v>0</v>
      </c>
      <c r="R13" s="177">
        <f>IF($A$1="BL",0,'Peak Hours'!R13*Peak!X14*'Peak Hours'!$Y13)</f>
        <v>0</v>
      </c>
      <c r="S13" s="177">
        <f>IF($A$1="BL",0,'Peak Hours'!S13*Peak!Y14*'Peak Hours'!$Y13)</f>
        <v>0</v>
      </c>
      <c r="T13" s="177">
        <f>IF($A$1="BL",0,'Peak Hours'!T13*Peak!Z14*'Peak Hours'!$Y13)</f>
        <v>0</v>
      </c>
      <c r="U13" s="177">
        <f>IF($A$1="BL",0,'Peak Hours'!U13*Peak!AA14*'Peak Hours'!$Y13)</f>
        <v>0</v>
      </c>
      <c r="V13" s="207"/>
      <c r="W13" s="203">
        <f>(IF($A$1="BL",0,Peak!C14*'Peak Hours'!V13*'Peak Hours'!$Y13))*-1</f>
        <v>0</v>
      </c>
      <c r="X13" s="207"/>
      <c r="Y13" s="203">
        <f>(IF($A$1="bl",0,Peak!D14*'Peak Hours'!V13*'Peak Hours'!$Y13))*-1</f>
        <v>0</v>
      </c>
      <c r="Z13" s="207"/>
      <c r="AA13" s="203">
        <f>(Peak!E14*'Peak Hours'!V13*'Peak Hours'!$Y13)*-1</f>
        <v>0</v>
      </c>
      <c r="AB13" s="204"/>
      <c r="AC13" s="203">
        <f>(Peak!F14*'Peak Hours'!V13*'Peak Hours'!$Y13)*-1</f>
        <v>0</v>
      </c>
      <c r="AD13" s="204"/>
    </row>
    <row r="14" spans="1:30" x14ac:dyDescent="0.2">
      <c r="A14" s="1">
        <f t="shared" si="0"/>
        <v>36661.668000000005</v>
      </c>
      <c r="B14" s="177">
        <f>IF($A$1="BL",0,'Peak Hours'!B14*Peak!H15*'Peak Hours'!$Y14)</f>
        <v>0</v>
      </c>
      <c r="C14" s="177">
        <f>IF($A$1="BL",0,'Peak Hours'!C14*Peak!I15*'Peak Hours'!$Y14)</f>
        <v>0</v>
      </c>
      <c r="D14" s="177">
        <f>IF($A$1="BL",0,'Peak Hours'!D14*Peak!J15*'Peak Hours'!$Y14)</f>
        <v>0</v>
      </c>
      <c r="E14" s="177">
        <f>IF($A$1="BL",0,'Peak Hours'!E14*Peak!K15*'Peak Hours'!$Y14)</f>
        <v>0</v>
      </c>
      <c r="F14" s="177">
        <f>IF($A$1="BL",0,'Peak Hours'!F14*Peak!L15*'Peak Hours'!$Y14)</f>
        <v>0</v>
      </c>
      <c r="G14" s="177">
        <f>IF($A$1="BL",0,'Peak Hours'!G14*Peak!M15*'Peak Hours'!$Y14)</f>
        <v>0</v>
      </c>
      <c r="H14" s="177">
        <f>IF($A$1="BL",0,'Peak Hours'!H14*Peak!N15*'Peak Hours'!$Y14)</f>
        <v>0</v>
      </c>
      <c r="I14" s="177">
        <f>IF($A$1="BL",0,'Peak Hours'!I14*Peak!O15*'Peak Hours'!$Y14)</f>
        <v>0</v>
      </c>
      <c r="J14" s="177">
        <f>IF($A$1="BL",0,'Peak Hours'!J14*Peak!P15*'Peak Hours'!$Y14)</f>
        <v>0</v>
      </c>
      <c r="K14" s="177">
        <f>IF($A$1="BL",0,'Peak Hours'!K14*Peak!Q15*'Peak Hours'!$Y14)</f>
        <v>0</v>
      </c>
      <c r="L14" s="177">
        <f>IF($A$1="BL",0,'Peak Hours'!L14*Peak!R15*'Peak Hours'!$Y14)</f>
        <v>0</v>
      </c>
      <c r="M14" s="177">
        <f>IF($A$1="BL",0,'Peak Hours'!M14*Peak!S15*'Peak Hours'!$Y14)</f>
        <v>0</v>
      </c>
      <c r="N14" s="177">
        <f>IF($A$1="BL",0,'Peak Hours'!N14*Peak!T15*'Peak Hours'!$Y14)</f>
        <v>0</v>
      </c>
      <c r="O14" s="177">
        <f>IF($A$1="BL",0,'Peak Hours'!O14*Peak!U15*'Peak Hours'!$Y14)</f>
        <v>0</v>
      </c>
      <c r="P14" s="177">
        <f>IF($A$1="BL",0,'Peak Hours'!P14*Peak!V15*'Peak Hours'!$Y14)</f>
        <v>0</v>
      </c>
      <c r="Q14" s="177">
        <f>IF($A$1="BL",0,'Peak Hours'!Q14*Peak!W15*'Peak Hours'!$Y14)</f>
        <v>0</v>
      </c>
      <c r="R14" s="177">
        <f>IF($A$1="BL",0,'Peak Hours'!R14*Peak!X15*'Peak Hours'!$Y14)</f>
        <v>0</v>
      </c>
      <c r="S14" s="177">
        <f>IF($A$1="BL",0,'Peak Hours'!S14*Peak!Y15*'Peak Hours'!$Y14)</f>
        <v>0</v>
      </c>
      <c r="T14" s="177">
        <f>IF($A$1="BL",0,'Peak Hours'!T14*Peak!Z15*'Peak Hours'!$Y14)</f>
        <v>0</v>
      </c>
      <c r="U14" s="177">
        <f>IF($A$1="BL",0,'Peak Hours'!U14*Peak!AA15*'Peak Hours'!$Y14)</f>
        <v>0</v>
      </c>
      <c r="V14" s="207"/>
      <c r="W14" s="203">
        <f>(IF($A$1="BL",0,Peak!C15*'Peak Hours'!V14*'Peak Hours'!$Y14))*-1</f>
        <v>0</v>
      </c>
      <c r="X14" s="207"/>
      <c r="Y14" s="203">
        <f>(IF($A$1="bl",0,Peak!D15*'Peak Hours'!V14*'Peak Hours'!$Y14))*-1</f>
        <v>0</v>
      </c>
      <c r="Z14" s="207"/>
      <c r="AA14" s="203">
        <f>(Peak!E15*'Peak Hours'!V14*'Peak Hours'!$Y14)*-1</f>
        <v>0</v>
      </c>
      <c r="AB14" s="204"/>
      <c r="AC14" s="203">
        <f>(Peak!F15*'Peak Hours'!V14*'Peak Hours'!$Y14)*-1</f>
        <v>0</v>
      </c>
      <c r="AD14" s="204"/>
    </row>
    <row r="15" spans="1:30" x14ac:dyDescent="0.2">
      <c r="A15" s="1">
        <f t="shared" si="0"/>
        <v>36692.085000000006</v>
      </c>
      <c r="B15" s="177">
        <f>IF($A$1="BL",0,'Peak Hours'!B15*Peak!H16*'Peak Hours'!$Y15)</f>
        <v>0</v>
      </c>
      <c r="C15" s="177">
        <f>IF($A$1="BL",0,'Peak Hours'!C15*Peak!I16*'Peak Hours'!$Y15)</f>
        <v>0</v>
      </c>
      <c r="D15" s="177">
        <f>IF($A$1="BL",0,'Peak Hours'!D15*Peak!J16*'Peak Hours'!$Y15)</f>
        <v>0</v>
      </c>
      <c r="E15" s="177">
        <f>IF($A$1="BL",0,'Peak Hours'!E15*Peak!K16*'Peak Hours'!$Y15)</f>
        <v>0</v>
      </c>
      <c r="F15" s="177">
        <f>IF($A$1="BL",0,'Peak Hours'!F15*Peak!L16*'Peak Hours'!$Y15)</f>
        <v>0</v>
      </c>
      <c r="G15" s="177">
        <f>IF($A$1="BL",0,'Peak Hours'!G15*Peak!M16*'Peak Hours'!$Y15)</f>
        <v>0</v>
      </c>
      <c r="H15" s="177">
        <f>IF($A$1="BL",0,'Peak Hours'!H15*Peak!N16*'Peak Hours'!$Y15)</f>
        <v>0</v>
      </c>
      <c r="I15" s="177">
        <f>IF($A$1="BL",0,'Peak Hours'!I15*Peak!O16*'Peak Hours'!$Y15)</f>
        <v>0</v>
      </c>
      <c r="J15" s="177">
        <f>IF($A$1="BL",0,'Peak Hours'!J15*Peak!P16*'Peak Hours'!$Y15)</f>
        <v>0</v>
      </c>
      <c r="K15" s="177">
        <f>IF($A$1="BL",0,'Peak Hours'!K15*Peak!Q16*'Peak Hours'!$Y15)</f>
        <v>0</v>
      </c>
      <c r="L15" s="177">
        <f>IF($A$1="BL",0,'Peak Hours'!L15*Peak!R16*'Peak Hours'!$Y15)</f>
        <v>0</v>
      </c>
      <c r="M15" s="177">
        <f>IF($A$1="BL",0,'Peak Hours'!M15*Peak!S16*'Peak Hours'!$Y15)</f>
        <v>0</v>
      </c>
      <c r="N15" s="177">
        <f>IF($A$1="BL",0,'Peak Hours'!N15*Peak!T16*'Peak Hours'!$Y15)</f>
        <v>0</v>
      </c>
      <c r="O15" s="177">
        <f>IF($A$1="BL",0,'Peak Hours'!O15*Peak!U16*'Peak Hours'!$Y15)</f>
        <v>0</v>
      </c>
      <c r="P15" s="177">
        <f>IF($A$1="BL",0,'Peak Hours'!P15*Peak!V16*'Peak Hours'!$Y15)</f>
        <v>0</v>
      </c>
      <c r="Q15" s="177">
        <f>IF($A$1="BL",0,'Peak Hours'!Q15*Peak!W16*'Peak Hours'!$Y15)</f>
        <v>0</v>
      </c>
      <c r="R15" s="177">
        <f>IF($A$1="BL",0,'Peak Hours'!R15*Peak!X16*'Peak Hours'!$Y15)</f>
        <v>0</v>
      </c>
      <c r="S15" s="177">
        <f>IF($A$1="BL",0,'Peak Hours'!S15*Peak!Y16*'Peak Hours'!$Y15)</f>
        <v>0</v>
      </c>
      <c r="T15" s="177">
        <f>IF($A$1="BL",0,'Peak Hours'!T15*Peak!Z16*'Peak Hours'!$Y15)</f>
        <v>0</v>
      </c>
      <c r="U15" s="177">
        <f>IF($A$1="BL",0,'Peak Hours'!U15*Peak!AA16*'Peak Hours'!$Y15)</f>
        <v>0</v>
      </c>
      <c r="V15" s="207"/>
      <c r="W15" s="203">
        <f>(IF($A$1="BL",0,Peak!C16*'Peak Hours'!V15*'Peak Hours'!$Y15))*-1</f>
        <v>0</v>
      </c>
      <c r="X15" s="207"/>
      <c r="Y15" s="203">
        <f>(IF($A$1="bl",0,Peak!D16*'Peak Hours'!V15*'Peak Hours'!$Y15))*-1</f>
        <v>0</v>
      </c>
      <c r="Z15" s="207"/>
      <c r="AA15" s="203">
        <f>(Peak!E16*'Peak Hours'!V15*'Peak Hours'!$Y15)*-1</f>
        <v>0</v>
      </c>
      <c r="AB15" s="204"/>
      <c r="AC15" s="203">
        <f>(Peak!F16*'Peak Hours'!V15*'Peak Hours'!$Y15)*-1</f>
        <v>0</v>
      </c>
      <c r="AD15" s="204"/>
    </row>
    <row r="16" spans="1:30" x14ac:dyDescent="0.2">
      <c r="A16" s="1">
        <f t="shared" si="0"/>
        <v>36722.502000000008</v>
      </c>
      <c r="B16" s="177">
        <f>IF($A$1="BL",0,'Peak Hours'!B16*Peak!H17*'Peak Hours'!$Y16)</f>
        <v>0</v>
      </c>
      <c r="C16" s="177">
        <f>IF($A$1="BL",0,'Peak Hours'!C16*Peak!I17*'Peak Hours'!$Y16)</f>
        <v>0</v>
      </c>
      <c r="D16" s="177">
        <f>IF($A$1="BL",0,'Peak Hours'!D16*Peak!J17*'Peak Hours'!$Y16)</f>
        <v>0</v>
      </c>
      <c r="E16" s="177">
        <f>IF($A$1="BL",0,'Peak Hours'!E16*Peak!K17*'Peak Hours'!$Y16)</f>
        <v>0</v>
      </c>
      <c r="F16" s="177">
        <f>IF($A$1="BL",0,'Peak Hours'!F16*Peak!L17*'Peak Hours'!$Y16)</f>
        <v>0</v>
      </c>
      <c r="G16" s="177">
        <f>IF($A$1="BL",0,'Peak Hours'!G16*Peak!M17*'Peak Hours'!$Y16)</f>
        <v>0</v>
      </c>
      <c r="H16" s="177">
        <f>IF($A$1="BL",0,'Peak Hours'!H16*Peak!N17*'Peak Hours'!$Y16)</f>
        <v>0</v>
      </c>
      <c r="I16" s="177">
        <f>IF($A$1="BL",0,'Peak Hours'!I16*Peak!O17*'Peak Hours'!$Y16)</f>
        <v>0</v>
      </c>
      <c r="J16" s="177">
        <f>IF($A$1="BL",0,'Peak Hours'!J16*Peak!P17*'Peak Hours'!$Y16)</f>
        <v>0</v>
      </c>
      <c r="K16" s="177">
        <f>IF($A$1="BL",0,'Peak Hours'!K16*Peak!Q17*'Peak Hours'!$Y16)</f>
        <v>0</v>
      </c>
      <c r="L16" s="177">
        <f>IF($A$1="BL",0,'Peak Hours'!L16*Peak!R17*'Peak Hours'!$Y16)</f>
        <v>0</v>
      </c>
      <c r="M16" s="177">
        <f>IF($A$1="BL",0,'Peak Hours'!M16*Peak!S17*'Peak Hours'!$Y16)</f>
        <v>0</v>
      </c>
      <c r="N16" s="177">
        <f>IF($A$1="BL",0,'Peak Hours'!N16*Peak!T17*'Peak Hours'!$Y16)</f>
        <v>0</v>
      </c>
      <c r="O16" s="177">
        <f>IF($A$1="BL",0,'Peak Hours'!O16*Peak!U17*'Peak Hours'!$Y16)</f>
        <v>0</v>
      </c>
      <c r="P16" s="177">
        <f>IF($A$1="BL",0,'Peak Hours'!P16*Peak!V17*'Peak Hours'!$Y16)</f>
        <v>0</v>
      </c>
      <c r="Q16" s="177">
        <f>IF($A$1="BL",0,'Peak Hours'!Q16*Peak!W17*'Peak Hours'!$Y16)</f>
        <v>0</v>
      </c>
      <c r="R16" s="177">
        <f>IF($A$1="BL",0,'Peak Hours'!R16*Peak!X17*'Peak Hours'!$Y16)</f>
        <v>0</v>
      </c>
      <c r="S16" s="177">
        <f>IF($A$1="BL",0,'Peak Hours'!S16*Peak!Y17*'Peak Hours'!$Y16)</f>
        <v>0</v>
      </c>
      <c r="T16" s="177">
        <f>IF($A$1="BL",0,'Peak Hours'!T16*Peak!Z17*'Peak Hours'!$Y16)</f>
        <v>0</v>
      </c>
      <c r="U16" s="177">
        <f>IF($A$1="BL",0,'Peak Hours'!U16*Peak!AA17*'Peak Hours'!$Y16)</f>
        <v>0</v>
      </c>
      <c r="V16" s="207"/>
      <c r="W16" s="203">
        <f>(IF($A$1="BL",0,Peak!C17*'Peak Hours'!V16*'Peak Hours'!$Y16))*-1</f>
        <v>0</v>
      </c>
      <c r="X16" s="207"/>
      <c r="Y16" s="203">
        <f>(IF($A$1="bl",0,Peak!D17*'Peak Hours'!V16*'Peak Hours'!$Y16))*-1</f>
        <v>0</v>
      </c>
      <c r="Z16" s="207"/>
      <c r="AA16" s="203">
        <f>(Peak!E17*'Peak Hours'!V16*'Peak Hours'!$Y16)*-1</f>
        <v>0</v>
      </c>
      <c r="AB16" s="204"/>
      <c r="AC16" s="203">
        <f>(Peak!F17*'Peak Hours'!V16*'Peak Hours'!$Y16)*-1</f>
        <v>0</v>
      </c>
      <c r="AD16" s="204"/>
    </row>
    <row r="17" spans="1:30" x14ac:dyDescent="0.2">
      <c r="A17" s="1">
        <f t="shared" si="0"/>
        <v>36752.919000000009</v>
      </c>
      <c r="B17" s="177">
        <f>IF($A$1="BL",0,'Peak Hours'!B17*Peak!H18*'Peak Hours'!$Y17)</f>
        <v>0</v>
      </c>
      <c r="C17" s="177">
        <f>IF($A$1="BL",0,'Peak Hours'!C17*Peak!I18*'Peak Hours'!$Y17)</f>
        <v>0</v>
      </c>
      <c r="D17" s="177">
        <f>IF($A$1="BL",0,'Peak Hours'!D17*Peak!J18*'Peak Hours'!$Y17)</f>
        <v>0</v>
      </c>
      <c r="E17" s="177">
        <f>IF($A$1="BL",0,'Peak Hours'!E17*Peak!K18*'Peak Hours'!$Y17)</f>
        <v>0</v>
      </c>
      <c r="F17" s="177">
        <f>IF($A$1="BL",0,'Peak Hours'!F17*Peak!L18*'Peak Hours'!$Y17)</f>
        <v>0</v>
      </c>
      <c r="G17" s="177">
        <f>IF($A$1="BL",0,'Peak Hours'!G17*Peak!M18*'Peak Hours'!$Y17)</f>
        <v>0</v>
      </c>
      <c r="H17" s="177">
        <f>IF($A$1="BL",0,'Peak Hours'!H17*Peak!N18*'Peak Hours'!$Y17)</f>
        <v>0</v>
      </c>
      <c r="I17" s="177">
        <f>IF($A$1="BL",0,'Peak Hours'!I17*Peak!O18*'Peak Hours'!$Y17)</f>
        <v>0</v>
      </c>
      <c r="J17" s="177">
        <f>IF($A$1="BL",0,'Peak Hours'!J17*Peak!P18*'Peak Hours'!$Y17)</f>
        <v>0</v>
      </c>
      <c r="K17" s="177">
        <f>IF($A$1="BL",0,'Peak Hours'!K17*Peak!Q18*'Peak Hours'!$Y17)</f>
        <v>0</v>
      </c>
      <c r="L17" s="177">
        <f>IF($A$1="BL",0,'Peak Hours'!L17*Peak!R18*'Peak Hours'!$Y17)</f>
        <v>0</v>
      </c>
      <c r="M17" s="177">
        <f>IF($A$1="BL",0,'Peak Hours'!M17*Peak!S18*'Peak Hours'!$Y17)</f>
        <v>0</v>
      </c>
      <c r="N17" s="177">
        <f>IF($A$1="BL",0,'Peak Hours'!N17*Peak!T18*'Peak Hours'!$Y17)</f>
        <v>0</v>
      </c>
      <c r="O17" s="177">
        <f>IF($A$1="BL",0,'Peak Hours'!O17*Peak!U18*'Peak Hours'!$Y17)</f>
        <v>0</v>
      </c>
      <c r="P17" s="177">
        <f>IF($A$1="BL",0,'Peak Hours'!P17*Peak!V18*'Peak Hours'!$Y17)</f>
        <v>0</v>
      </c>
      <c r="Q17" s="177">
        <f>IF($A$1="BL",0,'Peak Hours'!Q17*Peak!W18*'Peak Hours'!$Y17)</f>
        <v>0</v>
      </c>
      <c r="R17" s="177">
        <f>IF($A$1="BL",0,'Peak Hours'!R17*Peak!X18*'Peak Hours'!$Y17)</f>
        <v>0</v>
      </c>
      <c r="S17" s="177">
        <f>IF($A$1="BL",0,'Peak Hours'!S17*Peak!Y18*'Peak Hours'!$Y17)</f>
        <v>0</v>
      </c>
      <c r="T17" s="177">
        <f>IF($A$1="BL",0,'Peak Hours'!T17*Peak!Z18*'Peak Hours'!$Y17)</f>
        <v>0</v>
      </c>
      <c r="U17" s="177">
        <f>IF($A$1="BL",0,'Peak Hours'!U17*Peak!AA18*'Peak Hours'!$Y17)</f>
        <v>0</v>
      </c>
      <c r="V17" s="207"/>
      <c r="W17" s="203">
        <f>(IF($A$1="BL",0,Peak!C18*'Peak Hours'!V17*'Peak Hours'!$Y17))*-1</f>
        <v>0</v>
      </c>
      <c r="X17" s="207"/>
      <c r="Y17" s="203">
        <f>(IF($A$1="bl",0,Peak!D18*'Peak Hours'!V17*'Peak Hours'!$Y17))*-1</f>
        <v>0</v>
      </c>
      <c r="Z17" s="207"/>
      <c r="AA17" s="203">
        <f>(Peak!E18*'Peak Hours'!V17*'Peak Hours'!$Y17)*-1</f>
        <v>0</v>
      </c>
      <c r="AB17" s="204"/>
      <c r="AC17" s="203">
        <f>(Peak!F18*'Peak Hours'!V17*'Peak Hours'!$Y17)*-1</f>
        <v>0</v>
      </c>
      <c r="AD17" s="204"/>
    </row>
    <row r="18" spans="1:30" x14ac:dyDescent="0.2">
      <c r="A18" s="1">
        <f t="shared" si="0"/>
        <v>36783.33600000001</v>
      </c>
      <c r="B18" s="177">
        <f>IF($A$1="BL",0,'Peak Hours'!B18*Peak!H19*'Peak Hours'!$Y18)</f>
        <v>0</v>
      </c>
      <c r="C18" s="177">
        <f>IF($A$1="BL",0,'Peak Hours'!C18*Peak!I19*'Peak Hours'!$Y18)</f>
        <v>0</v>
      </c>
      <c r="D18" s="177">
        <f>IF($A$1="BL",0,'Peak Hours'!D18*Peak!J19*'Peak Hours'!$Y18)</f>
        <v>0</v>
      </c>
      <c r="E18" s="177">
        <f>IF($A$1="BL",0,'Peak Hours'!E18*Peak!K19*'Peak Hours'!$Y18)</f>
        <v>0</v>
      </c>
      <c r="F18" s="177">
        <f>IF($A$1="BL",0,'Peak Hours'!F18*Peak!L19*'Peak Hours'!$Y18)</f>
        <v>0</v>
      </c>
      <c r="G18" s="177">
        <f>IF($A$1="BL",0,'Peak Hours'!G18*Peak!M19*'Peak Hours'!$Y18)</f>
        <v>0</v>
      </c>
      <c r="H18" s="177">
        <f>IF($A$1="BL",0,'Peak Hours'!H18*Peak!N19*'Peak Hours'!$Y18)</f>
        <v>0</v>
      </c>
      <c r="I18" s="177">
        <f>IF($A$1="BL",0,'Peak Hours'!I18*Peak!O19*'Peak Hours'!$Y18)</f>
        <v>0</v>
      </c>
      <c r="J18" s="177">
        <f>IF($A$1="BL",0,'Peak Hours'!J18*Peak!P19*'Peak Hours'!$Y18)</f>
        <v>0</v>
      </c>
      <c r="K18" s="177">
        <f>IF($A$1="BL",0,'Peak Hours'!K18*Peak!Q19*'Peak Hours'!$Y18)</f>
        <v>0</v>
      </c>
      <c r="L18" s="177">
        <f>IF($A$1="BL",0,'Peak Hours'!L18*Peak!R19*'Peak Hours'!$Y18)</f>
        <v>0</v>
      </c>
      <c r="M18" s="177">
        <f>IF($A$1="BL",0,'Peak Hours'!M18*Peak!S19*'Peak Hours'!$Y18)</f>
        <v>0</v>
      </c>
      <c r="N18" s="177">
        <f>IF($A$1="BL",0,'Peak Hours'!N18*Peak!T19*'Peak Hours'!$Y18)</f>
        <v>0</v>
      </c>
      <c r="O18" s="177">
        <f>IF($A$1="BL",0,'Peak Hours'!O18*Peak!U19*'Peak Hours'!$Y18)</f>
        <v>0</v>
      </c>
      <c r="P18" s="177">
        <f>IF($A$1="BL",0,'Peak Hours'!P18*Peak!V19*'Peak Hours'!$Y18)</f>
        <v>0</v>
      </c>
      <c r="Q18" s="177">
        <f>IF($A$1="BL",0,'Peak Hours'!Q18*Peak!W19*'Peak Hours'!$Y18)</f>
        <v>0</v>
      </c>
      <c r="R18" s="177">
        <f>IF($A$1="BL",0,'Peak Hours'!R18*Peak!X19*'Peak Hours'!$Y18)</f>
        <v>0</v>
      </c>
      <c r="S18" s="177">
        <f>IF($A$1="BL",0,'Peak Hours'!S18*Peak!Y19*'Peak Hours'!$Y18)</f>
        <v>0</v>
      </c>
      <c r="T18" s="177">
        <f>IF($A$1="BL",0,'Peak Hours'!T18*Peak!Z19*'Peak Hours'!$Y18)</f>
        <v>0</v>
      </c>
      <c r="U18" s="177">
        <f>IF($A$1="BL",0,'Peak Hours'!U18*Peak!AA19*'Peak Hours'!$Y18)</f>
        <v>0</v>
      </c>
      <c r="V18" s="207"/>
      <c r="W18" s="203">
        <f>(IF($A$1="BL",0,Peak!C19*'Peak Hours'!V18*'Peak Hours'!$Y18))*-1</f>
        <v>0</v>
      </c>
      <c r="X18" s="207"/>
      <c r="Y18" s="203">
        <f>(IF($A$1="bl",0,Peak!D19*'Peak Hours'!V18*'Peak Hours'!$Y18))*-1</f>
        <v>0</v>
      </c>
      <c r="Z18" s="207"/>
      <c r="AA18" s="203">
        <f>(Peak!E19*'Peak Hours'!V18*'Peak Hours'!$Y18)*-1</f>
        <v>0</v>
      </c>
      <c r="AB18" s="204"/>
      <c r="AC18" s="203">
        <f>(Peak!F19*'Peak Hours'!V18*'Peak Hours'!$Y18)*-1</f>
        <v>0</v>
      </c>
      <c r="AD18" s="204"/>
    </row>
    <row r="19" spans="1:30" x14ac:dyDescent="0.2">
      <c r="A19" s="1">
        <f t="shared" si="0"/>
        <v>36813.753000000012</v>
      </c>
      <c r="B19" s="177">
        <f>IF($A$1="BL",0,'Peak Hours'!B19*Peak!H20*'Peak Hours'!$Y19)</f>
        <v>0</v>
      </c>
      <c r="C19" s="177">
        <f>IF($A$1="BL",0,'Peak Hours'!C19*Peak!I20*'Peak Hours'!$Y19)</f>
        <v>0</v>
      </c>
      <c r="D19" s="177">
        <f>IF($A$1="BL",0,'Peak Hours'!D19*Peak!J20*'Peak Hours'!$Y19)</f>
        <v>0</v>
      </c>
      <c r="E19" s="177">
        <f>IF($A$1="BL",0,'Peak Hours'!E19*Peak!K20*'Peak Hours'!$Y19)</f>
        <v>0</v>
      </c>
      <c r="F19" s="177">
        <f>IF($A$1="BL",0,'Peak Hours'!F19*Peak!L20*'Peak Hours'!$Y19)</f>
        <v>0</v>
      </c>
      <c r="G19" s="177">
        <f>IF($A$1="BL",0,'Peak Hours'!G19*Peak!M20*'Peak Hours'!$Y19)</f>
        <v>0</v>
      </c>
      <c r="H19" s="177">
        <f>IF($A$1="BL",0,'Peak Hours'!H19*Peak!N20*'Peak Hours'!$Y19)</f>
        <v>0</v>
      </c>
      <c r="I19" s="177">
        <f>IF($A$1="BL",0,'Peak Hours'!I19*Peak!O20*'Peak Hours'!$Y19)</f>
        <v>0</v>
      </c>
      <c r="J19" s="177">
        <f>IF($A$1="BL",0,'Peak Hours'!J19*Peak!P20*'Peak Hours'!$Y19)</f>
        <v>0</v>
      </c>
      <c r="K19" s="177">
        <f>IF($A$1="BL",0,'Peak Hours'!K19*Peak!Q20*'Peak Hours'!$Y19)</f>
        <v>0</v>
      </c>
      <c r="L19" s="177">
        <f>IF($A$1="BL",0,'Peak Hours'!L19*Peak!R20*'Peak Hours'!$Y19)</f>
        <v>0</v>
      </c>
      <c r="M19" s="177">
        <f>IF($A$1="BL",0,'Peak Hours'!M19*Peak!S20*'Peak Hours'!$Y19)</f>
        <v>0</v>
      </c>
      <c r="N19" s="177">
        <f>IF($A$1="BL",0,'Peak Hours'!N19*Peak!T20*'Peak Hours'!$Y19)</f>
        <v>0</v>
      </c>
      <c r="O19" s="177">
        <f>IF($A$1="BL",0,'Peak Hours'!O19*Peak!U20*'Peak Hours'!$Y19)</f>
        <v>0</v>
      </c>
      <c r="P19" s="177">
        <f>IF($A$1="BL",0,'Peak Hours'!P19*Peak!V20*'Peak Hours'!$Y19)</f>
        <v>0</v>
      </c>
      <c r="Q19" s="177">
        <f>IF($A$1="BL",0,'Peak Hours'!Q19*Peak!W20*'Peak Hours'!$Y19)</f>
        <v>0</v>
      </c>
      <c r="R19" s="177">
        <f>IF($A$1="BL",0,'Peak Hours'!R19*Peak!X20*'Peak Hours'!$Y19)</f>
        <v>0</v>
      </c>
      <c r="S19" s="177">
        <f>IF($A$1="BL",0,'Peak Hours'!S19*Peak!Y20*'Peak Hours'!$Y19)</f>
        <v>0</v>
      </c>
      <c r="T19" s="177">
        <f>IF($A$1="BL",0,'Peak Hours'!T19*Peak!Z20*'Peak Hours'!$Y19)</f>
        <v>0</v>
      </c>
      <c r="U19" s="177">
        <f>IF($A$1="BL",0,'Peak Hours'!U19*Peak!AA20*'Peak Hours'!$Y19)</f>
        <v>0</v>
      </c>
      <c r="V19" s="207"/>
      <c r="W19" s="203">
        <f>(IF($A$1="BL",0,Peak!C20*'Peak Hours'!V19*'Peak Hours'!$Y19))*-1</f>
        <v>0</v>
      </c>
      <c r="X19" s="207"/>
      <c r="Y19" s="203">
        <f>(IF($A$1="bl",0,Peak!D20*'Peak Hours'!V19*'Peak Hours'!$Y19))*-1</f>
        <v>0</v>
      </c>
      <c r="Z19" s="207"/>
      <c r="AA19" s="203">
        <f>(Peak!E20*'Peak Hours'!V19*'Peak Hours'!$Y19)*-1</f>
        <v>0</v>
      </c>
      <c r="AB19" s="204"/>
      <c r="AC19" s="203">
        <f>(Peak!F20*'Peak Hours'!V19*'Peak Hours'!$Y19)*-1</f>
        <v>0</v>
      </c>
      <c r="AD19" s="204"/>
    </row>
    <row r="20" spans="1:30" x14ac:dyDescent="0.2">
      <c r="A20" s="1">
        <f t="shared" si="0"/>
        <v>36844.170000000013</v>
      </c>
      <c r="B20" s="177">
        <f>IF($A$1="BL",0,'Peak Hours'!B20*Peak!H21*'Peak Hours'!$Y20)</f>
        <v>0</v>
      </c>
      <c r="C20" s="177">
        <f>IF($A$1="BL",0,'Peak Hours'!C20*Peak!I21*'Peak Hours'!$Y20)</f>
        <v>0</v>
      </c>
      <c r="D20" s="177">
        <f>IF($A$1="BL",0,'Peak Hours'!D20*Peak!J21*'Peak Hours'!$Y20)</f>
        <v>0</v>
      </c>
      <c r="E20" s="177">
        <f>IF($A$1="BL",0,'Peak Hours'!E20*Peak!K21*'Peak Hours'!$Y20)</f>
        <v>0</v>
      </c>
      <c r="F20" s="177">
        <f>IF($A$1="BL",0,'Peak Hours'!F20*Peak!L21*'Peak Hours'!$Y20)</f>
        <v>0</v>
      </c>
      <c r="G20" s="177">
        <f>IF($A$1="BL",0,'Peak Hours'!G20*Peak!M21*'Peak Hours'!$Y20)</f>
        <v>0</v>
      </c>
      <c r="H20" s="177">
        <f>IF($A$1="BL",0,'Peak Hours'!H20*Peak!N21*'Peak Hours'!$Y20)</f>
        <v>0</v>
      </c>
      <c r="I20" s="177">
        <f>IF($A$1="BL",0,'Peak Hours'!I20*Peak!O21*'Peak Hours'!$Y20)</f>
        <v>0</v>
      </c>
      <c r="J20" s="177">
        <f>IF($A$1="BL",0,'Peak Hours'!J20*Peak!P21*'Peak Hours'!$Y20)</f>
        <v>0</v>
      </c>
      <c r="K20" s="177">
        <f>IF($A$1="BL",0,'Peak Hours'!K20*Peak!Q21*'Peak Hours'!$Y20)</f>
        <v>0</v>
      </c>
      <c r="L20" s="177">
        <f>IF($A$1="BL",0,'Peak Hours'!L20*Peak!R21*'Peak Hours'!$Y20)</f>
        <v>0</v>
      </c>
      <c r="M20" s="177">
        <f>IF($A$1="BL",0,'Peak Hours'!M20*Peak!S21*'Peak Hours'!$Y20)</f>
        <v>0</v>
      </c>
      <c r="N20" s="177">
        <f>IF($A$1="BL",0,'Peak Hours'!N20*Peak!T21*'Peak Hours'!$Y20)</f>
        <v>0</v>
      </c>
      <c r="O20" s="177">
        <f>IF($A$1="BL",0,'Peak Hours'!O20*Peak!U21*'Peak Hours'!$Y20)</f>
        <v>0</v>
      </c>
      <c r="P20" s="177">
        <f>IF($A$1="BL",0,'Peak Hours'!P20*Peak!V21*'Peak Hours'!$Y20)</f>
        <v>0</v>
      </c>
      <c r="Q20" s="177">
        <f>IF($A$1="BL",0,'Peak Hours'!Q20*Peak!W21*'Peak Hours'!$Y20)</f>
        <v>0</v>
      </c>
      <c r="R20" s="177">
        <f>IF($A$1="BL",0,'Peak Hours'!R20*Peak!X21*'Peak Hours'!$Y20)</f>
        <v>0</v>
      </c>
      <c r="S20" s="177">
        <f>IF($A$1="BL",0,'Peak Hours'!S20*Peak!Y21*'Peak Hours'!$Y20)</f>
        <v>0</v>
      </c>
      <c r="T20" s="177">
        <f>IF($A$1="BL",0,'Peak Hours'!T20*Peak!Z21*'Peak Hours'!$Y20)</f>
        <v>0</v>
      </c>
      <c r="U20" s="177">
        <f>IF($A$1="BL",0,'Peak Hours'!U20*Peak!AA21*'Peak Hours'!$Y20)</f>
        <v>0</v>
      </c>
      <c r="V20" s="207"/>
      <c r="W20" s="203">
        <f>(IF($A$1="BL",0,Peak!C21*'Peak Hours'!V20*'Peak Hours'!$Y20))*-1</f>
        <v>0</v>
      </c>
      <c r="X20" s="207"/>
      <c r="Y20" s="203">
        <f>(IF($A$1="bl",0,Peak!D21*'Peak Hours'!V20*'Peak Hours'!$Y20))*-1</f>
        <v>0</v>
      </c>
      <c r="Z20" s="207"/>
      <c r="AA20" s="203">
        <f>(Peak!E21*'Peak Hours'!V20*'Peak Hours'!$Y20)*-1</f>
        <v>0</v>
      </c>
      <c r="AB20" s="204"/>
      <c r="AC20" s="203">
        <f>(Peak!F21*'Peak Hours'!V20*'Peak Hours'!$Y20)*-1</f>
        <v>0</v>
      </c>
      <c r="AD20" s="204"/>
    </row>
    <row r="21" spans="1:30" x14ac:dyDescent="0.2">
      <c r="A21" s="1">
        <f t="shared" si="0"/>
        <v>36874.587000000014</v>
      </c>
      <c r="B21" s="177">
        <f>IF($A$1="BL",0,'Peak Hours'!B21*Peak!H22*'Peak Hours'!$Y21)</f>
        <v>0</v>
      </c>
      <c r="C21" s="177">
        <f>IF($A$1="BL",0,'Peak Hours'!C21*Peak!I22*'Peak Hours'!$Y21)</f>
        <v>0</v>
      </c>
      <c r="D21" s="177">
        <f>IF($A$1="BL",0,'Peak Hours'!D21*Peak!J22*'Peak Hours'!$Y21)</f>
        <v>0</v>
      </c>
      <c r="E21" s="177">
        <f>IF($A$1="BL",0,'Peak Hours'!E21*Peak!K22*'Peak Hours'!$Y21)</f>
        <v>0</v>
      </c>
      <c r="F21" s="177">
        <f>IF($A$1="BL",0,'Peak Hours'!F21*Peak!L22*'Peak Hours'!$Y21)</f>
        <v>0</v>
      </c>
      <c r="G21" s="177">
        <f>IF($A$1="BL",0,'Peak Hours'!G21*Peak!M22*'Peak Hours'!$Y21)</f>
        <v>0</v>
      </c>
      <c r="H21" s="177">
        <f>IF($A$1="BL",0,'Peak Hours'!H21*Peak!N22*'Peak Hours'!$Y21)</f>
        <v>0</v>
      </c>
      <c r="I21" s="177">
        <f>IF($A$1="BL",0,'Peak Hours'!I21*Peak!O22*'Peak Hours'!$Y21)</f>
        <v>0</v>
      </c>
      <c r="J21" s="177">
        <f>IF($A$1="BL",0,'Peak Hours'!J21*Peak!P22*'Peak Hours'!$Y21)</f>
        <v>0</v>
      </c>
      <c r="K21" s="177">
        <f>IF($A$1="BL",0,'Peak Hours'!K21*Peak!Q22*'Peak Hours'!$Y21)</f>
        <v>0</v>
      </c>
      <c r="L21" s="177">
        <f>IF($A$1="BL",0,'Peak Hours'!L21*Peak!R22*'Peak Hours'!$Y21)</f>
        <v>0</v>
      </c>
      <c r="M21" s="177">
        <f>IF($A$1="BL",0,'Peak Hours'!M21*Peak!S22*'Peak Hours'!$Y21)</f>
        <v>0</v>
      </c>
      <c r="N21" s="177">
        <f>IF($A$1="BL",0,'Peak Hours'!N21*Peak!T22*'Peak Hours'!$Y21)</f>
        <v>0</v>
      </c>
      <c r="O21" s="177">
        <f>IF($A$1="BL",0,'Peak Hours'!O21*Peak!U22*'Peak Hours'!$Y21)</f>
        <v>0</v>
      </c>
      <c r="P21" s="177">
        <f>IF($A$1="BL",0,'Peak Hours'!P21*Peak!V22*'Peak Hours'!$Y21)</f>
        <v>0</v>
      </c>
      <c r="Q21" s="177">
        <f>IF($A$1="BL",0,'Peak Hours'!Q21*Peak!W22*'Peak Hours'!$Y21)</f>
        <v>0</v>
      </c>
      <c r="R21" s="177">
        <f>IF($A$1="BL",0,'Peak Hours'!R21*Peak!X22*'Peak Hours'!$Y21)</f>
        <v>0</v>
      </c>
      <c r="S21" s="177">
        <f>IF($A$1="BL",0,'Peak Hours'!S21*Peak!Y22*'Peak Hours'!$Y21)</f>
        <v>0</v>
      </c>
      <c r="T21" s="177">
        <f>IF($A$1="BL",0,'Peak Hours'!T21*Peak!Z22*'Peak Hours'!$Y21)</f>
        <v>0</v>
      </c>
      <c r="U21" s="177">
        <f>IF($A$1="BL",0,'Peak Hours'!U21*Peak!AA22*'Peak Hours'!$Y21)</f>
        <v>0</v>
      </c>
      <c r="V21" s="208">
        <f>SUM(B10:U21)</f>
        <v>0</v>
      </c>
      <c r="W21" s="203">
        <f>(IF($A$1="BL",0,Peak!C22*'Peak Hours'!V21*'Peak Hours'!$Y21))*-1</f>
        <v>0</v>
      </c>
      <c r="X21" s="208">
        <f>SUM(W10:W21)</f>
        <v>0</v>
      </c>
      <c r="Y21" s="203">
        <f>(IF($A$1="bl",0,Peak!D22*'Peak Hours'!V21*'Peak Hours'!$Y21))*-1</f>
        <v>0</v>
      </c>
      <c r="Z21" s="208">
        <f>SUM(Y10:Y21)</f>
        <v>0</v>
      </c>
      <c r="AA21" s="203">
        <f>(Peak!E22*'Peak Hours'!V21*'Peak Hours'!$Y21)*-1</f>
        <v>0</v>
      </c>
      <c r="AB21" s="205">
        <f>SUM(AA10:AA21)</f>
        <v>0</v>
      </c>
      <c r="AC21" s="203">
        <f>(Peak!F22*'Peak Hours'!V21*'Peak Hours'!$Y21)*-1</f>
        <v>0</v>
      </c>
      <c r="AD21" s="205">
        <f>SUM(AC10:AC21)</f>
        <v>0</v>
      </c>
    </row>
    <row r="22" spans="1:30" x14ac:dyDescent="0.2">
      <c r="A22" s="1">
        <f t="shared" si="0"/>
        <v>36905.004000000015</v>
      </c>
      <c r="B22" s="177">
        <f>IF($A$1="BL",0,'Peak Hours'!B22*Peak!H23*'Peak Hours'!$Y22)</f>
        <v>213407.24149416602</v>
      </c>
      <c r="C22" s="177">
        <f>IF($A$1="BL",0,'Peak Hours'!C22*Peak!I23*'Peak Hours'!$Y22)</f>
        <v>209700.97527049389</v>
      </c>
      <c r="D22" s="177">
        <f>IF($A$1="BL",0,'Peak Hours'!D22*Peak!J23*'Peak Hours'!$Y22)</f>
        <v>406030.65006495547</v>
      </c>
      <c r="E22" s="177">
        <f>IF($A$1="BL",0,'Peak Hours'!E22*Peak!K23*'Peak Hours'!$Y22)</f>
        <v>769594.32691040752</v>
      </c>
      <c r="F22" s="177">
        <f>IF($A$1="BL",0,'Peak Hours'!F22*Peak!L23*'Peak Hours'!$Y22)</f>
        <v>762769.4423270477</v>
      </c>
      <c r="G22" s="177">
        <f>IF($A$1="BL",0,'Peak Hours'!G22*Peak!M23*'Peak Hours'!$Y22)</f>
        <v>1514438.7970005639</v>
      </c>
      <c r="H22" s="177">
        <f>IF($A$1="BL",0,'Peak Hours'!H22*Peak!N23*'Peak Hours'!$Y22)</f>
        <v>1407196.82419172</v>
      </c>
      <c r="I22" s="177">
        <f>IF($A$1="BL",0,'Peak Hours'!I22*Peak!O23*'Peak Hours'!$Y22)</f>
        <v>0</v>
      </c>
      <c r="J22" s="177">
        <f>IF($A$1="BL",0,'Peak Hours'!J22*Peak!P23*'Peak Hours'!$Y22)</f>
        <v>0</v>
      </c>
      <c r="K22" s="177">
        <f>IF($A$1="BL",0,'Peak Hours'!K22*Peak!Q23*'Peak Hours'!$Y22)</f>
        <v>0</v>
      </c>
      <c r="L22" s="177">
        <f>IF($A$1="BL",0,'Peak Hours'!L22*Peak!R23*'Peak Hours'!$Y22)</f>
        <v>0</v>
      </c>
      <c r="M22" s="177">
        <f>IF($A$1="BL",0,'Peak Hours'!M22*Peak!S23*'Peak Hours'!$Y22)</f>
        <v>0</v>
      </c>
      <c r="N22" s="177">
        <f>IF($A$1="BL",0,'Peak Hours'!N22*Peak!T23*'Peak Hours'!$Y22)</f>
        <v>0</v>
      </c>
      <c r="O22" s="177">
        <f>IF($A$1="BL",0,'Peak Hours'!O22*Peak!U23*'Peak Hours'!$Y22)</f>
        <v>0</v>
      </c>
      <c r="P22" s="177">
        <f>IF($A$1="BL",0,'Peak Hours'!P22*Peak!V23*'Peak Hours'!$Y22)</f>
        <v>0</v>
      </c>
      <c r="Q22" s="177">
        <f>IF($A$1="BL",0,'Peak Hours'!Q22*Peak!W23*'Peak Hours'!$Y22)</f>
        <v>0</v>
      </c>
      <c r="R22" s="177">
        <f>IF($A$1="BL",0,'Peak Hours'!R22*Peak!X23*'Peak Hours'!$Y22)</f>
        <v>0</v>
      </c>
      <c r="S22" s="177">
        <f>IF($A$1="BL",0,'Peak Hours'!S22*Peak!Y23*'Peak Hours'!$Y22)</f>
        <v>0</v>
      </c>
      <c r="T22" s="177">
        <f>IF($A$1="BL",0,'Peak Hours'!T22*Peak!Z23*'Peak Hours'!$Y22)</f>
        <v>0</v>
      </c>
      <c r="U22" s="177">
        <f>IF($A$1="BL",0,'Peak Hours'!U22*Peak!AA23*'Peak Hours'!$Y22)</f>
        <v>0</v>
      </c>
      <c r="V22" s="207"/>
      <c r="W22" s="203">
        <f>(IF($A$1="BL",0,Peak!C23*'Peak Hours'!V22*'Peak Hours'!$Y22))*-1</f>
        <v>-4708066.0629575029</v>
      </c>
      <c r="X22" s="207"/>
      <c r="Y22" s="203">
        <f>(IF($A$1="bl",0,Peak!D23*'Peak Hours'!V22*'Peak Hours'!$Y22))*-1</f>
        <v>-56119.667749067259</v>
      </c>
      <c r="Z22" s="207"/>
      <c r="AA22" s="203">
        <f>(Peak!E23*'Peak Hours'!V22*'Peak Hours'!$Y22)*-1</f>
        <v>0</v>
      </c>
      <c r="AB22" s="204"/>
      <c r="AC22" s="203">
        <f>(Peak!F23*'Peak Hours'!V22*'Peak Hours'!$Y22)*-1</f>
        <v>0</v>
      </c>
      <c r="AD22" s="204"/>
    </row>
    <row r="23" spans="1:30" x14ac:dyDescent="0.2">
      <c r="A23" s="1">
        <f t="shared" si="0"/>
        <v>36935.421000000017</v>
      </c>
      <c r="B23" s="177">
        <f>IF($A$1="BL",0,'Peak Hours'!B23*Peak!H24*'Peak Hours'!$Y23)</f>
        <v>235545.75769819354</v>
      </c>
      <c r="C23" s="177">
        <f>IF($A$1="BL",0,'Peak Hours'!C23*Peak!I24*'Peak Hours'!$Y23)</f>
        <v>228855.34771389098</v>
      </c>
      <c r="D23" s="177">
        <f>IF($A$1="BL",0,'Peak Hours'!D23*Peak!J24*'Peak Hours'!$Y23)</f>
        <v>436359.45742530865</v>
      </c>
      <c r="E23" s="177">
        <f>IF($A$1="BL",0,'Peak Hours'!E23*Peak!K24*'Peak Hours'!$Y23)</f>
        <v>847708.42676674214</v>
      </c>
      <c r="F23" s="177">
        <f>IF($A$1="BL",0,'Peak Hours'!F23*Peak!L24*'Peak Hours'!$Y23)</f>
        <v>845633.86038612295</v>
      </c>
      <c r="G23" s="177">
        <f>IF($A$1="BL",0,'Peak Hours'!G23*Peak!M24*'Peak Hours'!$Y23)</f>
        <v>1613097.8033868442</v>
      </c>
      <c r="H23" s="177">
        <f>IF($A$1="BL",0,'Peak Hours'!H23*Peak!N24*'Peak Hours'!$Y23)</f>
        <v>1371035.3992360574</v>
      </c>
      <c r="I23" s="177">
        <f>IF($A$1="BL",0,'Peak Hours'!I23*Peak!O24*'Peak Hours'!$Y23)</f>
        <v>0</v>
      </c>
      <c r="J23" s="177">
        <f>IF($A$1="BL",0,'Peak Hours'!J23*Peak!P24*'Peak Hours'!$Y23)</f>
        <v>0</v>
      </c>
      <c r="K23" s="177">
        <f>IF($A$1="BL",0,'Peak Hours'!K23*Peak!Q24*'Peak Hours'!$Y23)</f>
        <v>0</v>
      </c>
      <c r="L23" s="177">
        <f>IF($A$1="BL",0,'Peak Hours'!L23*Peak!R24*'Peak Hours'!$Y23)</f>
        <v>0</v>
      </c>
      <c r="M23" s="177">
        <f>IF($A$1="BL",0,'Peak Hours'!M23*Peak!S24*'Peak Hours'!$Y23)</f>
        <v>0</v>
      </c>
      <c r="N23" s="177">
        <f>IF($A$1="BL",0,'Peak Hours'!N23*Peak!T24*'Peak Hours'!$Y23)</f>
        <v>0</v>
      </c>
      <c r="O23" s="177">
        <f>IF($A$1="BL",0,'Peak Hours'!O23*Peak!U24*'Peak Hours'!$Y23)</f>
        <v>0</v>
      </c>
      <c r="P23" s="177">
        <f>IF($A$1="BL",0,'Peak Hours'!P23*Peak!V24*'Peak Hours'!$Y23)</f>
        <v>0</v>
      </c>
      <c r="Q23" s="177">
        <f>IF($A$1="BL",0,'Peak Hours'!Q23*Peak!W24*'Peak Hours'!$Y23)</f>
        <v>0</v>
      </c>
      <c r="R23" s="177">
        <f>IF($A$1="BL",0,'Peak Hours'!R23*Peak!X24*'Peak Hours'!$Y23)</f>
        <v>0</v>
      </c>
      <c r="S23" s="177">
        <f>IF($A$1="BL",0,'Peak Hours'!S23*Peak!Y24*'Peak Hours'!$Y23)</f>
        <v>0</v>
      </c>
      <c r="T23" s="177">
        <f>IF($A$1="BL",0,'Peak Hours'!T23*Peak!Z24*'Peak Hours'!$Y23)</f>
        <v>0</v>
      </c>
      <c r="U23" s="177">
        <f>IF($A$1="BL",0,'Peak Hours'!U23*Peak!AA24*'Peak Hours'!$Y23)</f>
        <v>0</v>
      </c>
      <c r="V23" s="207"/>
      <c r="W23" s="203">
        <f>(IF($A$1="BL",0,Peak!C24*'Peak Hours'!V23*'Peak Hours'!$Y23))*-1</f>
        <v>-4219729.4234486138</v>
      </c>
      <c r="X23" s="207"/>
      <c r="Y23" s="203">
        <f>(IF($A$1="bl",0,Peak!D24*'Peak Hours'!V23*'Peak Hours'!$Y23))*-1</f>
        <v>-56213.200528649038</v>
      </c>
      <c r="Z23" s="207"/>
      <c r="AA23" s="203">
        <f>(Peak!E24*'Peak Hours'!V23*'Peak Hours'!$Y23)*-1</f>
        <v>0</v>
      </c>
      <c r="AB23" s="204"/>
      <c r="AC23" s="203">
        <f>(Peak!F24*'Peak Hours'!V23*'Peak Hours'!$Y23)*-1</f>
        <v>0</v>
      </c>
      <c r="AD23" s="204"/>
    </row>
    <row r="24" spans="1:30" x14ac:dyDescent="0.2">
      <c r="A24" s="1">
        <f t="shared" si="0"/>
        <v>36965.838000000018</v>
      </c>
      <c r="B24" s="177">
        <f>IF($A$1="BL",0,'Peak Hours'!B24*Peak!H25*'Peak Hours'!$Y24)</f>
        <v>235837.60440576557</v>
      </c>
      <c r="C24" s="177">
        <f>IF($A$1="BL",0,'Peak Hours'!C24*Peak!I25*'Peak Hours'!$Y24)</f>
        <v>229344.37237632318</v>
      </c>
      <c r="D24" s="177">
        <f>IF($A$1="BL",0,'Peak Hours'!D24*Peak!J25*'Peak Hours'!$Y24)</f>
        <v>444309.80940744531</v>
      </c>
      <c r="E24" s="177">
        <f>IF($A$1="BL",0,'Peak Hours'!E24*Peak!K25*'Peak Hours'!$Y24)</f>
        <v>857706.37213147618</v>
      </c>
      <c r="F24" s="177">
        <f>IF($A$1="BL",0,'Peak Hours'!F24*Peak!L25*'Peak Hours'!$Y24)</f>
        <v>853023.38409313629</v>
      </c>
      <c r="G24" s="177">
        <f>IF($A$1="BL",0,'Peak Hours'!G24*Peak!M25*'Peak Hours'!$Y24)</f>
        <v>1675744.646088212</v>
      </c>
      <c r="H24" s="177">
        <f>IF($A$1="BL",0,'Peak Hours'!H24*Peak!N25*'Peak Hours'!$Y24)</f>
        <v>1549432.1247965249</v>
      </c>
      <c r="I24" s="177">
        <f>IF($A$1="BL",0,'Peak Hours'!I24*Peak!O25*'Peak Hours'!$Y24)</f>
        <v>1249720.8765440555</v>
      </c>
      <c r="J24" s="177">
        <f>IF($A$1="BL",0,'Peak Hours'!J24*Peak!P25*'Peak Hours'!$Y24)</f>
        <v>0</v>
      </c>
      <c r="K24" s="177">
        <f>IF($A$1="BL",0,'Peak Hours'!K24*Peak!Q25*'Peak Hours'!$Y24)</f>
        <v>0</v>
      </c>
      <c r="L24" s="177">
        <f>IF($A$1="BL",0,'Peak Hours'!L24*Peak!R25*'Peak Hours'!$Y24)</f>
        <v>0</v>
      </c>
      <c r="M24" s="177">
        <f>IF($A$1="BL",0,'Peak Hours'!M24*Peak!S25*'Peak Hours'!$Y24)</f>
        <v>0</v>
      </c>
      <c r="N24" s="177">
        <f>IF($A$1="BL",0,'Peak Hours'!N24*Peak!T25*'Peak Hours'!$Y24)</f>
        <v>0</v>
      </c>
      <c r="O24" s="177">
        <f>IF($A$1="BL",0,'Peak Hours'!O24*Peak!U25*'Peak Hours'!$Y24)</f>
        <v>0</v>
      </c>
      <c r="P24" s="177">
        <f>IF($A$1="BL",0,'Peak Hours'!P24*Peak!V25*'Peak Hours'!$Y24)</f>
        <v>0</v>
      </c>
      <c r="Q24" s="177">
        <f>IF($A$1="BL",0,'Peak Hours'!Q24*Peak!W25*'Peak Hours'!$Y24)</f>
        <v>0</v>
      </c>
      <c r="R24" s="177">
        <f>IF($A$1="BL",0,'Peak Hours'!R24*Peak!X25*'Peak Hours'!$Y24)</f>
        <v>0</v>
      </c>
      <c r="S24" s="177">
        <f>IF($A$1="BL",0,'Peak Hours'!S24*Peak!Y25*'Peak Hours'!$Y24)</f>
        <v>0</v>
      </c>
      <c r="T24" s="177">
        <f>IF($A$1="BL",0,'Peak Hours'!T24*Peak!Z25*'Peak Hours'!$Y24)</f>
        <v>0</v>
      </c>
      <c r="U24" s="177">
        <f>IF($A$1="BL",0,'Peak Hours'!U24*Peak!AA25*'Peak Hours'!$Y24)</f>
        <v>0</v>
      </c>
      <c r="V24" s="207"/>
      <c r="W24" s="203">
        <f>(IF($A$1="BL",0,Peak!C25*'Peak Hours'!V24*'Peak Hours'!$Y24))*-1</f>
        <v>-5482592.1599986916</v>
      </c>
      <c r="X24" s="207"/>
      <c r="Y24" s="203">
        <f>(IF($A$1="bl",0,Peak!D25*'Peak Hours'!V24*'Peak Hours'!$Y24))*-1</f>
        <v>-74409.372513200375</v>
      </c>
      <c r="Z24" s="207"/>
      <c r="AA24" s="203">
        <f>(Peak!E25*'Peak Hours'!V24*'Peak Hours'!$Y24)*-1</f>
        <v>0</v>
      </c>
      <c r="AB24" s="204"/>
      <c r="AC24" s="203">
        <f>(Peak!F25*'Peak Hours'!V24*'Peak Hours'!$Y24)*-1</f>
        <v>0</v>
      </c>
      <c r="AD24" s="204"/>
    </row>
    <row r="25" spans="1:30" x14ac:dyDescent="0.2">
      <c r="A25" s="1">
        <f t="shared" si="0"/>
        <v>36996.255000000019</v>
      </c>
      <c r="B25" s="177">
        <f>IF($A$1="BL",0,'Peak Hours'!B25*Peak!H26*'Peak Hours'!$Y25)</f>
        <v>232207.04423390451</v>
      </c>
      <c r="C25" s="177">
        <f>IF($A$1="BL",0,'Peak Hours'!C25*Peak!I26*'Peak Hours'!$Y25)</f>
        <v>223283.19562431658</v>
      </c>
      <c r="D25" s="177">
        <f>IF($A$1="BL",0,'Peak Hours'!D25*Peak!J26*'Peak Hours'!$Y25)</f>
        <v>439647.88868161099</v>
      </c>
      <c r="E25" s="177">
        <f>IF($A$1="BL",0,'Peak Hours'!E25*Peak!K26*'Peak Hours'!$Y25)</f>
        <v>878153.69592271058</v>
      </c>
      <c r="F25" s="177">
        <f>IF($A$1="BL",0,'Peak Hours'!F25*Peak!L26*'Peak Hours'!$Y25)</f>
        <v>865469.15815743734</v>
      </c>
      <c r="G25" s="177">
        <f>IF($A$1="BL",0,'Peak Hours'!G25*Peak!M26*'Peak Hours'!$Y25)</f>
        <v>1592727.8499026168</v>
      </c>
      <c r="H25" s="177">
        <f>IF($A$1="BL",0,'Peak Hours'!H25*Peak!N26*'Peak Hours'!$Y25)</f>
        <v>1266723.2034490197</v>
      </c>
      <c r="I25" s="177">
        <f>IF($A$1="BL",0,'Peak Hours'!I25*Peak!O26*'Peak Hours'!$Y25)</f>
        <v>0</v>
      </c>
      <c r="J25" s="177">
        <f>IF($A$1="BL",0,'Peak Hours'!J25*Peak!P26*'Peak Hours'!$Y25)</f>
        <v>0</v>
      </c>
      <c r="K25" s="177">
        <f>IF($A$1="BL",0,'Peak Hours'!K25*Peak!Q26*'Peak Hours'!$Y25)</f>
        <v>0</v>
      </c>
      <c r="L25" s="177">
        <f>IF($A$1="BL",0,'Peak Hours'!L25*Peak!R26*'Peak Hours'!$Y25)</f>
        <v>0</v>
      </c>
      <c r="M25" s="177">
        <f>IF($A$1="BL",0,'Peak Hours'!M25*Peak!S26*'Peak Hours'!$Y25)</f>
        <v>0</v>
      </c>
      <c r="N25" s="177">
        <f>IF($A$1="BL",0,'Peak Hours'!N25*Peak!T26*'Peak Hours'!$Y25)</f>
        <v>0</v>
      </c>
      <c r="O25" s="177">
        <f>IF($A$1="BL",0,'Peak Hours'!O25*Peak!U26*'Peak Hours'!$Y25)</f>
        <v>0</v>
      </c>
      <c r="P25" s="177">
        <f>IF($A$1="BL",0,'Peak Hours'!P25*Peak!V26*'Peak Hours'!$Y25)</f>
        <v>0</v>
      </c>
      <c r="Q25" s="177">
        <f>IF($A$1="BL",0,'Peak Hours'!Q25*Peak!W26*'Peak Hours'!$Y25)</f>
        <v>0</v>
      </c>
      <c r="R25" s="177">
        <f>IF($A$1="BL",0,'Peak Hours'!R25*Peak!X26*'Peak Hours'!$Y25)</f>
        <v>0</v>
      </c>
      <c r="S25" s="177">
        <f>IF($A$1="BL",0,'Peak Hours'!S25*Peak!Y26*'Peak Hours'!$Y25)</f>
        <v>0</v>
      </c>
      <c r="T25" s="177">
        <f>IF($A$1="BL",0,'Peak Hours'!T25*Peak!Z26*'Peak Hours'!$Y25)</f>
        <v>0</v>
      </c>
      <c r="U25" s="177">
        <f>IF($A$1="BL",0,'Peak Hours'!U25*Peak!AA26*'Peak Hours'!$Y25)</f>
        <v>0</v>
      </c>
      <c r="V25" s="207"/>
      <c r="W25" s="203">
        <f>(IF($A$1="BL",0,Peak!C26*'Peak Hours'!V25*'Peak Hours'!$Y25))*-1</f>
        <v>-4054029.4140835386</v>
      </c>
      <c r="X25" s="207"/>
      <c r="Y25" s="203">
        <f>(IF($A$1="bl",0,Peak!D26*'Peak Hours'!V25*'Peak Hours'!$Y25))*-1</f>
        <v>-57970.412993154438</v>
      </c>
      <c r="Z25" s="207"/>
      <c r="AA25" s="203">
        <f>(Peak!E26*'Peak Hours'!V25*'Peak Hours'!$Y25)*-1</f>
        <v>0</v>
      </c>
      <c r="AB25" s="204"/>
      <c r="AC25" s="203">
        <f>(Peak!F26*'Peak Hours'!V25*'Peak Hours'!$Y25)*-1</f>
        <v>0</v>
      </c>
      <c r="AD25" s="204"/>
    </row>
    <row r="26" spans="1:30" x14ac:dyDescent="0.2">
      <c r="A26" s="1">
        <f t="shared" si="0"/>
        <v>37026.67200000002</v>
      </c>
      <c r="B26" s="177">
        <f>IF($A$1="BL",0,'Peak Hours'!B26*Peak!H27*'Peak Hours'!$Y26)</f>
        <v>211352.9411148807</v>
      </c>
      <c r="C26" s="177">
        <f>IF($A$1="BL",0,'Peak Hours'!C26*Peak!I27*'Peak Hours'!$Y26)</f>
        <v>186023.37906359139</v>
      </c>
      <c r="D26" s="177">
        <f>IF($A$1="BL",0,'Peak Hours'!D26*Peak!J27*'Peak Hours'!$Y26)</f>
        <v>359689.97482452029</v>
      </c>
      <c r="E26" s="177">
        <f>IF($A$1="BL",0,'Peak Hours'!E26*Peak!K27*'Peak Hours'!$Y26)</f>
        <v>688243.78036323842</v>
      </c>
      <c r="F26" s="177">
        <f>IF($A$1="BL",0,'Peak Hours'!F26*Peak!L27*'Peak Hours'!$Y26)</f>
        <v>644146.88303996203</v>
      </c>
      <c r="G26" s="177">
        <f>IF($A$1="BL",0,'Peak Hours'!G26*Peak!M27*'Peak Hours'!$Y26)</f>
        <v>1256266.9947097274</v>
      </c>
      <c r="H26" s="177">
        <f>IF($A$1="BL",0,'Peak Hours'!H26*Peak!N27*'Peak Hours'!$Y26)</f>
        <v>0</v>
      </c>
      <c r="I26" s="177">
        <f>IF($A$1="BL",0,'Peak Hours'!I26*Peak!O27*'Peak Hours'!$Y26)</f>
        <v>0</v>
      </c>
      <c r="J26" s="177">
        <f>IF($A$1="BL",0,'Peak Hours'!J26*Peak!P27*'Peak Hours'!$Y26)</f>
        <v>0</v>
      </c>
      <c r="K26" s="177">
        <f>IF($A$1="BL",0,'Peak Hours'!K26*Peak!Q27*'Peak Hours'!$Y26)</f>
        <v>0</v>
      </c>
      <c r="L26" s="177">
        <f>IF($A$1="BL",0,'Peak Hours'!L26*Peak!R27*'Peak Hours'!$Y26)</f>
        <v>0</v>
      </c>
      <c r="M26" s="177">
        <f>IF($A$1="BL",0,'Peak Hours'!M26*Peak!S27*'Peak Hours'!$Y26)</f>
        <v>0</v>
      </c>
      <c r="N26" s="177">
        <f>IF($A$1="BL",0,'Peak Hours'!N26*Peak!T27*'Peak Hours'!$Y26)</f>
        <v>0</v>
      </c>
      <c r="O26" s="177">
        <f>IF($A$1="BL",0,'Peak Hours'!O26*Peak!U27*'Peak Hours'!$Y26)</f>
        <v>0</v>
      </c>
      <c r="P26" s="177">
        <f>IF($A$1="BL",0,'Peak Hours'!P26*Peak!V27*'Peak Hours'!$Y26)</f>
        <v>0</v>
      </c>
      <c r="Q26" s="177">
        <f>IF($A$1="BL",0,'Peak Hours'!Q26*Peak!W27*'Peak Hours'!$Y26)</f>
        <v>0</v>
      </c>
      <c r="R26" s="177">
        <f>IF($A$1="BL",0,'Peak Hours'!R26*Peak!X27*'Peak Hours'!$Y26)</f>
        <v>0</v>
      </c>
      <c r="S26" s="177">
        <f>IF($A$1="BL",0,'Peak Hours'!S26*Peak!Y27*'Peak Hours'!$Y26)</f>
        <v>0</v>
      </c>
      <c r="T26" s="177">
        <f>IF($A$1="BL",0,'Peak Hours'!T26*Peak!Z27*'Peak Hours'!$Y26)</f>
        <v>0</v>
      </c>
      <c r="U26" s="177">
        <f>IF($A$1="BL",0,'Peak Hours'!U26*Peak!AA27*'Peak Hours'!$Y26)</f>
        <v>0</v>
      </c>
      <c r="V26" s="207"/>
      <c r="W26" s="203">
        <f>(IF($A$1="BL",0,Peak!C27*'Peak Hours'!V26*'Peak Hours'!$Y26))*-1</f>
        <v>-3048948.8034868641</v>
      </c>
      <c r="X26" s="207"/>
      <c r="Y26" s="203">
        <f>(IF($A$1="bl",0,Peak!D27*'Peak Hours'!V26*'Peak Hours'!$Y26))*-1</f>
        <v>-41476.450248673602</v>
      </c>
      <c r="Z26" s="207"/>
      <c r="AA26" s="203">
        <f>(Peak!E27*'Peak Hours'!V26*'Peak Hours'!$Y26)*-1</f>
        <v>0</v>
      </c>
      <c r="AB26" s="204"/>
      <c r="AC26" s="203">
        <f>(Peak!F27*'Peak Hours'!V26*'Peak Hours'!$Y26)*-1</f>
        <v>0</v>
      </c>
      <c r="AD26" s="204"/>
    </row>
    <row r="27" spans="1:30" x14ac:dyDescent="0.2">
      <c r="A27" s="1">
        <f t="shared" si="0"/>
        <v>37057.089000000022</v>
      </c>
      <c r="B27" s="177">
        <f>IF($A$1="BL",0,'Peak Hours'!B27*Peak!H28*'Peak Hours'!$Y27)</f>
        <v>574492.15404099133</v>
      </c>
      <c r="C27" s="177">
        <f>IF($A$1="BL",0,'Peak Hours'!C27*Peak!I28*'Peak Hours'!$Y27)</f>
        <v>300040.98139718932</v>
      </c>
      <c r="D27" s="177">
        <f>IF($A$1="BL",0,'Peak Hours'!D27*Peak!J28*'Peak Hours'!$Y27)</f>
        <v>533595.17990349978</v>
      </c>
      <c r="E27" s="177">
        <f>IF($A$1="BL",0,'Peak Hours'!E27*Peak!K28*'Peak Hours'!$Y27)</f>
        <v>1000967.1364287075</v>
      </c>
      <c r="F27" s="177">
        <f>IF($A$1="BL",0,'Peak Hours'!F27*Peak!L28*'Peak Hours'!$Y27)</f>
        <v>928604.98209402442</v>
      </c>
      <c r="G27" s="177">
        <f>IF($A$1="BL",0,'Peak Hours'!G27*Peak!M28*'Peak Hours'!$Y27)</f>
        <v>1817820.3893461656</v>
      </c>
      <c r="H27" s="177">
        <f>IF($A$1="BL",0,'Peak Hours'!H27*Peak!N28*'Peak Hours'!$Y27)</f>
        <v>1499498.2798218722</v>
      </c>
      <c r="I27" s="177">
        <f>IF($A$1="BL",0,'Peak Hours'!I27*Peak!O28*'Peak Hours'!$Y27)</f>
        <v>0</v>
      </c>
      <c r="J27" s="177">
        <f>IF($A$1="BL",0,'Peak Hours'!J27*Peak!P28*'Peak Hours'!$Y27)</f>
        <v>0</v>
      </c>
      <c r="K27" s="177">
        <f>IF($A$1="BL",0,'Peak Hours'!K27*Peak!Q28*'Peak Hours'!$Y27)</f>
        <v>0</v>
      </c>
      <c r="L27" s="177">
        <f>IF($A$1="BL",0,'Peak Hours'!L27*Peak!R28*'Peak Hours'!$Y27)</f>
        <v>0</v>
      </c>
      <c r="M27" s="177">
        <f>IF($A$1="BL",0,'Peak Hours'!M27*Peak!S28*'Peak Hours'!$Y27)</f>
        <v>0</v>
      </c>
      <c r="N27" s="177">
        <f>IF($A$1="BL",0,'Peak Hours'!N27*Peak!T28*'Peak Hours'!$Y27)</f>
        <v>0</v>
      </c>
      <c r="O27" s="177">
        <f>IF($A$1="BL",0,'Peak Hours'!O27*Peak!U28*'Peak Hours'!$Y27)</f>
        <v>0</v>
      </c>
      <c r="P27" s="177">
        <f>IF($A$1="BL",0,'Peak Hours'!P27*Peak!V28*'Peak Hours'!$Y27)</f>
        <v>0</v>
      </c>
      <c r="Q27" s="177">
        <f>IF($A$1="BL",0,'Peak Hours'!Q27*Peak!W28*'Peak Hours'!$Y27)</f>
        <v>0</v>
      </c>
      <c r="R27" s="177">
        <f>IF($A$1="BL",0,'Peak Hours'!R27*Peak!X28*'Peak Hours'!$Y27)</f>
        <v>0</v>
      </c>
      <c r="S27" s="177">
        <f>IF($A$1="BL",0,'Peak Hours'!S27*Peak!Y28*'Peak Hours'!$Y27)</f>
        <v>0</v>
      </c>
      <c r="T27" s="177">
        <f>IF($A$1="BL",0,'Peak Hours'!T27*Peak!Z28*'Peak Hours'!$Y27)</f>
        <v>0</v>
      </c>
      <c r="U27" s="177">
        <f>IF($A$1="BL",0,'Peak Hours'!U27*Peak!AA28*'Peak Hours'!$Y27)</f>
        <v>0</v>
      </c>
      <c r="V27" s="207"/>
      <c r="W27" s="203">
        <f>(IF($A$1="BL",0,Peak!C28*'Peak Hours'!V27*'Peak Hours'!$Y27))*-1</f>
        <v>-4135914.0274751103</v>
      </c>
      <c r="X27" s="207"/>
      <c r="Y27" s="203">
        <f>(IF($A$1="bl",0,Peak!D28*'Peak Hours'!V27*'Peak Hours'!$Y27))*-1</f>
        <v>-59150.839939358128</v>
      </c>
      <c r="Z27" s="207"/>
      <c r="AA27" s="203">
        <f>(Peak!E28*'Peak Hours'!V27*'Peak Hours'!$Y27)*-1</f>
        <v>0</v>
      </c>
      <c r="AB27" s="204"/>
      <c r="AC27" s="203">
        <f>(Peak!F28*'Peak Hours'!V27*'Peak Hours'!$Y27)*-1</f>
        <v>0</v>
      </c>
      <c r="AD27" s="204"/>
    </row>
    <row r="28" spans="1:30" x14ac:dyDescent="0.2">
      <c r="A28" s="1">
        <f t="shared" si="0"/>
        <v>37087.506000000023</v>
      </c>
      <c r="B28" s="177">
        <f>IF($A$1="BL",0,'Peak Hours'!B28*Peak!H29*'Peak Hours'!$Y28)</f>
        <v>4548680.9275291404</v>
      </c>
      <c r="C28" s="177">
        <f>IF($A$1="BL",0,'Peak Hours'!C28*Peak!I29*'Peak Hours'!$Y28)</f>
        <v>2290340.8148834519</v>
      </c>
      <c r="D28" s="177">
        <f>IF($A$1="BL",0,'Peak Hours'!D28*Peak!J29*'Peak Hours'!$Y28)</f>
        <v>2719824.3617423251</v>
      </c>
      <c r="E28" s="177">
        <f>IF($A$1="BL",0,'Peak Hours'!E28*Peak!K29*'Peak Hours'!$Y28)</f>
        <v>3190344.8925859071</v>
      </c>
      <c r="F28" s="177">
        <f>IF($A$1="BL",0,'Peak Hours'!F28*Peak!L29*'Peak Hours'!$Y28)</f>
        <v>1012066.5657360851</v>
      </c>
      <c r="G28" s="177">
        <f>IF($A$1="BL",0,'Peak Hours'!G28*Peak!M29*'Peak Hours'!$Y28)</f>
        <v>1463226.6233925459</v>
      </c>
      <c r="H28" s="177">
        <f>IF($A$1="BL",0,'Peak Hours'!H28*Peak!N29*'Peak Hours'!$Y28)</f>
        <v>1349482.0449252224</v>
      </c>
      <c r="I28" s="177">
        <f>IF($A$1="BL",0,'Peak Hours'!I28*Peak!O29*'Peak Hours'!$Y28)</f>
        <v>1274582.0293340245</v>
      </c>
      <c r="J28" s="177">
        <f>IF($A$1="BL",0,'Peak Hours'!J28*Peak!P29*'Peak Hours'!$Y28)</f>
        <v>1242789.3693331562</v>
      </c>
      <c r="K28" s="177">
        <f>IF($A$1="BL",0,'Peak Hours'!K28*Peak!Q29*'Peak Hours'!$Y28)</f>
        <v>0</v>
      </c>
      <c r="L28" s="177">
        <f>IF($A$1="BL",0,'Peak Hours'!L28*Peak!R29*'Peak Hours'!$Y28)</f>
        <v>0</v>
      </c>
      <c r="M28" s="177">
        <f>IF($A$1="BL",0,'Peak Hours'!M28*Peak!S29*'Peak Hours'!$Y28)</f>
        <v>0</v>
      </c>
      <c r="N28" s="177">
        <f>IF($A$1="BL",0,'Peak Hours'!N28*Peak!T29*'Peak Hours'!$Y28)</f>
        <v>0</v>
      </c>
      <c r="O28" s="177">
        <f>IF($A$1="BL",0,'Peak Hours'!O28*Peak!U29*'Peak Hours'!$Y28)</f>
        <v>0</v>
      </c>
      <c r="P28" s="177">
        <f>IF($A$1="BL",0,'Peak Hours'!P28*Peak!V29*'Peak Hours'!$Y28)</f>
        <v>0</v>
      </c>
      <c r="Q28" s="177">
        <f>IF($A$1="BL",0,'Peak Hours'!Q28*Peak!W29*'Peak Hours'!$Y28)</f>
        <v>0</v>
      </c>
      <c r="R28" s="177">
        <f>IF($A$1="BL",0,'Peak Hours'!R28*Peak!X29*'Peak Hours'!$Y28)</f>
        <v>0</v>
      </c>
      <c r="S28" s="177">
        <f>IF($A$1="BL",0,'Peak Hours'!S28*Peak!Y29*'Peak Hours'!$Y28)</f>
        <v>0</v>
      </c>
      <c r="T28" s="177">
        <f>IF($A$1="BL",0,'Peak Hours'!T28*Peak!Z29*'Peak Hours'!$Y28)</f>
        <v>0</v>
      </c>
      <c r="U28" s="177">
        <f>IF($A$1="BL",0,'Peak Hours'!U28*Peak!AA29*'Peak Hours'!$Y28)</f>
        <v>0</v>
      </c>
      <c r="V28" s="207"/>
      <c r="W28" s="203">
        <f>(IF($A$1="BL",0,Peak!C29*'Peak Hours'!V28*'Peak Hours'!$Y28))*-1</f>
        <v>-6478726.0873423386</v>
      </c>
      <c r="X28" s="207"/>
      <c r="Y28" s="203">
        <f>(IF($A$1="bl",0,Peak!D29*'Peak Hours'!V28*'Peak Hours'!$Y28))*-1</f>
        <v>-93106.238771213466</v>
      </c>
      <c r="Z28" s="207"/>
      <c r="AA28" s="203">
        <f>(Peak!E29*'Peak Hours'!V28*'Peak Hours'!$Y28)*-1</f>
        <v>0</v>
      </c>
      <c r="AB28" s="204"/>
      <c r="AC28" s="203">
        <f>(Peak!F29*'Peak Hours'!V28*'Peak Hours'!$Y28)*-1</f>
        <v>0</v>
      </c>
      <c r="AD28" s="204"/>
    </row>
    <row r="29" spans="1:30" x14ac:dyDescent="0.2">
      <c r="A29" s="1">
        <f t="shared" si="0"/>
        <v>37117.923000000024</v>
      </c>
      <c r="B29" s="177">
        <f>IF($A$1="BL",0,'Peak Hours'!B29*Peak!H30*'Peak Hours'!$Y29)</f>
        <v>14890043.526739521</v>
      </c>
      <c r="C29" s="177">
        <f>IF($A$1="BL",0,'Peak Hours'!C29*Peak!I30*'Peak Hours'!$Y29)</f>
        <v>5612990.9538235897</v>
      </c>
      <c r="D29" s="177">
        <f>IF($A$1="BL",0,'Peak Hours'!D29*Peak!J30*'Peak Hours'!$Y29)</f>
        <v>5992268.2612856906</v>
      </c>
      <c r="E29" s="177">
        <f>IF($A$1="BL",0,'Peak Hours'!E29*Peak!K30*'Peak Hours'!$Y29)</f>
        <v>5486229.5357357217</v>
      </c>
      <c r="F29" s="177">
        <f>IF($A$1="BL",0,'Peak Hours'!F29*Peak!L30*'Peak Hours'!$Y29)</f>
        <v>3045258.7320214547</v>
      </c>
      <c r="G29" s="177">
        <f>IF($A$1="BL",0,'Peak Hours'!G29*Peak!M30*'Peak Hours'!$Y29)</f>
        <v>1551620.7672092032</v>
      </c>
      <c r="H29" s="177">
        <f>IF($A$1="BL",0,'Peak Hours'!H29*Peak!N30*'Peak Hours'!$Y29)</f>
        <v>1229431.6664488623</v>
      </c>
      <c r="I29" s="177">
        <f>IF($A$1="BL",0,'Peak Hours'!I29*Peak!O30*'Peak Hours'!$Y29)</f>
        <v>0</v>
      </c>
      <c r="J29" s="177">
        <f>IF($A$1="BL",0,'Peak Hours'!J29*Peak!P30*'Peak Hours'!$Y29)</f>
        <v>0</v>
      </c>
      <c r="K29" s="177">
        <f>IF($A$1="BL",0,'Peak Hours'!K29*Peak!Q30*'Peak Hours'!$Y29)</f>
        <v>0</v>
      </c>
      <c r="L29" s="177">
        <f>IF($A$1="BL",0,'Peak Hours'!L29*Peak!R30*'Peak Hours'!$Y29)</f>
        <v>0</v>
      </c>
      <c r="M29" s="177">
        <f>IF($A$1="BL",0,'Peak Hours'!M29*Peak!S30*'Peak Hours'!$Y29)</f>
        <v>0</v>
      </c>
      <c r="N29" s="177">
        <f>IF($A$1="BL",0,'Peak Hours'!N29*Peak!T30*'Peak Hours'!$Y29)</f>
        <v>0</v>
      </c>
      <c r="O29" s="177">
        <f>IF($A$1="BL",0,'Peak Hours'!O29*Peak!U30*'Peak Hours'!$Y29)</f>
        <v>0</v>
      </c>
      <c r="P29" s="177">
        <f>IF($A$1="BL",0,'Peak Hours'!P29*Peak!V30*'Peak Hours'!$Y29)</f>
        <v>0</v>
      </c>
      <c r="Q29" s="177">
        <f>IF($A$1="BL",0,'Peak Hours'!Q29*Peak!W30*'Peak Hours'!$Y29)</f>
        <v>0</v>
      </c>
      <c r="R29" s="177">
        <f>IF($A$1="BL",0,'Peak Hours'!R29*Peak!X30*'Peak Hours'!$Y29)</f>
        <v>0</v>
      </c>
      <c r="S29" s="177">
        <f>IF($A$1="BL",0,'Peak Hours'!S29*Peak!Y30*'Peak Hours'!$Y29)</f>
        <v>0</v>
      </c>
      <c r="T29" s="177">
        <f>IF($A$1="BL",0,'Peak Hours'!T29*Peak!Z30*'Peak Hours'!$Y29)</f>
        <v>0</v>
      </c>
      <c r="U29" s="177">
        <f>IF($A$1="BL",0,'Peak Hours'!U29*Peak!AA30*'Peak Hours'!$Y29)</f>
        <v>0</v>
      </c>
      <c r="V29" s="207"/>
      <c r="W29" s="203">
        <f>(IF($A$1="BL",0,Peak!C30*'Peak Hours'!V29*'Peak Hours'!$Y29))*-1</f>
        <v>-3909049.5449553779</v>
      </c>
      <c r="X29" s="207"/>
      <c r="Y29" s="203">
        <f>(IF($A$1="bl",0,Peak!D30*'Peak Hours'!V29*'Peak Hours'!$Y29))*-1</f>
        <v>-59348.173713711381</v>
      </c>
      <c r="Z29" s="207"/>
      <c r="AA29" s="203">
        <f>(Peak!E30*'Peak Hours'!V29*'Peak Hours'!$Y29)*-1</f>
        <v>0</v>
      </c>
      <c r="AB29" s="204"/>
      <c r="AC29" s="203">
        <f>(Peak!F30*'Peak Hours'!V29*'Peak Hours'!$Y29)*-1</f>
        <v>0</v>
      </c>
      <c r="AD29" s="204"/>
    </row>
    <row r="30" spans="1:30" x14ac:dyDescent="0.2">
      <c r="A30" s="1">
        <f t="shared" si="0"/>
        <v>37148.340000000026</v>
      </c>
      <c r="B30" s="177">
        <f>IF($A$1="BL",0,'Peak Hours'!B30*Peak!H31*'Peak Hours'!$Y30)</f>
        <v>1559187.4183814756</v>
      </c>
      <c r="C30" s="177">
        <f>IF($A$1="BL",0,'Peak Hours'!C30*Peak!I31*'Peak Hours'!$Y30)</f>
        <v>887158.17561408796</v>
      </c>
      <c r="D30" s="177">
        <f>IF($A$1="BL",0,'Peak Hours'!D30*Peak!J31*'Peak Hours'!$Y30)</f>
        <v>1220904.8169431107</v>
      </c>
      <c r="E30" s="177">
        <f>IF($A$1="BL",0,'Peak Hours'!E30*Peak!K31*'Peak Hours'!$Y30)</f>
        <v>981550.34345347062</v>
      </c>
      <c r="F30" s="177">
        <f>IF($A$1="BL",0,'Peak Hours'!F30*Peak!L31*'Peak Hours'!$Y30)</f>
        <v>668779.12024472863</v>
      </c>
      <c r="G30" s="177">
        <f>IF($A$1="BL",0,'Peak Hours'!G30*Peak!M31*'Peak Hours'!$Y30)</f>
        <v>1164559.9443687978</v>
      </c>
      <c r="H30" s="177">
        <f>IF($A$1="BL",0,'Peak Hours'!H30*Peak!N31*'Peak Hours'!$Y30)</f>
        <v>0</v>
      </c>
      <c r="I30" s="177">
        <f>IF($A$1="BL",0,'Peak Hours'!I30*Peak!O31*'Peak Hours'!$Y30)</f>
        <v>0</v>
      </c>
      <c r="J30" s="177">
        <f>IF($A$1="BL",0,'Peak Hours'!J30*Peak!P31*'Peak Hours'!$Y30)</f>
        <v>0</v>
      </c>
      <c r="K30" s="177">
        <f>IF($A$1="BL",0,'Peak Hours'!K30*Peak!Q31*'Peak Hours'!$Y30)</f>
        <v>0</v>
      </c>
      <c r="L30" s="177">
        <f>IF($A$1="BL",0,'Peak Hours'!L30*Peak!R31*'Peak Hours'!$Y30)</f>
        <v>0</v>
      </c>
      <c r="M30" s="177">
        <f>IF($A$1="BL",0,'Peak Hours'!M30*Peak!S31*'Peak Hours'!$Y30)</f>
        <v>0</v>
      </c>
      <c r="N30" s="177">
        <f>IF($A$1="BL",0,'Peak Hours'!N30*Peak!T31*'Peak Hours'!$Y30)</f>
        <v>0</v>
      </c>
      <c r="O30" s="177">
        <f>IF($A$1="BL",0,'Peak Hours'!O30*Peak!U31*'Peak Hours'!$Y30)</f>
        <v>0</v>
      </c>
      <c r="P30" s="177">
        <f>IF($A$1="BL",0,'Peak Hours'!P30*Peak!V31*'Peak Hours'!$Y30)</f>
        <v>0</v>
      </c>
      <c r="Q30" s="177">
        <f>IF($A$1="BL",0,'Peak Hours'!Q30*Peak!W31*'Peak Hours'!$Y30)</f>
        <v>0</v>
      </c>
      <c r="R30" s="177">
        <f>IF($A$1="BL",0,'Peak Hours'!R30*Peak!X31*'Peak Hours'!$Y30)</f>
        <v>0</v>
      </c>
      <c r="S30" s="177">
        <f>IF($A$1="BL",0,'Peak Hours'!S30*Peak!Y31*'Peak Hours'!$Y30)</f>
        <v>0</v>
      </c>
      <c r="T30" s="177">
        <f>IF($A$1="BL",0,'Peak Hours'!T30*Peak!Z31*'Peak Hours'!$Y30)</f>
        <v>0</v>
      </c>
      <c r="U30" s="177">
        <f>IF($A$1="BL",0,'Peak Hours'!U30*Peak!AA31*'Peak Hours'!$Y30)</f>
        <v>0</v>
      </c>
      <c r="V30" s="207"/>
      <c r="W30" s="203">
        <f>(IF($A$1="BL",0,Peak!C31*'Peak Hours'!V30*'Peak Hours'!$Y30))*-1</f>
        <v>-2736393.2477525324</v>
      </c>
      <c r="X30" s="207"/>
      <c r="Y30" s="203">
        <f>(IF($A$1="bl",0,Peak!D31*'Peak Hours'!V30*'Peak Hours'!$Y30))*-1</f>
        <v>-41753.651959571354</v>
      </c>
      <c r="Z30" s="207"/>
      <c r="AA30" s="203">
        <f>(Peak!E31*'Peak Hours'!V30*'Peak Hours'!$Y30)*-1</f>
        <v>0</v>
      </c>
      <c r="AB30" s="204"/>
      <c r="AC30" s="203">
        <f>(Peak!F31*'Peak Hours'!V30*'Peak Hours'!$Y30)*-1</f>
        <v>0</v>
      </c>
      <c r="AD30" s="204"/>
    </row>
    <row r="31" spans="1:30" x14ac:dyDescent="0.2">
      <c r="A31" s="1">
        <f t="shared" si="0"/>
        <v>37178.757000000027</v>
      </c>
      <c r="B31" s="177">
        <f>IF($A$1="BL",0,'Peak Hours'!B31*Peak!H32*'Peak Hours'!$Y31)</f>
        <v>205292.58947831296</v>
      </c>
      <c r="C31" s="177">
        <f>IF($A$1="BL",0,'Peak Hours'!C31*Peak!I32*'Peak Hours'!$Y31)</f>
        <v>201658.18119455376</v>
      </c>
      <c r="D31" s="177">
        <f>IF($A$1="BL",0,'Peak Hours'!D31*Peak!J32*'Peak Hours'!$Y31)</f>
        <v>395258.97283209662</v>
      </c>
      <c r="E31" s="177">
        <f>IF($A$1="BL",0,'Peak Hours'!E31*Peak!K32*'Peak Hours'!$Y31)</f>
        <v>747546.24361025542</v>
      </c>
      <c r="F31" s="177">
        <f>IF($A$1="BL",0,'Peak Hours'!F31*Peak!L32*'Peak Hours'!$Y31)</f>
        <v>727815.34505143145</v>
      </c>
      <c r="G31" s="177">
        <f>IF($A$1="BL",0,'Peak Hours'!G31*Peak!M32*'Peak Hours'!$Y31)</f>
        <v>1453156.0984127282</v>
      </c>
      <c r="H31" s="177">
        <f>IF($A$1="BL",0,'Peak Hours'!H31*Peak!N32*'Peak Hours'!$Y31)</f>
        <v>1407798.956348229</v>
      </c>
      <c r="I31" s="177">
        <f>IF($A$1="BL",0,'Peak Hours'!I31*Peak!O32*'Peak Hours'!$Y31)</f>
        <v>0</v>
      </c>
      <c r="J31" s="177">
        <f>IF($A$1="BL",0,'Peak Hours'!J31*Peak!P32*'Peak Hours'!$Y31)</f>
        <v>0</v>
      </c>
      <c r="K31" s="177">
        <f>IF($A$1="BL",0,'Peak Hours'!K31*Peak!Q32*'Peak Hours'!$Y31)</f>
        <v>0</v>
      </c>
      <c r="L31" s="177">
        <f>IF($A$1="BL",0,'Peak Hours'!L31*Peak!R32*'Peak Hours'!$Y31)</f>
        <v>0</v>
      </c>
      <c r="M31" s="177">
        <f>IF($A$1="BL",0,'Peak Hours'!M31*Peak!S32*'Peak Hours'!$Y31)</f>
        <v>0</v>
      </c>
      <c r="N31" s="177">
        <f>IF($A$1="BL",0,'Peak Hours'!N31*Peak!T32*'Peak Hours'!$Y31)</f>
        <v>0</v>
      </c>
      <c r="O31" s="177">
        <f>IF($A$1="BL",0,'Peak Hours'!O31*Peak!U32*'Peak Hours'!$Y31)</f>
        <v>0</v>
      </c>
      <c r="P31" s="177">
        <f>IF($A$1="BL",0,'Peak Hours'!P31*Peak!V32*'Peak Hours'!$Y31)</f>
        <v>0</v>
      </c>
      <c r="Q31" s="177">
        <f>IF($A$1="BL",0,'Peak Hours'!Q31*Peak!W32*'Peak Hours'!$Y31)</f>
        <v>0</v>
      </c>
      <c r="R31" s="177">
        <f>IF($A$1="BL",0,'Peak Hours'!R31*Peak!X32*'Peak Hours'!$Y31)</f>
        <v>0</v>
      </c>
      <c r="S31" s="177">
        <f>IF($A$1="BL",0,'Peak Hours'!S31*Peak!Y32*'Peak Hours'!$Y31)</f>
        <v>0</v>
      </c>
      <c r="T31" s="177">
        <f>IF($A$1="BL",0,'Peak Hours'!T31*Peak!Z32*'Peak Hours'!$Y31)</f>
        <v>0</v>
      </c>
      <c r="U31" s="177">
        <f>IF($A$1="BL",0,'Peak Hours'!U31*Peak!AA32*'Peak Hours'!$Y31)</f>
        <v>0</v>
      </c>
      <c r="V31" s="207"/>
      <c r="W31" s="203">
        <f>(IF($A$1="BL",0,Peak!C32*'Peak Hours'!V31*'Peak Hours'!$Y31))*-1</f>
        <v>-4242788.4555858411</v>
      </c>
      <c r="X31" s="207"/>
      <c r="Y31" s="203">
        <f>(IF($A$1="bl",0,Peak!D32*'Peak Hours'!V31*'Peak Hours'!$Y31))*-1</f>
        <v>-58552.53793130556</v>
      </c>
      <c r="Z31" s="207"/>
      <c r="AA31" s="203">
        <f>(Peak!E32*'Peak Hours'!V31*'Peak Hours'!$Y31)*-1</f>
        <v>0</v>
      </c>
      <c r="AB31" s="204"/>
      <c r="AC31" s="203">
        <f>(Peak!F32*'Peak Hours'!V31*'Peak Hours'!$Y31)*-1</f>
        <v>0</v>
      </c>
      <c r="AD31" s="204"/>
    </row>
    <row r="32" spans="1:30" x14ac:dyDescent="0.2">
      <c r="A32" s="1">
        <f t="shared" si="0"/>
        <v>37209.174000000028</v>
      </c>
      <c r="B32" s="177">
        <f>IF($A$1="BL",0,'Peak Hours'!B32*Peak!H33*'Peak Hours'!$Y32)</f>
        <v>300053.89624222869</v>
      </c>
      <c r="C32" s="177">
        <f>IF($A$1="BL",0,'Peak Hours'!C32*Peak!I33*'Peak Hours'!$Y32)</f>
        <v>265098.31169083912</v>
      </c>
      <c r="D32" s="177">
        <f>IF($A$1="BL",0,'Peak Hours'!D32*Peak!J33*'Peak Hours'!$Y32)</f>
        <v>464783.85889341665</v>
      </c>
      <c r="E32" s="177">
        <f>IF($A$1="BL",0,'Peak Hours'!E32*Peak!K33*'Peak Hours'!$Y32)</f>
        <v>793005.51808854216</v>
      </c>
      <c r="F32" s="177">
        <f>IF($A$1="BL",0,'Peak Hours'!F32*Peak!L33*'Peak Hours'!$Y32)</f>
        <v>760285.82350573351</v>
      </c>
      <c r="G32" s="177">
        <f>IF($A$1="BL",0,'Peak Hours'!G32*Peak!M33*'Peak Hours'!$Y32)</f>
        <v>1425281.000952227</v>
      </c>
      <c r="H32" s="177">
        <f>IF($A$1="BL",0,'Peak Hours'!H32*Peak!N33*'Peak Hours'!$Y32)</f>
        <v>1358467.6548768163</v>
      </c>
      <c r="I32" s="177">
        <f>IF($A$1="BL",0,'Peak Hours'!I32*Peak!O33*'Peak Hours'!$Y32)</f>
        <v>1355795.7898386319</v>
      </c>
      <c r="J32" s="177">
        <f>IF($A$1="BL",0,'Peak Hours'!J32*Peak!P33*'Peak Hours'!$Y32)</f>
        <v>0</v>
      </c>
      <c r="K32" s="177">
        <f>IF($A$1="BL",0,'Peak Hours'!K32*Peak!Q33*'Peak Hours'!$Y32)</f>
        <v>0</v>
      </c>
      <c r="L32" s="177">
        <f>IF($A$1="BL",0,'Peak Hours'!L32*Peak!R33*'Peak Hours'!$Y32)</f>
        <v>0</v>
      </c>
      <c r="M32" s="177">
        <f>IF($A$1="BL",0,'Peak Hours'!M32*Peak!S33*'Peak Hours'!$Y32)</f>
        <v>0</v>
      </c>
      <c r="N32" s="177">
        <f>IF($A$1="BL",0,'Peak Hours'!N32*Peak!T33*'Peak Hours'!$Y32)</f>
        <v>0</v>
      </c>
      <c r="O32" s="177">
        <f>IF($A$1="BL",0,'Peak Hours'!O32*Peak!U33*'Peak Hours'!$Y32)</f>
        <v>0</v>
      </c>
      <c r="P32" s="177">
        <f>IF($A$1="BL",0,'Peak Hours'!P32*Peak!V33*'Peak Hours'!$Y32)</f>
        <v>0</v>
      </c>
      <c r="Q32" s="177">
        <f>IF($A$1="BL",0,'Peak Hours'!Q32*Peak!W33*'Peak Hours'!$Y32)</f>
        <v>0</v>
      </c>
      <c r="R32" s="177">
        <f>IF($A$1="BL",0,'Peak Hours'!R32*Peak!X33*'Peak Hours'!$Y32)</f>
        <v>0</v>
      </c>
      <c r="S32" s="177">
        <f>IF($A$1="BL",0,'Peak Hours'!S32*Peak!Y33*'Peak Hours'!$Y32)</f>
        <v>0</v>
      </c>
      <c r="T32" s="177">
        <f>IF($A$1="BL",0,'Peak Hours'!T32*Peak!Z33*'Peak Hours'!$Y32)</f>
        <v>0</v>
      </c>
      <c r="U32" s="177">
        <f>IF($A$1="BL",0,'Peak Hours'!U32*Peak!AA33*'Peak Hours'!$Y32)</f>
        <v>0</v>
      </c>
      <c r="V32" s="207"/>
      <c r="W32" s="203">
        <f>(IF($A$1="BL",0,Peak!C33*'Peak Hours'!V32*'Peak Hours'!$Y32))*-1</f>
        <v>-5973488.2387108458</v>
      </c>
      <c r="X32" s="207"/>
      <c r="Y32" s="203">
        <f>(IF($A$1="bl",0,Peak!D33*'Peak Hours'!V32*'Peak Hours'!$Y32))*-1</f>
        <v>-75407.304207245674</v>
      </c>
      <c r="Z32" s="207"/>
      <c r="AA32" s="203">
        <f>(Peak!E33*'Peak Hours'!V32*'Peak Hours'!$Y32)*-1</f>
        <v>0</v>
      </c>
      <c r="AB32" s="204"/>
      <c r="AC32" s="203">
        <f>(Peak!F33*'Peak Hours'!V32*'Peak Hours'!$Y32)*-1</f>
        <v>0</v>
      </c>
      <c r="AD32" s="204"/>
    </row>
    <row r="33" spans="1:30" x14ac:dyDescent="0.2">
      <c r="A33" s="1">
        <f t="shared" si="0"/>
        <v>37239.591000000029</v>
      </c>
      <c r="B33" s="177">
        <f>IF($A$1="BL",0,'Peak Hours'!B33*Peak!H34*'Peak Hours'!$Y33)</f>
        <v>303909.03733072878</v>
      </c>
      <c r="C33" s="177">
        <f>IF($A$1="BL",0,'Peak Hours'!C33*Peak!I34*'Peak Hours'!$Y33)</f>
        <v>292289.9215706698</v>
      </c>
      <c r="D33" s="177">
        <f>IF($A$1="BL",0,'Peak Hours'!D33*Peak!J34*'Peak Hours'!$Y33)</f>
        <v>565662.13061577734</v>
      </c>
      <c r="E33" s="177">
        <f>IF($A$1="BL",0,'Peak Hours'!E33*Peak!K34*'Peak Hours'!$Y33)</f>
        <v>1124782.1991699028</v>
      </c>
      <c r="F33" s="177">
        <f>IF($A$1="BL",0,'Peak Hours'!F33*Peak!L34*'Peak Hours'!$Y33)</f>
        <v>1124557.7630507569</v>
      </c>
      <c r="G33" s="177">
        <f>IF($A$1="BL",0,'Peak Hours'!G33*Peak!M34*'Peak Hours'!$Y33)</f>
        <v>2151214.6122630169</v>
      </c>
      <c r="H33" s="177">
        <f>IF($A$1="BL",0,'Peak Hours'!H33*Peak!N34*'Peak Hours'!$Y33)</f>
        <v>1713224.372252784</v>
      </c>
      <c r="I33" s="177">
        <f>IF($A$1="BL",0,'Peak Hours'!I33*Peak!O34*'Peak Hours'!$Y33)</f>
        <v>1517259.725842389</v>
      </c>
      <c r="J33" s="177">
        <f>IF($A$1="BL",0,'Peak Hours'!J33*Peak!P34*'Peak Hours'!$Y33)</f>
        <v>1444491.8395475498</v>
      </c>
      <c r="K33" s="177">
        <f>IF($A$1="BL",0,'Peak Hours'!K33*Peak!Q34*'Peak Hours'!$Y33)</f>
        <v>1442251.2162029031</v>
      </c>
      <c r="L33" s="177">
        <f>IF($A$1="BL",0,'Peak Hours'!L33*Peak!R34*'Peak Hours'!$Y33)</f>
        <v>0</v>
      </c>
      <c r="M33" s="177">
        <f>IF($A$1="BL",0,'Peak Hours'!M33*Peak!S34*'Peak Hours'!$Y33)</f>
        <v>0</v>
      </c>
      <c r="N33" s="177">
        <f>IF($A$1="BL",0,'Peak Hours'!N33*Peak!T34*'Peak Hours'!$Y33)</f>
        <v>0</v>
      </c>
      <c r="O33" s="177">
        <f>IF($A$1="BL",0,'Peak Hours'!O33*Peak!U34*'Peak Hours'!$Y33)</f>
        <v>0</v>
      </c>
      <c r="P33" s="177">
        <f>IF($A$1="BL",0,'Peak Hours'!P33*Peak!V34*'Peak Hours'!$Y33)</f>
        <v>0</v>
      </c>
      <c r="Q33" s="177">
        <f>IF($A$1="BL",0,'Peak Hours'!Q33*Peak!W34*'Peak Hours'!$Y33)</f>
        <v>0</v>
      </c>
      <c r="R33" s="177">
        <f>IF($A$1="BL",0,'Peak Hours'!R33*Peak!X34*'Peak Hours'!$Y33)</f>
        <v>0</v>
      </c>
      <c r="S33" s="177">
        <f>IF($A$1="BL",0,'Peak Hours'!S33*Peak!Y34*'Peak Hours'!$Y33)</f>
        <v>0</v>
      </c>
      <c r="T33" s="177">
        <f>IF($A$1="BL",0,'Peak Hours'!T33*Peak!Z34*'Peak Hours'!$Y33)</f>
        <v>0</v>
      </c>
      <c r="U33" s="177">
        <f>IF($A$1="BL",0,'Peak Hours'!U33*Peak!AA34*'Peak Hours'!$Y33)</f>
        <v>0</v>
      </c>
      <c r="V33" s="208">
        <f>SUM(B22:U33)</f>
        <v>120377710.54242951</v>
      </c>
      <c r="W33" s="203">
        <f>(IF($A$1="BL",0,Peak!C34*'Peak Hours'!V33*'Peak Hours'!$Y33))*-1</f>
        <v>-9084611.7699114159</v>
      </c>
      <c r="X33" s="208">
        <f>SUM(W22:W33)</f>
        <v>-58074337.235708684</v>
      </c>
      <c r="Y33" s="203">
        <f>(IF($A$1="bl",0,Peak!D34*'Peak Hours'!V33*'Peak Hours'!$Y33))*-1</f>
        <v>-106148.98389646037</v>
      </c>
      <c r="Z33" s="208">
        <f>SUM(Y22:Y33)</f>
        <v>-779656.83445161069</v>
      </c>
      <c r="AA33" s="203">
        <f>(Peak!E34*'Peak Hours'!V33*'Peak Hours'!$Y33)*-1</f>
        <v>0</v>
      </c>
      <c r="AB33" s="205">
        <f>SUM(AA22:AA33)</f>
        <v>0</v>
      </c>
      <c r="AC33" s="203">
        <f>(Peak!F34*'Peak Hours'!V33*'Peak Hours'!$Y33)*-1</f>
        <v>0</v>
      </c>
      <c r="AD33" s="205">
        <f>SUM(AC22:AC33)</f>
        <v>0</v>
      </c>
    </row>
    <row r="34" spans="1:30" x14ac:dyDescent="0.2">
      <c r="A34" s="1">
        <f t="shared" si="0"/>
        <v>37270.008000000031</v>
      </c>
      <c r="B34" s="177">
        <f>IF($A$1="BL",0,'Peak Hours'!B34*Peak!H35*'Peak Hours'!$Y34)</f>
        <v>252890.77433999488</v>
      </c>
      <c r="C34" s="177">
        <f>IF($A$1="BL",0,'Peak Hours'!C34*Peak!I35*'Peak Hours'!$Y34)</f>
        <v>246672.78642605984</v>
      </c>
      <c r="D34" s="177">
        <f>IF($A$1="BL",0,'Peak Hours'!D34*Peak!J35*'Peak Hours'!$Y34)</f>
        <v>480788.28359364334</v>
      </c>
      <c r="E34" s="177">
        <f>IF($A$1="BL",0,'Peak Hours'!E34*Peak!K35*'Peak Hours'!$Y34)</f>
        <v>908259.04254078004</v>
      </c>
      <c r="F34" s="177">
        <f>IF($A$1="BL",0,'Peak Hours'!F34*Peak!L35*'Peak Hours'!$Y34)</f>
        <v>894769.0798081375</v>
      </c>
      <c r="G34" s="177">
        <f>IF($A$1="BL",0,'Peak Hours'!G34*Peak!M35*'Peak Hours'!$Y34)</f>
        <v>1780208.1349733861</v>
      </c>
      <c r="H34" s="177">
        <f>IF($A$1="BL",0,'Peak Hours'!H34*Peak!N35*'Peak Hours'!$Y34)</f>
        <v>1679503.925543169</v>
      </c>
      <c r="I34" s="177">
        <f>IF($A$1="BL",0,'Peak Hours'!I34*Peak!O35*'Peak Hours'!$Y34)</f>
        <v>1370489.2193021451</v>
      </c>
      <c r="J34" s="177">
        <f>IF($A$1="BL",0,'Peak Hours'!J34*Peak!P35*'Peak Hours'!$Y34)</f>
        <v>0</v>
      </c>
      <c r="K34" s="177">
        <f>IF($A$1="BL",0,'Peak Hours'!K34*Peak!Q35*'Peak Hours'!$Y34)</f>
        <v>0</v>
      </c>
      <c r="L34" s="177">
        <f>IF($A$1="BL",0,'Peak Hours'!L34*Peak!R35*'Peak Hours'!$Y34)</f>
        <v>0</v>
      </c>
      <c r="M34" s="177">
        <f>IF($A$1="BL",0,'Peak Hours'!M34*Peak!S35*'Peak Hours'!$Y34)</f>
        <v>0</v>
      </c>
      <c r="N34" s="177">
        <f>IF($A$1="BL",0,'Peak Hours'!N34*Peak!T35*'Peak Hours'!$Y34)</f>
        <v>0</v>
      </c>
      <c r="O34" s="177">
        <f>IF($A$1="BL",0,'Peak Hours'!O34*Peak!U35*'Peak Hours'!$Y34)</f>
        <v>0</v>
      </c>
      <c r="P34" s="177">
        <f>IF($A$1="BL",0,'Peak Hours'!P34*Peak!V35*'Peak Hours'!$Y34)</f>
        <v>0</v>
      </c>
      <c r="Q34" s="177">
        <f>IF($A$1="BL",0,'Peak Hours'!Q34*Peak!W35*'Peak Hours'!$Y34)</f>
        <v>0</v>
      </c>
      <c r="R34" s="177">
        <f>IF($A$1="BL",0,'Peak Hours'!R34*Peak!X35*'Peak Hours'!$Y34)</f>
        <v>0</v>
      </c>
      <c r="S34" s="177">
        <f>IF($A$1="BL",0,'Peak Hours'!S34*Peak!Y35*'Peak Hours'!$Y34)</f>
        <v>0</v>
      </c>
      <c r="T34" s="177">
        <f>IF($A$1="BL",0,'Peak Hours'!T34*Peak!Z35*'Peak Hours'!$Y34)</f>
        <v>0</v>
      </c>
      <c r="U34" s="177">
        <f>IF($A$1="BL",0,'Peak Hours'!U34*Peak!AA35*'Peak Hours'!$Y34)</f>
        <v>0</v>
      </c>
      <c r="V34" s="207"/>
      <c r="W34" s="203">
        <f>(IF($A$1="BL",0,Peak!C35*'Peak Hours'!V34*'Peak Hours'!$Y34))*-1</f>
        <v>-5516841.3657426415</v>
      </c>
      <c r="X34" s="207"/>
      <c r="Y34" s="203">
        <f>(IF($A$1="bl",0,Peak!D35*'Peak Hours'!V34*'Peak Hours'!$Y34))*-1</f>
        <v>-73610.237678968479</v>
      </c>
      <c r="Z34" s="207"/>
      <c r="AA34" s="203">
        <f>(Peak!E35*'Peak Hours'!V34*'Peak Hours'!$Y34)*-1</f>
        <v>0</v>
      </c>
      <c r="AB34" s="204"/>
      <c r="AC34" s="203">
        <f>(Peak!F35*'Peak Hours'!V34*'Peak Hours'!$Y34)*-1</f>
        <v>0</v>
      </c>
      <c r="AD34" s="204"/>
    </row>
    <row r="35" spans="1:30" x14ac:dyDescent="0.2">
      <c r="A35" s="1">
        <f t="shared" si="0"/>
        <v>37300.425000000032</v>
      </c>
      <c r="B35" s="177">
        <f>IF($A$1="BL",0,'Peak Hours'!B35*Peak!H36*'Peak Hours'!$Y35)</f>
        <v>611009.54123040067</v>
      </c>
      <c r="C35" s="177">
        <f>IF($A$1="BL",0,'Peak Hours'!C35*Peak!I36*'Peak Hours'!$Y35)</f>
        <v>338913.01939126954</v>
      </c>
      <c r="D35" s="177">
        <f>IF($A$1="BL",0,'Peak Hours'!D35*Peak!J36*'Peak Hours'!$Y35)</f>
        <v>560778.81184770586</v>
      </c>
      <c r="E35" s="177">
        <f>IF($A$1="BL",0,'Peak Hours'!E35*Peak!K36*'Peak Hours'!$Y35)</f>
        <v>850449.62715210544</v>
      </c>
      <c r="F35" s="177">
        <f>IF($A$1="BL",0,'Peak Hours'!F35*Peak!L36*'Peak Hours'!$Y35)</f>
        <v>723047.09158508421</v>
      </c>
      <c r="G35" s="177">
        <f>IF($A$1="BL",0,'Peak Hours'!G35*Peak!M36*'Peak Hours'!$Y35)</f>
        <v>1360291.3763942774</v>
      </c>
      <c r="H35" s="177">
        <f>IF($A$1="BL",0,'Peak Hours'!H35*Peak!N36*'Peak Hours'!$Y35)</f>
        <v>1259304.8821270689</v>
      </c>
      <c r="I35" s="177">
        <f>IF($A$1="BL",0,'Peak Hours'!I35*Peak!O36*'Peak Hours'!$Y35)</f>
        <v>1248998.9951347995</v>
      </c>
      <c r="J35" s="177">
        <f>IF($A$1="BL",0,'Peak Hours'!J35*Peak!P36*'Peak Hours'!$Y35)</f>
        <v>1183183.0540612282</v>
      </c>
      <c r="K35" s="177">
        <f>IF($A$1="BL",0,'Peak Hours'!K35*Peak!Q36*'Peak Hours'!$Y35)</f>
        <v>0</v>
      </c>
      <c r="L35" s="177">
        <f>IF($A$1="BL",0,'Peak Hours'!L35*Peak!R36*'Peak Hours'!$Y35)</f>
        <v>0</v>
      </c>
      <c r="M35" s="177">
        <f>IF($A$1="BL",0,'Peak Hours'!M35*Peak!S36*'Peak Hours'!$Y35)</f>
        <v>0</v>
      </c>
      <c r="N35" s="177">
        <f>IF($A$1="BL",0,'Peak Hours'!N35*Peak!T36*'Peak Hours'!$Y35)</f>
        <v>0</v>
      </c>
      <c r="O35" s="177">
        <f>IF($A$1="BL",0,'Peak Hours'!O35*Peak!U36*'Peak Hours'!$Y35)</f>
        <v>0</v>
      </c>
      <c r="P35" s="177">
        <f>IF($A$1="BL",0,'Peak Hours'!P35*Peak!V36*'Peak Hours'!$Y35)</f>
        <v>0</v>
      </c>
      <c r="Q35" s="177">
        <f>IF($A$1="BL",0,'Peak Hours'!Q35*Peak!W36*'Peak Hours'!$Y35)</f>
        <v>0</v>
      </c>
      <c r="R35" s="177">
        <f>IF($A$1="BL",0,'Peak Hours'!R35*Peak!X36*'Peak Hours'!$Y35)</f>
        <v>0</v>
      </c>
      <c r="S35" s="177">
        <f>IF($A$1="BL",0,'Peak Hours'!S35*Peak!Y36*'Peak Hours'!$Y35)</f>
        <v>0</v>
      </c>
      <c r="T35" s="177">
        <f>IF($A$1="BL",0,'Peak Hours'!T35*Peak!Z36*'Peak Hours'!$Y35)</f>
        <v>0</v>
      </c>
      <c r="U35" s="177">
        <f>IF($A$1="BL",0,'Peak Hours'!U35*Peak!AA36*'Peak Hours'!$Y35)</f>
        <v>0</v>
      </c>
      <c r="V35" s="207"/>
      <c r="W35" s="203">
        <f>(IF($A$1="BL",0,Peak!C36*'Peak Hours'!V35*'Peak Hours'!$Y35))*-1</f>
        <v>-6043419.3093404183</v>
      </c>
      <c r="X35" s="207"/>
      <c r="Y35" s="203">
        <f>(IF($A$1="bl",0,Peak!D36*'Peak Hours'!V35*'Peak Hours'!$Y35))*-1</f>
        <v>-90118.015054751973</v>
      </c>
      <c r="Z35" s="207"/>
      <c r="AA35" s="203">
        <f>(Peak!E36*'Peak Hours'!V35*'Peak Hours'!$Y35)*-1</f>
        <v>0</v>
      </c>
      <c r="AB35" s="204"/>
      <c r="AC35" s="203">
        <f>(Peak!F36*'Peak Hours'!V35*'Peak Hours'!$Y35)*-1</f>
        <v>0</v>
      </c>
      <c r="AD35" s="204"/>
    </row>
    <row r="36" spans="1:30" x14ac:dyDescent="0.2">
      <c r="A36" s="1">
        <f t="shared" si="0"/>
        <v>37330.842000000033</v>
      </c>
      <c r="B36" s="177">
        <f>IF($A$1="BL",0,'Peak Hours'!B36*Peak!H37*'Peak Hours'!$Y36)</f>
        <v>249389.26434227524</v>
      </c>
      <c r="C36" s="177">
        <f>IF($A$1="BL",0,'Peak Hours'!C36*Peak!I37*'Peak Hours'!$Y36)</f>
        <v>240104.28549536623</v>
      </c>
      <c r="D36" s="177">
        <f>IF($A$1="BL",0,'Peak Hours'!D36*Peak!J37*'Peak Hours'!$Y36)</f>
        <v>472280.60760738986</v>
      </c>
      <c r="E36" s="177">
        <f>IF($A$1="BL",0,'Peak Hours'!E36*Peak!K37*'Peak Hours'!$Y36)</f>
        <v>895068.32936672855</v>
      </c>
      <c r="F36" s="177">
        <f>IF($A$1="BL",0,'Peak Hours'!F36*Peak!L37*'Peak Hours'!$Y36)</f>
        <v>869530.22315406101</v>
      </c>
      <c r="G36" s="177">
        <f>IF($A$1="BL",0,'Peak Hours'!G36*Peak!M37*'Peak Hours'!$Y36)</f>
        <v>1735140.0877918778</v>
      </c>
      <c r="H36" s="177">
        <f>IF($A$1="BL",0,'Peak Hours'!H36*Peak!N37*'Peak Hours'!$Y36)</f>
        <v>1681465.8520684254</v>
      </c>
      <c r="I36" s="177">
        <f>IF($A$1="BL",0,'Peak Hours'!I36*Peak!O37*'Peak Hours'!$Y36)</f>
        <v>1321207.9529159404</v>
      </c>
      <c r="J36" s="177">
        <f>IF($A$1="BL",0,'Peak Hours'!J36*Peak!P37*'Peak Hours'!$Y36)</f>
        <v>1206546.9001048631</v>
      </c>
      <c r="K36" s="177">
        <f>IF($A$1="BL",0,'Peak Hours'!K36*Peak!Q37*'Peak Hours'!$Y36)</f>
        <v>1202461.8570796116</v>
      </c>
      <c r="L36" s="177">
        <f>IF($A$1="BL",0,'Peak Hours'!L36*Peak!R37*'Peak Hours'!$Y36)</f>
        <v>1198123.8058425034</v>
      </c>
      <c r="M36" s="177">
        <f>IF($A$1="BL",0,'Peak Hours'!M36*Peak!S37*'Peak Hours'!$Y36)</f>
        <v>0</v>
      </c>
      <c r="N36" s="177">
        <f>IF($A$1="BL",0,'Peak Hours'!N36*Peak!T37*'Peak Hours'!$Y36)</f>
        <v>0</v>
      </c>
      <c r="O36" s="177">
        <f>IF($A$1="BL",0,'Peak Hours'!O36*Peak!U37*'Peak Hours'!$Y36)</f>
        <v>0</v>
      </c>
      <c r="P36" s="177">
        <f>IF($A$1="BL",0,'Peak Hours'!P36*Peak!V37*'Peak Hours'!$Y36)</f>
        <v>0</v>
      </c>
      <c r="Q36" s="177">
        <f>IF($A$1="BL",0,'Peak Hours'!Q36*Peak!W37*'Peak Hours'!$Y36)</f>
        <v>0</v>
      </c>
      <c r="R36" s="177">
        <f>IF($A$1="BL",0,'Peak Hours'!R36*Peak!X37*'Peak Hours'!$Y36)</f>
        <v>0</v>
      </c>
      <c r="S36" s="177">
        <f>IF($A$1="BL",0,'Peak Hours'!S36*Peak!Y37*'Peak Hours'!$Y36)</f>
        <v>0</v>
      </c>
      <c r="T36" s="177">
        <f>IF($A$1="BL",0,'Peak Hours'!T36*Peak!Z37*'Peak Hours'!$Y36)</f>
        <v>0</v>
      </c>
      <c r="U36" s="177">
        <f>IF($A$1="BL",0,'Peak Hours'!U36*Peak!AA37*'Peak Hours'!$Y36)</f>
        <v>0</v>
      </c>
      <c r="V36" s="207"/>
      <c r="W36" s="203">
        <f>(IF($A$1="BL",0,Peak!C37*'Peak Hours'!V36*'Peak Hours'!$Y36))*-1</f>
        <v>-8327951.1479826504</v>
      </c>
      <c r="X36" s="207"/>
      <c r="Y36" s="203">
        <f>(IF($A$1="bl",0,Peak!D37*'Peak Hours'!V36*'Peak Hours'!$Y36))*-1</f>
        <v>-126518.7962567403</v>
      </c>
      <c r="Z36" s="207"/>
      <c r="AA36" s="203">
        <f>(Peak!E37*'Peak Hours'!V36*'Peak Hours'!$Y36)*-1</f>
        <v>0</v>
      </c>
      <c r="AB36" s="204"/>
      <c r="AC36" s="203">
        <f>(Peak!F37*'Peak Hours'!V36*'Peak Hours'!$Y36)*-1</f>
        <v>0</v>
      </c>
      <c r="AD36" s="204"/>
    </row>
    <row r="37" spans="1:30" x14ac:dyDescent="0.2">
      <c r="A37" s="1">
        <f t="shared" si="0"/>
        <v>37361.259000000035</v>
      </c>
      <c r="B37" s="177">
        <f>IF($A$1="BL",0,'Peak Hours'!B37*Peak!H38*'Peak Hours'!$Y37)</f>
        <v>231396.42911403801</v>
      </c>
      <c r="C37" s="177">
        <f>IF($A$1="BL",0,'Peak Hours'!C37*Peak!I38*'Peak Hours'!$Y37)</f>
        <v>222275.64577937897</v>
      </c>
      <c r="D37" s="177">
        <f>IF($A$1="BL",0,'Peak Hours'!D37*Peak!J38*'Peak Hours'!$Y37)</f>
        <v>430344.2492157027</v>
      </c>
      <c r="E37" s="177">
        <f>IF($A$1="BL",0,'Peak Hours'!E37*Peak!K38*'Peak Hours'!$Y37)</f>
        <v>854229.28415576939</v>
      </c>
      <c r="F37" s="177">
        <f>IF($A$1="BL",0,'Peak Hours'!F37*Peak!L38*'Peak Hours'!$Y37)</f>
        <v>849330.83782503859</v>
      </c>
      <c r="G37" s="177">
        <f>IF($A$1="BL",0,'Peak Hours'!G37*Peak!M38*'Peak Hours'!$Y37)</f>
        <v>1611665.3719265643</v>
      </c>
      <c r="H37" s="177">
        <f>IF($A$1="BL",0,'Peak Hours'!H37*Peak!N38*'Peak Hours'!$Y37)</f>
        <v>1266175.8706117938</v>
      </c>
      <c r="I37" s="177">
        <f>IF($A$1="BL",0,'Peak Hours'!I37*Peak!O38*'Peak Hours'!$Y37)</f>
        <v>1134176.3423359841</v>
      </c>
      <c r="J37" s="177">
        <f>IF($A$1="BL",0,'Peak Hours'!J37*Peak!P38*'Peak Hours'!$Y37)</f>
        <v>0</v>
      </c>
      <c r="K37" s="177">
        <f>IF($A$1="BL",0,'Peak Hours'!K37*Peak!Q38*'Peak Hours'!$Y37)</f>
        <v>0</v>
      </c>
      <c r="L37" s="177">
        <f>IF($A$1="BL",0,'Peak Hours'!L37*Peak!R38*'Peak Hours'!$Y37)</f>
        <v>0</v>
      </c>
      <c r="M37" s="177">
        <f>IF($A$1="BL",0,'Peak Hours'!M37*Peak!S38*'Peak Hours'!$Y37)</f>
        <v>0</v>
      </c>
      <c r="N37" s="177">
        <f>IF($A$1="BL",0,'Peak Hours'!N37*Peak!T38*'Peak Hours'!$Y37)</f>
        <v>0</v>
      </c>
      <c r="O37" s="177">
        <f>IF($A$1="BL",0,'Peak Hours'!O37*Peak!U38*'Peak Hours'!$Y37)</f>
        <v>0</v>
      </c>
      <c r="P37" s="177">
        <f>IF($A$1="BL",0,'Peak Hours'!P37*Peak!V38*'Peak Hours'!$Y37)</f>
        <v>0</v>
      </c>
      <c r="Q37" s="177">
        <f>IF($A$1="BL",0,'Peak Hours'!Q37*Peak!W38*'Peak Hours'!$Y37)</f>
        <v>0</v>
      </c>
      <c r="R37" s="177">
        <f>IF($A$1="BL",0,'Peak Hours'!R37*Peak!X38*'Peak Hours'!$Y37)</f>
        <v>0</v>
      </c>
      <c r="S37" s="177">
        <f>IF($A$1="BL",0,'Peak Hours'!S37*Peak!Y38*'Peak Hours'!$Y37)</f>
        <v>0</v>
      </c>
      <c r="T37" s="177">
        <f>IF($A$1="BL",0,'Peak Hours'!T37*Peak!Z38*'Peak Hours'!$Y37)</f>
        <v>0</v>
      </c>
      <c r="U37" s="177">
        <f>IF($A$1="BL",0,'Peak Hours'!U37*Peak!AA38*'Peak Hours'!$Y37)</f>
        <v>0</v>
      </c>
      <c r="V37" s="207"/>
      <c r="W37" s="203">
        <f>(IF($A$1="BL",0,Peak!C38*'Peak Hours'!V37*'Peak Hours'!$Y37))*-1</f>
        <v>-4750451.0069478499</v>
      </c>
      <c r="X37" s="207"/>
      <c r="Y37" s="203">
        <f>(IF($A$1="bl",0,Peak!D38*'Peak Hours'!V37*'Peak Hours'!$Y37))*-1</f>
        <v>-76037.796550300918</v>
      </c>
      <c r="Z37" s="207"/>
      <c r="AA37" s="203">
        <f>(Peak!E38*'Peak Hours'!V37*'Peak Hours'!$Y37)*-1</f>
        <v>0</v>
      </c>
      <c r="AB37" s="204"/>
      <c r="AC37" s="203">
        <f>(Peak!F38*'Peak Hours'!V37*'Peak Hours'!$Y37)*-1</f>
        <v>0</v>
      </c>
      <c r="AD37" s="204"/>
    </row>
    <row r="38" spans="1:30" x14ac:dyDescent="0.2">
      <c r="A38" s="1">
        <f t="shared" si="0"/>
        <v>37391.676000000036</v>
      </c>
      <c r="B38" s="177">
        <f>IF($A$1="BL",0,'Peak Hours'!B38*Peak!H39*'Peak Hours'!$Y38)</f>
        <v>204007.29000037129</v>
      </c>
      <c r="C38" s="177">
        <f>IF($A$1="BL",0,'Peak Hours'!C38*Peak!I39*'Peak Hours'!$Y38)</f>
        <v>193435.98554789787</v>
      </c>
      <c r="D38" s="177">
        <f>IF($A$1="BL",0,'Peak Hours'!D38*Peak!J39*'Peak Hours'!$Y38)</f>
        <v>371000.09531317028</v>
      </c>
      <c r="E38" s="177">
        <f>IF($A$1="BL",0,'Peak Hours'!E38*Peak!K39*'Peak Hours'!$Y38)</f>
        <v>688022.30146595021</v>
      </c>
      <c r="F38" s="177">
        <f>IF($A$1="BL",0,'Peak Hours'!F38*Peak!L39*'Peak Hours'!$Y38)</f>
        <v>680936.9161961748</v>
      </c>
      <c r="G38" s="177">
        <f>IF($A$1="BL",0,'Peak Hours'!G38*Peak!M39*'Peak Hours'!$Y38)</f>
        <v>1213832.7647828991</v>
      </c>
      <c r="H38" s="177">
        <f>IF($A$1="BL",0,'Peak Hours'!H38*Peak!N39*'Peak Hours'!$Y38)</f>
        <v>0</v>
      </c>
      <c r="I38" s="177">
        <f>IF($A$1="BL",0,'Peak Hours'!I38*Peak!O39*'Peak Hours'!$Y38)</f>
        <v>0</v>
      </c>
      <c r="J38" s="177">
        <f>IF($A$1="BL",0,'Peak Hours'!J38*Peak!P39*'Peak Hours'!$Y38)</f>
        <v>0</v>
      </c>
      <c r="K38" s="177">
        <f>IF($A$1="BL",0,'Peak Hours'!K38*Peak!Q39*'Peak Hours'!$Y38)</f>
        <v>0</v>
      </c>
      <c r="L38" s="177">
        <f>IF($A$1="BL",0,'Peak Hours'!L38*Peak!R39*'Peak Hours'!$Y38)</f>
        <v>0</v>
      </c>
      <c r="M38" s="177">
        <f>IF($A$1="BL",0,'Peak Hours'!M38*Peak!S39*'Peak Hours'!$Y38)</f>
        <v>0</v>
      </c>
      <c r="N38" s="177">
        <f>IF($A$1="BL",0,'Peak Hours'!N38*Peak!T39*'Peak Hours'!$Y38)</f>
        <v>0</v>
      </c>
      <c r="O38" s="177">
        <f>IF($A$1="BL",0,'Peak Hours'!O38*Peak!U39*'Peak Hours'!$Y38)</f>
        <v>0</v>
      </c>
      <c r="P38" s="177">
        <f>IF($A$1="BL",0,'Peak Hours'!P38*Peak!V39*'Peak Hours'!$Y38)</f>
        <v>0</v>
      </c>
      <c r="Q38" s="177">
        <f>IF($A$1="BL",0,'Peak Hours'!Q38*Peak!W39*'Peak Hours'!$Y38)</f>
        <v>0</v>
      </c>
      <c r="R38" s="177">
        <f>IF($A$1="BL",0,'Peak Hours'!R38*Peak!X39*'Peak Hours'!$Y38)</f>
        <v>0</v>
      </c>
      <c r="S38" s="177">
        <f>IF($A$1="BL",0,'Peak Hours'!S38*Peak!Y39*'Peak Hours'!$Y38)</f>
        <v>0</v>
      </c>
      <c r="T38" s="177">
        <f>IF($A$1="BL",0,'Peak Hours'!T38*Peak!Z39*'Peak Hours'!$Y38)</f>
        <v>0</v>
      </c>
      <c r="U38" s="177">
        <f>IF($A$1="BL",0,'Peak Hours'!U38*Peak!AA39*'Peak Hours'!$Y38)</f>
        <v>0</v>
      </c>
      <c r="V38" s="207"/>
      <c r="W38" s="203">
        <f>(IF($A$1="BL",0,Peak!C39*'Peak Hours'!V38*'Peak Hours'!$Y38))*-1</f>
        <v>-2778776.456151153</v>
      </c>
      <c r="X38" s="207"/>
      <c r="Y38" s="203">
        <f>(IF($A$1="bl",0,Peak!D39*'Peak Hours'!V38*'Peak Hours'!$Y38))*-1</f>
        <v>-42313.625672898939</v>
      </c>
      <c r="Z38" s="207"/>
      <c r="AA38" s="203">
        <f>(Peak!E39*'Peak Hours'!V38*'Peak Hours'!$Y38)*-1</f>
        <v>0</v>
      </c>
      <c r="AB38" s="204"/>
      <c r="AC38" s="203">
        <f>(Peak!F39*'Peak Hours'!V38*'Peak Hours'!$Y38)*-1</f>
        <v>0</v>
      </c>
      <c r="AD38" s="204"/>
    </row>
    <row r="39" spans="1:30" x14ac:dyDescent="0.2">
      <c r="A39" s="1">
        <f t="shared" si="0"/>
        <v>37422.093000000037</v>
      </c>
      <c r="B39" s="177">
        <f>IF($A$1="BL",0,'Peak Hours'!B39*Peak!H40*'Peak Hours'!$Y39)</f>
        <v>1259030.27877342</v>
      </c>
      <c r="C39" s="177">
        <f>IF($A$1="BL",0,'Peak Hours'!C39*Peak!I40*'Peak Hours'!$Y39)</f>
        <v>790790.90755631984</v>
      </c>
      <c r="D39" s="177">
        <f>IF($A$1="BL",0,'Peak Hours'!D39*Peak!J40*'Peak Hours'!$Y39)</f>
        <v>858247.09082856227</v>
      </c>
      <c r="E39" s="177">
        <f>IF($A$1="BL",0,'Peak Hours'!E39*Peak!K40*'Peak Hours'!$Y39)</f>
        <v>793940.95262253599</v>
      </c>
      <c r="F39" s="177">
        <f>IF($A$1="BL",0,'Peak Hours'!F39*Peak!L40*'Peak Hours'!$Y39)</f>
        <v>732824.67997671943</v>
      </c>
      <c r="G39" s="177">
        <f>IF($A$1="BL",0,'Peak Hours'!G39*Peak!M40*'Peak Hours'!$Y39)</f>
        <v>1355026.8693824683</v>
      </c>
      <c r="H39" s="177">
        <f>IF($A$1="BL",0,'Peak Hours'!H39*Peak!N40*'Peak Hours'!$Y39)</f>
        <v>1322580.9795796894</v>
      </c>
      <c r="I39" s="177">
        <f>IF($A$1="BL",0,'Peak Hours'!I39*Peak!O40*'Peak Hours'!$Y39)</f>
        <v>1196810.2414139672</v>
      </c>
      <c r="J39" s="177">
        <f>IF($A$1="BL",0,'Peak Hours'!J39*Peak!P40*'Peak Hours'!$Y39)</f>
        <v>0</v>
      </c>
      <c r="K39" s="177">
        <f>IF($A$1="BL",0,'Peak Hours'!K39*Peak!Q40*'Peak Hours'!$Y39)</f>
        <v>0</v>
      </c>
      <c r="L39" s="177">
        <f>IF($A$1="BL",0,'Peak Hours'!L39*Peak!R40*'Peak Hours'!$Y39)</f>
        <v>0</v>
      </c>
      <c r="M39" s="177">
        <f>IF($A$1="BL",0,'Peak Hours'!M39*Peak!S40*'Peak Hours'!$Y39)</f>
        <v>0</v>
      </c>
      <c r="N39" s="177">
        <f>IF($A$1="BL",0,'Peak Hours'!N39*Peak!T40*'Peak Hours'!$Y39)</f>
        <v>0</v>
      </c>
      <c r="O39" s="177">
        <f>IF($A$1="BL",0,'Peak Hours'!O39*Peak!U40*'Peak Hours'!$Y39)</f>
        <v>0</v>
      </c>
      <c r="P39" s="177">
        <f>IF($A$1="BL",0,'Peak Hours'!P39*Peak!V40*'Peak Hours'!$Y39)</f>
        <v>0</v>
      </c>
      <c r="Q39" s="177">
        <f>IF($A$1="BL",0,'Peak Hours'!Q39*Peak!W40*'Peak Hours'!$Y39)</f>
        <v>0</v>
      </c>
      <c r="R39" s="177">
        <f>IF($A$1="BL",0,'Peak Hours'!R39*Peak!X40*'Peak Hours'!$Y39)</f>
        <v>0</v>
      </c>
      <c r="S39" s="177">
        <f>IF($A$1="BL",0,'Peak Hours'!S39*Peak!Y40*'Peak Hours'!$Y39)</f>
        <v>0</v>
      </c>
      <c r="T39" s="177">
        <f>IF($A$1="BL",0,'Peak Hours'!T39*Peak!Z40*'Peak Hours'!$Y39)</f>
        <v>0</v>
      </c>
      <c r="U39" s="177">
        <f>IF($A$1="BL",0,'Peak Hours'!U39*Peak!AA40*'Peak Hours'!$Y39)</f>
        <v>0</v>
      </c>
      <c r="V39" s="207"/>
      <c r="W39" s="203">
        <f>(IF($A$1="BL",0,Peak!C40*'Peak Hours'!V39*'Peak Hours'!$Y39))*-1</f>
        <v>-4846402.1716799531</v>
      </c>
      <c r="X39" s="207"/>
      <c r="Y39" s="203">
        <f>(IF($A$1="bl",0,Peak!D40*'Peak Hours'!V39*'Peak Hours'!$Y39))*-1</f>
        <v>-77586.121969140469</v>
      </c>
      <c r="Z39" s="207"/>
      <c r="AA39" s="203">
        <f>(Peak!E40*'Peak Hours'!V39*'Peak Hours'!$Y39)*-1</f>
        <v>0</v>
      </c>
      <c r="AB39" s="204"/>
      <c r="AC39" s="203">
        <f>(Peak!F40*'Peak Hours'!V39*'Peak Hours'!$Y39)*-1</f>
        <v>0</v>
      </c>
      <c r="AD39" s="204"/>
    </row>
    <row r="40" spans="1:30" x14ac:dyDescent="0.2">
      <c r="A40" s="1">
        <f t="shared" si="0"/>
        <v>37452.510000000038</v>
      </c>
      <c r="B40" s="177">
        <f>IF($A$1="BL",0,'Peak Hours'!B40*Peak!H41*'Peak Hours'!$Y40)</f>
        <v>3594870.5707593923</v>
      </c>
      <c r="C40" s="177">
        <f>IF($A$1="BL",0,'Peak Hours'!C40*Peak!I41*'Peak Hours'!$Y40)</f>
        <v>1899658.8890011716</v>
      </c>
      <c r="D40" s="177">
        <f>IF($A$1="BL",0,'Peak Hours'!D40*Peak!J41*'Peak Hours'!$Y40)</f>
        <v>2365905.7129415926</v>
      </c>
      <c r="E40" s="177">
        <f>IF($A$1="BL",0,'Peak Hours'!E40*Peak!K41*'Peak Hours'!$Y40)</f>
        <v>2898705.7996978881</v>
      </c>
      <c r="F40" s="177">
        <f>IF($A$1="BL",0,'Peak Hours'!F40*Peak!L41*'Peak Hours'!$Y40)</f>
        <v>926774.47237580293</v>
      </c>
      <c r="G40" s="177">
        <f>IF($A$1="BL",0,'Peak Hours'!G40*Peak!M41*'Peak Hours'!$Y40)</f>
        <v>1598428.2731112461</v>
      </c>
      <c r="H40" s="177">
        <f>IF($A$1="BL",0,'Peak Hours'!H40*Peak!N41*'Peak Hours'!$Y40)</f>
        <v>1466203.979723224</v>
      </c>
      <c r="I40" s="177">
        <f>IF($A$1="BL",0,'Peak Hours'!I40*Peak!O41*'Peak Hours'!$Y40)</f>
        <v>1403842.6483955712</v>
      </c>
      <c r="J40" s="177">
        <f>IF($A$1="BL",0,'Peak Hours'!J40*Peak!P41*'Peak Hours'!$Y40)</f>
        <v>1348138.641958958</v>
      </c>
      <c r="K40" s="177">
        <f>IF($A$1="BL",0,'Peak Hours'!K40*Peak!Q41*'Peak Hours'!$Y40)</f>
        <v>0</v>
      </c>
      <c r="L40" s="177">
        <f>IF($A$1="BL",0,'Peak Hours'!L40*Peak!R41*'Peak Hours'!$Y40)</f>
        <v>0</v>
      </c>
      <c r="M40" s="177">
        <f>IF($A$1="BL",0,'Peak Hours'!M40*Peak!S41*'Peak Hours'!$Y40)</f>
        <v>0</v>
      </c>
      <c r="N40" s="177">
        <f>IF($A$1="BL",0,'Peak Hours'!N40*Peak!T41*'Peak Hours'!$Y40)</f>
        <v>0</v>
      </c>
      <c r="O40" s="177">
        <f>IF($A$1="BL",0,'Peak Hours'!O40*Peak!U41*'Peak Hours'!$Y40)</f>
        <v>0</v>
      </c>
      <c r="P40" s="177">
        <f>IF($A$1="BL",0,'Peak Hours'!P40*Peak!V41*'Peak Hours'!$Y40)</f>
        <v>0</v>
      </c>
      <c r="Q40" s="177">
        <f>IF($A$1="BL",0,'Peak Hours'!Q40*Peak!W41*'Peak Hours'!$Y40)</f>
        <v>0</v>
      </c>
      <c r="R40" s="177">
        <f>IF($A$1="BL",0,'Peak Hours'!R40*Peak!X41*'Peak Hours'!$Y40)</f>
        <v>0</v>
      </c>
      <c r="S40" s="177">
        <f>IF($A$1="BL",0,'Peak Hours'!S40*Peak!Y41*'Peak Hours'!$Y40)</f>
        <v>0</v>
      </c>
      <c r="T40" s="177">
        <f>IF($A$1="BL",0,'Peak Hours'!T40*Peak!Z41*'Peak Hours'!$Y40)</f>
        <v>0</v>
      </c>
      <c r="U40" s="177">
        <f>IF($A$1="BL",0,'Peak Hours'!U40*Peak!AA41*'Peak Hours'!$Y40)</f>
        <v>0</v>
      </c>
      <c r="V40" s="207"/>
      <c r="W40" s="203">
        <f>(IF($A$1="BL",0,Peak!C41*'Peak Hours'!V40*'Peak Hours'!$Y40))*-1</f>
        <v>-5904635.5572682973</v>
      </c>
      <c r="X40" s="207"/>
      <c r="Y40" s="203">
        <f>(IF($A$1="bl",0,Peak!D41*'Peak Hours'!V40*'Peak Hours'!$Y40))*-1</f>
        <v>-94985.528210738456</v>
      </c>
      <c r="Z40" s="207"/>
      <c r="AA40" s="203">
        <f>(Peak!E41*'Peak Hours'!V40*'Peak Hours'!$Y40)*-1</f>
        <v>0</v>
      </c>
      <c r="AB40" s="204"/>
      <c r="AC40" s="203">
        <f>(Peak!F41*'Peak Hours'!V40*'Peak Hours'!$Y40)*-1</f>
        <v>0</v>
      </c>
      <c r="AD40" s="204"/>
    </row>
    <row r="41" spans="1:30" x14ac:dyDescent="0.2">
      <c r="A41" s="1">
        <f t="shared" si="0"/>
        <v>37482.92700000004</v>
      </c>
      <c r="B41" s="177">
        <f>IF($A$1="BL",0,'Peak Hours'!B41*Peak!H42*'Peak Hours'!$Y41)</f>
        <v>7542060.1814468959</v>
      </c>
      <c r="C41" s="177">
        <f>IF($A$1="BL",0,'Peak Hours'!C41*Peak!I42*'Peak Hours'!$Y41)</f>
        <v>3344930.1179050519</v>
      </c>
      <c r="D41" s="177">
        <f>IF($A$1="BL",0,'Peak Hours'!D41*Peak!J42*'Peak Hours'!$Y41)</f>
        <v>3751465.1472779629</v>
      </c>
      <c r="E41" s="177">
        <f>IF($A$1="BL",0,'Peak Hours'!E41*Peak!K42*'Peak Hours'!$Y41)</f>
        <v>3773314.4722421011</v>
      </c>
      <c r="F41" s="177">
        <f>IF($A$1="BL",0,'Peak Hours'!F41*Peak!L42*'Peak Hours'!$Y41)</f>
        <v>1816080.60156152</v>
      </c>
      <c r="G41" s="177">
        <f>IF($A$1="BL",0,'Peak Hours'!G41*Peak!M42*'Peak Hours'!$Y41)</f>
        <v>1951787.3258888046</v>
      </c>
      <c r="H41" s="177">
        <f>IF($A$1="BL",0,'Peak Hours'!H41*Peak!N42*'Peak Hours'!$Y41)</f>
        <v>1742021.2754988389</v>
      </c>
      <c r="I41" s="177">
        <f>IF($A$1="BL",0,'Peak Hours'!I41*Peak!O42*'Peak Hours'!$Y41)</f>
        <v>1661402.3683247091</v>
      </c>
      <c r="J41" s="177">
        <f>IF($A$1="BL",0,'Peak Hours'!J41*Peak!P42*'Peak Hours'!$Y41)</f>
        <v>1325217.7574929483</v>
      </c>
      <c r="K41" s="177">
        <f>IF($A$1="BL",0,'Peak Hours'!K41*Peak!Q42*'Peak Hours'!$Y41)</f>
        <v>1105696.1853329432</v>
      </c>
      <c r="L41" s="177">
        <f>IF($A$1="BL",0,'Peak Hours'!L41*Peak!R42*'Peak Hours'!$Y41)</f>
        <v>0</v>
      </c>
      <c r="M41" s="177">
        <f>IF($A$1="BL",0,'Peak Hours'!M41*Peak!S42*'Peak Hours'!$Y41)</f>
        <v>0</v>
      </c>
      <c r="N41" s="177">
        <f>IF($A$1="BL",0,'Peak Hours'!N41*Peak!T42*'Peak Hours'!$Y41)</f>
        <v>0</v>
      </c>
      <c r="O41" s="177">
        <f>IF($A$1="BL",0,'Peak Hours'!O41*Peak!U42*'Peak Hours'!$Y41)</f>
        <v>0</v>
      </c>
      <c r="P41" s="177">
        <f>IF($A$1="BL",0,'Peak Hours'!P41*Peak!V42*'Peak Hours'!$Y41)</f>
        <v>0</v>
      </c>
      <c r="Q41" s="177">
        <f>IF($A$1="BL",0,'Peak Hours'!Q41*Peak!W42*'Peak Hours'!$Y41)</f>
        <v>0</v>
      </c>
      <c r="R41" s="177">
        <f>IF($A$1="BL",0,'Peak Hours'!R41*Peak!X42*'Peak Hours'!$Y41)</f>
        <v>0</v>
      </c>
      <c r="S41" s="177">
        <f>IF($A$1="BL",0,'Peak Hours'!S41*Peak!Y42*'Peak Hours'!$Y41)</f>
        <v>0</v>
      </c>
      <c r="T41" s="177">
        <f>IF($A$1="BL",0,'Peak Hours'!T41*Peak!Z42*'Peak Hours'!$Y41)</f>
        <v>0</v>
      </c>
      <c r="U41" s="177">
        <f>IF($A$1="BL",0,'Peak Hours'!U41*Peak!AA42*'Peak Hours'!$Y41)</f>
        <v>0</v>
      </c>
      <c r="V41" s="207"/>
      <c r="W41" s="203">
        <f>(IF($A$1="BL",0,Peak!C42*'Peak Hours'!V41*'Peak Hours'!$Y41))*-1</f>
        <v>-6616372.7725888528</v>
      </c>
      <c r="X41" s="207"/>
      <c r="Y41" s="203">
        <f>(IF($A$1="bl",0,Peak!D42*'Peak Hours'!V41*'Peak Hours'!$Y41))*-1</f>
        <v>-112442.71695613631</v>
      </c>
      <c r="Z41" s="207"/>
      <c r="AA41" s="203">
        <f>(Peak!E42*'Peak Hours'!V41*'Peak Hours'!$Y41)*-1</f>
        <v>0</v>
      </c>
      <c r="AB41" s="204"/>
      <c r="AC41" s="203">
        <f>(Peak!F42*'Peak Hours'!V41*'Peak Hours'!$Y41)*-1</f>
        <v>0</v>
      </c>
      <c r="AD41" s="204"/>
    </row>
    <row r="42" spans="1:30" x14ac:dyDescent="0.2">
      <c r="A42" s="1">
        <f t="shared" si="0"/>
        <v>37513.344000000041</v>
      </c>
      <c r="B42" s="177">
        <f>IF($A$1="BL",0,'Peak Hours'!B42*Peak!H43*'Peak Hours'!$Y42)</f>
        <v>1527755.4248713723</v>
      </c>
      <c r="C42" s="177">
        <f>IF($A$1="BL",0,'Peak Hours'!C42*Peak!I43*'Peak Hours'!$Y42)</f>
        <v>897126.93489226338</v>
      </c>
      <c r="D42" s="177">
        <f>IF($A$1="BL",0,'Peak Hours'!D42*Peak!J43*'Peak Hours'!$Y42)</f>
        <v>1325028.2875593766</v>
      </c>
      <c r="E42" s="177">
        <f>IF($A$1="BL",0,'Peak Hours'!E42*Peak!K43*'Peak Hours'!$Y42)</f>
        <v>849088.07567862165</v>
      </c>
      <c r="F42" s="177">
        <f>IF($A$1="BL",0,'Peak Hours'!F42*Peak!L43*'Peak Hours'!$Y42)</f>
        <v>620961.99963297346</v>
      </c>
      <c r="G42" s="177">
        <f>IF($A$1="BL",0,'Peak Hours'!G42*Peak!M43*'Peak Hours'!$Y42)</f>
        <v>1076560.0616086656</v>
      </c>
      <c r="H42" s="177">
        <f>IF($A$1="BL",0,'Peak Hours'!H42*Peak!N43*'Peak Hours'!$Y42)</f>
        <v>0</v>
      </c>
      <c r="I42" s="177">
        <f>IF($A$1="BL",0,'Peak Hours'!I42*Peak!O43*'Peak Hours'!$Y42)</f>
        <v>0</v>
      </c>
      <c r="J42" s="177">
        <f>IF($A$1="BL",0,'Peak Hours'!J42*Peak!P43*'Peak Hours'!$Y42)</f>
        <v>0</v>
      </c>
      <c r="K42" s="177">
        <f>IF($A$1="BL",0,'Peak Hours'!K42*Peak!Q43*'Peak Hours'!$Y42)</f>
        <v>0</v>
      </c>
      <c r="L42" s="177">
        <f>IF($A$1="BL",0,'Peak Hours'!L42*Peak!R43*'Peak Hours'!$Y42)</f>
        <v>0</v>
      </c>
      <c r="M42" s="177">
        <f>IF($A$1="BL",0,'Peak Hours'!M42*Peak!S43*'Peak Hours'!$Y42)</f>
        <v>0</v>
      </c>
      <c r="N42" s="177">
        <f>IF($A$1="BL",0,'Peak Hours'!N42*Peak!T43*'Peak Hours'!$Y42)</f>
        <v>0</v>
      </c>
      <c r="O42" s="177">
        <f>IF($A$1="BL",0,'Peak Hours'!O42*Peak!U43*'Peak Hours'!$Y42)</f>
        <v>0</v>
      </c>
      <c r="P42" s="177">
        <f>IF($A$1="BL",0,'Peak Hours'!P42*Peak!V43*'Peak Hours'!$Y42)</f>
        <v>0</v>
      </c>
      <c r="Q42" s="177">
        <f>IF($A$1="BL",0,'Peak Hours'!Q42*Peak!W43*'Peak Hours'!$Y42)</f>
        <v>0</v>
      </c>
      <c r="R42" s="177">
        <f>IF($A$1="BL",0,'Peak Hours'!R42*Peak!X43*'Peak Hours'!$Y42)</f>
        <v>0</v>
      </c>
      <c r="S42" s="177">
        <f>IF($A$1="BL",0,'Peak Hours'!S42*Peak!Y43*'Peak Hours'!$Y42)</f>
        <v>0</v>
      </c>
      <c r="T42" s="177">
        <f>IF($A$1="BL",0,'Peak Hours'!T42*Peak!Z43*'Peak Hours'!$Y42)</f>
        <v>0</v>
      </c>
      <c r="U42" s="177">
        <f>IF($A$1="BL",0,'Peak Hours'!U42*Peak!AA43*'Peak Hours'!$Y42)</f>
        <v>0</v>
      </c>
      <c r="V42" s="207"/>
      <c r="W42" s="203">
        <f>(IF($A$1="BL",0,Peak!C43*'Peak Hours'!V42*'Peak Hours'!$Y42))*-1</f>
        <v>-2493916.9601436979</v>
      </c>
      <c r="X42" s="207"/>
      <c r="Y42" s="203">
        <f>(IF($A$1="bl",0,Peak!D43*'Peak Hours'!V42*'Peak Hours'!$Y42))*-1</f>
        <v>-42596.422521724977</v>
      </c>
      <c r="Z42" s="207"/>
      <c r="AA42" s="203">
        <f>(Peak!E43*'Peak Hours'!V42*'Peak Hours'!$Y42)*-1</f>
        <v>0</v>
      </c>
      <c r="AB42" s="204"/>
      <c r="AC42" s="203">
        <f>(Peak!F43*'Peak Hours'!V42*'Peak Hours'!$Y42)*-1</f>
        <v>0</v>
      </c>
      <c r="AD42" s="204"/>
    </row>
    <row r="43" spans="1:30" x14ac:dyDescent="0.2">
      <c r="A43" s="1">
        <f t="shared" si="0"/>
        <v>37543.761000000042</v>
      </c>
      <c r="B43" s="177">
        <f>IF($A$1="BL",0,'Peak Hours'!B43*Peak!H44*'Peak Hours'!$Y43)</f>
        <v>190899.32111180472</v>
      </c>
      <c r="C43" s="177">
        <f>IF($A$1="BL",0,'Peak Hours'!C43*Peak!I44*'Peak Hours'!$Y43)</f>
        <v>187666.50085210204</v>
      </c>
      <c r="D43" s="177">
        <f>IF($A$1="BL",0,'Peak Hours'!D43*Peak!J44*'Peak Hours'!$Y43)</f>
        <v>366627.0864606151</v>
      </c>
      <c r="E43" s="177">
        <f>IF($A$1="BL",0,'Peak Hours'!E43*Peak!K44*'Peak Hours'!$Y43)</f>
        <v>704947.82818542956</v>
      </c>
      <c r="F43" s="177">
        <f>IF($A$1="BL",0,'Peak Hours'!F43*Peak!L44*'Peak Hours'!$Y43)</f>
        <v>672667.36727688601</v>
      </c>
      <c r="G43" s="177">
        <f>IF($A$1="BL",0,'Peak Hours'!G43*Peak!M44*'Peak Hours'!$Y43)</f>
        <v>1306430.4111390654</v>
      </c>
      <c r="H43" s="177">
        <f>IF($A$1="BL",0,'Peak Hours'!H43*Peak!N44*'Peak Hours'!$Y43)</f>
        <v>1303031.4506950679</v>
      </c>
      <c r="I43" s="177">
        <f>IF($A$1="BL",0,'Peak Hours'!I43*Peak!O44*'Peak Hours'!$Y43)</f>
        <v>1223857.6562139436</v>
      </c>
      <c r="J43" s="177">
        <f>IF($A$1="BL",0,'Peak Hours'!J43*Peak!P44*'Peak Hours'!$Y43)</f>
        <v>0</v>
      </c>
      <c r="K43" s="177">
        <f>IF($A$1="BL",0,'Peak Hours'!K43*Peak!Q44*'Peak Hours'!$Y43)</f>
        <v>0</v>
      </c>
      <c r="L43" s="177">
        <f>IF($A$1="BL",0,'Peak Hours'!L43*Peak!R44*'Peak Hours'!$Y43)</f>
        <v>0</v>
      </c>
      <c r="M43" s="177">
        <f>IF($A$1="BL",0,'Peak Hours'!M43*Peak!S44*'Peak Hours'!$Y43)</f>
        <v>0</v>
      </c>
      <c r="N43" s="177">
        <f>IF($A$1="BL",0,'Peak Hours'!N43*Peak!T44*'Peak Hours'!$Y43)</f>
        <v>0</v>
      </c>
      <c r="O43" s="177">
        <f>IF($A$1="BL",0,'Peak Hours'!O43*Peak!U44*'Peak Hours'!$Y43)</f>
        <v>0</v>
      </c>
      <c r="P43" s="177">
        <f>IF($A$1="BL",0,'Peak Hours'!P43*Peak!V44*'Peak Hours'!$Y43)</f>
        <v>0</v>
      </c>
      <c r="Q43" s="177">
        <f>IF($A$1="BL",0,'Peak Hours'!Q43*Peak!W44*'Peak Hours'!$Y43)</f>
        <v>0</v>
      </c>
      <c r="R43" s="177">
        <f>IF($A$1="BL",0,'Peak Hours'!R43*Peak!X44*'Peak Hours'!$Y43)</f>
        <v>0</v>
      </c>
      <c r="S43" s="177">
        <f>IF($A$1="BL",0,'Peak Hours'!S43*Peak!Y44*'Peak Hours'!$Y43)</f>
        <v>0</v>
      </c>
      <c r="T43" s="177">
        <f>IF($A$1="BL",0,'Peak Hours'!T43*Peak!Z44*'Peak Hours'!$Y43)</f>
        <v>0</v>
      </c>
      <c r="U43" s="177">
        <f>IF($A$1="BL",0,'Peak Hours'!U43*Peak!AA44*'Peak Hours'!$Y43)</f>
        <v>0</v>
      </c>
      <c r="V43" s="207"/>
      <c r="W43" s="203">
        <f>(IF($A$1="BL",0,Peak!C44*'Peak Hours'!V43*'Peak Hours'!$Y43))*-1</f>
        <v>-4971636.0273771677</v>
      </c>
      <c r="X43" s="207"/>
      <c r="Y43" s="203">
        <f>(IF($A$1="bl",0,Peak!D44*'Peak Hours'!V43*'Peak Hours'!$Y43))*-1</f>
        <v>-76801.349806670129</v>
      </c>
      <c r="Z43" s="207"/>
      <c r="AA43" s="203">
        <f>(Peak!E44*'Peak Hours'!V43*'Peak Hours'!$Y43)*-1</f>
        <v>0</v>
      </c>
      <c r="AB43" s="204"/>
      <c r="AC43" s="203">
        <f>(Peak!F44*'Peak Hours'!V43*'Peak Hours'!$Y43)*-1</f>
        <v>0</v>
      </c>
      <c r="AD43" s="204"/>
    </row>
    <row r="44" spans="1:30" x14ac:dyDescent="0.2">
      <c r="A44" s="1">
        <f t="shared" si="0"/>
        <v>37574.178000000044</v>
      </c>
      <c r="B44" s="177">
        <f>IF($A$1="BL",0,'Peak Hours'!B44*Peak!H45*'Peak Hours'!$Y44)</f>
        <v>273658.73517178098</v>
      </c>
      <c r="C44" s="177">
        <f>IF($A$1="BL",0,'Peak Hours'!C44*Peak!I45*'Peak Hours'!$Y44)</f>
        <v>234946.02396157465</v>
      </c>
      <c r="D44" s="177">
        <f>IF($A$1="BL",0,'Peak Hours'!D44*Peak!J45*'Peak Hours'!$Y44)</f>
        <v>449373.80360827676</v>
      </c>
      <c r="E44" s="177">
        <f>IF($A$1="BL",0,'Peak Hours'!E44*Peak!K45*'Peak Hours'!$Y44)</f>
        <v>855323.09116955602</v>
      </c>
      <c r="F44" s="177">
        <f>IF($A$1="BL",0,'Peak Hours'!F44*Peak!L45*'Peak Hours'!$Y44)</f>
        <v>801063.9345318838</v>
      </c>
      <c r="G44" s="177">
        <f>IF($A$1="BL",0,'Peak Hours'!G44*Peak!M45*'Peak Hours'!$Y44)</f>
        <v>1554033.1885952377</v>
      </c>
      <c r="H44" s="177">
        <f>IF($A$1="BL",0,'Peak Hours'!H44*Peak!N45*'Peak Hours'!$Y44)</f>
        <v>1526573.658582346</v>
      </c>
      <c r="I44" s="177">
        <f>IF($A$1="BL",0,'Peak Hours'!I44*Peak!O45*'Peak Hours'!$Y44)</f>
        <v>1284904.0917559059</v>
      </c>
      <c r="J44" s="177">
        <f>IF($A$1="BL",0,'Peak Hours'!J44*Peak!P45*'Peak Hours'!$Y44)</f>
        <v>0</v>
      </c>
      <c r="K44" s="177">
        <f>IF($A$1="BL",0,'Peak Hours'!K44*Peak!Q45*'Peak Hours'!$Y44)</f>
        <v>0</v>
      </c>
      <c r="L44" s="177">
        <f>IF($A$1="BL",0,'Peak Hours'!L44*Peak!R45*'Peak Hours'!$Y44)</f>
        <v>0</v>
      </c>
      <c r="M44" s="177">
        <f>IF($A$1="BL",0,'Peak Hours'!M44*Peak!S45*'Peak Hours'!$Y44)</f>
        <v>0</v>
      </c>
      <c r="N44" s="177">
        <f>IF($A$1="BL",0,'Peak Hours'!N44*Peak!T45*'Peak Hours'!$Y44)</f>
        <v>0</v>
      </c>
      <c r="O44" s="177">
        <f>IF($A$1="BL",0,'Peak Hours'!O44*Peak!U45*'Peak Hours'!$Y44)</f>
        <v>0</v>
      </c>
      <c r="P44" s="177">
        <f>IF($A$1="BL",0,'Peak Hours'!P44*Peak!V45*'Peak Hours'!$Y44)</f>
        <v>0</v>
      </c>
      <c r="Q44" s="177">
        <f>IF($A$1="BL",0,'Peak Hours'!Q44*Peak!W45*'Peak Hours'!$Y44)</f>
        <v>0</v>
      </c>
      <c r="R44" s="177">
        <f>IF($A$1="BL",0,'Peak Hours'!R44*Peak!X45*'Peak Hours'!$Y44)</f>
        <v>0</v>
      </c>
      <c r="S44" s="177">
        <f>IF($A$1="BL",0,'Peak Hours'!S44*Peak!Y45*'Peak Hours'!$Y44)</f>
        <v>0</v>
      </c>
      <c r="T44" s="177">
        <f>IF($A$1="BL",0,'Peak Hours'!T44*Peak!Z45*'Peak Hours'!$Y44)</f>
        <v>0</v>
      </c>
      <c r="U44" s="177">
        <f>IF($A$1="BL",0,'Peak Hours'!U44*Peak!AA45*'Peak Hours'!$Y44)</f>
        <v>0</v>
      </c>
      <c r="V44" s="207"/>
      <c r="W44" s="203">
        <f>(IF($A$1="BL",0,Peak!C45*'Peak Hours'!V44*'Peak Hours'!$Y44))*-1</f>
        <v>-5444167.6619307101</v>
      </c>
      <c r="X44" s="207"/>
      <c r="Y44" s="203">
        <f>(IF($A$1="bl",0,Peak!D45*'Peak Hours'!V44*'Peak Hours'!$Y44))*-1</f>
        <v>-76929.352056347911</v>
      </c>
      <c r="Z44" s="207"/>
      <c r="AA44" s="203">
        <f>(Peak!E45*'Peak Hours'!V44*'Peak Hours'!$Y44)*-1</f>
        <v>0</v>
      </c>
      <c r="AB44" s="204"/>
      <c r="AC44" s="203">
        <f>(Peak!F45*'Peak Hours'!V44*'Peak Hours'!$Y44)*-1</f>
        <v>0</v>
      </c>
      <c r="AD44" s="204"/>
    </row>
    <row r="45" spans="1:30" x14ac:dyDescent="0.2">
      <c r="A45" s="1">
        <f t="shared" si="0"/>
        <v>37604.595000000045</v>
      </c>
      <c r="B45" s="177">
        <f>IF($A$1="BL",0,'Peak Hours'!B45*Peak!H46*'Peak Hours'!$Y45)</f>
        <v>274067.40850640542</v>
      </c>
      <c r="C45" s="177">
        <f>IF($A$1="BL",0,'Peak Hours'!C45*Peak!I46*'Peak Hours'!$Y45)</f>
        <v>248016.1846157198</v>
      </c>
      <c r="D45" s="177">
        <f>IF($A$1="BL",0,'Peak Hours'!D45*Peak!J46*'Peak Hours'!$Y45)</f>
        <v>484360.26496043132</v>
      </c>
      <c r="E45" s="177">
        <f>IF($A$1="BL",0,'Peak Hours'!E45*Peak!K46*'Peak Hours'!$Y45)</f>
        <v>923787.35892294825</v>
      </c>
      <c r="F45" s="177">
        <f>IF($A$1="BL",0,'Peak Hours'!F45*Peak!L46*'Peak Hours'!$Y45)</f>
        <v>869615.03884134057</v>
      </c>
      <c r="G45" s="177">
        <f>IF($A$1="BL",0,'Peak Hours'!G45*Peak!M46*'Peak Hours'!$Y45)</f>
        <v>1695038.2895474953</v>
      </c>
      <c r="H45" s="177">
        <f>IF($A$1="BL",0,'Peak Hours'!H45*Peak!N46*'Peak Hours'!$Y45)</f>
        <v>1681007.1454791152</v>
      </c>
      <c r="I45" s="177">
        <f>IF($A$1="BL",0,'Peak Hours'!I45*Peak!O46*'Peak Hours'!$Y45)</f>
        <v>1544179.6385642805</v>
      </c>
      <c r="J45" s="177">
        <f>IF($A$1="BL",0,'Peak Hours'!J45*Peak!P46*'Peak Hours'!$Y45)</f>
        <v>0</v>
      </c>
      <c r="K45" s="177">
        <f>IF($A$1="BL",0,'Peak Hours'!K45*Peak!Q46*'Peak Hours'!$Y45)</f>
        <v>0</v>
      </c>
      <c r="L45" s="177">
        <f>IF($A$1="BL",0,'Peak Hours'!L45*Peak!R46*'Peak Hours'!$Y45)</f>
        <v>0</v>
      </c>
      <c r="M45" s="177">
        <f>IF($A$1="BL",0,'Peak Hours'!M45*Peak!S46*'Peak Hours'!$Y45)</f>
        <v>0</v>
      </c>
      <c r="N45" s="177">
        <f>IF($A$1="BL",0,'Peak Hours'!N45*Peak!T46*'Peak Hours'!$Y45)</f>
        <v>0</v>
      </c>
      <c r="O45" s="177">
        <f>IF($A$1="BL",0,'Peak Hours'!O45*Peak!U46*'Peak Hours'!$Y45)</f>
        <v>0</v>
      </c>
      <c r="P45" s="177">
        <f>IF($A$1="BL",0,'Peak Hours'!P45*Peak!V46*'Peak Hours'!$Y45)</f>
        <v>0</v>
      </c>
      <c r="Q45" s="177">
        <f>IF($A$1="BL",0,'Peak Hours'!Q45*Peak!W46*'Peak Hours'!$Y45)</f>
        <v>0</v>
      </c>
      <c r="R45" s="177">
        <f>IF($A$1="BL",0,'Peak Hours'!R45*Peak!X46*'Peak Hours'!$Y45)</f>
        <v>0</v>
      </c>
      <c r="S45" s="177">
        <f>IF($A$1="BL",0,'Peak Hours'!S45*Peak!Y46*'Peak Hours'!$Y45)</f>
        <v>0</v>
      </c>
      <c r="T45" s="177">
        <f>IF($A$1="BL",0,'Peak Hours'!T45*Peak!Z46*'Peak Hours'!$Y45)</f>
        <v>0</v>
      </c>
      <c r="U45" s="177">
        <f>IF($A$1="BL",0,'Peak Hours'!U45*Peak!AA46*'Peak Hours'!$Y45)</f>
        <v>0</v>
      </c>
      <c r="V45" s="208">
        <f>SUM(B34:U45)</f>
        <v>117550058.87955378</v>
      </c>
      <c r="W45" s="203">
        <f>(IF($A$1="BL",0,Peak!C46*'Peak Hours'!V45*'Peak Hours'!$Y45))*-1</f>
        <v>-5732037.305541114</v>
      </c>
      <c r="X45" s="208">
        <f>SUM(W34:W45)</f>
        <v>-63426607.742694505</v>
      </c>
      <c r="Y45" s="203">
        <f>(IF($A$1="bl",0,Peak!D46*'Peak Hours'!V45*'Peak Hours'!$Y45))*-1</f>
        <v>-74971.06112953143</v>
      </c>
      <c r="Z45" s="208">
        <f>SUM(Y34:Y45)</f>
        <v>-964911.02386395028</v>
      </c>
      <c r="AA45" s="203">
        <f>(Peak!E46*'Peak Hours'!V45*'Peak Hours'!$Y45)*-1</f>
        <v>0</v>
      </c>
      <c r="AB45" s="205">
        <f>SUM(AA34:AA45)</f>
        <v>0</v>
      </c>
      <c r="AC45" s="203">
        <f>(Peak!F46*'Peak Hours'!V45*'Peak Hours'!$Y45)*-1</f>
        <v>0</v>
      </c>
      <c r="AD45" s="205">
        <f>SUM(AC34:AC45)</f>
        <v>0</v>
      </c>
    </row>
    <row r="46" spans="1:30" x14ac:dyDescent="0.2">
      <c r="A46" s="1">
        <f t="shared" si="0"/>
        <v>37635.012000000046</v>
      </c>
      <c r="B46" s="177">
        <f>IF($A$1="BL",0,'Peak Hours'!B46*Peak!H47*'Peak Hours'!$Y46)</f>
        <v>241189.53747336377</v>
      </c>
      <c r="C46" s="177">
        <f>IF($A$1="BL",0,'Peak Hours'!C46*Peak!I47*'Peak Hours'!$Y46)</f>
        <v>233388.93037983731</v>
      </c>
      <c r="D46" s="177">
        <f>IF($A$1="BL",0,'Peak Hours'!D46*Peak!J47*'Peak Hours'!$Y46)</f>
        <v>435826.01363323163</v>
      </c>
      <c r="E46" s="177">
        <f>IF($A$1="BL",0,'Peak Hours'!E46*Peak!K47*'Peak Hours'!$Y46)</f>
        <v>786129.16945831943</v>
      </c>
      <c r="F46" s="177">
        <f>IF($A$1="BL",0,'Peak Hours'!F46*Peak!L47*'Peak Hours'!$Y46)</f>
        <v>717592.50510614889</v>
      </c>
      <c r="G46" s="177">
        <f>IF($A$1="BL",0,'Peak Hours'!G46*Peak!M47*'Peak Hours'!$Y46)</f>
        <v>1367873.1233337538</v>
      </c>
      <c r="H46" s="177">
        <f>IF($A$1="BL",0,'Peak Hours'!H46*Peak!N47*'Peak Hours'!$Y46)</f>
        <v>1285739.9414438405</v>
      </c>
      <c r="I46" s="177">
        <f>IF($A$1="BL",0,'Peak Hours'!I46*Peak!O47*'Peak Hours'!$Y46)</f>
        <v>1274500.7366642426</v>
      </c>
      <c r="J46" s="177">
        <f>IF($A$1="BL",0,'Peak Hours'!J46*Peak!P47*'Peak Hours'!$Y46)</f>
        <v>1238411.1901772872</v>
      </c>
      <c r="K46" s="177">
        <f>IF($A$1="BL",0,'Peak Hours'!K46*Peak!Q47*'Peak Hours'!$Y46)</f>
        <v>0</v>
      </c>
      <c r="L46" s="177">
        <f>IF($A$1="BL",0,'Peak Hours'!L46*Peak!R47*'Peak Hours'!$Y46)</f>
        <v>0</v>
      </c>
      <c r="M46" s="177">
        <f>IF($A$1="BL",0,'Peak Hours'!M46*Peak!S47*'Peak Hours'!$Y46)</f>
        <v>0</v>
      </c>
      <c r="N46" s="177">
        <f>IF($A$1="BL",0,'Peak Hours'!N46*Peak!T47*'Peak Hours'!$Y46)</f>
        <v>0</v>
      </c>
      <c r="O46" s="177">
        <f>IF($A$1="BL",0,'Peak Hours'!O46*Peak!U47*'Peak Hours'!$Y46)</f>
        <v>0</v>
      </c>
      <c r="P46" s="177">
        <f>IF($A$1="BL",0,'Peak Hours'!P46*Peak!V47*'Peak Hours'!$Y46)</f>
        <v>0</v>
      </c>
      <c r="Q46" s="177">
        <f>IF($A$1="BL",0,'Peak Hours'!Q46*Peak!W47*'Peak Hours'!$Y46)</f>
        <v>0</v>
      </c>
      <c r="R46" s="177">
        <f>IF($A$1="BL",0,'Peak Hours'!R46*Peak!X47*'Peak Hours'!$Y46)</f>
        <v>0</v>
      </c>
      <c r="S46" s="177">
        <f>IF($A$1="BL",0,'Peak Hours'!S46*Peak!Y47*'Peak Hours'!$Y46)</f>
        <v>0</v>
      </c>
      <c r="T46" s="177">
        <f>IF($A$1="BL",0,'Peak Hours'!T46*Peak!Z47*'Peak Hours'!$Y46)</f>
        <v>0</v>
      </c>
      <c r="U46" s="177">
        <f>IF($A$1="BL",0,'Peak Hours'!U46*Peak!AA47*'Peak Hours'!$Y46)</f>
        <v>0</v>
      </c>
      <c r="V46" s="207"/>
      <c r="W46" s="203">
        <f>(IF($A$1="BL",0,Peak!C47*'Peak Hours'!V46*'Peak Hours'!$Y46))*-1</f>
        <v>-6465616.2350029349</v>
      </c>
      <c r="X46" s="207"/>
      <c r="Y46" s="203">
        <f>(IF($A$1="bl",0,Peak!D47*'Peak Hours'!V46*'Peak Hours'!$Y46))*-1</f>
        <v>-91784.015764320779</v>
      </c>
      <c r="Z46" s="207"/>
      <c r="AA46" s="203">
        <f>(Peak!E47*'Peak Hours'!V46*'Peak Hours'!$Y46)*-1</f>
        <v>0</v>
      </c>
      <c r="AB46" s="204"/>
      <c r="AC46" s="203">
        <f>(Peak!F47*'Peak Hours'!V46*'Peak Hours'!$Y46)*-1</f>
        <v>0</v>
      </c>
      <c r="AD46" s="204"/>
    </row>
    <row r="47" spans="1:30" x14ac:dyDescent="0.2">
      <c r="A47" s="1">
        <f t="shared" si="0"/>
        <v>37665.429000000047</v>
      </c>
      <c r="B47" s="177">
        <f>IF($A$1="BL",0,'Peak Hours'!B47*Peak!H48*'Peak Hours'!$Y47)</f>
        <v>382840.20961254736</v>
      </c>
      <c r="C47" s="177">
        <f>IF($A$1="BL",0,'Peak Hours'!C47*Peak!I48*'Peak Hours'!$Y47)</f>
        <v>238023.75874110102</v>
      </c>
      <c r="D47" s="177">
        <f>IF($A$1="BL",0,'Peak Hours'!D47*Peak!J48*'Peak Hours'!$Y47)</f>
        <v>421644.80128138559</v>
      </c>
      <c r="E47" s="177">
        <f>IF($A$1="BL",0,'Peak Hours'!E47*Peak!K48*'Peak Hours'!$Y47)</f>
        <v>776568.08516567585</v>
      </c>
      <c r="F47" s="177">
        <f>IF($A$1="BL",0,'Peak Hours'!F47*Peak!L48*'Peak Hours'!$Y47)</f>
        <v>743486.56479868817</v>
      </c>
      <c r="G47" s="177">
        <f>IF($A$1="BL",0,'Peak Hours'!G47*Peak!M48*'Peak Hours'!$Y47)</f>
        <v>1406828.2718199524</v>
      </c>
      <c r="H47" s="177">
        <f>IF($A$1="BL",0,'Peak Hours'!H47*Peak!N48*'Peak Hours'!$Y47)</f>
        <v>1333028.0659380388</v>
      </c>
      <c r="I47" s="177">
        <f>IF($A$1="BL",0,'Peak Hours'!I47*Peak!O48*'Peak Hours'!$Y47)</f>
        <v>1326755.1423085325</v>
      </c>
      <c r="J47" s="177">
        <f>IF($A$1="BL",0,'Peak Hours'!J47*Peak!P48*'Peak Hours'!$Y47)</f>
        <v>1205665.1902314799</v>
      </c>
      <c r="K47" s="177">
        <f>IF($A$1="BL",0,'Peak Hours'!K47*Peak!Q48*'Peak Hours'!$Y47)</f>
        <v>0</v>
      </c>
      <c r="L47" s="177">
        <f>IF($A$1="BL",0,'Peak Hours'!L47*Peak!R48*'Peak Hours'!$Y47)</f>
        <v>0</v>
      </c>
      <c r="M47" s="177">
        <f>IF($A$1="BL",0,'Peak Hours'!M47*Peak!S48*'Peak Hours'!$Y47)</f>
        <v>0</v>
      </c>
      <c r="N47" s="177">
        <f>IF($A$1="BL",0,'Peak Hours'!N47*Peak!T48*'Peak Hours'!$Y47)</f>
        <v>0</v>
      </c>
      <c r="O47" s="177">
        <f>IF($A$1="BL",0,'Peak Hours'!O47*Peak!U48*'Peak Hours'!$Y47)</f>
        <v>0</v>
      </c>
      <c r="P47" s="177">
        <f>IF($A$1="BL",0,'Peak Hours'!P47*Peak!V48*'Peak Hours'!$Y47)</f>
        <v>0</v>
      </c>
      <c r="Q47" s="177">
        <f>IF($A$1="BL",0,'Peak Hours'!Q47*Peak!W48*'Peak Hours'!$Y47)</f>
        <v>0</v>
      </c>
      <c r="R47" s="177">
        <f>IF($A$1="BL",0,'Peak Hours'!R47*Peak!X48*'Peak Hours'!$Y47)</f>
        <v>0</v>
      </c>
      <c r="S47" s="177">
        <f>IF($A$1="BL",0,'Peak Hours'!S47*Peak!Y48*'Peak Hours'!$Y47)</f>
        <v>0</v>
      </c>
      <c r="T47" s="177">
        <f>IF($A$1="BL",0,'Peak Hours'!T47*Peak!Z48*'Peak Hours'!$Y47)</f>
        <v>0</v>
      </c>
      <c r="U47" s="177">
        <f>IF($A$1="BL",0,'Peak Hours'!U47*Peak!AA48*'Peak Hours'!$Y47)</f>
        <v>0</v>
      </c>
      <c r="V47" s="207"/>
      <c r="W47" s="203">
        <f>(IF($A$1="BL",0,Peak!C48*'Peak Hours'!V47*'Peak Hours'!$Y47))*-1</f>
        <v>-5794980.5084999716</v>
      </c>
      <c r="X47" s="207"/>
      <c r="Y47" s="203">
        <f>(IF($A$1="bl",0,Peak!D48*'Peak Hours'!V47*'Peak Hours'!$Y47))*-1</f>
        <v>-91936.989123927982</v>
      </c>
      <c r="Z47" s="207"/>
      <c r="AA47" s="203">
        <f>(Peak!E48*'Peak Hours'!V47*'Peak Hours'!$Y47)*-1</f>
        <v>0</v>
      </c>
      <c r="AB47" s="204"/>
      <c r="AC47" s="203">
        <f>(Peak!F48*'Peak Hours'!V47*'Peak Hours'!$Y47)*-1</f>
        <v>0</v>
      </c>
      <c r="AD47" s="204"/>
    </row>
    <row r="48" spans="1:30" x14ac:dyDescent="0.2">
      <c r="A48" s="1">
        <f t="shared" si="0"/>
        <v>37695.846000000049</v>
      </c>
      <c r="B48" s="177">
        <f>IF($A$1="BL",0,'Peak Hours'!B48*Peak!H49*'Peak Hours'!$Y48)</f>
        <v>265223.89032866305</v>
      </c>
      <c r="C48" s="177">
        <f>IF($A$1="BL",0,'Peak Hours'!C48*Peak!I49*'Peak Hours'!$Y48)</f>
        <v>235128.24696036312</v>
      </c>
      <c r="D48" s="177">
        <f>IF($A$1="BL",0,'Peak Hours'!D48*Peak!J49*'Peak Hours'!$Y48)</f>
        <v>417569.88730695337</v>
      </c>
      <c r="E48" s="177">
        <f>IF($A$1="BL",0,'Peak Hours'!E48*Peak!K49*'Peak Hours'!$Y48)</f>
        <v>803360.71550312429</v>
      </c>
      <c r="F48" s="177">
        <f>IF($A$1="BL",0,'Peak Hours'!F48*Peak!L49*'Peak Hours'!$Y48)</f>
        <v>767366.73261517333</v>
      </c>
      <c r="G48" s="177">
        <f>IF($A$1="BL",0,'Peak Hours'!G48*Peak!M49*'Peak Hours'!$Y48)</f>
        <v>1438913.5253798999</v>
      </c>
      <c r="H48" s="177">
        <f>IF($A$1="BL",0,'Peak Hours'!H48*Peak!N49*'Peak Hours'!$Y48)</f>
        <v>1422638.436965832</v>
      </c>
      <c r="I48" s="177">
        <f>IF($A$1="BL",0,'Peak Hours'!I48*Peak!O49*'Peak Hours'!$Y48)</f>
        <v>1393036.393609392</v>
      </c>
      <c r="J48" s="177">
        <f>IF($A$1="BL",0,'Peak Hours'!J48*Peak!P49*'Peak Hours'!$Y48)</f>
        <v>1212311.9281244981</v>
      </c>
      <c r="K48" s="177">
        <f>IF($A$1="BL",0,'Peak Hours'!K48*Peak!Q49*'Peak Hours'!$Y48)</f>
        <v>0</v>
      </c>
      <c r="L48" s="177">
        <f>IF($A$1="BL",0,'Peak Hours'!L48*Peak!R49*'Peak Hours'!$Y48)</f>
        <v>0</v>
      </c>
      <c r="M48" s="177">
        <f>IF($A$1="BL",0,'Peak Hours'!M48*Peak!S49*'Peak Hours'!$Y48)</f>
        <v>0</v>
      </c>
      <c r="N48" s="177">
        <f>IF($A$1="BL",0,'Peak Hours'!N48*Peak!T49*'Peak Hours'!$Y48)</f>
        <v>0</v>
      </c>
      <c r="O48" s="177">
        <f>IF($A$1="BL",0,'Peak Hours'!O48*Peak!U49*'Peak Hours'!$Y48)</f>
        <v>0</v>
      </c>
      <c r="P48" s="177">
        <f>IF($A$1="BL",0,'Peak Hours'!P48*Peak!V49*'Peak Hours'!$Y48)</f>
        <v>0</v>
      </c>
      <c r="Q48" s="177">
        <f>IF($A$1="BL",0,'Peak Hours'!Q48*Peak!W49*'Peak Hours'!$Y48)</f>
        <v>0</v>
      </c>
      <c r="R48" s="177">
        <f>IF($A$1="BL",0,'Peak Hours'!R48*Peak!X49*'Peak Hours'!$Y48)</f>
        <v>0</v>
      </c>
      <c r="S48" s="177">
        <f>IF($A$1="BL",0,'Peak Hours'!S48*Peak!Y49*'Peak Hours'!$Y48)</f>
        <v>0</v>
      </c>
      <c r="T48" s="177">
        <f>IF($A$1="BL",0,'Peak Hours'!T48*Peak!Z49*'Peak Hours'!$Y48)</f>
        <v>0</v>
      </c>
      <c r="U48" s="177">
        <f>IF($A$1="BL",0,'Peak Hours'!U48*Peak!AA49*'Peak Hours'!$Y48)</f>
        <v>0</v>
      </c>
      <c r="V48" s="207"/>
      <c r="W48" s="203">
        <f>(IF($A$1="BL",0,Peak!C49*'Peak Hours'!V48*'Peak Hours'!$Y48))*-1</f>
        <v>-5856104.8879598845</v>
      </c>
      <c r="X48" s="207"/>
      <c r="Y48" s="203">
        <f>(IF($A$1="bl",0,Peak!D49*'Peak Hours'!V48*'Peak Hours'!$Y48))*-1</f>
        <v>-94653.164203239969</v>
      </c>
      <c r="Z48" s="207"/>
      <c r="AA48" s="203">
        <f>(Peak!E49*'Peak Hours'!V48*'Peak Hours'!$Y48)*-1</f>
        <v>0</v>
      </c>
      <c r="AB48" s="204"/>
      <c r="AC48" s="203">
        <f>(Peak!F49*'Peak Hours'!V48*'Peak Hours'!$Y48)*-1</f>
        <v>0</v>
      </c>
      <c r="AD48" s="204"/>
    </row>
    <row r="49" spans="1:30" x14ac:dyDescent="0.2">
      <c r="A49" s="1">
        <f t="shared" si="0"/>
        <v>37726.26300000005</v>
      </c>
      <c r="B49" s="177">
        <f>IF($A$1="BL",0,'Peak Hours'!B49*Peak!H50*'Peak Hours'!$Y49)</f>
        <v>213240.31213556649</v>
      </c>
      <c r="C49" s="177">
        <f>IF($A$1="BL",0,'Peak Hours'!C49*Peak!I50*'Peak Hours'!$Y49)</f>
        <v>213240.31213556649</v>
      </c>
      <c r="D49" s="177">
        <f>IF($A$1="BL",0,'Peak Hours'!D49*Peak!J50*'Peak Hours'!$Y49)</f>
        <v>423469.26953921403</v>
      </c>
      <c r="E49" s="177">
        <f>IF($A$1="BL",0,'Peak Hours'!E49*Peak!K50*'Peak Hours'!$Y49)</f>
        <v>798808.28972770402</v>
      </c>
      <c r="F49" s="177">
        <f>IF($A$1="BL",0,'Peak Hours'!F49*Peak!L50*'Peak Hours'!$Y49)</f>
        <v>666226.90902331308</v>
      </c>
      <c r="G49" s="177">
        <f>IF($A$1="BL",0,'Peak Hours'!G49*Peak!M50*'Peak Hours'!$Y49)</f>
        <v>1136124.5640321306</v>
      </c>
      <c r="H49" s="177">
        <f>IF($A$1="BL",0,'Peak Hours'!H49*Peak!N50*'Peak Hours'!$Y49)</f>
        <v>0</v>
      </c>
      <c r="I49" s="177">
        <f>IF($A$1="BL",0,'Peak Hours'!I49*Peak!O50*'Peak Hours'!$Y49)</f>
        <v>0</v>
      </c>
      <c r="J49" s="177">
        <f>IF($A$1="BL",0,'Peak Hours'!J49*Peak!P50*'Peak Hours'!$Y49)</f>
        <v>0</v>
      </c>
      <c r="K49" s="177">
        <f>IF($A$1="BL",0,'Peak Hours'!K49*Peak!Q50*'Peak Hours'!$Y49)</f>
        <v>0</v>
      </c>
      <c r="L49" s="177">
        <f>IF($A$1="BL",0,'Peak Hours'!L49*Peak!R50*'Peak Hours'!$Y49)</f>
        <v>0</v>
      </c>
      <c r="M49" s="177">
        <f>IF($A$1="BL",0,'Peak Hours'!M49*Peak!S50*'Peak Hours'!$Y49)</f>
        <v>0</v>
      </c>
      <c r="N49" s="177">
        <f>IF($A$1="BL",0,'Peak Hours'!N49*Peak!T50*'Peak Hours'!$Y49)</f>
        <v>0</v>
      </c>
      <c r="O49" s="177">
        <f>IF($A$1="BL",0,'Peak Hours'!O49*Peak!U50*'Peak Hours'!$Y49)</f>
        <v>0</v>
      </c>
      <c r="P49" s="177">
        <f>IF($A$1="BL",0,'Peak Hours'!P49*Peak!V50*'Peak Hours'!$Y49)</f>
        <v>0</v>
      </c>
      <c r="Q49" s="177">
        <f>IF($A$1="BL",0,'Peak Hours'!Q49*Peak!W50*'Peak Hours'!$Y49)</f>
        <v>0</v>
      </c>
      <c r="R49" s="177">
        <f>IF($A$1="BL",0,'Peak Hours'!R49*Peak!X50*'Peak Hours'!$Y49)</f>
        <v>0</v>
      </c>
      <c r="S49" s="177">
        <f>IF($A$1="BL",0,'Peak Hours'!S49*Peak!Y50*'Peak Hours'!$Y49)</f>
        <v>0</v>
      </c>
      <c r="T49" s="177">
        <f>IF($A$1="BL",0,'Peak Hours'!T49*Peak!Z50*'Peak Hours'!$Y49)</f>
        <v>0</v>
      </c>
      <c r="U49" s="177">
        <f>IF($A$1="BL",0,'Peak Hours'!U49*Peak!AA50*'Peak Hours'!$Y49)</f>
        <v>0</v>
      </c>
      <c r="V49" s="207"/>
      <c r="W49" s="203">
        <f>(IF($A$1="BL",0,Peak!C50*'Peak Hours'!V49*'Peak Hours'!$Y49))*-1</f>
        <v>-2530647.1186766466</v>
      </c>
      <c r="X49" s="207"/>
      <c r="Y49" s="203">
        <f>(IF($A$1="bl",0,Peak!D50*'Peak Hours'!V49*'Peak Hours'!$Y49))*-1</f>
        <v>-43095.872489505469</v>
      </c>
      <c r="Z49" s="207"/>
      <c r="AA49" s="203">
        <f>(Peak!E50*'Peak Hours'!V49*'Peak Hours'!$Y49)*-1</f>
        <v>0</v>
      </c>
      <c r="AB49" s="204"/>
      <c r="AC49" s="203">
        <f>(Peak!F50*'Peak Hours'!V49*'Peak Hours'!$Y49)*-1</f>
        <v>0</v>
      </c>
      <c r="AD49" s="204"/>
    </row>
    <row r="50" spans="1:30" x14ac:dyDescent="0.2">
      <c r="A50" s="1">
        <f t="shared" si="0"/>
        <v>37756.680000000051</v>
      </c>
      <c r="B50" s="177">
        <f>IF($A$1="BL",0,'Peak Hours'!B50*Peak!H51*'Peak Hours'!$Y50)</f>
        <v>262650.15186126326</v>
      </c>
      <c r="C50" s="177">
        <f>IF($A$1="BL",0,'Peak Hours'!C50*Peak!I51*'Peak Hours'!$Y50)</f>
        <v>241708.14947019596</v>
      </c>
      <c r="D50" s="177">
        <f>IF($A$1="BL",0,'Peak Hours'!D50*Peak!J51*'Peak Hours'!$Y50)</f>
        <v>460251.87447945704</v>
      </c>
      <c r="E50" s="177">
        <f>IF($A$1="BL",0,'Peak Hours'!E50*Peak!K51*'Peak Hours'!$Y50)</f>
        <v>859885.40112648625</v>
      </c>
      <c r="F50" s="177">
        <f>IF($A$1="BL",0,'Peak Hours'!F50*Peak!L51*'Peak Hours'!$Y50)</f>
        <v>805553.80557954637</v>
      </c>
      <c r="G50" s="177">
        <f>IF($A$1="BL",0,'Peak Hours'!G50*Peak!M51*'Peak Hours'!$Y50)</f>
        <v>1559927.3980714604</v>
      </c>
      <c r="H50" s="177">
        <f>IF($A$1="BL",0,'Peak Hours'!H50*Peak!N51*'Peak Hours'!$Y50)</f>
        <v>1519094.8710855735</v>
      </c>
      <c r="I50" s="177">
        <f>IF($A$1="BL",0,'Peak Hours'!I50*Peak!O51*'Peak Hours'!$Y50)</f>
        <v>1164886.552267638</v>
      </c>
      <c r="J50" s="177">
        <f>IF($A$1="BL",0,'Peak Hours'!J50*Peak!P51*'Peak Hours'!$Y50)</f>
        <v>0</v>
      </c>
      <c r="K50" s="177">
        <f>IF($A$1="BL",0,'Peak Hours'!K50*Peak!Q51*'Peak Hours'!$Y50)</f>
        <v>0</v>
      </c>
      <c r="L50" s="177">
        <f>IF($A$1="BL",0,'Peak Hours'!L50*Peak!R51*'Peak Hours'!$Y50)</f>
        <v>0</v>
      </c>
      <c r="M50" s="177">
        <f>IF($A$1="BL",0,'Peak Hours'!M50*Peak!S51*'Peak Hours'!$Y50)</f>
        <v>0</v>
      </c>
      <c r="N50" s="177">
        <f>IF($A$1="BL",0,'Peak Hours'!N50*Peak!T51*'Peak Hours'!$Y50)</f>
        <v>0</v>
      </c>
      <c r="O50" s="177">
        <f>IF($A$1="BL",0,'Peak Hours'!O50*Peak!U51*'Peak Hours'!$Y50)</f>
        <v>0</v>
      </c>
      <c r="P50" s="177">
        <f>IF($A$1="BL",0,'Peak Hours'!P50*Peak!V51*'Peak Hours'!$Y50)</f>
        <v>0</v>
      </c>
      <c r="Q50" s="177">
        <f>IF($A$1="BL",0,'Peak Hours'!Q50*Peak!W51*'Peak Hours'!$Y50)</f>
        <v>0</v>
      </c>
      <c r="R50" s="177">
        <f>IF($A$1="BL",0,'Peak Hours'!R50*Peak!X51*'Peak Hours'!$Y50)</f>
        <v>0</v>
      </c>
      <c r="S50" s="177">
        <f>IF($A$1="BL",0,'Peak Hours'!S50*Peak!Y51*'Peak Hours'!$Y50)</f>
        <v>0</v>
      </c>
      <c r="T50" s="177">
        <f>IF($A$1="BL",0,'Peak Hours'!T50*Peak!Z51*'Peak Hours'!$Y50)</f>
        <v>0</v>
      </c>
      <c r="U50" s="177">
        <f>IF($A$1="BL",0,'Peak Hours'!U50*Peak!AA51*'Peak Hours'!$Y50)</f>
        <v>0</v>
      </c>
      <c r="V50" s="207"/>
      <c r="W50" s="203">
        <f>(IF($A$1="BL",0,Peak!C51*'Peak Hours'!V50*'Peak Hours'!$Y50))*-1</f>
        <v>-4796178.8249205025</v>
      </c>
      <c r="X50" s="207"/>
      <c r="Y50" s="203">
        <f>(IF($A$1="bl",0,Peak!D51*'Peak Hours'!V50*'Peak Hours'!$Y50))*-1</f>
        <v>-77701.858098578363</v>
      </c>
      <c r="Z50" s="207"/>
      <c r="AA50" s="203">
        <f>(Peak!E51*'Peak Hours'!V50*'Peak Hours'!$Y50)*-1</f>
        <v>0</v>
      </c>
      <c r="AB50" s="204"/>
      <c r="AC50" s="203">
        <f>(Peak!F51*'Peak Hours'!V50*'Peak Hours'!$Y50)*-1</f>
        <v>0</v>
      </c>
      <c r="AD50" s="204"/>
    </row>
    <row r="51" spans="1:30" x14ac:dyDescent="0.2">
      <c r="A51" s="1">
        <f t="shared" si="0"/>
        <v>37787.097000000053</v>
      </c>
      <c r="B51" s="177">
        <f>IF($A$1="BL",0,'Peak Hours'!B51*Peak!H52*'Peak Hours'!$Y51)</f>
        <v>952186.84968355671</v>
      </c>
      <c r="C51" s="177">
        <f>IF($A$1="BL",0,'Peak Hours'!C51*Peak!I52*'Peak Hours'!$Y51)</f>
        <v>659492.86994150537</v>
      </c>
      <c r="D51" s="177">
        <f>IF($A$1="BL",0,'Peak Hours'!D51*Peak!J52*'Peak Hours'!$Y51)</f>
        <v>731344.63149018213</v>
      </c>
      <c r="E51" s="177">
        <f>IF($A$1="BL",0,'Peak Hours'!E51*Peak!K52*'Peak Hours'!$Y51)</f>
        <v>1044592.5939845965</v>
      </c>
      <c r="F51" s="177">
        <f>IF($A$1="BL",0,'Peak Hours'!F51*Peak!L52*'Peak Hours'!$Y51)</f>
        <v>885789.51382648759</v>
      </c>
      <c r="G51" s="177">
        <f>IF($A$1="BL",0,'Peak Hours'!G51*Peak!M52*'Peak Hours'!$Y51)</f>
        <v>1608900.4441248993</v>
      </c>
      <c r="H51" s="177">
        <f>IF($A$1="BL",0,'Peak Hours'!H51*Peak!N52*'Peak Hours'!$Y51)</f>
        <v>1473457.754162295</v>
      </c>
      <c r="I51" s="177">
        <f>IF($A$1="BL",0,'Peak Hours'!I51*Peak!O52*'Peak Hours'!$Y51)</f>
        <v>1403965.2812769304</v>
      </c>
      <c r="J51" s="177">
        <f>IF($A$1="BL",0,'Peak Hours'!J51*Peak!P52*'Peak Hours'!$Y51)</f>
        <v>1092728.4333698389</v>
      </c>
      <c r="K51" s="177">
        <f>IF($A$1="BL",0,'Peak Hours'!K51*Peak!Q52*'Peak Hours'!$Y51)</f>
        <v>1063003.0995418243</v>
      </c>
      <c r="L51" s="177">
        <f>IF($A$1="BL",0,'Peak Hours'!L51*Peak!R52*'Peak Hours'!$Y51)</f>
        <v>0</v>
      </c>
      <c r="M51" s="177">
        <f>IF($A$1="BL",0,'Peak Hours'!M51*Peak!S52*'Peak Hours'!$Y51)</f>
        <v>0</v>
      </c>
      <c r="N51" s="177">
        <f>IF($A$1="BL",0,'Peak Hours'!N51*Peak!T52*'Peak Hours'!$Y51)</f>
        <v>0</v>
      </c>
      <c r="O51" s="177">
        <f>IF($A$1="BL",0,'Peak Hours'!O51*Peak!U52*'Peak Hours'!$Y51)</f>
        <v>0</v>
      </c>
      <c r="P51" s="177">
        <f>IF($A$1="BL",0,'Peak Hours'!P51*Peak!V52*'Peak Hours'!$Y51)</f>
        <v>0</v>
      </c>
      <c r="Q51" s="177">
        <f>IF($A$1="BL",0,'Peak Hours'!Q51*Peak!W52*'Peak Hours'!$Y51)</f>
        <v>0</v>
      </c>
      <c r="R51" s="177">
        <f>IF($A$1="BL",0,'Peak Hours'!R51*Peak!X52*'Peak Hours'!$Y51)</f>
        <v>0</v>
      </c>
      <c r="S51" s="177">
        <f>IF($A$1="BL",0,'Peak Hours'!S51*Peak!Y52*'Peak Hours'!$Y51)</f>
        <v>0</v>
      </c>
      <c r="T51" s="177">
        <f>IF($A$1="BL",0,'Peak Hours'!T51*Peak!Z52*'Peak Hours'!$Y51)</f>
        <v>0</v>
      </c>
      <c r="U51" s="177">
        <f>IF($A$1="BL",0,'Peak Hours'!U51*Peak!AA52*'Peak Hours'!$Y51)</f>
        <v>0</v>
      </c>
      <c r="V51" s="207"/>
      <c r="W51" s="203">
        <f>(IF($A$1="BL",0,Peak!C52*'Peak Hours'!V51*'Peak Hours'!$Y51))*-1</f>
        <v>-6712581.0900498284</v>
      </c>
      <c r="X51" s="207"/>
      <c r="Y51" s="203">
        <f>(IF($A$1="bl",0,Peak!D52*'Peak Hours'!V51*'Peak Hours'!$Y51))*-1</f>
        <v>-114330.88022909795</v>
      </c>
      <c r="Z51" s="207"/>
      <c r="AA51" s="203">
        <f>(Peak!E52*'Peak Hours'!V51*'Peak Hours'!$Y51)*-1</f>
        <v>0</v>
      </c>
      <c r="AB51" s="204"/>
      <c r="AC51" s="203">
        <f>(Peak!F52*'Peak Hours'!V51*'Peak Hours'!$Y51)*-1</f>
        <v>0</v>
      </c>
      <c r="AD51" s="204"/>
    </row>
    <row r="52" spans="1:30" x14ac:dyDescent="0.2">
      <c r="A52" s="1">
        <f t="shared" si="0"/>
        <v>37817.514000000054</v>
      </c>
      <c r="B52" s="177">
        <f>IF($A$1="BL",0,'Peak Hours'!B52*Peak!H53*'Peak Hours'!$Y52)</f>
        <v>2927036.4064628561</v>
      </c>
      <c r="C52" s="177">
        <f>IF($A$1="BL",0,'Peak Hours'!C52*Peak!I53*'Peak Hours'!$Y52)</f>
        <v>1613247.9994651326</v>
      </c>
      <c r="D52" s="177">
        <f>IF($A$1="BL",0,'Peak Hours'!D52*Peak!J53*'Peak Hours'!$Y52)</f>
        <v>2069337.5377678364</v>
      </c>
      <c r="E52" s="177">
        <f>IF($A$1="BL",0,'Peak Hours'!E52*Peak!K53*'Peak Hours'!$Y52)</f>
        <v>2663077.0957671097</v>
      </c>
      <c r="F52" s="177">
        <f>IF($A$1="BL",0,'Peak Hours'!F52*Peak!L53*'Peak Hours'!$Y52)</f>
        <v>1220413.1069715752</v>
      </c>
      <c r="G52" s="177">
        <f>IF($A$1="BL",0,'Peak Hours'!G52*Peak!M53*'Peak Hours'!$Y52)</f>
        <v>1979842.4353616147</v>
      </c>
      <c r="H52" s="177">
        <f>IF($A$1="BL",0,'Peak Hours'!H52*Peak!N53*'Peak Hours'!$Y52)</f>
        <v>1637547.1847880478</v>
      </c>
      <c r="I52" s="177">
        <f>IF($A$1="BL",0,'Peak Hours'!I52*Peak!O53*'Peak Hours'!$Y52)</f>
        <v>1497226.7768641231</v>
      </c>
      <c r="J52" s="177">
        <f>IF($A$1="BL",0,'Peak Hours'!J52*Peak!P53*'Peak Hours'!$Y52)</f>
        <v>1429081.558330758</v>
      </c>
      <c r="K52" s="177">
        <f>IF($A$1="BL",0,'Peak Hours'!K52*Peak!Q53*'Peak Hours'!$Y52)</f>
        <v>1354251.7998589044</v>
      </c>
      <c r="L52" s="177">
        <f>IF($A$1="BL",0,'Peak Hours'!L52*Peak!R53*'Peak Hours'!$Y52)</f>
        <v>1113523.1950316147</v>
      </c>
      <c r="M52" s="177">
        <f>IF($A$1="BL",0,'Peak Hours'!M52*Peak!S53*'Peak Hours'!$Y52)</f>
        <v>1076010.263633268</v>
      </c>
      <c r="N52" s="177">
        <f>IF($A$1="BL",0,'Peak Hours'!N52*Peak!T53*'Peak Hours'!$Y52)</f>
        <v>0</v>
      </c>
      <c r="O52" s="177">
        <f>IF($A$1="BL",0,'Peak Hours'!O52*Peak!U53*'Peak Hours'!$Y52)</f>
        <v>0</v>
      </c>
      <c r="P52" s="177">
        <f>IF($A$1="BL",0,'Peak Hours'!P52*Peak!V53*'Peak Hours'!$Y52)</f>
        <v>0</v>
      </c>
      <c r="Q52" s="177">
        <f>IF($A$1="BL",0,'Peak Hours'!Q52*Peak!W53*'Peak Hours'!$Y52)</f>
        <v>0</v>
      </c>
      <c r="R52" s="177">
        <f>IF($A$1="BL",0,'Peak Hours'!R52*Peak!X53*'Peak Hours'!$Y52)</f>
        <v>0</v>
      </c>
      <c r="S52" s="177">
        <f>IF($A$1="BL",0,'Peak Hours'!S52*Peak!Y53*'Peak Hours'!$Y52)</f>
        <v>0</v>
      </c>
      <c r="T52" s="177">
        <f>IF($A$1="BL",0,'Peak Hours'!T52*Peak!Z53*'Peak Hours'!$Y52)</f>
        <v>0</v>
      </c>
      <c r="U52" s="177">
        <f>IF($A$1="BL",0,'Peak Hours'!U52*Peak!AA53*'Peak Hours'!$Y52)</f>
        <v>0</v>
      </c>
      <c r="V52" s="207"/>
      <c r="W52" s="203">
        <f>(IF($A$1="BL",0,Peak!C53*'Peak Hours'!V52*'Peak Hours'!$Y52))*-1</f>
        <v>-8750212.2047752738</v>
      </c>
      <c r="X52" s="207"/>
      <c r="Y52" s="203">
        <f>(IF($A$1="bl",0,Peak!D53*'Peak Hours'!V52*'Peak Hours'!$Y52))*-1</f>
        <v>-149758.79529496076</v>
      </c>
      <c r="Z52" s="207"/>
      <c r="AA52" s="203">
        <f>(Peak!E53*'Peak Hours'!V52*'Peak Hours'!$Y52)*-1</f>
        <v>0</v>
      </c>
      <c r="AB52" s="204"/>
      <c r="AC52" s="203">
        <f>(Peak!F53*'Peak Hours'!V52*'Peak Hours'!$Y52)*-1</f>
        <v>0</v>
      </c>
      <c r="AD52" s="204"/>
    </row>
    <row r="53" spans="1:30" x14ac:dyDescent="0.2">
      <c r="A53" s="1">
        <f t="shared" si="0"/>
        <v>37847.931000000055</v>
      </c>
      <c r="B53" s="177">
        <f>IF($A$1="BL",0,'Peak Hours'!B53*Peak!H54*'Peak Hours'!$Y53)</f>
        <v>6073706.3589014113</v>
      </c>
      <c r="C53" s="177">
        <f>IF($A$1="BL",0,'Peak Hours'!C53*Peak!I54*'Peak Hours'!$Y53)</f>
        <v>2798023.3837400954</v>
      </c>
      <c r="D53" s="177">
        <f>IF($A$1="BL",0,'Peak Hours'!D53*Peak!J54*'Peak Hours'!$Y53)</f>
        <v>3253524.6142500867</v>
      </c>
      <c r="E53" s="177">
        <f>IF($A$1="BL",0,'Peak Hours'!E53*Peak!K54*'Peak Hours'!$Y53)</f>
        <v>3377904.6757623628</v>
      </c>
      <c r="F53" s="177">
        <f>IF($A$1="BL",0,'Peak Hours'!F53*Peak!L54*'Peak Hours'!$Y53)</f>
        <v>2045204.9699957373</v>
      </c>
      <c r="G53" s="177">
        <f>IF($A$1="BL",0,'Peak Hours'!G53*Peak!M54*'Peak Hours'!$Y53)</f>
        <v>2481026.2345289616</v>
      </c>
      <c r="H53" s="177">
        <f>IF($A$1="BL",0,'Peak Hours'!H53*Peak!N54*'Peak Hours'!$Y53)</f>
        <v>2134577.782352841</v>
      </c>
      <c r="I53" s="177">
        <f>IF($A$1="BL",0,'Peak Hours'!I53*Peak!O54*'Peak Hours'!$Y53)</f>
        <v>1983277.0701639804</v>
      </c>
      <c r="J53" s="177">
        <f>IF($A$1="BL",0,'Peak Hours'!J53*Peak!P54*'Peak Hours'!$Y53)</f>
        <v>1753734.7993813083</v>
      </c>
      <c r="K53" s="177">
        <f>IF($A$1="BL",0,'Peak Hours'!K53*Peak!Q54*'Peak Hours'!$Y53)</f>
        <v>1306616.9040381785</v>
      </c>
      <c r="L53" s="177">
        <f>IF($A$1="BL",0,'Peak Hours'!L53*Peak!R54*'Peak Hours'!$Y53)</f>
        <v>1120264.8315986581</v>
      </c>
      <c r="M53" s="177">
        <f>IF($A$1="BL",0,'Peak Hours'!M53*Peak!S54*'Peak Hours'!$Y53)</f>
        <v>1028087.4778118131</v>
      </c>
      <c r="N53" s="177">
        <f>IF($A$1="BL",0,'Peak Hours'!N53*Peak!T54*'Peak Hours'!$Y53)</f>
        <v>0</v>
      </c>
      <c r="O53" s="177">
        <f>IF($A$1="BL",0,'Peak Hours'!O53*Peak!U54*'Peak Hours'!$Y53)</f>
        <v>0</v>
      </c>
      <c r="P53" s="177">
        <f>IF($A$1="BL",0,'Peak Hours'!P53*Peak!V54*'Peak Hours'!$Y53)</f>
        <v>0</v>
      </c>
      <c r="Q53" s="177">
        <f>IF($A$1="BL",0,'Peak Hours'!Q53*Peak!W54*'Peak Hours'!$Y53)</f>
        <v>0</v>
      </c>
      <c r="R53" s="177">
        <f>IF($A$1="BL",0,'Peak Hours'!R53*Peak!X54*'Peak Hours'!$Y53)</f>
        <v>0</v>
      </c>
      <c r="S53" s="177">
        <f>IF($A$1="BL",0,'Peak Hours'!S53*Peak!Y54*'Peak Hours'!$Y53)</f>
        <v>0</v>
      </c>
      <c r="T53" s="177">
        <f>IF($A$1="BL",0,'Peak Hours'!T53*Peak!Z54*'Peak Hours'!$Y53)</f>
        <v>0</v>
      </c>
      <c r="U53" s="177">
        <f>IF($A$1="BL",0,'Peak Hours'!U53*Peak!AA54*'Peak Hours'!$Y53)</f>
        <v>0</v>
      </c>
      <c r="V53" s="207"/>
      <c r="W53" s="203">
        <f>(IF($A$1="BL",0,Peak!C54*'Peak Hours'!V53*'Peak Hours'!$Y53))*-1</f>
        <v>-8296497.4978610007</v>
      </c>
      <c r="X53" s="207"/>
      <c r="Y53" s="203">
        <f>(IF($A$1="bl",0,Peak!D54*'Peak Hours'!V53*'Peak Hours'!$Y53))*-1</f>
        <v>-150008.39328711902</v>
      </c>
      <c r="Z53" s="207"/>
      <c r="AA53" s="203">
        <f>(Peak!E54*'Peak Hours'!V53*'Peak Hours'!$Y53)*-1</f>
        <v>0</v>
      </c>
      <c r="AB53" s="204"/>
      <c r="AC53" s="203">
        <f>(Peak!F54*'Peak Hours'!V53*'Peak Hours'!$Y53)*-1</f>
        <v>0</v>
      </c>
      <c r="AD53" s="204"/>
    </row>
    <row r="54" spans="1:30" x14ac:dyDescent="0.2">
      <c r="A54" s="1">
        <f t="shared" si="0"/>
        <v>37878.348000000056</v>
      </c>
      <c r="B54" s="177">
        <f>IF($A$1="BL",0,'Peak Hours'!B54*Peak!H55*'Peak Hours'!$Y54)</f>
        <v>634562.70901338826</v>
      </c>
      <c r="C54" s="177">
        <f>IF($A$1="BL",0,'Peak Hours'!C54*Peak!I55*'Peak Hours'!$Y54)</f>
        <v>390104.44697682344</v>
      </c>
      <c r="D54" s="177">
        <f>IF($A$1="BL",0,'Peak Hours'!D54*Peak!J55*'Peak Hours'!$Y54)</f>
        <v>664928.9574869792</v>
      </c>
      <c r="E54" s="177">
        <f>IF($A$1="BL",0,'Peak Hours'!E54*Peak!K55*'Peak Hours'!$Y54)</f>
        <v>905797.66650558729</v>
      </c>
      <c r="F54" s="177">
        <f>IF($A$1="BL",0,'Peak Hours'!F54*Peak!L55*'Peak Hours'!$Y54)</f>
        <v>725704.04325361399</v>
      </c>
      <c r="G54" s="177">
        <f>IF($A$1="BL",0,'Peak Hours'!G54*Peak!M55*'Peak Hours'!$Y54)</f>
        <v>1413541.5897943594</v>
      </c>
      <c r="H54" s="177">
        <f>IF($A$1="BL",0,'Peak Hours'!H54*Peak!N55*'Peak Hours'!$Y54)</f>
        <v>1317864.5484313911</v>
      </c>
      <c r="I54" s="177">
        <f>IF($A$1="BL",0,'Peak Hours'!I54*Peak!O55*'Peak Hours'!$Y54)</f>
        <v>1216389.3174495406</v>
      </c>
      <c r="J54" s="177">
        <f>IF($A$1="BL",0,'Peak Hours'!J54*Peak!P55*'Peak Hours'!$Y54)</f>
        <v>1206153.7136497071</v>
      </c>
      <c r="K54" s="177">
        <f>IF($A$1="BL",0,'Peak Hours'!K54*Peak!Q55*'Peak Hours'!$Y54)</f>
        <v>1120509.6665791436</v>
      </c>
      <c r="L54" s="177">
        <f>IF($A$1="BL",0,'Peak Hours'!L54*Peak!R55*'Peak Hours'!$Y54)</f>
        <v>1003423.7732684062</v>
      </c>
      <c r="M54" s="177">
        <f>IF($A$1="BL",0,'Peak Hours'!M54*Peak!S55*'Peak Hours'!$Y54)</f>
        <v>0</v>
      </c>
      <c r="N54" s="177">
        <f>IF($A$1="BL",0,'Peak Hours'!N54*Peak!T55*'Peak Hours'!$Y54)</f>
        <v>0</v>
      </c>
      <c r="O54" s="177">
        <f>IF($A$1="BL",0,'Peak Hours'!O54*Peak!U55*'Peak Hours'!$Y54)</f>
        <v>0</v>
      </c>
      <c r="P54" s="177">
        <f>IF($A$1="BL",0,'Peak Hours'!P54*Peak!V55*'Peak Hours'!$Y54)</f>
        <v>0</v>
      </c>
      <c r="Q54" s="177">
        <f>IF($A$1="BL",0,'Peak Hours'!Q54*Peak!W55*'Peak Hours'!$Y54)</f>
        <v>0</v>
      </c>
      <c r="R54" s="177">
        <f>IF($A$1="BL",0,'Peak Hours'!R54*Peak!X55*'Peak Hours'!$Y54)</f>
        <v>0</v>
      </c>
      <c r="S54" s="177">
        <f>IF($A$1="BL",0,'Peak Hours'!S54*Peak!Y55*'Peak Hours'!$Y54)</f>
        <v>0</v>
      </c>
      <c r="T54" s="177">
        <f>IF($A$1="BL",0,'Peak Hours'!T54*Peak!Z55*'Peak Hours'!$Y54)</f>
        <v>0</v>
      </c>
      <c r="U54" s="177">
        <f>IF($A$1="BL",0,'Peak Hours'!U54*Peak!AA55*'Peak Hours'!$Y54)</f>
        <v>0</v>
      </c>
      <c r="V54" s="207"/>
      <c r="W54" s="203">
        <f>(IF($A$1="BL",0,Peak!C55*'Peak Hours'!V54*'Peak Hours'!$Y54))*-1</f>
        <v>-7174183.7364388751</v>
      </c>
      <c r="X54" s="207"/>
      <c r="Y54" s="203">
        <f>(IF($A$1="bl",0,Peak!D55*'Peak Hours'!V54*'Peak Hours'!$Y54))*-1</f>
        <v>-130368.611593989</v>
      </c>
      <c r="Z54" s="207"/>
      <c r="AA54" s="203">
        <f>(Peak!E55*'Peak Hours'!V54*'Peak Hours'!$Y54)*-1</f>
        <v>0</v>
      </c>
      <c r="AB54" s="204"/>
      <c r="AC54" s="203">
        <f>(Peak!F55*'Peak Hours'!V54*'Peak Hours'!$Y54)*-1</f>
        <v>0</v>
      </c>
      <c r="AD54" s="204"/>
    </row>
    <row r="55" spans="1:30" x14ac:dyDescent="0.2">
      <c r="A55" s="1">
        <f t="shared" si="0"/>
        <v>37908.765000000058</v>
      </c>
      <c r="B55" s="177">
        <f>IF($A$1="BL",0,'Peak Hours'!B55*Peak!H56*'Peak Hours'!$Y55)</f>
        <v>220943.60624431557</v>
      </c>
      <c r="C55" s="177">
        <f>IF($A$1="BL",0,'Peak Hours'!C55*Peak!I56*'Peak Hours'!$Y55)</f>
        <v>213454.33374175735</v>
      </c>
      <c r="D55" s="177">
        <f>IF($A$1="BL",0,'Peak Hours'!D55*Peak!J56*'Peak Hours'!$Y55)</f>
        <v>418956.99096196663</v>
      </c>
      <c r="E55" s="177">
        <f>IF($A$1="BL",0,'Peak Hours'!E55*Peak!K56*'Peak Hours'!$Y55)</f>
        <v>790973.63403899374</v>
      </c>
      <c r="F55" s="177">
        <f>IF($A$1="BL",0,'Peak Hours'!F55*Peak!L56*'Peak Hours'!$Y55)</f>
        <v>769364.34849230153</v>
      </c>
      <c r="G55" s="177">
        <f>IF($A$1="BL",0,'Peak Hours'!G55*Peak!M56*'Peak Hours'!$Y55)</f>
        <v>1534679.0670403657</v>
      </c>
      <c r="H55" s="177">
        <f>IF($A$1="BL",0,'Peak Hours'!H55*Peak!N56*'Peak Hours'!$Y55)</f>
        <v>1383438.5881744167</v>
      </c>
      <c r="I55" s="177">
        <f>IF($A$1="BL",0,'Peak Hours'!I55*Peak!O56*'Peak Hours'!$Y55)</f>
        <v>1170622.2678361705</v>
      </c>
      <c r="J55" s="177">
        <f>IF($A$1="BL",0,'Peak Hours'!J55*Peak!P56*'Peak Hours'!$Y55)</f>
        <v>1149439.1269282114</v>
      </c>
      <c r="K55" s="177">
        <f>IF($A$1="BL",0,'Peak Hours'!K55*Peak!Q56*'Peak Hours'!$Y55)</f>
        <v>1081576.7483560743</v>
      </c>
      <c r="L55" s="177">
        <f>IF($A$1="BL",0,'Peak Hours'!L55*Peak!R56*'Peak Hours'!$Y55)</f>
        <v>0</v>
      </c>
      <c r="M55" s="177">
        <f>IF($A$1="BL",0,'Peak Hours'!M55*Peak!S56*'Peak Hours'!$Y55)</f>
        <v>0</v>
      </c>
      <c r="N55" s="177">
        <f>IF($A$1="BL",0,'Peak Hours'!N55*Peak!T56*'Peak Hours'!$Y55)</f>
        <v>0</v>
      </c>
      <c r="O55" s="177">
        <f>IF($A$1="BL",0,'Peak Hours'!O55*Peak!U56*'Peak Hours'!$Y55)</f>
        <v>0</v>
      </c>
      <c r="P55" s="177">
        <f>IF($A$1="BL",0,'Peak Hours'!P55*Peak!V56*'Peak Hours'!$Y55)</f>
        <v>0</v>
      </c>
      <c r="Q55" s="177">
        <f>IF($A$1="BL",0,'Peak Hours'!Q55*Peak!W56*'Peak Hours'!$Y55)</f>
        <v>0</v>
      </c>
      <c r="R55" s="177">
        <f>IF($A$1="BL",0,'Peak Hours'!R55*Peak!X56*'Peak Hours'!$Y55)</f>
        <v>0</v>
      </c>
      <c r="S55" s="177">
        <f>IF($A$1="BL",0,'Peak Hours'!S55*Peak!Y56*'Peak Hours'!$Y55)</f>
        <v>0</v>
      </c>
      <c r="T55" s="177">
        <f>IF($A$1="BL",0,'Peak Hours'!T55*Peak!Z56*'Peak Hours'!$Y55)</f>
        <v>0</v>
      </c>
      <c r="U55" s="177">
        <f>IF($A$1="BL",0,'Peak Hours'!U55*Peak!AA56*'Peak Hours'!$Y55)</f>
        <v>0</v>
      </c>
      <c r="V55" s="207"/>
      <c r="W55" s="203">
        <f>(IF($A$1="BL",0,Peak!C56*'Peak Hours'!V55*'Peak Hours'!$Y55))*-1</f>
        <v>-6886038.0962593975</v>
      </c>
      <c r="X55" s="207"/>
      <c r="Y55" s="203">
        <f>(IF($A$1="bl",0,Peak!D56*'Peak Hours'!V55*'Peak Hours'!$Y55))*-1</f>
        <v>-113174.44026487067</v>
      </c>
      <c r="Z55" s="207"/>
      <c r="AA55" s="203">
        <f>(Peak!E56*'Peak Hours'!V55*'Peak Hours'!$Y55)*-1</f>
        <v>0</v>
      </c>
      <c r="AB55" s="204"/>
      <c r="AC55" s="203">
        <f>(Peak!F56*'Peak Hours'!V55*'Peak Hours'!$Y55)*-1</f>
        <v>0</v>
      </c>
      <c r="AD55" s="204"/>
    </row>
    <row r="56" spans="1:30" x14ac:dyDescent="0.2">
      <c r="A56" s="1">
        <f t="shared" si="0"/>
        <v>37939.182000000059</v>
      </c>
      <c r="B56" s="177">
        <f>IF($A$1="BL",0,'Peak Hours'!B56*Peak!H57*'Peak Hours'!$Y56)</f>
        <v>253359.07047936902</v>
      </c>
      <c r="C56" s="177">
        <f>IF($A$1="BL",0,'Peak Hours'!C56*Peak!I57*'Peak Hours'!$Y56)</f>
        <v>247401.61122573123</v>
      </c>
      <c r="D56" s="177">
        <f>IF($A$1="BL",0,'Peak Hours'!D56*Peak!J57*'Peak Hours'!$Y56)</f>
        <v>478153.35585542279</v>
      </c>
      <c r="E56" s="177">
        <f>IF($A$1="BL",0,'Peak Hours'!E56*Peak!K57*'Peak Hours'!$Y56)</f>
        <v>896134.97542922862</v>
      </c>
      <c r="F56" s="177">
        <f>IF($A$1="BL",0,'Peak Hours'!F56*Peak!L57*'Peak Hours'!$Y56)</f>
        <v>872506.98155209911</v>
      </c>
      <c r="G56" s="177">
        <f>IF($A$1="BL",0,'Peak Hours'!G56*Peak!M57*'Peak Hours'!$Y56)</f>
        <v>1730566.6394602456</v>
      </c>
      <c r="H56" s="177">
        <f>IF($A$1="BL",0,'Peak Hours'!H56*Peak!N57*'Peak Hours'!$Y56)</f>
        <v>1536521.3400993349</v>
      </c>
      <c r="I56" s="177">
        <f>IF($A$1="BL",0,'Peak Hours'!I56*Peak!O57*'Peak Hours'!$Y56)</f>
        <v>1212322.1355157727</v>
      </c>
      <c r="J56" s="177">
        <f>IF($A$1="BL",0,'Peak Hours'!J56*Peak!P57*'Peak Hours'!$Y56)</f>
        <v>0</v>
      </c>
      <c r="K56" s="177">
        <f>IF($A$1="BL",0,'Peak Hours'!K56*Peak!Q57*'Peak Hours'!$Y56)</f>
        <v>0</v>
      </c>
      <c r="L56" s="177">
        <f>IF($A$1="BL",0,'Peak Hours'!L56*Peak!R57*'Peak Hours'!$Y56)</f>
        <v>0</v>
      </c>
      <c r="M56" s="177">
        <f>IF($A$1="BL",0,'Peak Hours'!M56*Peak!S57*'Peak Hours'!$Y56)</f>
        <v>0</v>
      </c>
      <c r="N56" s="177">
        <f>IF($A$1="BL",0,'Peak Hours'!N56*Peak!T57*'Peak Hours'!$Y56)</f>
        <v>0</v>
      </c>
      <c r="O56" s="177">
        <f>IF($A$1="BL",0,'Peak Hours'!O56*Peak!U57*'Peak Hours'!$Y56)</f>
        <v>0</v>
      </c>
      <c r="P56" s="177">
        <f>IF($A$1="BL",0,'Peak Hours'!P56*Peak!V57*'Peak Hours'!$Y56)</f>
        <v>0</v>
      </c>
      <c r="Q56" s="177">
        <f>IF($A$1="BL",0,'Peak Hours'!Q56*Peak!W57*'Peak Hours'!$Y56)</f>
        <v>0</v>
      </c>
      <c r="R56" s="177">
        <f>IF($A$1="BL",0,'Peak Hours'!R56*Peak!X57*'Peak Hours'!$Y56)</f>
        <v>0</v>
      </c>
      <c r="S56" s="177">
        <f>IF($A$1="BL",0,'Peak Hours'!S56*Peak!Y57*'Peak Hours'!$Y56)</f>
        <v>0</v>
      </c>
      <c r="T56" s="177">
        <f>IF($A$1="BL",0,'Peak Hours'!T56*Peak!Z57*'Peak Hours'!$Y56)</f>
        <v>0</v>
      </c>
      <c r="U56" s="177">
        <f>IF($A$1="BL",0,'Peak Hours'!U56*Peak!AA57*'Peak Hours'!$Y56)</f>
        <v>0</v>
      </c>
      <c r="V56" s="207"/>
      <c r="W56" s="203">
        <f>(IF($A$1="BL",0,Peak!C57*'Peak Hours'!V56*'Peak Hours'!$Y56))*-1</f>
        <v>-5220363.4848129684</v>
      </c>
      <c r="X56" s="207"/>
      <c r="Y56" s="203">
        <f>(IF($A$1="bl",0,Peak!D57*'Peak Hours'!V56*'Peak Hours'!$Y56))*-1</f>
        <v>-78482.121460600698</v>
      </c>
      <c r="Z56" s="207"/>
      <c r="AA56" s="203">
        <f>(Peak!E57*'Peak Hours'!V56*'Peak Hours'!$Y56)*-1</f>
        <v>0</v>
      </c>
      <c r="AB56" s="204"/>
      <c r="AC56" s="203">
        <f>(Peak!F57*'Peak Hours'!V56*'Peak Hours'!$Y56)*-1</f>
        <v>0</v>
      </c>
      <c r="AD56" s="204"/>
    </row>
    <row r="57" spans="1:30" x14ac:dyDescent="0.2">
      <c r="A57" s="1">
        <f t="shared" si="0"/>
        <v>37969.59900000006</v>
      </c>
      <c r="B57" s="177">
        <f>IF($A$1="BL",0,'Peak Hours'!B57*Peak!H58*'Peak Hours'!$Y57)</f>
        <v>281833.59988974151</v>
      </c>
      <c r="C57" s="177">
        <f>IF($A$1="BL",0,'Peak Hours'!C57*Peak!I58*'Peak Hours'!$Y57)</f>
        <v>245334.55420067109</v>
      </c>
      <c r="D57" s="177">
        <f>IF($A$1="BL",0,'Peak Hours'!D57*Peak!J58*'Peak Hours'!$Y57)</f>
        <v>476679.09078030137</v>
      </c>
      <c r="E57" s="177">
        <f>IF($A$1="BL",0,'Peak Hours'!E57*Peak!K58*'Peak Hours'!$Y57)</f>
        <v>907327.4980154183</v>
      </c>
      <c r="F57" s="177">
        <f>IF($A$1="BL",0,'Peak Hours'!F57*Peak!L58*'Peak Hours'!$Y57)</f>
        <v>850015.50412836671</v>
      </c>
      <c r="G57" s="177">
        <f>IF($A$1="BL",0,'Peak Hours'!G57*Peak!M58*'Peak Hours'!$Y57)</f>
        <v>1678171.1387196577</v>
      </c>
      <c r="H57" s="177">
        <f>IF($A$1="BL",0,'Peak Hours'!H57*Peak!N58*'Peak Hours'!$Y57)</f>
        <v>1629615.4504003567</v>
      </c>
      <c r="I57" s="177">
        <f>IF($A$1="BL",0,'Peak Hours'!I57*Peak!O58*'Peak Hours'!$Y57)</f>
        <v>1342255.2507425495</v>
      </c>
      <c r="J57" s="177">
        <f>IF($A$1="BL",0,'Peak Hours'!J57*Peak!P58*'Peak Hours'!$Y57)</f>
        <v>0</v>
      </c>
      <c r="K57" s="177">
        <f>IF($A$1="BL",0,'Peak Hours'!K57*Peak!Q58*'Peak Hours'!$Y57)</f>
        <v>0</v>
      </c>
      <c r="L57" s="177">
        <f>IF($A$1="BL",0,'Peak Hours'!L57*Peak!R58*'Peak Hours'!$Y57)</f>
        <v>0</v>
      </c>
      <c r="M57" s="177">
        <f>IF($A$1="BL",0,'Peak Hours'!M57*Peak!S58*'Peak Hours'!$Y57)</f>
        <v>0</v>
      </c>
      <c r="N57" s="177">
        <f>IF($A$1="BL",0,'Peak Hours'!N57*Peak!T58*'Peak Hours'!$Y57)</f>
        <v>0</v>
      </c>
      <c r="O57" s="177">
        <f>IF($A$1="BL",0,'Peak Hours'!O57*Peak!U58*'Peak Hours'!$Y57)</f>
        <v>0</v>
      </c>
      <c r="P57" s="177">
        <f>IF($A$1="BL",0,'Peak Hours'!P57*Peak!V58*'Peak Hours'!$Y57)</f>
        <v>0</v>
      </c>
      <c r="Q57" s="177">
        <f>IF($A$1="BL",0,'Peak Hours'!Q57*Peak!W58*'Peak Hours'!$Y57)</f>
        <v>0</v>
      </c>
      <c r="R57" s="177">
        <f>IF($A$1="BL",0,'Peak Hours'!R57*Peak!X58*'Peak Hours'!$Y57)</f>
        <v>0</v>
      </c>
      <c r="S57" s="177">
        <f>IF($A$1="BL",0,'Peak Hours'!S57*Peak!Y58*'Peak Hours'!$Y57)</f>
        <v>0</v>
      </c>
      <c r="T57" s="177">
        <f>IF($A$1="BL",0,'Peak Hours'!T57*Peak!Z58*'Peak Hours'!$Y57)</f>
        <v>0</v>
      </c>
      <c r="U57" s="177">
        <f>IF($A$1="BL",0,'Peak Hours'!U57*Peak!AA58*'Peak Hours'!$Y57)</f>
        <v>0</v>
      </c>
      <c r="V57" s="208">
        <f>SUM(B46:U57)</f>
        <v>128518742.12984456</v>
      </c>
      <c r="W57" s="203">
        <f>(IF($A$1="BL",0,Peak!C58*'Peak Hours'!V57*'Peak Hours'!$Y57))*-1</f>
        <v>-5496399.1011291882</v>
      </c>
      <c r="X57" s="208">
        <f>SUM(W46:W57)</f>
        <v>-73979802.786386475</v>
      </c>
      <c r="Y57" s="203">
        <f>(IF($A$1="bl",0,Peak!D58*'Peak Hours'!V57*'Peak Hours'!$Y57))*-1</f>
        <v>-76484.303693189504</v>
      </c>
      <c r="Z57" s="208">
        <f>SUM(Y46:Y57)</f>
        <v>-1211779.4455034002</v>
      </c>
      <c r="AA57" s="203">
        <f>(Peak!E58*'Peak Hours'!V57*'Peak Hours'!$Y57)*-1</f>
        <v>0</v>
      </c>
      <c r="AB57" s="205">
        <f>SUM(AA46:AA57)</f>
        <v>0</v>
      </c>
      <c r="AC57" s="203">
        <f>(Peak!F58*'Peak Hours'!V57*'Peak Hours'!$Y57)*-1</f>
        <v>0</v>
      </c>
      <c r="AD57" s="205">
        <f>SUM(AC46:AC57)</f>
        <v>0</v>
      </c>
    </row>
    <row r="58" spans="1:30" x14ac:dyDescent="0.2">
      <c r="A58" s="1">
        <f t="shared" si="0"/>
        <v>38000.016000000061</v>
      </c>
      <c r="B58" s="177">
        <f>IF($A$1="BL",0,'Peak Hours'!B58*Peak!H59*'Peak Hours'!$Y58)</f>
        <v>253885.27471404197</v>
      </c>
      <c r="C58" s="177">
        <f>IF($A$1="BL",0,'Peak Hours'!C58*Peak!I59*'Peak Hours'!$Y58)</f>
        <v>243268.62712617524</v>
      </c>
      <c r="D58" s="177">
        <f>IF($A$1="BL",0,'Peak Hours'!D58*Peak!J59*'Peak Hours'!$Y58)</f>
        <v>478714.38314224203</v>
      </c>
      <c r="E58" s="177">
        <f>IF($A$1="BL",0,'Peak Hours'!E58*Peak!K59*'Peak Hours'!$Y58)</f>
        <v>955917.57918916771</v>
      </c>
      <c r="F58" s="177">
        <f>IF($A$1="BL",0,'Peak Hours'!F58*Peak!L59*'Peak Hours'!$Y58)</f>
        <v>941024.02291937754</v>
      </c>
      <c r="G58" s="177">
        <f>IF($A$1="BL",0,'Peak Hours'!G58*Peak!M59*'Peak Hours'!$Y58)</f>
        <v>1730272.8611377224</v>
      </c>
      <c r="H58" s="177">
        <f>IF($A$1="BL",0,'Peak Hours'!H58*Peak!N59*'Peak Hours'!$Y58)</f>
        <v>1317625.4696536728</v>
      </c>
      <c r="I58" s="177">
        <f>IF($A$1="BL",0,'Peak Hours'!I58*Peak!O59*'Peak Hours'!$Y58)</f>
        <v>0</v>
      </c>
      <c r="J58" s="177">
        <f>IF($A$1="BL",0,'Peak Hours'!J58*Peak!P59*'Peak Hours'!$Y58)</f>
        <v>0</v>
      </c>
      <c r="K58" s="177">
        <f>IF($A$1="BL",0,'Peak Hours'!K58*Peak!Q59*'Peak Hours'!$Y58)</f>
        <v>0</v>
      </c>
      <c r="L58" s="177">
        <f>IF($A$1="BL",0,'Peak Hours'!L58*Peak!R59*'Peak Hours'!$Y58)</f>
        <v>0</v>
      </c>
      <c r="M58" s="177">
        <f>IF($A$1="BL",0,'Peak Hours'!M58*Peak!S59*'Peak Hours'!$Y58)</f>
        <v>0</v>
      </c>
      <c r="N58" s="177">
        <f>IF($A$1="BL",0,'Peak Hours'!N58*Peak!T59*'Peak Hours'!$Y58)</f>
        <v>0</v>
      </c>
      <c r="O58" s="177">
        <f>IF($A$1="BL",0,'Peak Hours'!O58*Peak!U59*'Peak Hours'!$Y58)</f>
        <v>0</v>
      </c>
      <c r="P58" s="177">
        <f>IF($A$1="BL",0,'Peak Hours'!P58*Peak!V59*'Peak Hours'!$Y58)</f>
        <v>0</v>
      </c>
      <c r="Q58" s="177">
        <f>IF($A$1="BL",0,'Peak Hours'!Q58*Peak!W59*'Peak Hours'!$Y58)</f>
        <v>0</v>
      </c>
      <c r="R58" s="177">
        <f>IF($A$1="BL",0,'Peak Hours'!R58*Peak!X59*'Peak Hours'!$Y58)</f>
        <v>0</v>
      </c>
      <c r="S58" s="177">
        <f>IF($A$1="BL",0,'Peak Hours'!S58*Peak!Y59*'Peak Hours'!$Y58)</f>
        <v>0</v>
      </c>
      <c r="T58" s="177">
        <f>IF($A$1="BL",0,'Peak Hours'!T58*Peak!Z59*'Peak Hours'!$Y58)</f>
        <v>0</v>
      </c>
      <c r="U58" s="177">
        <f>IF($A$1="BL",0,'Peak Hours'!U58*Peak!AA59*'Peak Hours'!$Y58)</f>
        <v>0</v>
      </c>
      <c r="V58" s="207"/>
      <c r="W58" s="203">
        <f>(IF($A$1="BL",0,Peak!C59*'Peak Hours'!V58*'Peak Hours'!$Y58))*-1</f>
        <v>-4140304.2520968602</v>
      </c>
      <c r="X58" s="207"/>
      <c r="Y58" s="203">
        <f>(IF($A$1="bl",0,Peak!D59*'Peak Hours'!V58*'Peak Hours'!$Y58))*-1</f>
        <v>-59586.938080971893</v>
      </c>
      <c r="Z58" s="207"/>
      <c r="AA58" s="203">
        <f>(Peak!E59*'Peak Hours'!V58*'Peak Hours'!$Y58)*-1</f>
        <v>0</v>
      </c>
      <c r="AB58" s="204"/>
      <c r="AC58" s="203">
        <f>(Peak!F59*'Peak Hours'!V58*'Peak Hours'!$Y58)*-1</f>
        <v>0</v>
      </c>
      <c r="AD58" s="204"/>
    </row>
    <row r="59" spans="1:30" x14ac:dyDescent="0.2">
      <c r="A59" s="1">
        <f t="shared" si="0"/>
        <v>38030.433000000063</v>
      </c>
      <c r="B59" s="177">
        <f>IF($A$1="BL",0,'Peak Hours'!B59*Peak!H60*'Peak Hours'!$Y59)</f>
        <v>254595.15218257275</v>
      </c>
      <c r="C59" s="177">
        <f>IF($A$1="BL",0,'Peak Hours'!C59*Peak!I60*'Peak Hours'!$Y59)</f>
        <v>235498.01228872273</v>
      </c>
      <c r="D59" s="177">
        <f>IF($A$1="BL",0,'Peak Hours'!D59*Peak!J60*'Peak Hours'!$Y59)</f>
        <v>457262.76852439169</v>
      </c>
      <c r="E59" s="177">
        <f>IF($A$1="BL",0,'Peak Hours'!E59*Peak!K60*'Peak Hours'!$Y59)</f>
        <v>859433.8017143039</v>
      </c>
      <c r="F59" s="177">
        <f>IF($A$1="BL",0,'Peak Hours'!F59*Peak!L60*'Peak Hours'!$Y59)</f>
        <v>846132.42532664782</v>
      </c>
      <c r="G59" s="177">
        <f>IF($A$1="BL",0,'Peak Hours'!G59*Peak!M60*'Peak Hours'!$Y59)</f>
        <v>1672987.2001959779</v>
      </c>
      <c r="H59" s="177">
        <f>IF($A$1="BL",0,'Peak Hours'!H59*Peak!N60*'Peak Hours'!$Y59)</f>
        <v>1375850.2813577228</v>
      </c>
      <c r="I59" s="177">
        <f>IF($A$1="BL",0,'Peak Hours'!I59*Peak!O60*'Peak Hours'!$Y59)</f>
        <v>1142839.8113785074</v>
      </c>
      <c r="J59" s="177">
        <f>IF($A$1="BL",0,'Peak Hours'!J59*Peak!P60*'Peak Hours'!$Y59)</f>
        <v>0</v>
      </c>
      <c r="K59" s="177">
        <f>IF($A$1="BL",0,'Peak Hours'!K59*Peak!Q60*'Peak Hours'!$Y59)</f>
        <v>0</v>
      </c>
      <c r="L59" s="177">
        <f>IF($A$1="BL",0,'Peak Hours'!L59*Peak!R60*'Peak Hours'!$Y59)</f>
        <v>0</v>
      </c>
      <c r="M59" s="177">
        <f>IF($A$1="BL",0,'Peak Hours'!M59*Peak!S60*'Peak Hours'!$Y59)</f>
        <v>0</v>
      </c>
      <c r="N59" s="177">
        <f>IF($A$1="BL",0,'Peak Hours'!N59*Peak!T60*'Peak Hours'!$Y59)</f>
        <v>0</v>
      </c>
      <c r="O59" s="177">
        <f>IF($A$1="BL",0,'Peak Hours'!O59*Peak!U60*'Peak Hours'!$Y59)</f>
        <v>0</v>
      </c>
      <c r="P59" s="177">
        <f>IF($A$1="BL",0,'Peak Hours'!P59*Peak!V60*'Peak Hours'!$Y59)</f>
        <v>0</v>
      </c>
      <c r="Q59" s="177">
        <f>IF($A$1="BL",0,'Peak Hours'!Q59*Peak!W60*'Peak Hours'!$Y59)</f>
        <v>0</v>
      </c>
      <c r="R59" s="177">
        <f>IF($A$1="BL",0,'Peak Hours'!R59*Peak!X60*'Peak Hours'!$Y59)</f>
        <v>0</v>
      </c>
      <c r="S59" s="177">
        <f>IF($A$1="BL",0,'Peak Hours'!S59*Peak!Y60*'Peak Hours'!$Y59)</f>
        <v>0</v>
      </c>
      <c r="T59" s="177">
        <f>IF($A$1="BL",0,'Peak Hours'!T59*Peak!Z60*'Peak Hours'!$Y59)</f>
        <v>0</v>
      </c>
      <c r="U59" s="177">
        <f>IF($A$1="BL",0,'Peak Hours'!U59*Peak!AA60*'Peak Hours'!$Y59)</f>
        <v>0</v>
      </c>
      <c r="V59" s="207"/>
      <c r="W59" s="203">
        <f>(IF($A$1="BL",0,Peak!C60*'Peak Hours'!V59*'Peak Hours'!$Y59))*-1</f>
        <v>-4771102.8862499166</v>
      </c>
      <c r="X59" s="207"/>
      <c r="Y59" s="203">
        <f>(IF($A$1="bl",0,Peak!D60*'Peak Hours'!V59*'Peak Hours'!$Y59))*-1</f>
        <v>-76739.463828565946</v>
      </c>
      <c r="Z59" s="207"/>
      <c r="AA59" s="203">
        <f>(Peak!E60*'Peak Hours'!V59*'Peak Hours'!$Y59)*-1</f>
        <v>0</v>
      </c>
      <c r="AB59" s="204"/>
      <c r="AC59" s="203">
        <f>(Peak!F60*'Peak Hours'!V59*'Peak Hours'!$Y59)*-1</f>
        <v>0</v>
      </c>
      <c r="AD59" s="204"/>
    </row>
    <row r="60" spans="1:30" x14ac:dyDescent="0.2">
      <c r="A60" s="1">
        <f t="shared" si="0"/>
        <v>38060.850000000064</v>
      </c>
      <c r="B60" s="177">
        <f>IF($A$1="BL",0,'Peak Hours'!B60*Peak!H61*'Peak Hours'!$Y60)</f>
        <v>344494.56958389166</v>
      </c>
      <c r="C60" s="177">
        <f>IF($A$1="BL",0,'Peak Hours'!C60*Peak!I61*'Peak Hours'!$Y60)</f>
        <v>251527.25769116502</v>
      </c>
      <c r="D60" s="177">
        <f>IF($A$1="BL",0,'Peak Hours'!D60*Peak!J61*'Peak Hours'!$Y60)</f>
        <v>420299.97182982333</v>
      </c>
      <c r="E60" s="177">
        <f>IF($A$1="BL",0,'Peak Hours'!E60*Peak!K61*'Peak Hours'!$Y60)</f>
        <v>806614.93844321161</v>
      </c>
      <c r="F60" s="177">
        <f>IF($A$1="BL",0,'Peak Hours'!F60*Peak!L61*'Peak Hours'!$Y60)</f>
        <v>758775.73613019672</v>
      </c>
      <c r="G60" s="177">
        <f>IF($A$1="BL",0,'Peak Hours'!G60*Peak!M61*'Peak Hours'!$Y60)</f>
        <v>1440764.5410051229</v>
      </c>
      <c r="H60" s="177">
        <f>IF($A$1="BL",0,'Peak Hours'!H60*Peak!N61*'Peak Hours'!$Y60)</f>
        <v>1429815.0380569994</v>
      </c>
      <c r="I60" s="177">
        <f>IF($A$1="BL",0,'Peak Hours'!I60*Peak!O61*'Peak Hours'!$Y60)</f>
        <v>1298932.3895322639</v>
      </c>
      <c r="J60" s="177">
        <f>IF($A$1="BL",0,'Peak Hours'!J60*Peak!P61*'Peak Hours'!$Y60)</f>
        <v>0</v>
      </c>
      <c r="K60" s="177">
        <f>IF($A$1="BL",0,'Peak Hours'!K60*Peak!Q61*'Peak Hours'!$Y60)</f>
        <v>0</v>
      </c>
      <c r="L60" s="177">
        <f>IF($A$1="BL",0,'Peak Hours'!L60*Peak!R61*'Peak Hours'!$Y60)</f>
        <v>0</v>
      </c>
      <c r="M60" s="177">
        <f>IF($A$1="BL",0,'Peak Hours'!M60*Peak!S61*'Peak Hours'!$Y60)</f>
        <v>0</v>
      </c>
      <c r="N60" s="177">
        <f>IF($A$1="BL",0,'Peak Hours'!N60*Peak!T61*'Peak Hours'!$Y60)</f>
        <v>0</v>
      </c>
      <c r="O60" s="177">
        <f>IF($A$1="BL",0,'Peak Hours'!O60*Peak!U61*'Peak Hours'!$Y60)</f>
        <v>0</v>
      </c>
      <c r="P60" s="177">
        <f>IF($A$1="BL",0,'Peak Hours'!P60*Peak!V61*'Peak Hours'!$Y60)</f>
        <v>0</v>
      </c>
      <c r="Q60" s="177">
        <f>IF($A$1="BL",0,'Peak Hours'!Q60*Peak!W61*'Peak Hours'!$Y60)</f>
        <v>0</v>
      </c>
      <c r="R60" s="177">
        <f>IF($A$1="BL",0,'Peak Hours'!R60*Peak!X61*'Peak Hours'!$Y60)</f>
        <v>0</v>
      </c>
      <c r="S60" s="177">
        <f>IF($A$1="BL",0,'Peak Hours'!S60*Peak!Y61*'Peak Hours'!$Y60)</f>
        <v>0</v>
      </c>
      <c r="T60" s="177">
        <f>IF($A$1="BL",0,'Peak Hours'!T60*Peak!Z61*'Peak Hours'!$Y60)</f>
        <v>0</v>
      </c>
      <c r="U60" s="177">
        <f>IF($A$1="BL",0,'Peak Hours'!U60*Peak!AA61*'Peak Hours'!$Y60)</f>
        <v>0</v>
      </c>
      <c r="V60" s="207"/>
      <c r="W60" s="203">
        <f>(IF($A$1="BL",0,Peak!C61*'Peak Hours'!V60*'Peak Hours'!$Y60))*-1</f>
        <v>-4821427.5944751939</v>
      </c>
      <c r="X60" s="207"/>
      <c r="Y60" s="203">
        <f>(IF($A$1="bl",0,Peak!D61*'Peak Hours'!V60*'Peak Hours'!$Y60))*-1</f>
        <v>-79006.645093007261</v>
      </c>
      <c r="Z60" s="207"/>
      <c r="AA60" s="203">
        <f>(Peak!E61*'Peak Hours'!V60*'Peak Hours'!$Y60)*-1</f>
        <v>0</v>
      </c>
      <c r="AB60" s="204"/>
      <c r="AC60" s="203">
        <f>(Peak!F61*'Peak Hours'!V60*'Peak Hours'!$Y60)*-1</f>
        <v>0</v>
      </c>
      <c r="AD60" s="204"/>
    </row>
    <row r="61" spans="1:30" x14ac:dyDescent="0.2">
      <c r="A61" s="1">
        <f t="shared" si="0"/>
        <v>38091.267000000065</v>
      </c>
      <c r="B61" s="177">
        <f>IF($A$1="BL",0,'Peak Hours'!B61*Peak!H62*'Peak Hours'!$Y61)</f>
        <v>214635.2348607461</v>
      </c>
      <c r="C61" s="177">
        <f>IF($A$1="BL",0,'Peak Hours'!C61*Peak!I62*'Peak Hours'!$Y61)</f>
        <v>188374.65417257947</v>
      </c>
      <c r="D61" s="177">
        <f>IF($A$1="BL",0,'Peak Hours'!D61*Peak!J62*'Peak Hours'!$Y61)</f>
        <v>364508.4639028302</v>
      </c>
      <c r="E61" s="177">
        <f>IF($A$1="BL",0,'Peak Hours'!E61*Peak!K62*'Peak Hours'!$Y61)</f>
        <v>681733.15511004743</v>
      </c>
      <c r="F61" s="177">
        <f>IF($A$1="BL",0,'Peak Hours'!F61*Peak!L62*'Peak Hours'!$Y61)</f>
        <v>658313.14649931865</v>
      </c>
      <c r="G61" s="177">
        <f>IF($A$1="BL",0,'Peak Hours'!G61*Peak!M62*'Peak Hours'!$Y61)</f>
        <v>1313464.6236537856</v>
      </c>
      <c r="H61" s="177">
        <f>IF($A$1="BL",0,'Peak Hours'!H61*Peak!N62*'Peak Hours'!$Y61)</f>
        <v>1104386.7423067235</v>
      </c>
      <c r="I61" s="177">
        <f>IF($A$1="BL",0,'Peak Hours'!I61*Peak!O62*'Peak Hours'!$Y61)</f>
        <v>0</v>
      </c>
      <c r="J61" s="177">
        <f>IF($A$1="BL",0,'Peak Hours'!J61*Peak!P62*'Peak Hours'!$Y61)</f>
        <v>0</v>
      </c>
      <c r="K61" s="177">
        <f>IF($A$1="BL",0,'Peak Hours'!K61*Peak!Q62*'Peak Hours'!$Y61)</f>
        <v>0</v>
      </c>
      <c r="L61" s="177">
        <f>IF($A$1="BL",0,'Peak Hours'!L61*Peak!R62*'Peak Hours'!$Y61)</f>
        <v>0</v>
      </c>
      <c r="M61" s="177">
        <f>IF($A$1="BL",0,'Peak Hours'!M61*Peak!S62*'Peak Hours'!$Y61)</f>
        <v>0</v>
      </c>
      <c r="N61" s="177">
        <f>IF($A$1="BL",0,'Peak Hours'!N61*Peak!T62*'Peak Hours'!$Y61)</f>
        <v>0</v>
      </c>
      <c r="O61" s="177">
        <f>IF($A$1="BL",0,'Peak Hours'!O61*Peak!U62*'Peak Hours'!$Y61)</f>
        <v>0</v>
      </c>
      <c r="P61" s="177">
        <f>IF($A$1="BL",0,'Peak Hours'!P61*Peak!V62*'Peak Hours'!$Y61)</f>
        <v>0</v>
      </c>
      <c r="Q61" s="177">
        <f>IF($A$1="BL",0,'Peak Hours'!Q61*Peak!W62*'Peak Hours'!$Y61)</f>
        <v>0</v>
      </c>
      <c r="R61" s="177">
        <f>IF($A$1="BL",0,'Peak Hours'!R61*Peak!X62*'Peak Hours'!$Y61)</f>
        <v>0</v>
      </c>
      <c r="S61" s="177">
        <f>IF($A$1="BL",0,'Peak Hours'!S61*Peak!Y62*'Peak Hours'!$Y61)</f>
        <v>0</v>
      </c>
      <c r="T61" s="177">
        <f>IF($A$1="BL",0,'Peak Hours'!T61*Peak!Z62*'Peak Hours'!$Y61)</f>
        <v>0</v>
      </c>
      <c r="U61" s="177">
        <f>IF($A$1="BL",0,'Peak Hours'!U61*Peak!AA62*'Peak Hours'!$Y61)</f>
        <v>0</v>
      </c>
      <c r="V61" s="207"/>
      <c r="W61" s="203">
        <f>(IF($A$1="BL",0,Peak!C62*'Peak Hours'!V61*'Peak Hours'!$Y61))*-1</f>
        <v>-3565140.1226753201</v>
      </c>
      <c r="X61" s="207"/>
      <c r="Y61" s="203">
        <f>(IF($A$1="bl",0,Peak!D62*'Peak Hours'!V61*'Peak Hours'!$Y61))*-1</f>
        <v>-61552.028871533614</v>
      </c>
      <c r="Z61" s="207"/>
      <c r="AA61" s="203">
        <f>(Peak!E62*'Peak Hours'!V61*'Peak Hours'!$Y61)*-1</f>
        <v>0</v>
      </c>
      <c r="AB61" s="204"/>
      <c r="AC61" s="203">
        <f>(Peak!F62*'Peak Hours'!V61*'Peak Hours'!$Y61)*-1</f>
        <v>0</v>
      </c>
      <c r="AD61" s="204"/>
    </row>
    <row r="62" spans="1:30" x14ac:dyDescent="0.2">
      <c r="A62" s="1">
        <f t="shared" si="0"/>
        <v>38121.684000000067</v>
      </c>
      <c r="B62" s="177">
        <f>IF($A$1="BL",0,'Peak Hours'!B62*Peak!H63*'Peak Hours'!$Y62)</f>
        <v>241999.56691922754</v>
      </c>
      <c r="C62" s="177">
        <f>IF($A$1="BL",0,'Peak Hours'!C62*Peak!I63*'Peak Hours'!$Y62)</f>
        <v>229498.04645003073</v>
      </c>
      <c r="D62" s="177">
        <f>IF($A$1="BL",0,'Peak Hours'!D62*Peak!J63*'Peak Hours'!$Y62)</f>
        <v>435334.08961853239</v>
      </c>
      <c r="E62" s="177">
        <f>IF($A$1="BL",0,'Peak Hours'!E62*Peak!K63*'Peak Hours'!$Y62)</f>
        <v>862783.67742687452</v>
      </c>
      <c r="F62" s="177">
        <f>IF($A$1="BL",0,'Peak Hours'!F62*Peak!L63*'Peak Hours'!$Y62)</f>
        <v>770486.70038555085</v>
      </c>
      <c r="G62" s="177">
        <f>IF($A$1="BL",0,'Peak Hours'!G62*Peak!M63*'Peak Hours'!$Y62)</f>
        <v>1372399.3056762663</v>
      </c>
      <c r="H62" s="177">
        <f>IF($A$1="BL",0,'Peak Hours'!H62*Peak!N63*'Peak Hours'!$Y62)</f>
        <v>1197268.712033364</v>
      </c>
      <c r="I62" s="177">
        <f>IF($A$1="BL",0,'Peak Hours'!I62*Peak!O63*'Peak Hours'!$Y62)</f>
        <v>0</v>
      </c>
      <c r="J62" s="177">
        <f>IF($A$1="BL",0,'Peak Hours'!J62*Peak!P63*'Peak Hours'!$Y62)</f>
        <v>0</v>
      </c>
      <c r="K62" s="177">
        <f>IF($A$1="BL",0,'Peak Hours'!K62*Peak!Q63*'Peak Hours'!$Y62)</f>
        <v>0</v>
      </c>
      <c r="L62" s="177">
        <f>IF($A$1="BL",0,'Peak Hours'!L62*Peak!R63*'Peak Hours'!$Y62)</f>
        <v>0</v>
      </c>
      <c r="M62" s="177">
        <f>IF($A$1="BL",0,'Peak Hours'!M62*Peak!S63*'Peak Hours'!$Y62)</f>
        <v>0</v>
      </c>
      <c r="N62" s="177">
        <f>IF($A$1="BL",0,'Peak Hours'!N62*Peak!T63*'Peak Hours'!$Y62)</f>
        <v>0</v>
      </c>
      <c r="O62" s="177">
        <f>IF($A$1="BL",0,'Peak Hours'!O62*Peak!U63*'Peak Hours'!$Y62)</f>
        <v>0</v>
      </c>
      <c r="P62" s="177">
        <f>IF($A$1="BL",0,'Peak Hours'!P62*Peak!V63*'Peak Hours'!$Y62)</f>
        <v>0</v>
      </c>
      <c r="Q62" s="177">
        <f>IF($A$1="BL",0,'Peak Hours'!Q62*Peak!W63*'Peak Hours'!$Y62)</f>
        <v>0</v>
      </c>
      <c r="R62" s="177">
        <f>IF($A$1="BL",0,'Peak Hours'!R62*Peak!X63*'Peak Hours'!$Y62)</f>
        <v>0</v>
      </c>
      <c r="S62" s="177">
        <f>IF($A$1="BL",0,'Peak Hours'!S62*Peak!Y63*'Peak Hours'!$Y62)</f>
        <v>0</v>
      </c>
      <c r="T62" s="177">
        <f>IF($A$1="BL",0,'Peak Hours'!T62*Peak!Z63*'Peak Hours'!$Y62)</f>
        <v>0</v>
      </c>
      <c r="U62" s="177">
        <f>IF($A$1="BL",0,'Peak Hours'!U62*Peak!AA63*'Peak Hours'!$Y62)</f>
        <v>0</v>
      </c>
      <c r="V62" s="207"/>
      <c r="W62" s="203">
        <f>(IF($A$1="BL",0,Peak!C63*'Peak Hours'!V62*'Peak Hours'!$Y62))*-1</f>
        <v>-3753771.8751978236</v>
      </c>
      <c r="X62" s="207"/>
      <c r="Y62" s="203">
        <f>(IF($A$1="bl",0,Peak!D63*'Peak Hours'!V62*'Peak Hours'!$Y62))*-1</f>
        <v>-61654.615586319509</v>
      </c>
      <c r="Z62" s="207"/>
      <c r="AA62" s="203">
        <f>(Peak!E63*'Peak Hours'!V62*'Peak Hours'!$Y62)*-1</f>
        <v>0</v>
      </c>
      <c r="AB62" s="204"/>
      <c r="AC62" s="203">
        <f>(Peak!F63*'Peak Hours'!V62*'Peak Hours'!$Y62)*-1</f>
        <v>0</v>
      </c>
      <c r="AD62" s="204"/>
    </row>
    <row r="63" spans="1:30" x14ac:dyDescent="0.2">
      <c r="A63" s="1">
        <f t="shared" si="0"/>
        <v>38152.101000000068</v>
      </c>
      <c r="B63" s="177">
        <f>IF($A$1="BL",0,'Peak Hours'!B63*Peak!H64*'Peak Hours'!$Y63)</f>
        <v>1123144.8679531028</v>
      </c>
      <c r="C63" s="177">
        <f>IF($A$1="BL",0,'Peak Hours'!C63*Peak!I64*'Peak Hours'!$Y63)</f>
        <v>728585.61825503793</v>
      </c>
      <c r="D63" s="177">
        <f>IF($A$1="BL",0,'Peak Hours'!D63*Peak!J64*'Peak Hours'!$Y63)</f>
        <v>1072472.6962740824</v>
      </c>
      <c r="E63" s="177">
        <f>IF($A$1="BL",0,'Peak Hours'!E63*Peak!K64*'Peak Hours'!$Y63)</f>
        <v>915756.61859466706</v>
      </c>
      <c r="F63" s="177">
        <f>IF($A$1="BL",0,'Peak Hours'!F63*Peak!L64*'Peak Hours'!$Y63)</f>
        <v>785114.80889932625</v>
      </c>
      <c r="G63" s="177">
        <f>IF($A$1="BL",0,'Peak Hours'!G63*Peak!M64*'Peak Hours'!$Y63)</f>
        <v>1404836.5556602883</v>
      </c>
      <c r="H63" s="177">
        <f>IF($A$1="BL",0,'Peak Hours'!H63*Peak!N64*'Peak Hours'!$Y63)</f>
        <v>1287530.9206597598</v>
      </c>
      <c r="I63" s="177">
        <f>IF($A$1="BL",0,'Peak Hours'!I63*Peak!O64*'Peak Hours'!$Y63)</f>
        <v>1242794.2032570548</v>
      </c>
      <c r="J63" s="177">
        <f>IF($A$1="BL",0,'Peak Hours'!J63*Peak!P64*'Peak Hours'!$Y63)</f>
        <v>0</v>
      </c>
      <c r="K63" s="177">
        <f>IF($A$1="BL",0,'Peak Hours'!K63*Peak!Q64*'Peak Hours'!$Y63)</f>
        <v>0</v>
      </c>
      <c r="L63" s="177">
        <f>IF($A$1="BL",0,'Peak Hours'!L63*Peak!R64*'Peak Hours'!$Y63)</f>
        <v>0</v>
      </c>
      <c r="M63" s="177">
        <f>IF($A$1="BL",0,'Peak Hours'!M63*Peak!S64*'Peak Hours'!$Y63)</f>
        <v>0</v>
      </c>
      <c r="N63" s="177">
        <f>IF($A$1="BL",0,'Peak Hours'!N63*Peak!T64*'Peak Hours'!$Y63)</f>
        <v>0</v>
      </c>
      <c r="O63" s="177">
        <f>IF($A$1="BL",0,'Peak Hours'!O63*Peak!U64*'Peak Hours'!$Y63)</f>
        <v>0</v>
      </c>
      <c r="P63" s="177">
        <f>IF($A$1="BL",0,'Peak Hours'!P63*Peak!V64*'Peak Hours'!$Y63)</f>
        <v>0</v>
      </c>
      <c r="Q63" s="177">
        <f>IF($A$1="BL",0,'Peak Hours'!Q63*Peak!W64*'Peak Hours'!$Y63)</f>
        <v>0</v>
      </c>
      <c r="R63" s="177">
        <f>IF($A$1="BL",0,'Peak Hours'!R63*Peak!X64*'Peak Hours'!$Y63)</f>
        <v>0</v>
      </c>
      <c r="S63" s="177">
        <f>IF($A$1="BL",0,'Peak Hours'!S63*Peak!Y64*'Peak Hours'!$Y63)</f>
        <v>0</v>
      </c>
      <c r="T63" s="177">
        <f>IF($A$1="BL",0,'Peak Hours'!T63*Peak!Z64*'Peak Hours'!$Y63)</f>
        <v>0</v>
      </c>
      <c r="U63" s="177">
        <f>IF($A$1="BL",0,'Peak Hours'!U63*Peak!AA64*'Peak Hours'!$Y63)</f>
        <v>0</v>
      </c>
      <c r="V63" s="207"/>
      <c r="W63" s="203">
        <f>(IF($A$1="BL",0,Peak!C64*'Peak Hours'!V63*'Peak Hours'!$Y63))*-1</f>
        <v>-4676335.7015533801</v>
      </c>
      <c r="X63" s="207"/>
      <c r="Y63" s="203">
        <f>(IF($A$1="bl",0,Peak!D64*'Peak Hours'!V63*'Peak Hours'!$Y63))*-1</f>
        <v>-80749.782956091643</v>
      </c>
      <c r="Z63" s="207"/>
      <c r="AA63" s="203">
        <f>(Peak!E64*'Peak Hours'!V63*'Peak Hours'!$Y63)*-1</f>
        <v>0</v>
      </c>
      <c r="AB63" s="204"/>
      <c r="AC63" s="203">
        <f>(Peak!F64*'Peak Hours'!V63*'Peak Hours'!$Y63)*-1</f>
        <v>0</v>
      </c>
      <c r="AD63" s="204"/>
    </row>
    <row r="64" spans="1:30" x14ac:dyDescent="0.2">
      <c r="A64" s="1">
        <f t="shared" si="0"/>
        <v>38182.518000000069</v>
      </c>
      <c r="B64" s="177">
        <f>IF($A$1="BL",0,'Peak Hours'!B64*Peak!H65*'Peak Hours'!$Y64)</f>
        <v>1637063.0094847698</v>
      </c>
      <c r="C64" s="177">
        <f>IF($A$1="BL",0,'Peak Hours'!C64*Peak!I65*'Peak Hours'!$Y64)</f>
        <v>951633.97319895984</v>
      </c>
      <c r="D64" s="177">
        <f>IF($A$1="BL",0,'Peak Hours'!D64*Peak!J65*'Peak Hours'!$Y64)</f>
        <v>1365391.4229884329</v>
      </c>
      <c r="E64" s="177">
        <f>IF($A$1="BL",0,'Peak Hours'!E64*Peak!K65*'Peak Hours'!$Y64)</f>
        <v>1577752.7066465707</v>
      </c>
      <c r="F64" s="177">
        <f>IF($A$1="BL",0,'Peak Hours'!F64*Peak!L65*'Peak Hours'!$Y64)</f>
        <v>1160319.6875409759</v>
      </c>
      <c r="G64" s="177">
        <f>IF($A$1="BL",0,'Peak Hours'!G64*Peak!M65*'Peak Hours'!$Y64)</f>
        <v>2039238.5193220205</v>
      </c>
      <c r="H64" s="177">
        <f>IF($A$1="BL",0,'Peak Hours'!H64*Peak!N65*'Peak Hours'!$Y64)</f>
        <v>1874854.2226016177</v>
      </c>
      <c r="I64" s="177">
        <f>IF($A$1="BL",0,'Peak Hours'!I64*Peak!O65*'Peak Hours'!$Y64)</f>
        <v>1823334.5116871111</v>
      </c>
      <c r="J64" s="177">
        <f>IF($A$1="BL",0,'Peak Hours'!J64*Peak!P65*'Peak Hours'!$Y64)</f>
        <v>1365346.09086213</v>
      </c>
      <c r="K64" s="177">
        <f>IF($A$1="BL",0,'Peak Hours'!K64*Peak!Q65*'Peak Hours'!$Y64)</f>
        <v>1217994.3875918696</v>
      </c>
      <c r="L64" s="177">
        <f>IF($A$1="BL",0,'Peak Hours'!L64*Peak!R65*'Peak Hours'!$Y64)</f>
        <v>1141471.6813957016</v>
      </c>
      <c r="M64" s="177">
        <f>IF($A$1="BL",0,'Peak Hours'!M64*Peak!S65*'Peak Hours'!$Y64)</f>
        <v>0</v>
      </c>
      <c r="N64" s="177">
        <f>IF($A$1="BL",0,'Peak Hours'!N64*Peak!T65*'Peak Hours'!$Y64)</f>
        <v>0</v>
      </c>
      <c r="O64" s="177">
        <f>IF($A$1="BL",0,'Peak Hours'!O64*Peak!U65*'Peak Hours'!$Y64)</f>
        <v>0</v>
      </c>
      <c r="P64" s="177">
        <f>IF($A$1="BL",0,'Peak Hours'!P64*Peak!V65*'Peak Hours'!$Y64)</f>
        <v>0</v>
      </c>
      <c r="Q64" s="177">
        <f>IF($A$1="BL",0,'Peak Hours'!Q64*Peak!W65*'Peak Hours'!$Y64)</f>
        <v>0</v>
      </c>
      <c r="R64" s="177">
        <f>IF($A$1="BL",0,'Peak Hours'!R64*Peak!X65*'Peak Hours'!$Y64)</f>
        <v>0</v>
      </c>
      <c r="S64" s="177">
        <f>IF($A$1="BL",0,'Peak Hours'!S64*Peak!Y65*'Peak Hours'!$Y64)</f>
        <v>0</v>
      </c>
      <c r="T64" s="177">
        <f>IF($A$1="BL",0,'Peak Hours'!T64*Peak!Z65*'Peak Hours'!$Y64)</f>
        <v>0</v>
      </c>
      <c r="U64" s="177">
        <f>IF($A$1="BL",0,'Peak Hours'!U64*Peak!AA65*'Peak Hours'!$Y64)</f>
        <v>0</v>
      </c>
      <c r="V64" s="207"/>
      <c r="W64" s="203">
        <f>(IF($A$1="BL",0,Peak!C65*'Peak Hours'!V64*'Peak Hours'!$Y64))*-1</f>
        <v>-7769228.6180871027</v>
      </c>
      <c r="X64" s="207"/>
      <c r="Y64" s="203">
        <f>(IF($A$1="bl",0,Peak!D65*'Peak Hours'!V64*'Peak Hours'!$Y64))*-1</f>
        <v>-134807.27654614189</v>
      </c>
      <c r="Z64" s="207"/>
      <c r="AA64" s="203">
        <f>(Peak!E65*'Peak Hours'!V64*'Peak Hours'!$Y64)*-1</f>
        <v>0</v>
      </c>
      <c r="AB64" s="204"/>
      <c r="AC64" s="203">
        <f>(Peak!F65*'Peak Hours'!V64*'Peak Hours'!$Y64)*-1</f>
        <v>0</v>
      </c>
      <c r="AD64" s="204"/>
    </row>
    <row r="65" spans="1:30" x14ac:dyDescent="0.2">
      <c r="A65" s="1">
        <f t="shared" si="0"/>
        <v>38212.93500000007</v>
      </c>
      <c r="B65" s="177">
        <f>IF($A$1="BL",0,'Peak Hours'!B65*Peak!H66*'Peak Hours'!$Y65)</f>
        <v>5546672.7336789854</v>
      </c>
      <c r="C65" s="177">
        <f>IF($A$1="BL",0,'Peak Hours'!C65*Peak!I66*'Peak Hours'!$Y65)</f>
        <v>2716067.56293156</v>
      </c>
      <c r="D65" s="177">
        <f>IF($A$1="BL",0,'Peak Hours'!D65*Peak!J66*'Peak Hours'!$Y65)</f>
        <v>3275386.5568854325</v>
      </c>
      <c r="E65" s="177">
        <f>IF($A$1="BL",0,'Peak Hours'!E65*Peak!K66*'Peak Hours'!$Y65)</f>
        <v>3522692.862000417</v>
      </c>
      <c r="F65" s="177">
        <f>IF($A$1="BL",0,'Peak Hours'!F65*Peak!L66*'Peak Hours'!$Y65)</f>
        <v>2114437.5484744073</v>
      </c>
      <c r="G65" s="177">
        <f>IF($A$1="BL",0,'Peak Hours'!G65*Peak!M66*'Peak Hours'!$Y65)</f>
        <v>1748569.4690096877</v>
      </c>
      <c r="H65" s="177">
        <f>IF($A$1="BL",0,'Peak Hours'!H65*Peak!N66*'Peak Hours'!$Y65)</f>
        <v>1392818.2279415035</v>
      </c>
      <c r="I65" s="177">
        <f>IF($A$1="BL",0,'Peak Hours'!I65*Peak!O66*'Peak Hours'!$Y65)</f>
        <v>1239094.9139087489</v>
      </c>
      <c r="J65" s="177">
        <f>IF($A$1="BL",0,'Peak Hours'!J65*Peak!P66*'Peak Hours'!$Y65)</f>
        <v>1194070.4932086817</v>
      </c>
      <c r="K65" s="177">
        <f>IF($A$1="BL",0,'Peak Hours'!K65*Peak!Q66*'Peak Hours'!$Y65)</f>
        <v>0</v>
      </c>
      <c r="L65" s="177">
        <f>IF($A$1="BL",0,'Peak Hours'!L65*Peak!R66*'Peak Hours'!$Y65)</f>
        <v>0</v>
      </c>
      <c r="M65" s="177">
        <f>IF($A$1="BL",0,'Peak Hours'!M65*Peak!S66*'Peak Hours'!$Y65)</f>
        <v>0</v>
      </c>
      <c r="N65" s="177">
        <f>IF($A$1="BL",0,'Peak Hours'!N65*Peak!T66*'Peak Hours'!$Y65)</f>
        <v>0</v>
      </c>
      <c r="O65" s="177">
        <f>IF($A$1="BL",0,'Peak Hours'!O65*Peak!U66*'Peak Hours'!$Y65)</f>
        <v>0</v>
      </c>
      <c r="P65" s="177">
        <f>IF($A$1="BL",0,'Peak Hours'!P65*Peak!V66*'Peak Hours'!$Y65)</f>
        <v>0</v>
      </c>
      <c r="Q65" s="177">
        <f>IF($A$1="BL",0,'Peak Hours'!Q65*Peak!W66*'Peak Hours'!$Y65)</f>
        <v>0</v>
      </c>
      <c r="R65" s="177">
        <f>IF($A$1="BL",0,'Peak Hours'!R65*Peak!X66*'Peak Hours'!$Y65)</f>
        <v>0</v>
      </c>
      <c r="S65" s="177">
        <f>IF($A$1="BL",0,'Peak Hours'!S65*Peak!Y66*'Peak Hours'!$Y65)</f>
        <v>0</v>
      </c>
      <c r="T65" s="177">
        <f>IF($A$1="BL",0,'Peak Hours'!T65*Peak!Z66*'Peak Hours'!$Y65)</f>
        <v>0</v>
      </c>
      <c r="U65" s="177">
        <f>IF($A$1="BL",0,'Peak Hours'!U65*Peak!AA66*'Peak Hours'!$Y65)</f>
        <v>0</v>
      </c>
      <c r="V65" s="207"/>
      <c r="W65" s="203">
        <f>(IF($A$1="BL",0,Peak!C66*'Peak Hours'!V65*'Peak Hours'!$Y65))*-1</f>
        <v>-5402011.7996378466</v>
      </c>
      <c r="X65" s="207"/>
      <c r="Y65" s="203">
        <f>(IF($A$1="bl",0,Peak!D66*'Peak Hours'!V65*'Peak Hours'!$Y65))*-1</f>
        <v>-99023.433916282665</v>
      </c>
      <c r="Z65" s="207"/>
      <c r="AA65" s="203">
        <f>(Peak!E66*'Peak Hours'!V65*'Peak Hours'!$Y65)*-1</f>
        <v>0</v>
      </c>
      <c r="AB65" s="204"/>
      <c r="AC65" s="203">
        <f>(Peak!F66*'Peak Hours'!V65*'Peak Hours'!$Y65)*-1</f>
        <v>0</v>
      </c>
      <c r="AD65" s="204"/>
    </row>
    <row r="66" spans="1:30" x14ac:dyDescent="0.2">
      <c r="A66" s="1">
        <f t="shared" si="0"/>
        <v>38243.352000000072</v>
      </c>
      <c r="B66" s="177">
        <f>IF($A$1="BL",0,'Peak Hours'!B66*Peak!H67*'Peak Hours'!$Y66)</f>
        <v>390521.63426411134</v>
      </c>
      <c r="C66" s="177">
        <f>IF($A$1="BL",0,'Peak Hours'!C66*Peak!I67*'Peak Hours'!$Y66)</f>
        <v>310089.83719643782</v>
      </c>
      <c r="D66" s="177">
        <f>IF($A$1="BL",0,'Peak Hours'!D66*Peak!J67*'Peak Hours'!$Y66)</f>
        <v>524363.24210505281</v>
      </c>
      <c r="E66" s="177">
        <f>IF($A$1="BL",0,'Peak Hours'!E66*Peak!K67*'Peak Hours'!$Y66)</f>
        <v>920110.37279830768</v>
      </c>
      <c r="F66" s="177">
        <f>IF($A$1="BL",0,'Peak Hours'!F66*Peak!L67*'Peak Hours'!$Y66)</f>
        <v>854672.79777154524</v>
      </c>
      <c r="G66" s="177">
        <f>IF($A$1="BL",0,'Peak Hours'!G66*Peak!M67*'Peak Hours'!$Y66)</f>
        <v>1659298.4521665575</v>
      </c>
      <c r="H66" s="177">
        <f>IF($A$1="BL",0,'Peak Hours'!H66*Peak!N67*'Peak Hours'!$Y66)</f>
        <v>1438149.211006877</v>
      </c>
      <c r="I66" s="177">
        <f>IF($A$1="BL",0,'Peak Hours'!I66*Peak!O67*'Peak Hours'!$Y66)</f>
        <v>1236762.3372792336</v>
      </c>
      <c r="J66" s="177">
        <f>IF($A$1="BL",0,'Peak Hours'!J66*Peak!P67*'Peak Hours'!$Y66)</f>
        <v>1048827.2734916843</v>
      </c>
      <c r="K66" s="177">
        <f>IF($A$1="BL",0,'Peak Hours'!K66*Peak!Q67*'Peak Hours'!$Y66)</f>
        <v>0</v>
      </c>
      <c r="L66" s="177">
        <f>IF($A$1="BL",0,'Peak Hours'!L66*Peak!R67*'Peak Hours'!$Y66)</f>
        <v>0</v>
      </c>
      <c r="M66" s="177">
        <f>IF($A$1="BL",0,'Peak Hours'!M66*Peak!S67*'Peak Hours'!$Y66)</f>
        <v>0</v>
      </c>
      <c r="N66" s="177">
        <f>IF($A$1="BL",0,'Peak Hours'!N66*Peak!T67*'Peak Hours'!$Y66)</f>
        <v>0</v>
      </c>
      <c r="O66" s="177">
        <f>IF($A$1="BL",0,'Peak Hours'!O66*Peak!U67*'Peak Hours'!$Y66)</f>
        <v>0</v>
      </c>
      <c r="P66" s="177">
        <f>IF($A$1="BL",0,'Peak Hours'!P66*Peak!V67*'Peak Hours'!$Y66)</f>
        <v>0</v>
      </c>
      <c r="Q66" s="177">
        <f>IF($A$1="BL",0,'Peak Hours'!Q66*Peak!W67*'Peak Hours'!$Y66)</f>
        <v>0</v>
      </c>
      <c r="R66" s="177">
        <f>IF($A$1="BL",0,'Peak Hours'!R66*Peak!X67*'Peak Hours'!$Y66)</f>
        <v>0</v>
      </c>
      <c r="S66" s="177">
        <f>IF($A$1="BL",0,'Peak Hours'!S66*Peak!Y67*'Peak Hours'!$Y66)</f>
        <v>0</v>
      </c>
      <c r="T66" s="177">
        <f>IF($A$1="BL",0,'Peak Hours'!T66*Peak!Z67*'Peak Hours'!$Y66)</f>
        <v>0</v>
      </c>
      <c r="U66" s="177">
        <f>IF($A$1="BL",0,'Peak Hours'!U66*Peak!AA67*'Peak Hours'!$Y66)</f>
        <v>0</v>
      </c>
      <c r="V66" s="207"/>
      <c r="W66" s="203">
        <f>(IF($A$1="BL",0,Peak!C67*'Peak Hours'!V66*'Peak Hours'!$Y66))*-1</f>
        <v>-5294084.8715101536</v>
      </c>
      <c r="X66" s="207"/>
      <c r="Y66" s="203">
        <f>(IF($A$1="bl",0,Peak!D67*'Peak Hours'!V66*'Peak Hours'!$Y66))*-1</f>
        <v>-97533.346548077447</v>
      </c>
      <c r="Z66" s="207"/>
      <c r="AA66" s="203">
        <f>(Peak!E67*'Peak Hours'!V66*'Peak Hours'!$Y66)*-1</f>
        <v>0</v>
      </c>
      <c r="AB66" s="204"/>
      <c r="AC66" s="203">
        <f>(Peak!F67*'Peak Hours'!V66*'Peak Hours'!$Y66)*-1</f>
        <v>0</v>
      </c>
      <c r="AD66" s="204"/>
    </row>
    <row r="67" spans="1:30" x14ac:dyDescent="0.2">
      <c r="A67" s="1">
        <f t="shared" si="0"/>
        <v>38273.769000000073</v>
      </c>
      <c r="B67" s="177">
        <f>IF($A$1="BL",0,'Peak Hours'!B67*Peak!H68*'Peak Hours'!$Y67)</f>
        <v>215714.53425258811</v>
      </c>
      <c r="C67" s="177">
        <f>IF($A$1="BL",0,'Peak Hours'!C67*Peak!I68*'Peak Hours'!$Y67)</f>
        <v>210851.41322627358</v>
      </c>
      <c r="D67" s="177">
        <f>IF($A$1="BL",0,'Peak Hours'!D67*Peak!J68*'Peak Hours'!$Y67)</f>
        <v>402660.00659595762</v>
      </c>
      <c r="E67" s="177">
        <f>IF($A$1="BL",0,'Peak Hours'!E67*Peak!K68*'Peak Hours'!$Y67)</f>
        <v>765274.07918130723</v>
      </c>
      <c r="F67" s="177">
        <f>IF($A$1="BL",0,'Peak Hours'!F67*Peak!L68*'Peak Hours'!$Y67)</f>
        <v>761406.84843710379</v>
      </c>
      <c r="G67" s="177">
        <f>IF($A$1="BL",0,'Peak Hours'!G67*Peak!M68*'Peak Hours'!$Y67)</f>
        <v>1460008.3886254104</v>
      </c>
      <c r="H67" s="177">
        <f>IF($A$1="BL",0,'Peak Hours'!H67*Peak!N68*'Peak Hours'!$Y67)</f>
        <v>1134119.1190985055</v>
      </c>
      <c r="I67" s="177">
        <f>IF($A$1="BL",0,'Peak Hours'!I67*Peak!O68*'Peak Hours'!$Y67)</f>
        <v>0</v>
      </c>
      <c r="J67" s="177">
        <f>IF($A$1="BL",0,'Peak Hours'!J67*Peak!P68*'Peak Hours'!$Y67)</f>
        <v>0</v>
      </c>
      <c r="K67" s="177">
        <f>IF($A$1="BL",0,'Peak Hours'!K67*Peak!Q68*'Peak Hours'!$Y67)</f>
        <v>0</v>
      </c>
      <c r="L67" s="177">
        <f>IF($A$1="BL",0,'Peak Hours'!L67*Peak!R68*'Peak Hours'!$Y67)</f>
        <v>0</v>
      </c>
      <c r="M67" s="177">
        <f>IF($A$1="BL",0,'Peak Hours'!M67*Peak!S68*'Peak Hours'!$Y67)</f>
        <v>0</v>
      </c>
      <c r="N67" s="177">
        <f>IF($A$1="BL",0,'Peak Hours'!N67*Peak!T68*'Peak Hours'!$Y67)</f>
        <v>0</v>
      </c>
      <c r="O67" s="177">
        <f>IF($A$1="BL",0,'Peak Hours'!O67*Peak!U68*'Peak Hours'!$Y67)</f>
        <v>0</v>
      </c>
      <c r="P67" s="177">
        <f>IF($A$1="BL",0,'Peak Hours'!P67*Peak!V68*'Peak Hours'!$Y67)</f>
        <v>0</v>
      </c>
      <c r="Q67" s="177">
        <f>IF($A$1="BL",0,'Peak Hours'!Q67*Peak!W68*'Peak Hours'!$Y67)</f>
        <v>0</v>
      </c>
      <c r="R67" s="177">
        <f>IF($A$1="BL",0,'Peak Hours'!R67*Peak!X68*'Peak Hours'!$Y67)</f>
        <v>0</v>
      </c>
      <c r="S67" s="177">
        <f>IF($A$1="BL",0,'Peak Hours'!S67*Peak!Y68*'Peak Hours'!$Y67)</f>
        <v>0</v>
      </c>
      <c r="T67" s="177">
        <f>IF($A$1="BL",0,'Peak Hours'!T67*Peak!Z68*'Peak Hours'!$Y67)</f>
        <v>0</v>
      </c>
      <c r="U67" s="177">
        <f>IF($A$1="BL",0,'Peak Hours'!U67*Peak!AA68*'Peak Hours'!$Y67)</f>
        <v>0</v>
      </c>
      <c r="V67" s="207"/>
      <c r="W67" s="203">
        <f>(IF($A$1="BL",0,Peak!C68*'Peak Hours'!V67*'Peak Hours'!$Y67))*-1</f>
        <v>-3731136.0648951228</v>
      </c>
      <c r="X67" s="207"/>
      <c r="Y67" s="203">
        <f>(IF($A$1="bl",0,Peak!D68*'Peak Hours'!V67*'Peak Hours'!$Y67))*-1</f>
        <v>-62170.119534509373</v>
      </c>
      <c r="Z67" s="207"/>
      <c r="AA67" s="203">
        <f>(Peak!E68*'Peak Hours'!V67*'Peak Hours'!$Y67)*-1</f>
        <v>0</v>
      </c>
      <c r="AB67" s="204"/>
      <c r="AC67" s="203">
        <f>(Peak!F68*'Peak Hours'!V67*'Peak Hours'!$Y67)*-1</f>
        <v>0</v>
      </c>
      <c r="AD67" s="204"/>
    </row>
    <row r="68" spans="1:30" x14ac:dyDescent="0.2">
      <c r="A68" s="1">
        <f t="shared" si="0"/>
        <v>38304.186000000074</v>
      </c>
      <c r="B68" s="177">
        <f>IF($A$1="BL",0,'Peak Hours'!B68*Peak!H69*'Peak Hours'!$Y68)</f>
        <v>268598.39240317157</v>
      </c>
      <c r="C68" s="177">
        <f>IF($A$1="BL",0,'Peak Hours'!C68*Peak!I69*'Peak Hours'!$Y68)</f>
        <v>261811.03768597869</v>
      </c>
      <c r="D68" s="177">
        <f>IF($A$1="BL",0,'Peak Hours'!D68*Peak!J69*'Peak Hours'!$Y68)</f>
        <v>523180.41624689865</v>
      </c>
      <c r="E68" s="177">
        <f>IF($A$1="BL",0,'Peak Hours'!E68*Peak!K69*'Peak Hours'!$Y68)</f>
        <v>1039102.0351857941</v>
      </c>
      <c r="F68" s="177">
        <f>IF($A$1="BL",0,'Peak Hours'!F68*Peak!L69*'Peak Hours'!$Y68)</f>
        <v>995464.62035235483</v>
      </c>
      <c r="G68" s="177">
        <f>IF($A$1="BL",0,'Peak Hours'!G68*Peak!M69*'Peak Hours'!$Y68)</f>
        <v>1605537.6555729285</v>
      </c>
      <c r="H68" s="177">
        <f>IF($A$1="BL",0,'Peak Hours'!H68*Peak!N69*'Peak Hours'!$Y68)</f>
        <v>1355439.6906756668</v>
      </c>
      <c r="I68" s="177">
        <f>IF($A$1="BL",0,'Peak Hours'!I68*Peak!O69*'Peak Hours'!$Y68)</f>
        <v>1211571.2971982397</v>
      </c>
      <c r="J68" s="177">
        <f>IF($A$1="BL",0,'Peak Hours'!J68*Peak!P69*'Peak Hours'!$Y68)</f>
        <v>0</v>
      </c>
      <c r="K68" s="177">
        <f>IF($A$1="BL",0,'Peak Hours'!K68*Peak!Q69*'Peak Hours'!$Y68)</f>
        <v>0</v>
      </c>
      <c r="L68" s="177">
        <f>IF($A$1="BL",0,'Peak Hours'!L68*Peak!R69*'Peak Hours'!$Y68)</f>
        <v>0</v>
      </c>
      <c r="M68" s="177">
        <f>IF($A$1="BL",0,'Peak Hours'!M68*Peak!S69*'Peak Hours'!$Y68)</f>
        <v>0</v>
      </c>
      <c r="N68" s="177">
        <f>IF($A$1="BL",0,'Peak Hours'!N68*Peak!T69*'Peak Hours'!$Y68)</f>
        <v>0</v>
      </c>
      <c r="O68" s="177">
        <f>IF($A$1="BL",0,'Peak Hours'!O68*Peak!U69*'Peak Hours'!$Y68)</f>
        <v>0</v>
      </c>
      <c r="P68" s="177">
        <f>IF($A$1="BL",0,'Peak Hours'!P68*Peak!V69*'Peak Hours'!$Y68)</f>
        <v>0</v>
      </c>
      <c r="Q68" s="177">
        <f>IF($A$1="BL",0,'Peak Hours'!Q68*Peak!W69*'Peak Hours'!$Y68)</f>
        <v>0</v>
      </c>
      <c r="R68" s="177">
        <f>IF($A$1="BL",0,'Peak Hours'!R68*Peak!X69*'Peak Hours'!$Y68)</f>
        <v>0</v>
      </c>
      <c r="S68" s="177">
        <f>IF($A$1="BL",0,'Peak Hours'!S68*Peak!Y69*'Peak Hours'!$Y68)</f>
        <v>0</v>
      </c>
      <c r="T68" s="177">
        <f>IF($A$1="BL",0,'Peak Hours'!T68*Peak!Z69*'Peak Hours'!$Y68)</f>
        <v>0</v>
      </c>
      <c r="U68" s="177">
        <f>IF($A$1="BL",0,'Peak Hours'!U68*Peak!AA69*'Peak Hours'!$Y68)</f>
        <v>0</v>
      </c>
      <c r="V68" s="207"/>
      <c r="W68" s="203">
        <f>(IF($A$1="BL",0,Peak!C69*'Peak Hours'!V68*'Peak Hours'!$Y68))*-1</f>
        <v>-5253124.8338195514</v>
      </c>
      <c r="X68" s="207"/>
      <c r="Y68" s="203">
        <f>(IF($A$1="bl",0,Peak!D69*'Peak Hours'!V68*'Peak Hours'!$Y68))*-1</f>
        <v>-80066.232514800286</v>
      </c>
      <c r="Z68" s="207"/>
      <c r="AA68" s="203">
        <f>(Peak!E69*'Peak Hours'!V68*'Peak Hours'!$Y68)*-1</f>
        <v>0</v>
      </c>
      <c r="AB68" s="204"/>
      <c r="AC68" s="203">
        <f>(Peak!F69*'Peak Hours'!V68*'Peak Hours'!$Y68)*-1</f>
        <v>0</v>
      </c>
      <c r="AD68" s="204"/>
    </row>
    <row r="69" spans="1:30" x14ac:dyDescent="0.2">
      <c r="A69" s="1">
        <f t="shared" si="0"/>
        <v>38334.603000000076</v>
      </c>
      <c r="B69" s="177">
        <f>IF($A$1="BL",0,'Peak Hours'!B69*Peak!H70*'Peak Hours'!$Y69)</f>
        <v>241301.48455215624</v>
      </c>
      <c r="C69" s="177">
        <f>IF($A$1="BL",0,'Peak Hours'!C69*Peak!I70*'Peak Hours'!$Y69)</f>
        <v>234175.17381742672</v>
      </c>
      <c r="D69" s="177">
        <f>IF($A$1="BL",0,'Peak Hours'!D69*Peak!J70*'Peak Hours'!$Y69)</f>
        <v>454721.38733290305</v>
      </c>
      <c r="E69" s="177">
        <f>IF($A$1="BL",0,'Peak Hours'!E69*Peak!K70*'Peak Hours'!$Y69)</f>
        <v>858288.29566166853</v>
      </c>
      <c r="F69" s="177">
        <f>IF($A$1="BL",0,'Peak Hours'!F69*Peak!L70*'Peak Hours'!$Y69)</f>
        <v>847936.99225844105</v>
      </c>
      <c r="G69" s="177">
        <f>IF($A$1="BL",0,'Peak Hours'!G69*Peak!M70*'Peak Hours'!$Y69)</f>
        <v>1677776.875364654</v>
      </c>
      <c r="H69" s="177">
        <f>IF($A$1="BL",0,'Peak Hours'!H69*Peak!N70*'Peak Hours'!$Y69)</f>
        <v>1398640.6948311033</v>
      </c>
      <c r="I69" s="177">
        <f>IF($A$1="BL",0,'Peak Hours'!I69*Peak!O70*'Peak Hours'!$Y69)</f>
        <v>1264319.555653034</v>
      </c>
      <c r="J69" s="177">
        <f>IF($A$1="BL",0,'Peak Hours'!J69*Peak!P70*'Peak Hours'!$Y69)</f>
        <v>0</v>
      </c>
      <c r="K69" s="177">
        <f>IF($A$1="BL",0,'Peak Hours'!K69*Peak!Q70*'Peak Hours'!$Y69)</f>
        <v>0</v>
      </c>
      <c r="L69" s="177">
        <f>IF($A$1="BL",0,'Peak Hours'!L69*Peak!R70*'Peak Hours'!$Y69)</f>
        <v>0</v>
      </c>
      <c r="M69" s="177">
        <f>IF($A$1="BL",0,'Peak Hours'!M69*Peak!S70*'Peak Hours'!$Y69)</f>
        <v>0</v>
      </c>
      <c r="N69" s="177">
        <f>IF($A$1="BL",0,'Peak Hours'!N69*Peak!T70*'Peak Hours'!$Y69)</f>
        <v>0</v>
      </c>
      <c r="O69" s="177">
        <f>IF($A$1="BL",0,'Peak Hours'!O69*Peak!U70*'Peak Hours'!$Y69)</f>
        <v>0</v>
      </c>
      <c r="P69" s="177">
        <f>IF($A$1="BL",0,'Peak Hours'!P69*Peak!V70*'Peak Hours'!$Y69)</f>
        <v>0</v>
      </c>
      <c r="Q69" s="177">
        <f>IF($A$1="BL",0,'Peak Hours'!Q69*Peak!W70*'Peak Hours'!$Y69)</f>
        <v>0</v>
      </c>
      <c r="R69" s="177">
        <f>IF($A$1="BL",0,'Peak Hours'!R69*Peak!X70*'Peak Hours'!$Y69)</f>
        <v>0</v>
      </c>
      <c r="S69" s="177">
        <f>IF($A$1="BL",0,'Peak Hours'!S69*Peak!Y70*'Peak Hours'!$Y69)</f>
        <v>0</v>
      </c>
      <c r="T69" s="177">
        <f>IF($A$1="BL",0,'Peak Hours'!T69*Peak!Z70*'Peak Hours'!$Y69)</f>
        <v>0</v>
      </c>
      <c r="U69" s="177">
        <f>IF($A$1="BL",0,'Peak Hours'!U69*Peak!AA70*'Peak Hours'!$Y69)</f>
        <v>0</v>
      </c>
      <c r="V69" s="208">
        <f>SUM(B58:U69)</f>
        <v>104186860.25534205</v>
      </c>
      <c r="W69" s="203">
        <f>(IF($A$1="BL",0,Peak!C70*'Peak Hours'!V69*'Peak Hours'!$Y69))*-1</f>
        <v>-5530892.7622996066</v>
      </c>
      <c r="X69" s="208">
        <f>SUM(W58:W69)</f>
        <v>-58708561.382497877</v>
      </c>
      <c r="Y69" s="203">
        <f>(IF($A$1="bl",0,Peak!D70*'Peak Hours'!V69*'Peak Hours'!$Y69))*-1</f>
        <v>-78028.090082984825</v>
      </c>
      <c r="Z69" s="208">
        <f>SUM(Y58:Y69)</f>
        <v>-970917.97355928621</v>
      </c>
      <c r="AA69" s="203">
        <f>(Peak!E70*'Peak Hours'!V69*'Peak Hours'!$Y69)*-1</f>
        <v>0</v>
      </c>
      <c r="AB69" s="205">
        <f>SUM(AA58:AA69)</f>
        <v>0</v>
      </c>
      <c r="AC69" s="203">
        <f>(Peak!F70*'Peak Hours'!V69*'Peak Hours'!$Y69)*-1</f>
        <v>0</v>
      </c>
      <c r="AD69" s="205">
        <f>SUM(AC58:AC69)</f>
        <v>0</v>
      </c>
    </row>
    <row r="70" spans="1:30" x14ac:dyDescent="0.2">
      <c r="A70" s="1">
        <f t="shared" si="0"/>
        <v>38365.020000000077</v>
      </c>
      <c r="B70" s="177">
        <f>IF($A$1="BL",0,'Peak Hours'!B70*Peak!H71*'Peak Hours'!$Y70)</f>
        <v>239148.8874618994</v>
      </c>
      <c r="C70" s="177">
        <f>IF($A$1="BL",0,'Peak Hours'!C70*Peak!I71*'Peak Hours'!$Y70)</f>
        <v>231547.41627951062</v>
      </c>
      <c r="D70" s="177">
        <f>IF($A$1="BL",0,'Peak Hours'!D70*Peak!J71*'Peak Hours'!$Y70)</f>
        <v>441452.56220833847</v>
      </c>
      <c r="E70" s="177">
        <f>IF($A$1="BL",0,'Peak Hours'!E70*Peak!K71*'Peak Hours'!$Y70)</f>
        <v>866482.99058540387</v>
      </c>
      <c r="F70" s="177">
        <f>IF($A$1="BL",0,'Peak Hours'!F70*Peak!L71*'Peak Hours'!$Y70)</f>
        <v>863447.48401306535</v>
      </c>
      <c r="G70" s="177">
        <f>IF($A$1="BL",0,'Peak Hours'!G70*Peak!M71*'Peak Hours'!$Y70)</f>
        <v>1575650.5267661626</v>
      </c>
      <c r="H70" s="177">
        <f>IF($A$1="BL",0,'Peak Hours'!H70*Peak!N71*'Peak Hours'!$Y70)</f>
        <v>1214458.1762967901</v>
      </c>
      <c r="I70" s="177">
        <f>IF($A$1="BL",0,'Peak Hours'!I70*Peak!O71*'Peak Hours'!$Y70)</f>
        <v>0</v>
      </c>
      <c r="J70" s="177">
        <f>IF($A$1="BL",0,'Peak Hours'!J70*Peak!P71*'Peak Hours'!$Y70)</f>
        <v>0</v>
      </c>
      <c r="K70" s="177">
        <f>IF($A$1="BL",0,'Peak Hours'!K70*Peak!Q71*'Peak Hours'!$Y70)</f>
        <v>0</v>
      </c>
      <c r="L70" s="177">
        <f>IF($A$1="BL",0,'Peak Hours'!L70*Peak!R71*'Peak Hours'!$Y70)</f>
        <v>0</v>
      </c>
      <c r="M70" s="177">
        <f>IF($A$1="BL",0,'Peak Hours'!M70*Peak!S71*'Peak Hours'!$Y70)</f>
        <v>0</v>
      </c>
      <c r="N70" s="177">
        <f>IF($A$1="BL",0,'Peak Hours'!N70*Peak!T71*'Peak Hours'!$Y70)</f>
        <v>0</v>
      </c>
      <c r="O70" s="177">
        <f>IF($A$1="BL",0,'Peak Hours'!O70*Peak!U71*'Peak Hours'!$Y70)</f>
        <v>0</v>
      </c>
      <c r="P70" s="177">
        <f>IF($A$1="BL",0,'Peak Hours'!P70*Peak!V71*'Peak Hours'!$Y70)</f>
        <v>0</v>
      </c>
      <c r="Q70" s="177">
        <f>IF($A$1="BL",0,'Peak Hours'!Q70*Peak!W71*'Peak Hours'!$Y70)</f>
        <v>0</v>
      </c>
      <c r="R70" s="177">
        <f>IF($A$1="BL",0,'Peak Hours'!R70*Peak!X71*'Peak Hours'!$Y70)</f>
        <v>0</v>
      </c>
      <c r="S70" s="177">
        <f>IF($A$1="BL",0,'Peak Hours'!S70*Peak!Y71*'Peak Hours'!$Y70)</f>
        <v>0</v>
      </c>
      <c r="T70" s="177">
        <f>IF($A$1="BL",0,'Peak Hours'!T70*Peak!Z71*'Peak Hours'!$Y70)</f>
        <v>0</v>
      </c>
      <c r="U70" s="177">
        <f>IF($A$1="BL",0,'Peak Hours'!U70*Peak!AA71*'Peak Hours'!$Y70)</f>
        <v>0</v>
      </c>
      <c r="V70" s="207"/>
      <c r="W70" s="203">
        <f>(IF($A$1="BL",0,Peak!C71*'Peak Hours'!V70*'Peak Hours'!$Y70))*-1</f>
        <v>-4180789.4555407548</v>
      </c>
      <c r="X70" s="207"/>
      <c r="Y70" s="203">
        <f>(IF($A$1="bl",0,Peak!D71*'Peak Hours'!V70*'Peak Hours'!$Y70))*-1</f>
        <v>-60789.66203316985</v>
      </c>
      <c r="Z70" s="207"/>
      <c r="AA70" s="203">
        <f>(Peak!E71*'Peak Hours'!V70*'Peak Hours'!$Y70)*-1</f>
        <v>0</v>
      </c>
      <c r="AB70" s="204"/>
      <c r="AC70" s="203">
        <f>(Peak!F71*'Peak Hours'!V70*'Peak Hours'!$Y70)*-1</f>
        <v>0</v>
      </c>
      <c r="AD70" s="204"/>
    </row>
    <row r="71" spans="1:30" x14ac:dyDescent="0.2">
      <c r="A71" s="1">
        <f t="shared" si="0"/>
        <v>38395.437000000078</v>
      </c>
      <c r="B71" s="177">
        <f>IF($A$1="BL",0,'Peak Hours'!B71*Peak!H72*'Peak Hours'!$Y71)</f>
        <v>266801.70795088029</v>
      </c>
      <c r="C71" s="177">
        <f>IF($A$1="BL",0,'Peak Hours'!C71*Peak!I72*'Peak Hours'!$Y71)</f>
        <v>251112.25610936192</v>
      </c>
      <c r="D71" s="177">
        <f>IF($A$1="BL",0,'Peak Hours'!D71*Peak!J72*'Peak Hours'!$Y71)</f>
        <v>484409.7259250381</v>
      </c>
      <c r="E71" s="177">
        <f>IF($A$1="BL",0,'Peak Hours'!E71*Peak!K72*'Peak Hours'!$Y71)</f>
        <v>914933.13393284357</v>
      </c>
      <c r="F71" s="177">
        <f>IF($A$1="BL",0,'Peak Hours'!F71*Peak!L72*'Peak Hours'!$Y71)</f>
        <v>910323.51059870864</v>
      </c>
      <c r="G71" s="177">
        <f>IF($A$1="BL",0,'Peak Hours'!G71*Peak!M72*'Peak Hours'!$Y71)</f>
        <v>1660245.5572072847</v>
      </c>
      <c r="H71" s="177">
        <f>IF($A$1="BL",0,'Peak Hours'!H71*Peak!N72*'Peak Hours'!$Y71)</f>
        <v>1343573.0042022592</v>
      </c>
      <c r="I71" s="177">
        <f>IF($A$1="BL",0,'Peak Hours'!I71*Peak!O72*'Peak Hours'!$Y71)</f>
        <v>1284506.7316964462</v>
      </c>
      <c r="J71" s="177">
        <f>IF($A$1="BL",0,'Peak Hours'!J71*Peak!P72*'Peak Hours'!$Y71)</f>
        <v>0</v>
      </c>
      <c r="K71" s="177">
        <f>IF($A$1="BL",0,'Peak Hours'!K71*Peak!Q72*'Peak Hours'!$Y71)</f>
        <v>0</v>
      </c>
      <c r="L71" s="177">
        <f>IF($A$1="BL",0,'Peak Hours'!L71*Peak!R72*'Peak Hours'!$Y71)</f>
        <v>0</v>
      </c>
      <c r="M71" s="177">
        <f>IF($A$1="BL",0,'Peak Hours'!M71*Peak!S72*'Peak Hours'!$Y71)</f>
        <v>0</v>
      </c>
      <c r="N71" s="177">
        <f>IF($A$1="BL",0,'Peak Hours'!N71*Peak!T72*'Peak Hours'!$Y71)</f>
        <v>0</v>
      </c>
      <c r="O71" s="177">
        <f>IF($A$1="BL",0,'Peak Hours'!O71*Peak!U72*'Peak Hours'!$Y71)</f>
        <v>0</v>
      </c>
      <c r="P71" s="177">
        <f>IF($A$1="BL",0,'Peak Hours'!P71*Peak!V72*'Peak Hours'!$Y71)</f>
        <v>0</v>
      </c>
      <c r="Q71" s="177">
        <f>IF($A$1="BL",0,'Peak Hours'!Q71*Peak!W72*'Peak Hours'!$Y71)</f>
        <v>0</v>
      </c>
      <c r="R71" s="177">
        <f>IF($A$1="BL",0,'Peak Hours'!R71*Peak!X72*'Peak Hours'!$Y71)</f>
        <v>0</v>
      </c>
      <c r="S71" s="177">
        <f>IF($A$1="BL",0,'Peak Hours'!S71*Peak!Y72*'Peak Hours'!$Y71)</f>
        <v>0</v>
      </c>
      <c r="T71" s="177">
        <f>IF($A$1="BL",0,'Peak Hours'!T71*Peak!Z72*'Peak Hours'!$Y71)</f>
        <v>0</v>
      </c>
      <c r="U71" s="177">
        <f>IF($A$1="BL",0,'Peak Hours'!U71*Peak!AA72*'Peak Hours'!$Y71)</f>
        <v>0</v>
      </c>
      <c r="V71" s="207"/>
      <c r="W71" s="203">
        <f>(IF($A$1="BL",0,Peak!C72*'Peak Hours'!V71*'Peak Hours'!$Y71))*-1</f>
        <v>-4817756.2380908476</v>
      </c>
      <c r="X71" s="207"/>
      <c r="Y71" s="203">
        <f>(IF($A$1="bl",0,Peak!D72*'Peak Hours'!V71*'Peak Hours'!$Y71))*-1</f>
        <v>-78288.400461289464</v>
      </c>
      <c r="Z71" s="207"/>
      <c r="AA71" s="203">
        <f>(Peak!E72*'Peak Hours'!V71*'Peak Hours'!$Y71)*-1</f>
        <v>0</v>
      </c>
      <c r="AB71" s="204"/>
      <c r="AC71" s="203">
        <f>(Peak!F72*'Peak Hours'!V71*'Peak Hours'!$Y71)*-1</f>
        <v>0</v>
      </c>
      <c r="AD71" s="204"/>
    </row>
    <row r="72" spans="1:30" x14ac:dyDescent="0.2">
      <c r="A72" s="1">
        <f t="shared" si="0"/>
        <v>38425.854000000079</v>
      </c>
      <c r="B72" s="177">
        <f>IF($A$1="BL",0,'Peak Hours'!B72*Peak!H73*'Peak Hours'!$Y72)</f>
        <v>243986.68994672826</v>
      </c>
      <c r="C72" s="177">
        <f>IF($A$1="BL",0,'Peak Hours'!C72*Peak!I73*'Peak Hours'!$Y72)</f>
        <v>235886.0170128663</v>
      </c>
      <c r="D72" s="177">
        <f>IF($A$1="BL",0,'Peak Hours'!D72*Peak!J73*'Peak Hours'!$Y72)</f>
        <v>448093.06780344161</v>
      </c>
      <c r="E72" s="177">
        <f>IF($A$1="BL",0,'Peak Hours'!E72*Peak!K73*'Peak Hours'!$Y72)</f>
        <v>874938.61459527619</v>
      </c>
      <c r="F72" s="177">
        <f>IF($A$1="BL",0,'Peak Hours'!F72*Peak!L73*'Peak Hours'!$Y72)</f>
        <v>872549.26691011747</v>
      </c>
      <c r="G72" s="177">
        <f>IF($A$1="BL",0,'Peak Hours'!G72*Peak!M73*'Peak Hours'!$Y72)</f>
        <v>1588426.5796078853</v>
      </c>
      <c r="H72" s="177">
        <f>IF($A$1="BL",0,'Peak Hours'!H72*Peak!N73*'Peak Hours'!$Y72)</f>
        <v>1227145.3634106156</v>
      </c>
      <c r="I72" s="177">
        <f>IF($A$1="BL",0,'Peak Hours'!I72*Peak!O73*'Peak Hours'!$Y72)</f>
        <v>0</v>
      </c>
      <c r="J72" s="177">
        <f>IF($A$1="BL",0,'Peak Hours'!J72*Peak!P73*'Peak Hours'!$Y72)</f>
        <v>0</v>
      </c>
      <c r="K72" s="177">
        <f>IF($A$1="BL",0,'Peak Hours'!K72*Peak!Q73*'Peak Hours'!$Y72)</f>
        <v>0</v>
      </c>
      <c r="L72" s="177">
        <f>IF($A$1="BL",0,'Peak Hours'!L72*Peak!R73*'Peak Hours'!$Y72)</f>
        <v>0</v>
      </c>
      <c r="M72" s="177">
        <f>IF($A$1="BL",0,'Peak Hours'!M72*Peak!S73*'Peak Hours'!$Y72)</f>
        <v>0</v>
      </c>
      <c r="N72" s="177">
        <f>IF($A$1="BL",0,'Peak Hours'!N72*Peak!T73*'Peak Hours'!$Y72)</f>
        <v>0</v>
      </c>
      <c r="O72" s="177">
        <f>IF($A$1="BL",0,'Peak Hours'!O72*Peak!U73*'Peak Hours'!$Y72)</f>
        <v>0</v>
      </c>
      <c r="P72" s="177">
        <f>IF($A$1="BL",0,'Peak Hours'!P72*Peak!V73*'Peak Hours'!$Y72)</f>
        <v>0</v>
      </c>
      <c r="Q72" s="177">
        <f>IF($A$1="BL",0,'Peak Hours'!Q72*Peak!W73*'Peak Hours'!$Y72)</f>
        <v>0</v>
      </c>
      <c r="R72" s="177">
        <f>IF($A$1="BL",0,'Peak Hours'!R72*Peak!X73*'Peak Hours'!$Y72)</f>
        <v>0</v>
      </c>
      <c r="S72" s="177">
        <f>IF($A$1="BL",0,'Peak Hours'!S72*Peak!Y73*'Peak Hours'!$Y72)</f>
        <v>0</v>
      </c>
      <c r="T72" s="177">
        <f>IF($A$1="BL",0,'Peak Hours'!T72*Peak!Z73*'Peak Hours'!$Y72)</f>
        <v>0</v>
      </c>
      <c r="U72" s="177">
        <f>IF($A$1="BL",0,'Peak Hours'!U72*Peak!AA73*'Peak Hours'!$Y72)</f>
        <v>0</v>
      </c>
      <c r="V72" s="207"/>
      <c r="W72" s="203">
        <f>(IF($A$1="BL",0,Peak!C73*'Peak Hours'!V72*'Peak Hours'!$Y72))*-1</f>
        <v>-3786667.9178357162</v>
      </c>
      <c r="X72" s="207"/>
      <c r="Y72" s="203">
        <f>(IF($A$1="bl",0,Peak!D73*'Peak Hours'!V72*'Peak Hours'!$Y72))*-1</f>
        <v>-62689.933692374085</v>
      </c>
      <c r="Z72" s="207"/>
      <c r="AA72" s="203">
        <f>(Peak!E73*'Peak Hours'!V72*'Peak Hours'!$Y72)*-1</f>
        <v>0</v>
      </c>
      <c r="AB72" s="204"/>
      <c r="AC72" s="203">
        <f>(Peak!F73*'Peak Hours'!V72*'Peak Hours'!$Y72)*-1</f>
        <v>0</v>
      </c>
      <c r="AD72" s="204"/>
    </row>
    <row r="73" spans="1:30" x14ac:dyDescent="0.2">
      <c r="A73" s="1">
        <f t="shared" si="0"/>
        <v>38456.271000000081</v>
      </c>
      <c r="B73" s="177">
        <f>IF($A$1="BL",0,'Peak Hours'!B73*Peak!H74*'Peak Hours'!$Y73)</f>
        <v>198594.96543651467</v>
      </c>
      <c r="C73" s="177">
        <f>IF($A$1="BL",0,'Peak Hours'!C73*Peak!I74*'Peak Hours'!$Y73)</f>
        <v>191391.59362107553</v>
      </c>
      <c r="D73" s="177">
        <f>IF($A$1="BL",0,'Peak Hours'!D73*Peak!J74*'Peak Hours'!$Y73)</f>
        <v>365109.83556874143</v>
      </c>
      <c r="E73" s="177">
        <f>IF($A$1="BL",0,'Peak Hours'!E73*Peak!K74*'Peak Hours'!$Y73)</f>
        <v>722337.130528579</v>
      </c>
      <c r="F73" s="177">
        <f>IF($A$1="BL",0,'Peak Hours'!F73*Peak!L74*'Peak Hours'!$Y73)</f>
        <v>719946.14808760048</v>
      </c>
      <c r="G73" s="177">
        <f>IF($A$1="BL",0,'Peak Hours'!G73*Peak!M74*'Peak Hours'!$Y73)</f>
        <v>1203438.8161070298</v>
      </c>
      <c r="H73" s="177">
        <f>IF($A$1="BL",0,'Peak Hours'!H73*Peak!N74*'Peak Hours'!$Y73)</f>
        <v>1102211.6283341069</v>
      </c>
      <c r="I73" s="177">
        <f>IF($A$1="BL",0,'Peak Hours'!I73*Peak!O74*'Peak Hours'!$Y73)</f>
        <v>0</v>
      </c>
      <c r="J73" s="177">
        <f>IF($A$1="BL",0,'Peak Hours'!J73*Peak!P74*'Peak Hours'!$Y73)</f>
        <v>0</v>
      </c>
      <c r="K73" s="177">
        <f>IF($A$1="BL",0,'Peak Hours'!K73*Peak!Q74*'Peak Hours'!$Y73)</f>
        <v>0</v>
      </c>
      <c r="L73" s="177">
        <f>IF($A$1="BL",0,'Peak Hours'!L73*Peak!R74*'Peak Hours'!$Y73)</f>
        <v>0</v>
      </c>
      <c r="M73" s="177">
        <f>IF($A$1="BL",0,'Peak Hours'!M73*Peak!S74*'Peak Hours'!$Y73)</f>
        <v>0</v>
      </c>
      <c r="N73" s="177">
        <f>IF($A$1="BL",0,'Peak Hours'!N73*Peak!T74*'Peak Hours'!$Y73)</f>
        <v>0</v>
      </c>
      <c r="O73" s="177">
        <f>IF($A$1="BL",0,'Peak Hours'!O73*Peak!U74*'Peak Hours'!$Y73)</f>
        <v>0</v>
      </c>
      <c r="P73" s="177">
        <f>IF($A$1="BL",0,'Peak Hours'!P73*Peak!V74*'Peak Hours'!$Y73)</f>
        <v>0</v>
      </c>
      <c r="Q73" s="177">
        <f>IF($A$1="BL",0,'Peak Hours'!Q73*Peak!W74*'Peak Hours'!$Y73)</f>
        <v>0</v>
      </c>
      <c r="R73" s="177">
        <f>IF($A$1="BL",0,'Peak Hours'!R73*Peak!X74*'Peak Hours'!$Y73)</f>
        <v>0</v>
      </c>
      <c r="S73" s="177">
        <f>IF($A$1="BL",0,'Peak Hours'!S73*Peak!Y74*'Peak Hours'!$Y73)</f>
        <v>0</v>
      </c>
      <c r="T73" s="177">
        <f>IF($A$1="BL",0,'Peak Hours'!T73*Peak!Z74*'Peak Hours'!$Y73)</f>
        <v>0</v>
      </c>
      <c r="U73" s="177">
        <f>IF($A$1="BL",0,'Peak Hours'!U73*Peak!AA74*'Peak Hours'!$Y73)</f>
        <v>0</v>
      </c>
      <c r="V73" s="207"/>
      <c r="W73" s="203">
        <f>(IF($A$1="BL",0,Peak!C74*'Peak Hours'!V73*'Peak Hours'!$Y73))*-1</f>
        <v>-3600001.1894917013</v>
      </c>
      <c r="X73" s="207"/>
      <c r="Y73" s="203">
        <f>(IF($A$1="bl",0,Peak!D74*'Peak Hours'!V73*'Peak Hours'!$Y73))*-1</f>
        <v>-62794.416915194714</v>
      </c>
      <c r="Z73" s="207"/>
      <c r="AA73" s="203">
        <f>(Peak!E74*'Peak Hours'!V73*'Peak Hours'!$Y73)*-1</f>
        <v>0</v>
      </c>
      <c r="AB73" s="204"/>
      <c r="AC73" s="203">
        <f>(Peak!F74*'Peak Hours'!V73*'Peak Hours'!$Y73)*-1</f>
        <v>0</v>
      </c>
      <c r="AD73" s="204"/>
    </row>
    <row r="74" spans="1:30" x14ac:dyDescent="0.2">
      <c r="A74" s="1">
        <f t="shared" si="0"/>
        <v>38486.688000000082</v>
      </c>
      <c r="B74" s="177">
        <f>IF($A$1="BL",0,'Peak Hours'!B74*Peak!H75*'Peak Hours'!$Y74)</f>
        <v>264398.02144793479</v>
      </c>
      <c r="C74" s="177">
        <f>IF($A$1="BL",0,'Peak Hours'!C74*Peak!I75*'Peak Hours'!$Y74)</f>
        <v>230743.28917990514</v>
      </c>
      <c r="D74" s="177">
        <f>IF($A$1="BL",0,'Peak Hours'!D74*Peak!J75*'Peak Hours'!$Y74)</f>
        <v>426864.41059683193</v>
      </c>
      <c r="E74" s="177">
        <f>IF($A$1="BL",0,'Peak Hours'!E74*Peak!K75*'Peak Hours'!$Y74)</f>
        <v>795207.13088097889</v>
      </c>
      <c r="F74" s="177">
        <f>IF($A$1="BL",0,'Peak Hours'!F74*Peak!L75*'Peak Hours'!$Y74)</f>
        <v>758873.44556469901</v>
      </c>
      <c r="G74" s="177">
        <f>IF($A$1="BL",0,'Peak Hours'!G74*Peak!M75*'Peak Hours'!$Y74)</f>
        <v>1493335.8498131675</v>
      </c>
      <c r="H74" s="177">
        <f>IF($A$1="BL",0,'Peak Hours'!H74*Peak!N75*'Peak Hours'!$Y74)</f>
        <v>1140631.9165112874</v>
      </c>
      <c r="I74" s="177">
        <f>IF($A$1="BL",0,'Peak Hours'!I74*Peak!O75*'Peak Hours'!$Y74)</f>
        <v>0</v>
      </c>
      <c r="J74" s="177">
        <f>IF($A$1="BL",0,'Peak Hours'!J74*Peak!P75*'Peak Hours'!$Y74)</f>
        <v>0</v>
      </c>
      <c r="K74" s="177">
        <f>IF($A$1="BL",0,'Peak Hours'!K74*Peak!Q75*'Peak Hours'!$Y74)</f>
        <v>0</v>
      </c>
      <c r="L74" s="177">
        <f>IF($A$1="BL",0,'Peak Hours'!L74*Peak!R75*'Peak Hours'!$Y74)</f>
        <v>0</v>
      </c>
      <c r="M74" s="177">
        <f>IF($A$1="BL",0,'Peak Hours'!M74*Peak!S75*'Peak Hours'!$Y74)</f>
        <v>0</v>
      </c>
      <c r="N74" s="177">
        <f>IF($A$1="BL",0,'Peak Hours'!N74*Peak!T75*'Peak Hours'!$Y74)</f>
        <v>0</v>
      </c>
      <c r="O74" s="177">
        <f>IF($A$1="BL",0,'Peak Hours'!O74*Peak!U75*'Peak Hours'!$Y74)</f>
        <v>0</v>
      </c>
      <c r="P74" s="177">
        <f>IF($A$1="BL",0,'Peak Hours'!P74*Peak!V75*'Peak Hours'!$Y74)</f>
        <v>0</v>
      </c>
      <c r="Q74" s="177">
        <f>IF($A$1="BL",0,'Peak Hours'!Q74*Peak!W75*'Peak Hours'!$Y74)</f>
        <v>0</v>
      </c>
      <c r="R74" s="177">
        <f>IF($A$1="BL",0,'Peak Hours'!R74*Peak!X75*'Peak Hours'!$Y74)</f>
        <v>0</v>
      </c>
      <c r="S74" s="177">
        <f>IF($A$1="BL",0,'Peak Hours'!S74*Peak!Y75*'Peak Hours'!$Y74)</f>
        <v>0</v>
      </c>
      <c r="T74" s="177">
        <f>IF($A$1="BL",0,'Peak Hours'!T74*Peak!Z75*'Peak Hours'!$Y74)</f>
        <v>0</v>
      </c>
      <c r="U74" s="177">
        <f>IF($A$1="BL",0,'Peak Hours'!U74*Peak!AA75*'Peak Hours'!$Y74)</f>
        <v>0</v>
      </c>
      <c r="V74" s="207"/>
      <c r="W74" s="203">
        <f>(IF($A$1="BL",0,Peak!C75*'Peak Hours'!V74*'Peak Hours'!$Y74))*-1</f>
        <v>-3790477.4429039611</v>
      </c>
      <c r="X74" s="207"/>
      <c r="Y74" s="203">
        <f>(IF($A$1="bl",0,Peak!D75*'Peak Hours'!V74*'Peak Hours'!$Y74))*-1</f>
        <v>-62899.074276720035</v>
      </c>
      <c r="Z74" s="207"/>
      <c r="AA74" s="203">
        <f>(Peak!E75*'Peak Hours'!V74*'Peak Hours'!$Y74)*-1</f>
        <v>0</v>
      </c>
      <c r="AB74" s="204"/>
      <c r="AC74" s="203">
        <f>(Peak!F75*'Peak Hours'!V74*'Peak Hours'!$Y74)*-1</f>
        <v>0</v>
      </c>
      <c r="AD74" s="204"/>
    </row>
    <row r="75" spans="1:30" x14ac:dyDescent="0.2">
      <c r="A75" s="1">
        <f t="shared" si="0"/>
        <v>38517.105000000083</v>
      </c>
      <c r="B75" s="177">
        <f>IF($A$1="BL",0,'Peak Hours'!B75*Peak!H76*'Peak Hours'!$Y75)</f>
        <v>823150.89712226915</v>
      </c>
      <c r="C75" s="177">
        <f>IF($A$1="BL",0,'Peak Hours'!C75*Peak!I76*'Peak Hours'!$Y75)</f>
        <v>604400.82250019524</v>
      </c>
      <c r="D75" s="177">
        <f>IF($A$1="BL",0,'Peak Hours'!D75*Peak!J76*'Peak Hours'!$Y75)</f>
        <v>1056182.1786574677</v>
      </c>
      <c r="E75" s="177">
        <f>IF($A$1="BL",0,'Peak Hours'!E75*Peak!K76*'Peak Hours'!$Y75)</f>
        <v>1404243.6951300534</v>
      </c>
      <c r="F75" s="177">
        <f>IF($A$1="BL",0,'Peak Hours'!F75*Peak!L76*'Peak Hours'!$Y75)</f>
        <v>770239.25322986767</v>
      </c>
      <c r="G75" s="177">
        <f>IF($A$1="BL",0,'Peak Hours'!G75*Peak!M76*'Peak Hours'!$Y75)</f>
        <v>1354571.6332916967</v>
      </c>
      <c r="H75" s="177">
        <f>IF($A$1="BL",0,'Peak Hours'!H75*Peak!N76*'Peak Hours'!$Y75)</f>
        <v>1247029.0231382987</v>
      </c>
      <c r="I75" s="177">
        <f>IF($A$1="BL",0,'Peak Hours'!I75*Peak!O76*'Peak Hours'!$Y75)</f>
        <v>1193594.2927981953</v>
      </c>
      <c r="J75" s="177">
        <f>IF($A$1="BL",0,'Peak Hours'!J75*Peak!P76*'Peak Hours'!$Y75)</f>
        <v>0</v>
      </c>
      <c r="K75" s="177">
        <f>IF($A$1="BL",0,'Peak Hours'!K75*Peak!Q76*'Peak Hours'!$Y75)</f>
        <v>0</v>
      </c>
      <c r="L75" s="177">
        <f>IF($A$1="BL",0,'Peak Hours'!L75*Peak!R76*'Peak Hours'!$Y75)</f>
        <v>0</v>
      </c>
      <c r="M75" s="177">
        <f>IF($A$1="BL",0,'Peak Hours'!M75*Peak!S76*'Peak Hours'!$Y75)</f>
        <v>0</v>
      </c>
      <c r="N75" s="177">
        <f>IF($A$1="BL",0,'Peak Hours'!N75*Peak!T76*'Peak Hours'!$Y75)</f>
        <v>0</v>
      </c>
      <c r="O75" s="177">
        <f>IF($A$1="BL",0,'Peak Hours'!O75*Peak!U76*'Peak Hours'!$Y75)</f>
        <v>0</v>
      </c>
      <c r="P75" s="177">
        <f>IF($A$1="BL",0,'Peak Hours'!P75*Peak!V76*'Peak Hours'!$Y75)</f>
        <v>0</v>
      </c>
      <c r="Q75" s="177">
        <f>IF($A$1="BL",0,'Peak Hours'!Q75*Peak!W76*'Peak Hours'!$Y75)</f>
        <v>0</v>
      </c>
      <c r="R75" s="177">
        <f>IF($A$1="BL",0,'Peak Hours'!R75*Peak!X76*'Peak Hours'!$Y75)</f>
        <v>0</v>
      </c>
      <c r="S75" s="177">
        <f>IF($A$1="BL",0,'Peak Hours'!S75*Peak!Y76*'Peak Hours'!$Y75)</f>
        <v>0</v>
      </c>
      <c r="T75" s="177">
        <f>IF($A$1="BL",0,'Peak Hours'!T75*Peak!Z76*'Peak Hours'!$Y75)</f>
        <v>0</v>
      </c>
      <c r="U75" s="177">
        <f>IF($A$1="BL",0,'Peak Hours'!U75*Peak!AA76*'Peak Hours'!$Y75)</f>
        <v>0</v>
      </c>
      <c r="V75" s="207"/>
      <c r="W75" s="203">
        <f>(IF($A$1="BL",0,Peak!C76*'Peak Hours'!V75*'Peak Hours'!$Y75))*-1</f>
        <v>-4722062.3899129247</v>
      </c>
      <c r="X75" s="207"/>
      <c r="Y75" s="203">
        <f>(IF($A$1="bl",0,Peak!D76*'Peak Hours'!V75*'Peak Hours'!$Y75))*-1</f>
        <v>-82379.665296481457</v>
      </c>
      <c r="Z75" s="207"/>
      <c r="AA75" s="203">
        <f>(Peak!E76*'Peak Hours'!V75*'Peak Hours'!$Y75)*-1</f>
        <v>0</v>
      </c>
      <c r="AB75" s="204"/>
      <c r="AC75" s="203">
        <f>(Peak!F76*'Peak Hours'!V75*'Peak Hours'!$Y75)*-1</f>
        <v>0</v>
      </c>
      <c r="AD75" s="204"/>
    </row>
    <row r="76" spans="1:30" x14ac:dyDescent="0.2">
      <c r="A76" s="1">
        <f t="shared" ref="A76:A139" si="1">A75+30.417</f>
        <v>38547.522000000085</v>
      </c>
      <c r="B76" s="177">
        <f>IF($A$1="BL",0,'Peak Hours'!B76*Peak!H77*'Peak Hours'!$Y76)</f>
        <v>1834419.7549830955</v>
      </c>
      <c r="C76" s="177">
        <f>IF($A$1="BL",0,'Peak Hours'!C76*Peak!I77*'Peak Hours'!$Y76)</f>
        <v>1238914.3521247297</v>
      </c>
      <c r="D76" s="177">
        <f>IF($A$1="BL",0,'Peak Hours'!D76*Peak!J77*'Peak Hours'!$Y76)</f>
        <v>1805740.5773499578</v>
      </c>
      <c r="E76" s="177">
        <f>IF($A$1="BL",0,'Peak Hours'!E76*Peak!K77*'Peak Hours'!$Y76)</f>
        <v>2510112.0922378446</v>
      </c>
      <c r="F76" s="177">
        <f>IF($A$1="BL",0,'Peak Hours'!F76*Peak!L77*'Peak Hours'!$Y76)</f>
        <v>1883499.6365913111</v>
      </c>
      <c r="G76" s="177">
        <f>IF($A$1="BL",0,'Peak Hours'!G76*Peak!M77*'Peak Hours'!$Y76)</f>
        <v>2066824.4780425983</v>
      </c>
      <c r="H76" s="177">
        <f>IF($A$1="BL",0,'Peak Hours'!H76*Peak!N77*'Peak Hours'!$Y76)</f>
        <v>1519954.7910770914</v>
      </c>
      <c r="I76" s="177">
        <f>IF($A$1="BL",0,'Peak Hours'!I76*Peak!O77*'Peak Hours'!$Y76)</f>
        <v>1371923.4905116763</v>
      </c>
      <c r="J76" s="177">
        <f>IF($A$1="BL",0,'Peak Hours'!J76*Peak!P77*'Peak Hours'!$Y76)</f>
        <v>1345887.5737603959</v>
      </c>
      <c r="K76" s="177">
        <f>IF($A$1="BL",0,'Peak Hours'!K76*Peak!Q77*'Peak Hours'!$Y76)</f>
        <v>1117945.6492949554</v>
      </c>
      <c r="L76" s="177">
        <f>IF($A$1="BL",0,'Peak Hours'!L76*Peak!R77*'Peak Hours'!$Y76)</f>
        <v>0</v>
      </c>
      <c r="M76" s="177">
        <f>IF($A$1="BL",0,'Peak Hours'!M76*Peak!S77*'Peak Hours'!$Y76)</f>
        <v>0</v>
      </c>
      <c r="N76" s="177">
        <f>IF($A$1="BL",0,'Peak Hours'!N76*Peak!T77*'Peak Hours'!$Y76)</f>
        <v>0</v>
      </c>
      <c r="O76" s="177">
        <f>IF($A$1="BL",0,'Peak Hours'!O76*Peak!U77*'Peak Hours'!$Y76)</f>
        <v>0</v>
      </c>
      <c r="P76" s="177">
        <f>IF($A$1="BL",0,'Peak Hours'!P76*Peak!V77*'Peak Hours'!$Y76)</f>
        <v>0</v>
      </c>
      <c r="Q76" s="177">
        <f>IF($A$1="BL",0,'Peak Hours'!Q76*Peak!W77*'Peak Hours'!$Y76)</f>
        <v>0</v>
      </c>
      <c r="R76" s="177">
        <f>IF($A$1="BL",0,'Peak Hours'!R76*Peak!X77*'Peak Hours'!$Y76)</f>
        <v>0</v>
      </c>
      <c r="S76" s="177">
        <f>IF($A$1="BL",0,'Peak Hours'!S76*Peak!Y77*'Peak Hours'!$Y76)</f>
        <v>0</v>
      </c>
      <c r="T76" s="177">
        <f>IF($A$1="BL",0,'Peak Hours'!T76*Peak!Z77*'Peak Hours'!$Y76)</f>
        <v>0</v>
      </c>
      <c r="U76" s="177">
        <f>IF($A$1="BL",0,'Peak Hours'!U76*Peak!AA77*'Peak Hours'!$Y76)</f>
        <v>0</v>
      </c>
      <c r="V76" s="207"/>
      <c r="W76" s="203">
        <f>(IF($A$1="BL",0,Peak!C77*'Peak Hours'!V76*'Peak Hours'!$Y76))*-1</f>
        <v>-6799172.1120581664</v>
      </c>
      <c r="X76" s="207"/>
      <c r="Y76" s="203">
        <f>(IF($A$1="bl",0,Peak!D77*'Peak Hours'!V76*'Peak Hours'!$Y76))*-1</f>
        <v>-119191.17128914992</v>
      </c>
      <c r="Z76" s="207"/>
      <c r="AA76" s="203">
        <f>(Peak!E77*'Peak Hours'!V76*'Peak Hours'!$Y76)*-1</f>
        <v>0</v>
      </c>
      <c r="AB76" s="204"/>
      <c r="AC76" s="203">
        <f>(Peak!F77*'Peak Hours'!V76*'Peak Hours'!$Y76)*-1</f>
        <v>0</v>
      </c>
      <c r="AD76" s="204"/>
    </row>
    <row r="77" spans="1:30" x14ac:dyDescent="0.2">
      <c r="A77" s="1">
        <f t="shared" si="1"/>
        <v>38577.939000000086</v>
      </c>
      <c r="B77" s="177">
        <f>IF($A$1="BL",0,'Peak Hours'!B77*Peak!H78*'Peak Hours'!$Y77)</f>
        <v>2889988.3295139433</v>
      </c>
      <c r="C77" s="177">
        <f>IF($A$1="BL",0,'Peak Hours'!C77*Peak!I78*'Peak Hours'!$Y77)</f>
        <v>1676271.4659935744</v>
      </c>
      <c r="D77" s="177">
        <f>IF($A$1="BL",0,'Peak Hours'!D77*Peak!J78*'Peak Hours'!$Y77)</f>
        <v>2297688.6491575628</v>
      </c>
      <c r="E77" s="177">
        <f>IF($A$1="BL",0,'Peak Hours'!E77*Peak!K78*'Peak Hours'!$Y77)</f>
        <v>2879224.7428419855</v>
      </c>
      <c r="F77" s="177">
        <f>IF($A$1="BL",0,'Peak Hours'!F77*Peak!L78*'Peak Hours'!$Y77)</f>
        <v>2102638.8329503457</v>
      </c>
      <c r="G77" s="177">
        <f>IF($A$1="BL",0,'Peak Hours'!G77*Peak!M78*'Peak Hours'!$Y77)</f>
        <v>2519059.0811594981</v>
      </c>
      <c r="H77" s="177">
        <f>IF($A$1="BL",0,'Peak Hours'!H77*Peak!N78*'Peak Hours'!$Y77)</f>
        <v>1917245.1821391981</v>
      </c>
      <c r="I77" s="177">
        <f>IF($A$1="BL",0,'Peak Hours'!I77*Peak!O78*'Peak Hours'!$Y77)</f>
        <v>1727591.4746680744</v>
      </c>
      <c r="J77" s="177">
        <f>IF($A$1="BL",0,'Peak Hours'!J77*Peak!P78*'Peak Hours'!$Y77)</f>
        <v>1596732.6600569375</v>
      </c>
      <c r="K77" s="177">
        <f>IF($A$1="BL",0,'Peak Hours'!K77*Peak!Q78*'Peak Hours'!$Y77)</f>
        <v>1203084.626676511</v>
      </c>
      <c r="L77" s="177">
        <f>IF($A$1="BL",0,'Peak Hours'!L77*Peak!R78*'Peak Hours'!$Y77)</f>
        <v>1050521.538110533</v>
      </c>
      <c r="M77" s="177">
        <f>IF($A$1="BL",0,'Peak Hours'!M77*Peak!S78*'Peak Hours'!$Y77)</f>
        <v>0</v>
      </c>
      <c r="N77" s="177">
        <f>IF($A$1="BL",0,'Peak Hours'!N77*Peak!T78*'Peak Hours'!$Y77)</f>
        <v>0</v>
      </c>
      <c r="O77" s="177">
        <f>IF($A$1="BL",0,'Peak Hours'!O77*Peak!U78*'Peak Hours'!$Y77)</f>
        <v>0</v>
      </c>
      <c r="P77" s="177">
        <f>IF($A$1="BL",0,'Peak Hours'!P77*Peak!V78*'Peak Hours'!$Y77)</f>
        <v>0</v>
      </c>
      <c r="Q77" s="177">
        <f>IF($A$1="BL",0,'Peak Hours'!Q77*Peak!W78*'Peak Hours'!$Y77)</f>
        <v>0</v>
      </c>
      <c r="R77" s="177">
        <f>IF($A$1="BL",0,'Peak Hours'!R77*Peak!X78*'Peak Hours'!$Y77)</f>
        <v>0</v>
      </c>
      <c r="S77" s="177">
        <f>IF($A$1="BL",0,'Peak Hours'!S77*Peak!Y78*'Peak Hours'!$Y77)</f>
        <v>0</v>
      </c>
      <c r="T77" s="177">
        <f>IF($A$1="BL",0,'Peak Hours'!T77*Peak!Z78*'Peak Hours'!$Y77)</f>
        <v>0</v>
      </c>
      <c r="U77" s="177">
        <f>IF($A$1="BL",0,'Peak Hours'!U77*Peak!AA78*'Peak Hours'!$Y77)</f>
        <v>0</v>
      </c>
      <c r="V77" s="207"/>
      <c r="W77" s="203">
        <f>(IF($A$1="BL",0,Peak!C78*'Peak Hours'!V77*'Peak Hours'!$Y77))*-1</f>
        <v>-7438410.515755943</v>
      </c>
      <c r="X77" s="207"/>
      <c r="Y77" s="203">
        <f>(IF($A$1="bl",0,Peak!D78*'Peak Hours'!V77*'Peak Hours'!$Y77))*-1</f>
        <v>-137757.48835534445</v>
      </c>
      <c r="Z77" s="207"/>
      <c r="AA77" s="203">
        <f>(Peak!E78*'Peak Hours'!V77*'Peak Hours'!$Y77)*-1</f>
        <v>0</v>
      </c>
      <c r="AB77" s="204"/>
      <c r="AC77" s="203">
        <f>(Peak!F78*'Peak Hours'!V77*'Peak Hours'!$Y77)*-1</f>
        <v>0</v>
      </c>
      <c r="AD77" s="204"/>
    </row>
    <row r="78" spans="1:30" x14ac:dyDescent="0.2">
      <c r="A78" s="1">
        <f t="shared" si="1"/>
        <v>38608.356000000087</v>
      </c>
      <c r="B78" s="177">
        <f>IF($A$1="BL",0,'Peak Hours'!B78*Peak!H79*'Peak Hours'!$Y78)</f>
        <v>662310.40726225125</v>
      </c>
      <c r="C78" s="177">
        <f>IF($A$1="BL",0,'Peak Hours'!C78*Peak!I79*'Peak Hours'!$Y78)</f>
        <v>542652.17010458524</v>
      </c>
      <c r="D78" s="177">
        <f>IF($A$1="BL",0,'Peak Hours'!D78*Peak!J79*'Peak Hours'!$Y78)</f>
        <v>899210.52620664926</v>
      </c>
      <c r="E78" s="177">
        <f>IF($A$1="BL",0,'Peak Hours'!E78*Peak!K79*'Peak Hours'!$Y78)</f>
        <v>1161301.6570862001</v>
      </c>
      <c r="F78" s="177">
        <f>IF($A$1="BL",0,'Peak Hours'!F78*Peak!L79*'Peak Hours'!$Y78)</f>
        <v>890976.19335074141</v>
      </c>
      <c r="G78" s="177">
        <f>IF($A$1="BL",0,'Peak Hours'!G78*Peak!M79*'Peak Hours'!$Y78)</f>
        <v>1613406.6026583342</v>
      </c>
      <c r="H78" s="177">
        <f>IF($A$1="BL",0,'Peak Hours'!H78*Peak!N79*'Peak Hours'!$Y78)</f>
        <v>1558572.5727416787</v>
      </c>
      <c r="I78" s="177">
        <f>IF($A$1="BL",0,'Peak Hours'!I78*Peak!O79*'Peak Hours'!$Y78)</f>
        <v>1274096.1727443708</v>
      </c>
      <c r="J78" s="177">
        <f>IF($A$1="BL",0,'Peak Hours'!J78*Peak!P79*'Peak Hours'!$Y78)</f>
        <v>1039575.7374133312</v>
      </c>
      <c r="K78" s="177">
        <f>IF($A$1="BL",0,'Peak Hours'!K78*Peak!Q79*'Peak Hours'!$Y78)</f>
        <v>0</v>
      </c>
      <c r="L78" s="177">
        <f>IF($A$1="BL",0,'Peak Hours'!L78*Peak!R79*'Peak Hours'!$Y78)</f>
        <v>0</v>
      </c>
      <c r="M78" s="177">
        <f>IF($A$1="BL",0,'Peak Hours'!M78*Peak!S79*'Peak Hours'!$Y78)</f>
        <v>0</v>
      </c>
      <c r="N78" s="177">
        <f>IF($A$1="BL",0,'Peak Hours'!N78*Peak!T79*'Peak Hours'!$Y78)</f>
        <v>0</v>
      </c>
      <c r="O78" s="177">
        <f>IF($A$1="BL",0,'Peak Hours'!O78*Peak!U79*'Peak Hours'!$Y78)</f>
        <v>0</v>
      </c>
      <c r="P78" s="177">
        <f>IF($A$1="BL",0,'Peak Hours'!P78*Peak!V79*'Peak Hours'!$Y78)</f>
        <v>0</v>
      </c>
      <c r="Q78" s="177">
        <f>IF($A$1="BL",0,'Peak Hours'!Q78*Peak!W79*'Peak Hours'!$Y78)</f>
        <v>0</v>
      </c>
      <c r="R78" s="177">
        <f>IF($A$1="BL",0,'Peak Hours'!R78*Peak!X79*'Peak Hours'!$Y78)</f>
        <v>0</v>
      </c>
      <c r="S78" s="177">
        <f>IF($A$1="BL",0,'Peak Hours'!S78*Peak!Y79*'Peak Hours'!$Y78)</f>
        <v>0</v>
      </c>
      <c r="T78" s="177">
        <f>IF($A$1="BL",0,'Peak Hours'!T78*Peak!Z79*'Peak Hours'!$Y78)</f>
        <v>0</v>
      </c>
      <c r="U78" s="177">
        <f>IF($A$1="BL",0,'Peak Hours'!U78*Peak!AA79*'Peak Hours'!$Y78)</f>
        <v>0</v>
      </c>
      <c r="V78" s="207"/>
      <c r="W78" s="203">
        <f>(IF($A$1="BL",0,Peak!C79*'Peak Hours'!V78*'Peak Hours'!$Y78))*-1</f>
        <v>-5345852.1064817822</v>
      </c>
      <c r="X78" s="207"/>
      <c r="Y78" s="203">
        <f>(IF($A$1="bl",0,Peak!D79*'Peak Hours'!V78*'Peak Hours'!$Y78))*-1</f>
        <v>-99501.994305611006</v>
      </c>
      <c r="Z78" s="207"/>
      <c r="AA78" s="203">
        <f>(Peak!E79*'Peak Hours'!V78*'Peak Hours'!$Y78)*-1</f>
        <v>0</v>
      </c>
      <c r="AB78" s="204"/>
      <c r="AC78" s="203">
        <f>(Peak!F79*'Peak Hours'!V78*'Peak Hours'!$Y78)*-1</f>
        <v>0</v>
      </c>
      <c r="AD78" s="204"/>
    </row>
    <row r="79" spans="1:30" x14ac:dyDescent="0.2">
      <c r="A79" s="1">
        <f t="shared" si="1"/>
        <v>38638.773000000088</v>
      </c>
      <c r="B79" s="177">
        <f>IF($A$1="BL",0,'Peak Hours'!B79*Peak!H80*'Peak Hours'!$Y79)</f>
        <v>237242.54228271489</v>
      </c>
      <c r="C79" s="177">
        <f>IF($A$1="BL",0,'Peak Hours'!C79*Peak!I80*'Peak Hours'!$Y79)</f>
        <v>216754.06470825753</v>
      </c>
      <c r="D79" s="177">
        <f>IF($A$1="BL",0,'Peak Hours'!D79*Peak!J80*'Peak Hours'!$Y79)</f>
        <v>408939.2754111347</v>
      </c>
      <c r="E79" s="177">
        <f>IF($A$1="BL",0,'Peak Hours'!E79*Peak!K80*'Peak Hours'!$Y79)</f>
        <v>787912.00202382484</v>
      </c>
      <c r="F79" s="177">
        <f>IF($A$1="BL",0,'Peak Hours'!F79*Peak!L80*'Peak Hours'!$Y79)</f>
        <v>757686.74098344578</v>
      </c>
      <c r="G79" s="177">
        <f>IF($A$1="BL",0,'Peak Hours'!G79*Peak!M80*'Peak Hours'!$Y79)</f>
        <v>1413962.50347742</v>
      </c>
      <c r="H79" s="177">
        <f>IF($A$1="BL",0,'Peak Hours'!H79*Peak!N80*'Peak Hours'!$Y79)</f>
        <v>1394065.9056503945</v>
      </c>
      <c r="I79" s="177">
        <f>IF($A$1="BL",0,'Peak Hours'!I79*Peak!O80*'Peak Hours'!$Y79)</f>
        <v>1359696.5055889843</v>
      </c>
      <c r="J79" s="177">
        <f>IF($A$1="BL",0,'Peak Hours'!J79*Peak!P80*'Peak Hours'!$Y79)</f>
        <v>1127666.0277900037</v>
      </c>
      <c r="K79" s="177">
        <f>IF($A$1="BL",0,'Peak Hours'!K79*Peak!Q80*'Peak Hours'!$Y79)</f>
        <v>0</v>
      </c>
      <c r="L79" s="177">
        <f>IF($A$1="BL",0,'Peak Hours'!L79*Peak!R80*'Peak Hours'!$Y79)</f>
        <v>0</v>
      </c>
      <c r="M79" s="177">
        <f>IF($A$1="BL",0,'Peak Hours'!M79*Peak!S80*'Peak Hours'!$Y79)</f>
        <v>0</v>
      </c>
      <c r="N79" s="177">
        <f>IF($A$1="BL",0,'Peak Hours'!N79*Peak!T80*'Peak Hours'!$Y79)</f>
        <v>0</v>
      </c>
      <c r="O79" s="177">
        <f>IF($A$1="BL",0,'Peak Hours'!O79*Peak!U80*'Peak Hours'!$Y79)</f>
        <v>0</v>
      </c>
      <c r="P79" s="177">
        <f>IF($A$1="BL",0,'Peak Hours'!P79*Peak!V80*'Peak Hours'!$Y79)</f>
        <v>0</v>
      </c>
      <c r="Q79" s="177">
        <f>IF($A$1="BL",0,'Peak Hours'!Q79*Peak!W80*'Peak Hours'!$Y79)</f>
        <v>0</v>
      </c>
      <c r="R79" s="177">
        <f>IF($A$1="BL",0,'Peak Hours'!R79*Peak!X80*'Peak Hours'!$Y79)</f>
        <v>0</v>
      </c>
      <c r="S79" s="177">
        <f>IF($A$1="BL",0,'Peak Hours'!S79*Peak!Y80*'Peak Hours'!$Y79)</f>
        <v>0</v>
      </c>
      <c r="T79" s="177">
        <f>IF($A$1="BL",0,'Peak Hours'!T79*Peak!Z80*'Peak Hours'!$Y79)</f>
        <v>0</v>
      </c>
      <c r="U79" s="177">
        <f>IF($A$1="BL",0,'Peak Hours'!U79*Peak!AA80*'Peak Hours'!$Y79)</f>
        <v>0</v>
      </c>
      <c r="V79" s="207"/>
      <c r="W79" s="203">
        <f>(IF($A$1="BL",0,Peak!C80*'Peak Hours'!V79*'Peak Hours'!$Y79))*-1</f>
        <v>-5920546.1739199124</v>
      </c>
      <c r="X79" s="207"/>
      <c r="Y79" s="203">
        <f>(IF($A$1="bl",0,Peak!D80*'Peak Hours'!V79*'Peak Hours'!$Y79))*-1</f>
        <v>-99667.830962787033</v>
      </c>
      <c r="Z79" s="207"/>
      <c r="AA79" s="203">
        <f>(Peak!E80*'Peak Hours'!V79*'Peak Hours'!$Y79)*-1</f>
        <v>0</v>
      </c>
      <c r="AB79" s="204"/>
      <c r="AC79" s="203">
        <f>(Peak!F80*'Peak Hours'!V79*'Peak Hours'!$Y79)*-1</f>
        <v>0</v>
      </c>
      <c r="AD79" s="204"/>
    </row>
    <row r="80" spans="1:30" x14ac:dyDescent="0.2">
      <c r="A80" s="1">
        <f t="shared" si="1"/>
        <v>38669.19000000009</v>
      </c>
      <c r="B80" s="177">
        <f>IF($A$1="BL",0,'Peak Hours'!B80*Peak!H81*'Peak Hours'!$Y80)</f>
        <v>263183.6416464069</v>
      </c>
      <c r="C80" s="177">
        <f>IF($A$1="BL",0,'Peak Hours'!C80*Peak!I81*'Peak Hours'!$Y80)</f>
        <v>245984.69212214777</v>
      </c>
      <c r="D80" s="177">
        <f>IF($A$1="BL",0,'Peak Hours'!D80*Peak!J81*'Peak Hours'!$Y80)</f>
        <v>450020.36949280009</v>
      </c>
      <c r="E80" s="177">
        <f>IF($A$1="BL",0,'Peak Hours'!E80*Peak!K81*'Peak Hours'!$Y80)</f>
        <v>860813.33314700576</v>
      </c>
      <c r="F80" s="177">
        <f>IF($A$1="BL",0,'Peak Hours'!F80*Peak!L81*'Peak Hours'!$Y80)</f>
        <v>815240.00519721664</v>
      </c>
      <c r="G80" s="177">
        <f>IF($A$1="BL",0,'Peak Hours'!G80*Peak!M81*'Peak Hours'!$Y80)</f>
        <v>1565551.8023990998</v>
      </c>
      <c r="H80" s="177">
        <f>IF($A$1="BL",0,'Peak Hours'!H80*Peak!N81*'Peak Hours'!$Y80)</f>
        <v>1559978.3673803578</v>
      </c>
      <c r="I80" s="177">
        <f>IF($A$1="BL",0,'Peak Hours'!I80*Peak!O81*'Peak Hours'!$Y80)</f>
        <v>1430648.2485677537</v>
      </c>
      <c r="J80" s="177">
        <f>IF($A$1="BL",0,'Peak Hours'!J80*Peak!P81*'Peak Hours'!$Y80)</f>
        <v>0</v>
      </c>
      <c r="K80" s="177">
        <f>IF($A$1="BL",0,'Peak Hours'!K80*Peak!Q81*'Peak Hours'!$Y80)</f>
        <v>0</v>
      </c>
      <c r="L80" s="177">
        <f>IF($A$1="BL",0,'Peak Hours'!L80*Peak!R81*'Peak Hours'!$Y80)</f>
        <v>0</v>
      </c>
      <c r="M80" s="177">
        <f>IF($A$1="BL",0,'Peak Hours'!M80*Peak!S81*'Peak Hours'!$Y80)</f>
        <v>0</v>
      </c>
      <c r="N80" s="177">
        <f>IF($A$1="BL",0,'Peak Hours'!N80*Peak!T81*'Peak Hours'!$Y80)</f>
        <v>0</v>
      </c>
      <c r="O80" s="177">
        <f>IF($A$1="BL",0,'Peak Hours'!O80*Peak!U81*'Peak Hours'!$Y80)</f>
        <v>0</v>
      </c>
      <c r="P80" s="177">
        <f>IF($A$1="BL",0,'Peak Hours'!P80*Peak!V81*'Peak Hours'!$Y80)</f>
        <v>0</v>
      </c>
      <c r="Q80" s="177">
        <f>IF($A$1="BL",0,'Peak Hours'!Q80*Peak!W81*'Peak Hours'!$Y80)</f>
        <v>0</v>
      </c>
      <c r="R80" s="177">
        <f>IF($A$1="BL",0,'Peak Hours'!R80*Peak!X81*'Peak Hours'!$Y80)</f>
        <v>0</v>
      </c>
      <c r="S80" s="177">
        <f>IF($A$1="BL",0,'Peak Hours'!S80*Peak!Y81*'Peak Hours'!$Y80)</f>
        <v>0</v>
      </c>
      <c r="T80" s="177">
        <f>IF($A$1="BL",0,'Peak Hours'!T80*Peak!Z81*'Peak Hours'!$Y80)</f>
        <v>0</v>
      </c>
      <c r="U80" s="177">
        <f>IF($A$1="BL",0,'Peak Hours'!U80*Peak!AA81*'Peak Hours'!$Y80)</f>
        <v>0</v>
      </c>
      <c r="V80" s="207"/>
      <c r="W80" s="203">
        <f>(IF($A$1="BL",0,Peak!C81*'Peak Hours'!V80*'Peak Hours'!$Y80))*-1</f>
        <v>-5304491.5485979756</v>
      </c>
      <c r="X80" s="207"/>
      <c r="Y80" s="203">
        <f>(IF($A$1="bl",0,Peak!D81*'Peak Hours'!V80*'Peak Hours'!$Y80))*-1</f>
        <v>-81682.317829956839</v>
      </c>
      <c r="Z80" s="207"/>
      <c r="AA80" s="203">
        <f>(Peak!E81*'Peak Hours'!V80*'Peak Hours'!$Y80)*-1</f>
        <v>0</v>
      </c>
      <c r="AB80" s="204"/>
      <c r="AC80" s="203">
        <f>(Peak!F81*'Peak Hours'!V80*'Peak Hours'!$Y80)*-1</f>
        <v>0</v>
      </c>
      <c r="AD80" s="204"/>
    </row>
    <row r="81" spans="1:30" x14ac:dyDescent="0.2">
      <c r="A81" s="1">
        <f t="shared" si="1"/>
        <v>38699.607000000091</v>
      </c>
      <c r="B81" s="177">
        <f>IF($A$1="BL",0,'Peak Hours'!B81*Peak!H82*'Peak Hours'!$Y81)</f>
        <v>294819.74285167665</v>
      </c>
      <c r="C81" s="177">
        <f>IF($A$1="BL",0,'Peak Hours'!C81*Peak!I82*'Peak Hours'!$Y81)</f>
        <v>285186.20779610809</v>
      </c>
      <c r="D81" s="177">
        <f>IF($A$1="BL",0,'Peak Hours'!D81*Peak!J82*'Peak Hours'!$Y81)</f>
        <v>550814.32222796907</v>
      </c>
      <c r="E81" s="177">
        <f>IF($A$1="BL",0,'Peak Hours'!E81*Peak!K82*'Peak Hours'!$Y81)</f>
        <v>1049004.6360725206</v>
      </c>
      <c r="F81" s="177">
        <f>IF($A$1="BL",0,'Peak Hours'!F81*Peak!L82*'Peak Hours'!$Y81)</f>
        <v>997884.62169460626</v>
      </c>
      <c r="G81" s="177">
        <f>IF($A$1="BL",0,'Peak Hours'!G81*Peak!M82*'Peak Hours'!$Y81)</f>
        <v>1989765.8995312105</v>
      </c>
      <c r="H81" s="177">
        <f>IF($A$1="BL",0,'Peak Hours'!H81*Peak!N82*'Peak Hours'!$Y81)</f>
        <v>1924507.4041857095</v>
      </c>
      <c r="I81" s="177">
        <f>IF($A$1="BL",0,'Peak Hours'!I81*Peak!O82*'Peak Hours'!$Y81)</f>
        <v>1619090.0515409524</v>
      </c>
      <c r="J81" s="177">
        <f>IF($A$1="BL",0,'Peak Hours'!J81*Peak!P82*'Peak Hours'!$Y81)</f>
        <v>1366854.1212993904</v>
      </c>
      <c r="K81" s="177">
        <f>IF($A$1="BL",0,'Peak Hours'!K81*Peak!Q82*'Peak Hours'!$Y81)</f>
        <v>0</v>
      </c>
      <c r="L81" s="177">
        <f>IF($A$1="BL",0,'Peak Hours'!L81*Peak!R82*'Peak Hours'!$Y81)</f>
        <v>0</v>
      </c>
      <c r="M81" s="177">
        <f>IF($A$1="BL",0,'Peak Hours'!M81*Peak!S82*'Peak Hours'!$Y81)</f>
        <v>0</v>
      </c>
      <c r="N81" s="177">
        <f>IF($A$1="BL",0,'Peak Hours'!N81*Peak!T82*'Peak Hours'!$Y81)</f>
        <v>0</v>
      </c>
      <c r="O81" s="177">
        <f>IF($A$1="BL",0,'Peak Hours'!O81*Peak!U82*'Peak Hours'!$Y81)</f>
        <v>0</v>
      </c>
      <c r="P81" s="177">
        <f>IF($A$1="BL",0,'Peak Hours'!P81*Peak!V82*'Peak Hours'!$Y81)</f>
        <v>0</v>
      </c>
      <c r="Q81" s="177">
        <f>IF($A$1="BL",0,'Peak Hours'!Q81*Peak!W82*'Peak Hours'!$Y81)</f>
        <v>0</v>
      </c>
      <c r="R81" s="177">
        <f>IF($A$1="BL",0,'Peak Hours'!R81*Peak!X82*'Peak Hours'!$Y81)</f>
        <v>0</v>
      </c>
      <c r="S81" s="177">
        <f>IF($A$1="BL",0,'Peak Hours'!S81*Peak!Y82*'Peak Hours'!$Y81)</f>
        <v>0</v>
      </c>
      <c r="T81" s="177">
        <f>IF($A$1="BL",0,'Peak Hours'!T81*Peak!Z82*'Peak Hours'!$Y81)</f>
        <v>0</v>
      </c>
      <c r="U81" s="177">
        <f>IF($A$1="BL",0,'Peak Hours'!U81*Peak!AA82*'Peak Hours'!$Y81)</f>
        <v>0</v>
      </c>
      <c r="V81" s="208">
        <f>SUM(B70:U81)</f>
        <v>109276259.30194648</v>
      </c>
      <c r="W81" s="203">
        <f>(IF($A$1="BL",0,Peak!C82*'Peak Hours'!V81*'Peak Hours'!$Y81))*-1</f>
        <v>-6826081.2640364012</v>
      </c>
      <c r="X81" s="208">
        <f>SUM(W70:W81)</f>
        <v>-62532308.354626089</v>
      </c>
      <c r="Y81" s="203">
        <f>(IF($A$1="bl",0,Peak!D82*'Peak Hours'!V81*'Peak Hours'!$Y81))*-1</f>
        <v>-97292.600541116495</v>
      </c>
      <c r="Z81" s="208">
        <f>SUM(Y70:Y81)</f>
        <v>-1044934.5559591956</v>
      </c>
      <c r="AA81" s="203">
        <f>(Peak!E82*'Peak Hours'!V81*'Peak Hours'!$Y81)*-1</f>
        <v>0</v>
      </c>
      <c r="AB81" s="205">
        <f>SUM(AA70:AA81)</f>
        <v>0</v>
      </c>
      <c r="AC81" s="203">
        <f>(Peak!F82*'Peak Hours'!V81*'Peak Hours'!$Y81)*-1</f>
        <v>0</v>
      </c>
      <c r="AD81" s="205">
        <f>SUM(AC70:AC81)</f>
        <v>0</v>
      </c>
    </row>
    <row r="82" spans="1:30" x14ac:dyDescent="0.2">
      <c r="A82" s="1">
        <f t="shared" si="1"/>
        <v>38730.024000000092</v>
      </c>
      <c r="B82" s="177">
        <f>IF($A$1="BL",0,'Peak Hours'!B82*Peak!H83*'Peak Hours'!$Y82)</f>
        <v>296066.06214581843</v>
      </c>
      <c r="C82" s="177">
        <f>IF($A$1="BL",0,'Peak Hours'!C82*Peak!I83*'Peak Hours'!$Y82)</f>
        <v>258936.10317083905</v>
      </c>
      <c r="D82" s="177">
        <f>IF($A$1="BL",0,'Peak Hours'!D82*Peak!J83*'Peak Hours'!$Y82)</f>
        <v>469080.55346540431</v>
      </c>
      <c r="E82" s="177">
        <f>IF($A$1="BL",0,'Peak Hours'!E82*Peak!K83*'Peak Hours'!$Y82)</f>
        <v>861524.21838014247</v>
      </c>
      <c r="F82" s="177">
        <f>IF($A$1="BL",0,'Peak Hours'!F82*Peak!L83*'Peak Hours'!$Y82)</f>
        <v>826925.06242247333</v>
      </c>
      <c r="G82" s="177">
        <f>IF($A$1="BL",0,'Peak Hours'!G82*Peak!M83*'Peak Hours'!$Y82)</f>
        <v>1556844.9664698001</v>
      </c>
      <c r="H82" s="177">
        <f>IF($A$1="BL",0,'Peak Hours'!H82*Peak!N83*'Peak Hours'!$Y82)</f>
        <v>1478146.3945147039</v>
      </c>
      <c r="I82" s="177">
        <f>IF($A$1="BL",0,'Peak Hours'!I82*Peak!O83*'Peak Hours'!$Y82)</f>
        <v>1472192.3760885291</v>
      </c>
      <c r="J82" s="177">
        <f>IF($A$1="BL",0,'Peak Hours'!J82*Peak!P83*'Peak Hours'!$Y82)</f>
        <v>1353025.9530048408</v>
      </c>
      <c r="K82" s="177">
        <f>IF($A$1="BL",0,'Peak Hours'!K82*Peak!Q83*'Peak Hours'!$Y82)</f>
        <v>0</v>
      </c>
      <c r="L82" s="177">
        <f>IF($A$1="BL",0,'Peak Hours'!L82*Peak!R83*'Peak Hours'!$Y82)</f>
        <v>0</v>
      </c>
      <c r="M82" s="177">
        <f>IF($A$1="BL",0,'Peak Hours'!M82*Peak!S83*'Peak Hours'!$Y82)</f>
        <v>0</v>
      </c>
      <c r="N82" s="177">
        <f>IF($A$1="BL",0,'Peak Hours'!N82*Peak!T83*'Peak Hours'!$Y82)</f>
        <v>0</v>
      </c>
      <c r="O82" s="177">
        <f>IF($A$1="BL",0,'Peak Hours'!O82*Peak!U83*'Peak Hours'!$Y82)</f>
        <v>0</v>
      </c>
      <c r="P82" s="177">
        <f>IF($A$1="BL",0,'Peak Hours'!P82*Peak!V83*'Peak Hours'!$Y82)</f>
        <v>0</v>
      </c>
      <c r="Q82" s="177">
        <f>IF($A$1="BL",0,'Peak Hours'!Q82*Peak!W83*'Peak Hours'!$Y82)</f>
        <v>0</v>
      </c>
      <c r="R82" s="177">
        <f>IF($A$1="BL",0,'Peak Hours'!R82*Peak!X83*'Peak Hours'!$Y82)</f>
        <v>0</v>
      </c>
      <c r="S82" s="177">
        <f>IF($A$1="BL",0,'Peak Hours'!S82*Peak!Y83*'Peak Hours'!$Y82)</f>
        <v>0</v>
      </c>
      <c r="T82" s="177">
        <f>IF($A$1="BL",0,'Peak Hours'!T82*Peak!Z83*'Peak Hours'!$Y82)</f>
        <v>0</v>
      </c>
      <c r="U82" s="177">
        <f>IF($A$1="BL",0,'Peak Hours'!U82*Peak!AA83*'Peak Hours'!$Y82)</f>
        <v>0</v>
      </c>
      <c r="V82" s="207"/>
      <c r="W82" s="203">
        <f>(IF($A$1="BL",0,Peak!C83*'Peak Hours'!V82*'Peak Hours'!$Y82))*-1</f>
        <v>-6616498.9178689765</v>
      </c>
      <c r="X82" s="207"/>
      <c r="Y82" s="203">
        <f>(IF($A$1="bl",0,Peak!D83*'Peak Hours'!V82*'Peak Hours'!$Y82))*-1</f>
        <v>-97454.754875351704</v>
      </c>
      <c r="Z82" s="207"/>
      <c r="AA82" s="203">
        <f>(Peak!E83*'Peak Hours'!V82*'Peak Hours'!$Y82)*-1</f>
        <v>0</v>
      </c>
      <c r="AB82" s="204"/>
      <c r="AC82" s="203">
        <f>(Peak!F83*'Peak Hours'!V82*'Peak Hours'!$Y82)*-1</f>
        <v>0</v>
      </c>
      <c r="AD82" s="204"/>
    </row>
    <row r="83" spans="1:30" x14ac:dyDescent="0.2">
      <c r="A83" s="1">
        <f t="shared" si="1"/>
        <v>38760.441000000093</v>
      </c>
      <c r="B83" s="177">
        <f>IF($A$1="BL",0,'Peak Hours'!B83*Peak!H84*'Peak Hours'!$Y83)</f>
        <v>250965.30609156165</v>
      </c>
      <c r="C83" s="177">
        <f>IF($A$1="BL",0,'Peak Hours'!C83*Peak!I84*'Peak Hours'!$Y83)</f>
        <v>241405.772997161</v>
      </c>
      <c r="D83" s="177">
        <f>IF($A$1="BL",0,'Peak Hours'!D83*Peak!J84*'Peak Hours'!$Y83)</f>
        <v>482716.57614233857</v>
      </c>
      <c r="E83" s="177">
        <f>IF($A$1="BL",0,'Peak Hours'!E83*Peak!K84*'Peak Hours'!$Y83)</f>
        <v>898678.96348346921</v>
      </c>
      <c r="F83" s="177">
        <f>IF($A$1="BL",0,'Peak Hours'!F83*Peak!L84*'Peak Hours'!$Y83)</f>
        <v>709842.03576781729</v>
      </c>
      <c r="G83" s="177">
        <f>IF($A$1="BL",0,'Peak Hours'!G83*Peak!M84*'Peak Hours'!$Y83)</f>
        <v>1365631.0212152619</v>
      </c>
      <c r="H83" s="177">
        <f>IF($A$1="BL",0,'Peak Hours'!H83*Peak!N84*'Peak Hours'!$Y83)</f>
        <v>1345208.398850824</v>
      </c>
      <c r="I83" s="177">
        <f>IF($A$1="BL",0,'Peak Hours'!I83*Peak!O84*'Peak Hours'!$Y83)</f>
        <v>1189150.7008473482</v>
      </c>
      <c r="J83" s="177">
        <f>IF($A$1="BL",0,'Peak Hours'!J83*Peak!P84*'Peak Hours'!$Y83)</f>
        <v>0</v>
      </c>
      <c r="K83" s="177">
        <f>IF($A$1="BL",0,'Peak Hours'!K83*Peak!Q84*'Peak Hours'!$Y83)</f>
        <v>0</v>
      </c>
      <c r="L83" s="177">
        <f>IF($A$1="BL",0,'Peak Hours'!L83*Peak!R84*'Peak Hours'!$Y83)</f>
        <v>0</v>
      </c>
      <c r="M83" s="177">
        <f>IF($A$1="BL",0,'Peak Hours'!M83*Peak!S84*'Peak Hours'!$Y83)</f>
        <v>0</v>
      </c>
      <c r="N83" s="177">
        <f>IF($A$1="BL",0,'Peak Hours'!N83*Peak!T84*'Peak Hours'!$Y83)</f>
        <v>0</v>
      </c>
      <c r="O83" s="177">
        <f>IF($A$1="BL",0,'Peak Hours'!O83*Peak!U84*'Peak Hours'!$Y83)</f>
        <v>0</v>
      </c>
      <c r="P83" s="177">
        <f>IF($A$1="BL",0,'Peak Hours'!P83*Peak!V84*'Peak Hours'!$Y83)</f>
        <v>0</v>
      </c>
      <c r="Q83" s="177">
        <f>IF($A$1="BL",0,'Peak Hours'!Q83*Peak!W84*'Peak Hours'!$Y83)</f>
        <v>0</v>
      </c>
      <c r="R83" s="177">
        <f>IF($A$1="BL",0,'Peak Hours'!R83*Peak!X84*'Peak Hours'!$Y83)</f>
        <v>0</v>
      </c>
      <c r="S83" s="177">
        <f>IF($A$1="BL",0,'Peak Hours'!S83*Peak!Y84*'Peak Hours'!$Y83)</f>
        <v>0</v>
      </c>
      <c r="T83" s="177">
        <f>IF($A$1="BL",0,'Peak Hours'!T83*Peak!Z84*'Peak Hours'!$Y83)</f>
        <v>0</v>
      </c>
      <c r="U83" s="177">
        <f>IF($A$1="BL",0,'Peak Hours'!U83*Peak!AA84*'Peak Hours'!$Y83)</f>
        <v>0</v>
      </c>
      <c r="V83" s="207"/>
      <c r="W83" s="203">
        <f>(IF($A$1="BL",0,Peak!C84*'Peak Hours'!V83*'Peak Hours'!$Y83))*-1</f>
        <v>-4851992.5575185204</v>
      </c>
      <c r="X83" s="207"/>
      <c r="Y83" s="203">
        <f>(IF($A$1="bl",0,Peak!D84*'Peak Hours'!V83*'Peak Hours'!$Y83))*-1</f>
        <v>-79868.60138193598</v>
      </c>
      <c r="Z83" s="207"/>
      <c r="AA83" s="203">
        <f>(Peak!E84*'Peak Hours'!V83*'Peak Hours'!$Y83)*-1</f>
        <v>0</v>
      </c>
      <c r="AB83" s="204"/>
      <c r="AC83" s="203">
        <f>(Peak!F84*'Peak Hours'!V83*'Peak Hours'!$Y83)*-1</f>
        <v>0</v>
      </c>
      <c r="AD83" s="204"/>
    </row>
    <row r="84" spans="1:30" x14ac:dyDescent="0.2">
      <c r="A84" s="1">
        <f t="shared" si="1"/>
        <v>38790.858000000095</v>
      </c>
      <c r="B84" s="177">
        <f>IF($A$1="BL",0,'Peak Hours'!B84*Peak!H85*'Peak Hours'!$Y84)</f>
        <v>295510.49822489178</v>
      </c>
      <c r="C84" s="177">
        <f>IF($A$1="BL",0,'Peak Hours'!C84*Peak!I85*'Peak Hours'!$Y84)</f>
        <v>268608.77466510673</v>
      </c>
      <c r="D84" s="177">
        <f>IF($A$1="BL",0,'Peak Hours'!D84*Peak!J85*'Peak Hours'!$Y84)</f>
        <v>467829.70089150395</v>
      </c>
      <c r="E84" s="177">
        <f>IF($A$1="BL",0,'Peak Hours'!E84*Peak!K85*'Peak Hours'!$Y84)</f>
        <v>878559.93769475434</v>
      </c>
      <c r="F84" s="177">
        <f>IF($A$1="BL",0,'Peak Hours'!F84*Peak!L85*'Peak Hours'!$Y84)</f>
        <v>835719.67628341157</v>
      </c>
      <c r="G84" s="177">
        <f>IF($A$1="BL",0,'Peak Hours'!G84*Peak!M85*'Peak Hours'!$Y84)</f>
        <v>1557886.5952762468</v>
      </c>
      <c r="H84" s="177">
        <f>IF($A$1="BL",0,'Peak Hours'!H84*Peak!N85*'Peak Hours'!$Y84)</f>
        <v>1538285.3792286464</v>
      </c>
      <c r="I84" s="177">
        <f>IF($A$1="BL",0,'Peak Hours'!I84*Peak!O85*'Peak Hours'!$Y84)</f>
        <v>1479609.7445282252</v>
      </c>
      <c r="J84" s="177">
        <f>IF($A$1="BL",0,'Peak Hours'!J84*Peak!P85*'Peak Hours'!$Y84)</f>
        <v>1213974.3606224174</v>
      </c>
      <c r="K84" s="177">
        <f>IF($A$1="BL",0,'Peak Hours'!K84*Peak!Q85*'Peak Hours'!$Y84)</f>
        <v>0</v>
      </c>
      <c r="L84" s="177">
        <f>IF($A$1="BL",0,'Peak Hours'!L84*Peak!R85*'Peak Hours'!$Y84)</f>
        <v>0</v>
      </c>
      <c r="M84" s="177">
        <f>IF($A$1="BL",0,'Peak Hours'!M84*Peak!S85*'Peak Hours'!$Y84)</f>
        <v>0</v>
      </c>
      <c r="N84" s="177">
        <f>IF($A$1="BL",0,'Peak Hours'!N84*Peak!T85*'Peak Hours'!$Y84)</f>
        <v>0</v>
      </c>
      <c r="O84" s="177">
        <f>IF($A$1="BL",0,'Peak Hours'!O84*Peak!U85*'Peak Hours'!$Y84)</f>
        <v>0</v>
      </c>
      <c r="P84" s="177">
        <f>IF($A$1="BL",0,'Peak Hours'!P84*Peak!V85*'Peak Hours'!$Y84)</f>
        <v>0</v>
      </c>
      <c r="Q84" s="177">
        <f>IF($A$1="BL",0,'Peak Hours'!Q84*Peak!W85*'Peak Hours'!$Y84)</f>
        <v>0</v>
      </c>
      <c r="R84" s="177">
        <f>IF($A$1="BL",0,'Peak Hours'!R84*Peak!X85*'Peak Hours'!$Y84)</f>
        <v>0</v>
      </c>
      <c r="S84" s="177">
        <f>IF($A$1="BL",0,'Peak Hours'!S84*Peak!Y85*'Peak Hours'!$Y84)</f>
        <v>0</v>
      </c>
      <c r="T84" s="177">
        <f>IF($A$1="BL",0,'Peak Hours'!T84*Peak!Z85*'Peak Hours'!$Y84)</f>
        <v>0</v>
      </c>
      <c r="U84" s="177">
        <f>IF($A$1="BL",0,'Peak Hours'!U84*Peak!AA85*'Peak Hours'!$Y84)</f>
        <v>0</v>
      </c>
      <c r="V84" s="207"/>
      <c r="W84" s="203">
        <f>(IF($A$1="BL",0,Peak!C85*'Peak Hours'!V84*'Peak Hours'!$Y84))*-1</f>
        <v>-5992763.9138786923</v>
      </c>
      <c r="X84" s="207"/>
      <c r="Y84" s="203">
        <f>(IF($A$1="bl",0,Peak!D85*'Peak Hours'!V84*'Peak Hours'!$Y84))*-1</f>
        <v>-100501.16938976829</v>
      </c>
      <c r="Z84" s="207"/>
      <c r="AA84" s="203">
        <f>(Peak!E85*'Peak Hours'!V84*'Peak Hours'!$Y84)*-1</f>
        <v>0</v>
      </c>
      <c r="AB84" s="204"/>
      <c r="AC84" s="203">
        <f>(Peak!F85*'Peak Hours'!V84*'Peak Hours'!$Y84)*-1</f>
        <v>0</v>
      </c>
      <c r="AD84" s="204"/>
    </row>
    <row r="85" spans="1:30" x14ac:dyDescent="0.2">
      <c r="A85" s="1">
        <f t="shared" si="1"/>
        <v>38821.275000000096</v>
      </c>
      <c r="B85" s="177">
        <f>IF($A$1="BL",0,'Peak Hours'!B85*Peak!H86*'Peak Hours'!$Y85)</f>
        <v>245931.3548656452</v>
      </c>
      <c r="C85" s="177">
        <f>IF($A$1="BL",0,'Peak Hours'!C85*Peak!I86*'Peak Hours'!$Y85)</f>
        <v>243553.26730726036</v>
      </c>
      <c r="D85" s="177">
        <f>IF($A$1="BL",0,'Peak Hours'!D85*Peak!J86*'Peak Hours'!$Y85)</f>
        <v>487106.53461452073</v>
      </c>
      <c r="E85" s="177">
        <f>IF($A$1="BL",0,'Peak Hours'!E85*Peak!K86*'Peak Hours'!$Y85)</f>
        <v>950615.54980867426</v>
      </c>
      <c r="F85" s="177">
        <f>IF($A$1="BL",0,'Peak Hours'!F85*Peak!L86*'Peak Hours'!$Y85)</f>
        <v>857524.1555705003</v>
      </c>
      <c r="G85" s="177">
        <f>IF($A$1="BL",0,'Peak Hours'!G85*Peak!M86*'Peak Hours'!$Y85)</f>
        <v>1366452.3903823984</v>
      </c>
      <c r="H85" s="177">
        <f>IF($A$1="BL",0,'Peak Hours'!H85*Peak!N86*'Peak Hours'!$Y85)</f>
        <v>1129985.5336785843</v>
      </c>
      <c r="I85" s="177">
        <f>IF($A$1="BL",0,'Peak Hours'!I85*Peak!O86*'Peak Hours'!$Y85)</f>
        <v>1083048.8110999418</v>
      </c>
      <c r="J85" s="177">
        <f>IF($A$1="BL",0,'Peak Hours'!J85*Peak!P86*'Peak Hours'!$Y85)</f>
        <v>0</v>
      </c>
      <c r="K85" s="177">
        <f>IF($A$1="BL",0,'Peak Hours'!K85*Peak!Q86*'Peak Hours'!$Y85)</f>
        <v>0</v>
      </c>
      <c r="L85" s="177">
        <f>IF($A$1="BL",0,'Peak Hours'!L85*Peak!R86*'Peak Hours'!$Y85)</f>
        <v>0</v>
      </c>
      <c r="M85" s="177">
        <f>IF($A$1="BL",0,'Peak Hours'!M85*Peak!S86*'Peak Hours'!$Y85)</f>
        <v>0</v>
      </c>
      <c r="N85" s="177">
        <f>IF($A$1="BL",0,'Peak Hours'!N85*Peak!T86*'Peak Hours'!$Y85)</f>
        <v>0</v>
      </c>
      <c r="O85" s="177">
        <f>IF($A$1="BL",0,'Peak Hours'!O85*Peak!U86*'Peak Hours'!$Y85)</f>
        <v>0</v>
      </c>
      <c r="P85" s="177">
        <f>IF($A$1="BL",0,'Peak Hours'!P85*Peak!V86*'Peak Hours'!$Y85)</f>
        <v>0</v>
      </c>
      <c r="Q85" s="177">
        <f>IF($A$1="BL",0,'Peak Hours'!Q85*Peak!W86*'Peak Hours'!$Y85)</f>
        <v>0</v>
      </c>
      <c r="R85" s="177">
        <f>IF($A$1="BL",0,'Peak Hours'!R85*Peak!X86*'Peak Hours'!$Y85)</f>
        <v>0</v>
      </c>
      <c r="S85" s="177">
        <f>IF($A$1="BL",0,'Peak Hours'!S85*Peak!Y86*'Peak Hours'!$Y85)</f>
        <v>0</v>
      </c>
      <c r="T85" s="177">
        <f>IF($A$1="BL",0,'Peak Hours'!T85*Peak!Z86*'Peak Hours'!$Y85)</f>
        <v>0</v>
      </c>
      <c r="U85" s="177">
        <f>IF($A$1="BL",0,'Peak Hours'!U85*Peak!AA86*'Peak Hours'!$Y85)</f>
        <v>0</v>
      </c>
      <c r="V85" s="207"/>
      <c r="W85" s="203">
        <f>(IF($A$1="BL",0,Peak!C86*'Peak Hours'!V85*'Peak Hours'!$Y85))*-1</f>
        <v>-4661464.8881962933</v>
      </c>
      <c r="X85" s="207"/>
      <c r="Y85" s="203">
        <f>(IF($A$1="bl",0,Peak!D86*'Peak Hours'!V85*'Peak Hours'!$Y85))*-1</f>
        <v>-82365.276549887378</v>
      </c>
      <c r="Z85" s="207"/>
      <c r="AA85" s="203">
        <f>(Peak!E86*'Peak Hours'!V85*'Peak Hours'!$Y85)*-1</f>
        <v>0</v>
      </c>
      <c r="AB85" s="204"/>
      <c r="AC85" s="203">
        <f>(Peak!F86*'Peak Hours'!V85*'Peak Hours'!$Y85)*-1</f>
        <v>0</v>
      </c>
      <c r="AD85" s="204"/>
    </row>
    <row r="86" spans="1:30" x14ac:dyDescent="0.2">
      <c r="A86" s="1">
        <f t="shared" si="1"/>
        <v>38851.692000000097</v>
      </c>
      <c r="B86" s="177">
        <f>IF($A$1="BL",0,'Peak Hours'!B86*Peak!H87*'Peak Hours'!$Y86)</f>
        <v>512194.48983516841</v>
      </c>
      <c r="C86" s="177">
        <f>IF($A$1="BL",0,'Peak Hours'!C86*Peak!I87*'Peak Hours'!$Y86)</f>
        <v>306103.73118681432</v>
      </c>
      <c r="D86" s="177">
        <f>IF($A$1="BL",0,'Peak Hours'!D86*Peak!J87*'Peak Hours'!$Y86)</f>
        <v>549901.31267224543</v>
      </c>
      <c r="E86" s="177">
        <f>IF($A$1="BL",0,'Peak Hours'!E86*Peak!K87*'Peak Hours'!$Y86)</f>
        <v>1007274.1236965272</v>
      </c>
      <c r="F86" s="177">
        <f>IF($A$1="BL",0,'Peak Hours'!F86*Peak!L87*'Peak Hours'!$Y86)</f>
        <v>983786.67438747454</v>
      </c>
      <c r="G86" s="177">
        <f>IF($A$1="BL",0,'Peak Hours'!G86*Peak!M87*'Peak Hours'!$Y86)</f>
        <v>1888433.5932403002</v>
      </c>
      <c r="H86" s="177">
        <f>IF($A$1="BL",0,'Peak Hours'!H86*Peak!N87*'Peak Hours'!$Y86)</f>
        <v>1374574.6401890605</v>
      </c>
      <c r="I86" s="177">
        <f>IF($A$1="BL",0,'Peak Hours'!I86*Peak!O87*'Peak Hours'!$Y86)</f>
        <v>1163861.1612485724</v>
      </c>
      <c r="J86" s="177">
        <f>IF($A$1="BL",0,'Peak Hours'!J86*Peak!P87*'Peak Hours'!$Y86)</f>
        <v>0</v>
      </c>
      <c r="K86" s="177">
        <f>IF($A$1="BL",0,'Peak Hours'!K86*Peak!Q87*'Peak Hours'!$Y86)</f>
        <v>0</v>
      </c>
      <c r="L86" s="177">
        <f>IF($A$1="BL",0,'Peak Hours'!L86*Peak!R87*'Peak Hours'!$Y86)</f>
        <v>0</v>
      </c>
      <c r="M86" s="177">
        <f>IF($A$1="BL",0,'Peak Hours'!M86*Peak!S87*'Peak Hours'!$Y86)</f>
        <v>0</v>
      </c>
      <c r="N86" s="177">
        <f>IF($A$1="BL",0,'Peak Hours'!N86*Peak!T87*'Peak Hours'!$Y86)</f>
        <v>0</v>
      </c>
      <c r="O86" s="177">
        <f>IF($A$1="BL",0,'Peak Hours'!O86*Peak!U87*'Peak Hours'!$Y86)</f>
        <v>0</v>
      </c>
      <c r="P86" s="177">
        <f>IF($A$1="BL",0,'Peak Hours'!P86*Peak!V87*'Peak Hours'!$Y86)</f>
        <v>0</v>
      </c>
      <c r="Q86" s="177">
        <f>IF($A$1="BL",0,'Peak Hours'!Q86*Peak!W87*'Peak Hours'!$Y86)</f>
        <v>0</v>
      </c>
      <c r="R86" s="177">
        <f>IF($A$1="BL",0,'Peak Hours'!R86*Peak!X87*'Peak Hours'!$Y86)</f>
        <v>0</v>
      </c>
      <c r="S86" s="177">
        <f>IF($A$1="BL",0,'Peak Hours'!S86*Peak!Y87*'Peak Hours'!$Y86)</f>
        <v>0</v>
      </c>
      <c r="T86" s="177">
        <f>IF($A$1="BL",0,'Peak Hours'!T86*Peak!Z87*'Peak Hours'!$Y86)</f>
        <v>0</v>
      </c>
      <c r="U86" s="177">
        <f>IF($A$1="BL",0,'Peak Hours'!U86*Peak!AA87*'Peak Hours'!$Y86)</f>
        <v>0</v>
      </c>
      <c r="V86" s="207"/>
      <c r="W86" s="203">
        <f>(IF($A$1="BL",0,Peak!C87*'Peak Hours'!V86*'Peak Hours'!$Y86))*-1</f>
        <v>-4908103.2420691131</v>
      </c>
      <c r="X86" s="207"/>
      <c r="Y86" s="203">
        <f>(IF($A$1="bl",0,Peak!D87*'Peak Hours'!V86*'Peak Hours'!$Y86))*-1</f>
        <v>-82502.552010803847</v>
      </c>
      <c r="Z86" s="207"/>
      <c r="AA86" s="203">
        <f>(Peak!E87*'Peak Hours'!V86*'Peak Hours'!$Y86)*-1</f>
        <v>0</v>
      </c>
      <c r="AB86" s="204"/>
      <c r="AC86" s="203">
        <f>(Peak!F87*'Peak Hours'!V86*'Peak Hours'!$Y86)*-1</f>
        <v>0</v>
      </c>
      <c r="AD86" s="204"/>
    </row>
    <row r="87" spans="1:30" x14ac:dyDescent="0.2">
      <c r="A87" s="1">
        <f t="shared" si="1"/>
        <v>38882.109000000099</v>
      </c>
      <c r="B87" s="177">
        <f>IF($A$1="BL",0,'Peak Hours'!B87*Peak!H88*'Peak Hours'!$Y87)</f>
        <v>565579.75176709052</v>
      </c>
      <c r="C87" s="177">
        <f>IF($A$1="BL",0,'Peak Hours'!C87*Peak!I88*'Peak Hours'!$Y87)</f>
        <v>426803.75397696241</v>
      </c>
      <c r="D87" s="177">
        <f>IF($A$1="BL",0,'Peak Hours'!D87*Peak!J88*'Peak Hours'!$Y87)</f>
        <v>622568.54388267337</v>
      </c>
      <c r="E87" s="177">
        <f>IF($A$1="BL",0,'Peak Hours'!E87*Peak!K88*'Peak Hours'!$Y87)</f>
        <v>1071861.0269489705</v>
      </c>
      <c r="F87" s="177">
        <f>IF($A$1="BL",0,'Peak Hours'!F87*Peak!L88*'Peak Hours'!$Y87)</f>
        <v>967998.07806323399</v>
      </c>
      <c r="G87" s="177">
        <f>IF($A$1="BL",0,'Peak Hours'!G87*Peak!M88*'Peak Hours'!$Y87)</f>
        <v>1878772.6118804778</v>
      </c>
      <c r="H87" s="177">
        <f>IF($A$1="BL",0,'Peak Hours'!H87*Peak!N88*'Peak Hours'!$Y87)</f>
        <v>1495008.0552540889</v>
      </c>
      <c r="I87" s="177">
        <f>IF($A$1="BL",0,'Peak Hours'!I87*Peak!O88*'Peak Hours'!$Y87)</f>
        <v>1253224.0939317134</v>
      </c>
      <c r="J87" s="177">
        <f>IF($A$1="BL",0,'Peak Hours'!J87*Peak!P88*'Peak Hours'!$Y87)</f>
        <v>1092181.5491513906</v>
      </c>
      <c r="K87" s="177">
        <f>IF($A$1="BL",0,'Peak Hours'!K87*Peak!Q88*'Peak Hours'!$Y87)</f>
        <v>0</v>
      </c>
      <c r="L87" s="177">
        <f>IF($A$1="BL",0,'Peak Hours'!L87*Peak!R88*'Peak Hours'!$Y87)</f>
        <v>0</v>
      </c>
      <c r="M87" s="177">
        <f>IF($A$1="BL",0,'Peak Hours'!M87*Peak!S88*'Peak Hours'!$Y87)</f>
        <v>0</v>
      </c>
      <c r="N87" s="177">
        <f>IF($A$1="BL",0,'Peak Hours'!N87*Peak!T88*'Peak Hours'!$Y87)</f>
        <v>0</v>
      </c>
      <c r="O87" s="177">
        <f>IF($A$1="BL",0,'Peak Hours'!O87*Peak!U88*'Peak Hours'!$Y87)</f>
        <v>0</v>
      </c>
      <c r="P87" s="177">
        <f>IF($A$1="BL",0,'Peak Hours'!P87*Peak!V88*'Peak Hours'!$Y87)</f>
        <v>0</v>
      </c>
      <c r="Q87" s="177">
        <f>IF($A$1="BL",0,'Peak Hours'!Q87*Peak!W88*'Peak Hours'!$Y87)</f>
        <v>0</v>
      </c>
      <c r="R87" s="177">
        <f>IF($A$1="BL",0,'Peak Hours'!R87*Peak!X88*'Peak Hours'!$Y87)</f>
        <v>0</v>
      </c>
      <c r="S87" s="177">
        <f>IF($A$1="BL",0,'Peak Hours'!S87*Peak!Y88*'Peak Hours'!$Y87)</f>
        <v>0</v>
      </c>
      <c r="T87" s="177">
        <f>IF($A$1="BL",0,'Peak Hours'!T87*Peak!Z88*'Peak Hours'!$Y87)</f>
        <v>0</v>
      </c>
      <c r="U87" s="177">
        <f>IF($A$1="BL",0,'Peak Hours'!U87*Peak!AA88*'Peak Hours'!$Y87)</f>
        <v>0</v>
      </c>
      <c r="V87" s="207"/>
      <c r="W87" s="203">
        <f>(IF($A$1="BL",0,Peak!C88*'Peak Hours'!V87*'Peak Hours'!$Y87))*-1</f>
        <v>-5812422.8337607319</v>
      </c>
      <c r="X87" s="207"/>
      <c r="Y87" s="203">
        <f>(IF($A$1="bl",0,Peak!D88*'Peak Hours'!V87*'Peak Hours'!$Y87))*-1</f>
        <v>-102718.54481991509</v>
      </c>
      <c r="Z87" s="207"/>
      <c r="AA87" s="203">
        <f>(Peak!E88*'Peak Hours'!V87*'Peak Hours'!$Y87)*-1</f>
        <v>0</v>
      </c>
      <c r="AB87" s="204"/>
      <c r="AC87" s="203">
        <f>(Peak!F88*'Peak Hours'!V87*'Peak Hours'!$Y87)*-1</f>
        <v>0</v>
      </c>
      <c r="AD87" s="204"/>
    </row>
    <row r="88" spans="1:30" x14ac:dyDescent="0.2">
      <c r="A88" s="1">
        <f t="shared" si="1"/>
        <v>38912.5260000001</v>
      </c>
      <c r="B88" s="177">
        <f>IF($A$1="BL",0,'Peak Hours'!B88*Peak!H89*'Peak Hours'!$Y88)</f>
        <v>719733.02324978332</v>
      </c>
      <c r="C88" s="177">
        <f>IF($A$1="BL",0,'Peak Hours'!C88*Peak!I89*'Peak Hours'!$Y88)</f>
        <v>563657.15433219401</v>
      </c>
      <c r="D88" s="177">
        <f>IF($A$1="BL",0,'Peak Hours'!D88*Peak!J89*'Peak Hours'!$Y88)</f>
        <v>998523.74590813497</v>
      </c>
      <c r="E88" s="177">
        <f>IF($A$1="BL",0,'Peak Hours'!E88*Peak!K89*'Peak Hours'!$Y88)</f>
        <v>1623675.9456597711</v>
      </c>
      <c r="F88" s="177">
        <f>IF($A$1="BL",0,'Peak Hours'!F88*Peak!L89*'Peak Hours'!$Y88)</f>
        <v>1480145.0760110712</v>
      </c>
      <c r="G88" s="177">
        <f>IF($A$1="BL",0,'Peak Hours'!G88*Peak!M89*'Peak Hours'!$Y88)</f>
        <v>2715011.8207163052</v>
      </c>
      <c r="H88" s="177">
        <f>IF($A$1="BL",0,'Peak Hours'!H88*Peak!N89*'Peak Hours'!$Y88)</f>
        <v>2591756.9379242607</v>
      </c>
      <c r="I88" s="177">
        <f>IF($A$1="BL",0,'Peak Hours'!I88*Peak!O89*'Peak Hours'!$Y88)</f>
        <v>1890634.0476477994</v>
      </c>
      <c r="J88" s="177">
        <f>IF($A$1="BL",0,'Peak Hours'!J88*Peak!P89*'Peak Hours'!$Y88)</f>
        <v>1508672.3180145081</v>
      </c>
      <c r="K88" s="177">
        <f>IF($A$1="BL",0,'Peak Hours'!K88*Peak!Q89*'Peak Hours'!$Y88)</f>
        <v>1339738.8353202299</v>
      </c>
      <c r="L88" s="177">
        <f>IF($A$1="BL",0,'Peak Hours'!L88*Peak!R89*'Peak Hours'!$Y88)</f>
        <v>1268943.6512069786</v>
      </c>
      <c r="M88" s="177">
        <f>IF($A$1="BL",0,'Peak Hours'!M88*Peak!S89*'Peak Hours'!$Y88)</f>
        <v>1256847.1157888749</v>
      </c>
      <c r="N88" s="177">
        <f>IF($A$1="BL",0,'Peak Hours'!N88*Peak!T89*'Peak Hours'!$Y88)</f>
        <v>1256847.1157888749</v>
      </c>
      <c r="O88" s="177">
        <f>IF($A$1="BL",0,'Peak Hours'!O88*Peak!U89*'Peak Hours'!$Y88)</f>
        <v>1134955.4962853617</v>
      </c>
      <c r="P88" s="177">
        <f>IF($A$1="BL",0,'Peak Hours'!P88*Peak!V89*'Peak Hours'!$Y88)</f>
        <v>0</v>
      </c>
      <c r="Q88" s="177">
        <f>IF($A$1="BL",0,'Peak Hours'!Q88*Peak!W89*'Peak Hours'!$Y88)</f>
        <v>0</v>
      </c>
      <c r="R88" s="177">
        <f>IF($A$1="BL",0,'Peak Hours'!R88*Peak!X89*'Peak Hours'!$Y88)</f>
        <v>0</v>
      </c>
      <c r="S88" s="177">
        <f>IF($A$1="BL",0,'Peak Hours'!S88*Peak!Y89*'Peak Hours'!$Y88)</f>
        <v>0</v>
      </c>
      <c r="T88" s="177">
        <f>IF($A$1="BL",0,'Peak Hours'!T88*Peak!Z89*'Peak Hours'!$Y88)</f>
        <v>0</v>
      </c>
      <c r="U88" s="177">
        <f>IF($A$1="BL",0,'Peak Hours'!U88*Peak!AA89*'Peak Hours'!$Y88)</f>
        <v>0</v>
      </c>
      <c r="V88" s="207"/>
      <c r="W88" s="203">
        <f>(IF($A$1="BL",0,Peak!C89*'Peak Hours'!V88*'Peak Hours'!$Y88))*-1</f>
        <v>-11061328.263903115</v>
      </c>
      <c r="X88" s="207"/>
      <c r="Y88" s="203">
        <f>(IF($A$1="bl",0,Peak!D89*'Peak Hours'!V88*'Peak Hours'!$Y88))*-1</f>
        <v>-196425.87184426488</v>
      </c>
      <c r="Z88" s="207"/>
      <c r="AA88" s="203">
        <f>(Peak!E89*'Peak Hours'!V88*'Peak Hours'!$Y88)*-1</f>
        <v>0</v>
      </c>
      <c r="AB88" s="204"/>
      <c r="AC88" s="203">
        <f>(Peak!F89*'Peak Hours'!V88*'Peak Hours'!$Y88)*-1</f>
        <v>0</v>
      </c>
      <c r="AD88" s="204"/>
    </row>
    <row r="89" spans="1:30" x14ac:dyDescent="0.2">
      <c r="A89" s="1">
        <f t="shared" si="1"/>
        <v>38942.943000000101</v>
      </c>
      <c r="B89" s="177">
        <f>IF($A$1="BL",0,'Peak Hours'!B89*Peak!H90*'Peak Hours'!$Y89)</f>
        <v>1988055.4954041129</v>
      </c>
      <c r="C89" s="177">
        <f>IF($A$1="BL",0,'Peak Hours'!C89*Peak!I90*'Peak Hours'!$Y89)</f>
        <v>1301708.6628482023</v>
      </c>
      <c r="D89" s="177">
        <f>IF($A$1="BL",0,'Peak Hours'!D89*Peak!J90*'Peak Hours'!$Y89)</f>
        <v>1927666.5539419695</v>
      </c>
      <c r="E89" s="177">
        <f>IF($A$1="BL",0,'Peak Hours'!E89*Peak!K90*'Peak Hours'!$Y89)</f>
        <v>2664604.9322497132</v>
      </c>
      <c r="F89" s="177">
        <f>IF($A$1="BL",0,'Peak Hours'!F89*Peak!L90*'Peak Hours'!$Y89)</f>
        <v>2017471.6930955704</v>
      </c>
      <c r="G89" s="177">
        <f>IF($A$1="BL",0,'Peak Hours'!G89*Peak!M90*'Peak Hours'!$Y89)</f>
        <v>2563171.824031638</v>
      </c>
      <c r="H89" s="177">
        <f>IF($A$1="BL",0,'Peak Hours'!H89*Peak!N90*'Peak Hours'!$Y89)</f>
        <v>2204411.7111669844</v>
      </c>
      <c r="I89" s="177">
        <f>IF($A$1="BL",0,'Peak Hours'!I89*Peak!O90*'Peak Hours'!$Y89)</f>
        <v>2070616.8927680531</v>
      </c>
      <c r="J89" s="177">
        <f>IF($A$1="BL",0,'Peak Hours'!J89*Peak!P90*'Peak Hours'!$Y89)</f>
        <v>1678019.2886222482</v>
      </c>
      <c r="K89" s="177">
        <f>IF($A$1="BL",0,'Peak Hours'!K89*Peak!Q90*'Peak Hours'!$Y89)</f>
        <v>1348280.6101665795</v>
      </c>
      <c r="L89" s="177">
        <f>IF($A$1="BL",0,'Peak Hours'!L89*Peak!R90*'Peak Hours'!$Y89)</f>
        <v>1133777.5623148847</v>
      </c>
      <c r="M89" s="177">
        <f>IF($A$1="BL",0,'Peak Hours'!M89*Peak!S90*'Peak Hours'!$Y89)</f>
        <v>0</v>
      </c>
      <c r="N89" s="177">
        <f>IF($A$1="BL",0,'Peak Hours'!N89*Peak!T90*'Peak Hours'!$Y89)</f>
        <v>0</v>
      </c>
      <c r="O89" s="177">
        <f>IF($A$1="BL",0,'Peak Hours'!O89*Peak!U90*'Peak Hours'!$Y89)</f>
        <v>0</v>
      </c>
      <c r="P89" s="177">
        <f>IF($A$1="BL",0,'Peak Hours'!P89*Peak!V90*'Peak Hours'!$Y89)</f>
        <v>0</v>
      </c>
      <c r="Q89" s="177">
        <f>IF($A$1="BL",0,'Peak Hours'!Q89*Peak!W90*'Peak Hours'!$Y89)</f>
        <v>0</v>
      </c>
      <c r="R89" s="177">
        <f>IF($A$1="BL",0,'Peak Hours'!R89*Peak!X90*'Peak Hours'!$Y89)</f>
        <v>0</v>
      </c>
      <c r="S89" s="177">
        <f>IF($A$1="BL",0,'Peak Hours'!S89*Peak!Y90*'Peak Hours'!$Y89)</f>
        <v>0</v>
      </c>
      <c r="T89" s="177">
        <f>IF($A$1="BL",0,'Peak Hours'!T89*Peak!Z90*'Peak Hours'!$Y89)</f>
        <v>0</v>
      </c>
      <c r="U89" s="177">
        <f>IF($A$1="BL",0,'Peak Hours'!U89*Peak!AA90*'Peak Hours'!$Y89)</f>
        <v>0</v>
      </c>
      <c r="V89" s="207"/>
      <c r="W89" s="203">
        <f>(IF($A$1="BL",0,Peak!C90*'Peak Hours'!V89*'Peak Hours'!$Y89))*-1</f>
        <v>-7491269.9353417931</v>
      </c>
      <c r="X89" s="207"/>
      <c r="Y89" s="203">
        <f>(IF($A$1="bl",0,Peak!D90*'Peak Hours'!V89*'Peak Hours'!$Y89))*-1</f>
        <v>-140538.03449809903</v>
      </c>
      <c r="Z89" s="207"/>
      <c r="AA89" s="203">
        <f>(Peak!E90*'Peak Hours'!V89*'Peak Hours'!$Y89)*-1</f>
        <v>0</v>
      </c>
      <c r="AB89" s="204"/>
      <c r="AC89" s="203">
        <f>(Peak!F90*'Peak Hours'!V89*'Peak Hours'!$Y89)*-1</f>
        <v>0</v>
      </c>
      <c r="AD89" s="204"/>
    </row>
    <row r="90" spans="1:30" x14ac:dyDescent="0.2">
      <c r="A90" s="1">
        <f t="shared" si="1"/>
        <v>38973.360000000102</v>
      </c>
      <c r="B90" s="177">
        <f>IF($A$1="BL",0,'Peak Hours'!B90*Peak!H91*'Peak Hours'!$Y90)</f>
        <v>779107.91450297134</v>
      </c>
      <c r="C90" s="177">
        <f>IF($A$1="BL",0,'Peak Hours'!C90*Peak!I91*'Peak Hours'!$Y90)</f>
        <v>595338.65831565799</v>
      </c>
      <c r="D90" s="177">
        <f>IF($A$1="BL",0,'Peak Hours'!D90*Peak!J91*'Peak Hours'!$Y90)</f>
        <v>1017145.1701230032</v>
      </c>
      <c r="E90" s="177">
        <f>IF($A$1="BL",0,'Peak Hours'!E90*Peak!K91*'Peak Hours'!$Y90)</f>
        <v>1063588.2349780696</v>
      </c>
      <c r="F90" s="177">
        <f>IF($A$1="BL",0,'Peak Hours'!F90*Peak!L91*'Peak Hours'!$Y90)</f>
        <v>936137.11309608049</v>
      </c>
      <c r="G90" s="177">
        <f>IF($A$1="BL",0,'Peak Hours'!G90*Peak!M91*'Peak Hours'!$Y90)</f>
        <v>1688153.3221127044</v>
      </c>
      <c r="H90" s="177">
        <f>IF($A$1="BL",0,'Peak Hours'!H90*Peak!N91*'Peak Hours'!$Y90)</f>
        <v>1553304.4931759986</v>
      </c>
      <c r="I90" s="177">
        <f>IF($A$1="BL",0,'Peak Hours'!I90*Peak!O91*'Peak Hours'!$Y90)</f>
        <v>1535494.2019133477</v>
      </c>
      <c r="J90" s="177">
        <f>IF($A$1="BL",0,'Peak Hours'!J90*Peak!P91*'Peak Hours'!$Y90)</f>
        <v>1293316.2901363547</v>
      </c>
      <c r="K90" s="177">
        <f>IF($A$1="BL",0,'Peak Hours'!K90*Peak!Q91*'Peak Hours'!$Y90)</f>
        <v>1076034.2149623872</v>
      </c>
      <c r="L90" s="177">
        <f>IF($A$1="BL",0,'Peak Hours'!L90*Peak!R91*'Peak Hours'!$Y90)</f>
        <v>0</v>
      </c>
      <c r="M90" s="177">
        <f>IF($A$1="BL",0,'Peak Hours'!M90*Peak!S91*'Peak Hours'!$Y90)</f>
        <v>0</v>
      </c>
      <c r="N90" s="177">
        <f>IF($A$1="BL",0,'Peak Hours'!N90*Peak!T91*'Peak Hours'!$Y90)</f>
        <v>0</v>
      </c>
      <c r="O90" s="177">
        <f>IF($A$1="BL",0,'Peak Hours'!O90*Peak!U91*'Peak Hours'!$Y90)</f>
        <v>0</v>
      </c>
      <c r="P90" s="177">
        <f>IF($A$1="BL",0,'Peak Hours'!P90*Peak!V91*'Peak Hours'!$Y90)</f>
        <v>0</v>
      </c>
      <c r="Q90" s="177">
        <f>IF($A$1="BL",0,'Peak Hours'!Q90*Peak!W91*'Peak Hours'!$Y90)</f>
        <v>0</v>
      </c>
      <c r="R90" s="177">
        <f>IF($A$1="BL",0,'Peak Hours'!R90*Peak!X91*'Peak Hours'!$Y90)</f>
        <v>0</v>
      </c>
      <c r="S90" s="177">
        <f>IF($A$1="BL",0,'Peak Hours'!S90*Peak!Y91*'Peak Hours'!$Y90)</f>
        <v>0</v>
      </c>
      <c r="T90" s="177">
        <f>IF($A$1="BL",0,'Peak Hours'!T90*Peak!Z91*'Peak Hours'!$Y90)</f>
        <v>0</v>
      </c>
      <c r="U90" s="177">
        <f>IF($A$1="BL",0,'Peak Hours'!U90*Peak!AA91*'Peak Hours'!$Y90)</f>
        <v>0</v>
      </c>
      <c r="V90" s="207"/>
      <c r="W90" s="203">
        <f>(IF($A$1="BL",0,Peak!C91*'Peak Hours'!V90*'Peak Hours'!$Y90))*-1</f>
        <v>-6362721.4446879216</v>
      </c>
      <c r="X90" s="207"/>
      <c r="Y90" s="203">
        <f>(IF($A$1="bl",0,Peak!D91*'Peak Hours'!V90*'Peak Hours'!$Y90))*-1</f>
        <v>-119966.81030418407</v>
      </c>
      <c r="Z90" s="207"/>
      <c r="AA90" s="203">
        <f>(Peak!E91*'Peak Hours'!V90*'Peak Hours'!$Y90)*-1</f>
        <v>0</v>
      </c>
      <c r="AB90" s="204"/>
      <c r="AC90" s="203">
        <f>(Peak!F91*'Peak Hours'!V90*'Peak Hours'!$Y90)*-1</f>
        <v>0</v>
      </c>
      <c r="AD90" s="204"/>
    </row>
    <row r="91" spans="1:30" x14ac:dyDescent="0.2">
      <c r="A91" s="1">
        <f t="shared" si="1"/>
        <v>39003.777000000104</v>
      </c>
      <c r="B91" s="177">
        <f>IF($A$1="BL",0,'Peak Hours'!B91*Peak!H92*'Peak Hours'!$Y91)</f>
        <v>235844.47227880865</v>
      </c>
      <c r="C91" s="177">
        <f>IF($A$1="BL",0,'Peak Hours'!C91*Peak!I92*'Peak Hours'!$Y91)</f>
        <v>228259.24344131345</v>
      </c>
      <c r="D91" s="177">
        <f>IF($A$1="BL",0,'Peak Hours'!D91*Peak!J92*'Peak Hours'!$Y91)</f>
        <v>443306.2618480043</v>
      </c>
      <c r="E91" s="177">
        <f>IF($A$1="BL",0,'Peak Hours'!E91*Peak!K92*'Peak Hours'!$Y91)</f>
        <v>832840.79462187062</v>
      </c>
      <c r="F91" s="177">
        <f>IF($A$1="BL",0,'Peak Hours'!F91*Peak!L92*'Peak Hours'!$Y91)</f>
        <v>822323.58106520737</v>
      </c>
      <c r="G91" s="177">
        <f>IF($A$1="BL",0,'Peak Hours'!G91*Peak!M92*'Peak Hours'!$Y91)</f>
        <v>1614462.0338890518</v>
      </c>
      <c r="H91" s="177">
        <f>IF($A$1="BL",0,'Peak Hours'!H91*Peak!N92*'Peak Hours'!$Y91)</f>
        <v>1314332.8396407471</v>
      </c>
      <c r="I91" s="177">
        <f>IF($A$1="BL",0,'Peak Hours'!I91*Peak!O92*'Peak Hours'!$Y91)</f>
        <v>1127128.0829913667</v>
      </c>
      <c r="J91" s="177">
        <f>IF($A$1="BL",0,'Peak Hours'!J91*Peak!P92*'Peak Hours'!$Y91)</f>
        <v>0</v>
      </c>
      <c r="K91" s="177">
        <f>IF($A$1="BL",0,'Peak Hours'!K91*Peak!Q92*'Peak Hours'!$Y91)</f>
        <v>0</v>
      </c>
      <c r="L91" s="177">
        <f>IF($A$1="BL",0,'Peak Hours'!L91*Peak!R92*'Peak Hours'!$Y91)</f>
        <v>0</v>
      </c>
      <c r="M91" s="177">
        <f>IF($A$1="BL",0,'Peak Hours'!M91*Peak!S92*'Peak Hours'!$Y91)</f>
        <v>0</v>
      </c>
      <c r="N91" s="177">
        <f>IF($A$1="BL",0,'Peak Hours'!N91*Peak!T92*'Peak Hours'!$Y91)</f>
        <v>0</v>
      </c>
      <c r="O91" s="177">
        <f>IF($A$1="BL",0,'Peak Hours'!O91*Peak!U92*'Peak Hours'!$Y91)</f>
        <v>0</v>
      </c>
      <c r="P91" s="177">
        <f>IF($A$1="BL",0,'Peak Hours'!P91*Peak!V92*'Peak Hours'!$Y91)</f>
        <v>0</v>
      </c>
      <c r="Q91" s="177">
        <f>IF($A$1="BL",0,'Peak Hours'!Q91*Peak!W92*'Peak Hours'!$Y91)</f>
        <v>0</v>
      </c>
      <c r="R91" s="177">
        <f>IF($A$1="BL",0,'Peak Hours'!R91*Peak!X92*'Peak Hours'!$Y91)</f>
        <v>0</v>
      </c>
      <c r="S91" s="177">
        <f>IF($A$1="BL",0,'Peak Hours'!S91*Peak!Y92*'Peak Hours'!$Y91)</f>
        <v>0</v>
      </c>
      <c r="T91" s="177">
        <f>IF($A$1="BL",0,'Peak Hours'!T91*Peak!Z92*'Peak Hours'!$Y91)</f>
        <v>0</v>
      </c>
      <c r="U91" s="177">
        <f>IF($A$1="BL",0,'Peak Hours'!U91*Peak!AA92*'Peak Hours'!$Y91)</f>
        <v>0</v>
      </c>
      <c r="V91" s="207"/>
      <c r="W91" s="203">
        <f>(IF($A$1="BL",0,Peak!C92*'Peak Hours'!V91*'Peak Hours'!$Y91))*-1</f>
        <v>-4878506.6396043748</v>
      </c>
      <c r="X91" s="207"/>
      <c r="Y91" s="203">
        <f>(IF($A$1="bl",0,Peak!D92*'Peak Hours'!V91*'Peak Hours'!$Y91))*-1</f>
        <v>-83192.368837863032</v>
      </c>
      <c r="Z91" s="207"/>
      <c r="AA91" s="203">
        <f>(Peak!E92*'Peak Hours'!V91*'Peak Hours'!$Y91)*-1</f>
        <v>0</v>
      </c>
      <c r="AB91" s="204"/>
      <c r="AC91" s="203">
        <f>(Peak!F92*'Peak Hours'!V91*'Peak Hours'!$Y91)*-1</f>
        <v>0</v>
      </c>
      <c r="AD91" s="204"/>
    </row>
    <row r="92" spans="1:30" x14ac:dyDescent="0.2">
      <c r="A92" s="1">
        <f t="shared" si="1"/>
        <v>39034.194000000105</v>
      </c>
      <c r="B92" s="177">
        <f>IF($A$1="BL",0,'Peak Hours'!B92*Peak!H93*'Peak Hours'!$Y92)</f>
        <v>271247.35284582456</v>
      </c>
      <c r="C92" s="177">
        <f>IF($A$1="BL",0,'Peak Hours'!C92*Peak!I93*'Peak Hours'!$Y92)</f>
        <v>257256.64389426872</v>
      </c>
      <c r="D92" s="177">
        <f>IF($A$1="BL",0,'Peak Hours'!D92*Peak!J93*'Peak Hours'!$Y92)</f>
        <v>503101.17599666986</v>
      </c>
      <c r="E92" s="177">
        <f>IF($A$1="BL",0,'Peak Hours'!E92*Peak!K93*'Peak Hours'!$Y92)</f>
        <v>950186.14751371508</v>
      </c>
      <c r="F92" s="177">
        <f>IF($A$1="BL",0,'Peak Hours'!F92*Peak!L93*'Peak Hours'!$Y92)</f>
        <v>929693.95062679565</v>
      </c>
      <c r="G92" s="177">
        <f>IF($A$1="BL",0,'Peak Hours'!G92*Peak!M93*'Peak Hours'!$Y92)</f>
        <v>1850865.9326388366</v>
      </c>
      <c r="H92" s="177">
        <f>IF($A$1="BL",0,'Peak Hours'!H92*Peak!N93*'Peak Hours'!$Y92)</f>
        <v>1714757.0775372239</v>
      </c>
      <c r="I92" s="177">
        <f>IF($A$1="BL",0,'Peak Hours'!I92*Peak!O93*'Peak Hours'!$Y92)</f>
        <v>1288459.9417711748</v>
      </c>
      <c r="J92" s="177">
        <f>IF($A$1="BL",0,'Peak Hours'!J92*Peak!P93*'Peak Hours'!$Y92)</f>
        <v>1209612.9546246403</v>
      </c>
      <c r="K92" s="177">
        <f>IF($A$1="BL",0,'Peak Hours'!K92*Peak!Q93*'Peak Hours'!$Y92)</f>
        <v>0</v>
      </c>
      <c r="L92" s="177">
        <f>IF($A$1="BL",0,'Peak Hours'!L92*Peak!R93*'Peak Hours'!$Y92)</f>
        <v>0</v>
      </c>
      <c r="M92" s="177">
        <f>IF($A$1="BL",0,'Peak Hours'!M92*Peak!S93*'Peak Hours'!$Y92)</f>
        <v>0</v>
      </c>
      <c r="N92" s="177">
        <f>IF($A$1="BL",0,'Peak Hours'!N92*Peak!T93*'Peak Hours'!$Y92)</f>
        <v>0</v>
      </c>
      <c r="O92" s="177">
        <f>IF($A$1="BL",0,'Peak Hours'!O92*Peak!U93*'Peak Hours'!$Y92)</f>
        <v>0</v>
      </c>
      <c r="P92" s="177">
        <f>IF($A$1="BL",0,'Peak Hours'!P92*Peak!V93*'Peak Hours'!$Y92)</f>
        <v>0</v>
      </c>
      <c r="Q92" s="177">
        <f>IF($A$1="BL",0,'Peak Hours'!Q92*Peak!W93*'Peak Hours'!$Y92)</f>
        <v>0</v>
      </c>
      <c r="R92" s="177">
        <f>IF($A$1="BL",0,'Peak Hours'!R92*Peak!X93*'Peak Hours'!$Y92)</f>
        <v>0</v>
      </c>
      <c r="S92" s="177">
        <f>IF($A$1="BL",0,'Peak Hours'!S92*Peak!Y93*'Peak Hours'!$Y92)</f>
        <v>0</v>
      </c>
      <c r="T92" s="177">
        <f>IF($A$1="BL",0,'Peak Hours'!T92*Peak!Z93*'Peak Hours'!$Y92)</f>
        <v>0</v>
      </c>
      <c r="U92" s="177">
        <f>IF($A$1="BL",0,'Peak Hours'!U92*Peak!AA93*'Peak Hours'!$Y92)</f>
        <v>0</v>
      </c>
      <c r="V92" s="207"/>
      <c r="W92" s="203">
        <f>(IF($A$1="BL",0,Peak!C93*'Peak Hours'!V92*'Peak Hours'!$Y92))*-1</f>
        <v>-6529339.3548597824</v>
      </c>
      <c r="X92" s="207"/>
      <c r="Y92" s="203">
        <f>(IF($A$1="bl",0,Peak!D93*'Peak Hours'!V92*'Peak Hours'!$Y92))*-1</f>
        <v>-101849.02784946529</v>
      </c>
      <c r="Z92" s="207"/>
      <c r="AA92" s="203">
        <f>(Peak!E93*'Peak Hours'!V92*'Peak Hours'!$Y92)*-1</f>
        <v>0</v>
      </c>
      <c r="AB92" s="204"/>
      <c r="AC92" s="203">
        <f>(Peak!F93*'Peak Hours'!V92*'Peak Hours'!$Y92)*-1</f>
        <v>0</v>
      </c>
      <c r="AD92" s="204"/>
    </row>
    <row r="93" spans="1:30" x14ac:dyDescent="0.2">
      <c r="A93" s="1">
        <f t="shared" si="1"/>
        <v>39064.611000000106</v>
      </c>
      <c r="B93" s="177">
        <f>IF($A$1="BL",0,'Peak Hours'!B93*Peak!H94*'Peak Hours'!$Y93)</f>
        <v>533335.36243684811</v>
      </c>
      <c r="C93" s="177">
        <f>IF($A$1="BL",0,'Peak Hours'!C93*Peak!I94*'Peak Hours'!$Y93)</f>
        <v>500533.10217478184</v>
      </c>
      <c r="D93" s="177">
        <f>IF($A$1="BL",0,'Peak Hours'!D93*Peak!J94*'Peak Hours'!$Y93)</f>
        <v>587093.66861737869</v>
      </c>
      <c r="E93" s="177">
        <f>IF($A$1="BL",0,'Peak Hours'!E93*Peak!K94*'Peak Hours'!$Y93)</f>
        <v>922424.6948634471</v>
      </c>
      <c r="F93" s="177">
        <f>IF($A$1="BL",0,'Peak Hours'!F93*Peak!L94*'Peak Hours'!$Y93)</f>
        <v>848429.68114194402</v>
      </c>
      <c r="G93" s="177">
        <f>IF($A$1="BL",0,'Peak Hours'!G93*Peak!M94*'Peak Hours'!$Y93)</f>
        <v>1631234.2901836981</v>
      </c>
      <c r="H93" s="177">
        <f>IF($A$1="BL",0,'Peak Hours'!H93*Peak!N94*'Peak Hours'!$Y93)</f>
        <v>1546063.5715714325</v>
      </c>
      <c r="I93" s="177">
        <f>IF($A$1="BL",0,'Peak Hours'!I93*Peak!O94*'Peak Hours'!$Y93)</f>
        <v>1460529.7264840729</v>
      </c>
      <c r="J93" s="177">
        <f>IF($A$1="BL",0,'Peak Hours'!J93*Peak!P94*'Peak Hours'!$Y93)</f>
        <v>1451772.9908788528</v>
      </c>
      <c r="K93" s="177">
        <f>IF($A$1="BL",0,'Peak Hours'!K93*Peak!Q94*'Peak Hours'!$Y93)</f>
        <v>1427036.159721758</v>
      </c>
      <c r="L93" s="177">
        <f>IF($A$1="BL",0,'Peak Hours'!L93*Peak!R94*'Peak Hours'!$Y93)</f>
        <v>0</v>
      </c>
      <c r="M93" s="177">
        <f>IF($A$1="BL",0,'Peak Hours'!M93*Peak!S94*'Peak Hours'!$Y93)</f>
        <v>0</v>
      </c>
      <c r="N93" s="177">
        <f>IF($A$1="BL",0,'Peak Hours'!N93*Peak!T94*'Peak Hours'!$Y93)</f>
        <v>0</v>
      </c>
      <c r="O93" s="177">
        <f>IF($A$1="BL",0,'Peak Hours'!O93*Peak!U94*'Peak Hours'!$Y93)</f>
        <v>0</v>
      </c>
      <c r="P93" s="177">
        <f>IF($A$1="BL",0,'Peak Hours'!P93*Peak!V94*'Peak Hours'!$Y93)</f>
        <v>0</v>
      </c>
      <c r="Q93" s="177">
        <f>IF($A$1="BL",0,'Peak Hours'!Q93*Peak!W94*'Peak Hours'!$Y93)</f>
        <v>0</v>
      </c>
      <c r="R93" s="177">
        <f>IF($A$1="BL",0,'Peak Hours'!R93*Peak!X94*'Peak Hours'!$Y93)</f>
        <v>0</v>
      </c>
      <c r="S93" s="177">
        <f>IF($A$1="BL",0,'Peak Hours'!S93*Peak!Y94*'Peak Hours'!$Y93)</f>
        <v>0</v>
      </c>
      <c r="T93" s="177">
        <f>IF($A$1="BL",0,'Peak Hours'!T93*Peak!Z94*'Peak Hours'!$Y93)</f>
        <v>0</v>
      </c>
      <c r="U93" s="177">
        <f>IF($A$1="BL",0,'Peak Hours'!U93*Peak!AA94*'Peak Hours'!$Y93)</f>
        <v>0</v>
      </c>
      <c r="V93" s="208">
        <f>SUM(B82:U93)</f>
        <v>126403348.78019422</v>
      </c>
      <c r="W93" s="203">
        <f>(IF($A$1="BL",0,Peak!C94*'Peak Hours'!V93*'Peak Hours'!$Y93))*-1</f>
        <v>-8124514.6286792178</v>
      </c>
      <c r="X93" s="208">
        <f>SUM(W82:W93)</f>
        <v>-77290926.620368525</v>
      </c>
      <c r="Y93" s="203">
        <f>(IF($A$1="bl",0,Peak!D94*'Peak Hours'!V93*'Peak Hours'!$Y93))*-1</f>
        <v>-117303.00517663789</v>
      </c>
      <c r="Z93" s="208">
        <f>SUM(Y82:Y93)</f>
        <v>-1304686.0175381764</v>
      </c>
      <c r="AA93" s="203">
        <f>(Peak!E94*'Peak Hours'!V93*'Peak Hours'!$Y93)*-1</f>
        <v>0</v>
      </c>
      <c r="AB93" s="205">
        <f>SUM(AA82:AA93)</f>
        <v>0</v>
      </c>
      <c r="AC93" s="203">
        <f>(Peak!F94*'Peak Hours'!V93*'Peak Hours'!$Y93)*-1</f>
        <v>0</v>
      </c>
      <c r="AD93" s="205">
        <f>SUM(AC82:AC93)</f>
        <v>0</v>
      </c>
    </row>
    <row r="94" spans="1:30" x14ac:dyDescent="0.2">
      <c r="A94" s="1">
        <f t="shared" si="1"/>
        <v>39095.028000000108</v>
      </c>
      <c r="B94" s="177">
        <f>IF($A$1="BL",0,'Peak Hours'!B94*Peak!H95*'Peak Hours'!$Y94)</f>
        <v>287396.73424921947</v>
      </c>
      <c r="C94" s="177">
        <f>IF($A$1="BL",0,'Peak Hours'!C94*Peak!I95*'Peak Hours'!$Y94)</f>
        <v>278589.83114275278</v>
      </c>
      <c r="D94" s="177">
        <f>IF($A$1="BL",0,'Peak Hours'!D94*Peak!J95*'Peak Hours'!$Y94)</f>
        <v>528531.52918580826</v>
      </c>
      <c r="E94" s="177">
        <f>IF($A$1="BL",0,'Peak Hours'!E94*Peak!K95*'Peak Hours'!$Y94)</f>
        <v>1042996.1214417198</v>
      </c>
      <c r="F94" s="177">
        <f>IF($A$1="BL",0,'Peak Hours'!F94*Peak!L95*'Peak Hours'!$Y94)</f>
        <v>1033946.7791743031</v>
      </c>
      <c r="G94" s="177">
        <f>IF($A$1="BL",0,'Peak Hours'!G94*Peak!M95*'Peak Hours'!$Y94)</f>
        <v>1868775.6935337521</v>
      </c>
      <c r="H94" s="177">
        <f>IF($A$1="BL",0,'Peak Hours'!H94*Peak!N95*'Peak Hours'!$Y94)</f>
        <v>1429191.8260510108</v>
      </c>
      <c r="I94" s="177">
        <f>IF($A$1="BL",0,'Peak Hours'!I94*Peak!O95*'Peak Hours'!$Y94)</f>
        <v>0</v>
      </c>
      <c r="J94" s="177">
        <f>IF($A$1="BL",0,'Peak Hours'!J94*Peak!P95*'Peak Hours'!$Y94)</f>
        <v>0</v>
      </c>
      <c r="K94" s="177">
        <f>IF($A$1="BL",0,'Peak Hours'!K94*Peak!Q95*'Peak Hours'!$Y94)</f>
        <v>0</v>
      </c>
      <c r="L94" s="177">
        <f>IF($A$1="BL",0,'Peak Hours'!L94*Peak!R95*'Peak Hours'!$Y94)</f>
        <v>0</v>
      </c>
      <c r="M94" s="177">
        <f>IF($A$1="BL",0,'Peak Hours'!M94*Peak!S95*'Peak Hours'!$Y94)</f>
        <v>0</v>
      </c>
      <c r="N94" s="177">
        <f>IF($A$1="BL",0,'Peak Hours'!N94*Peak!T95*'Peak Hours'!$Y94)</f>
        <v>0</v>
      </c>
      <c r="O94" s="177">
        <f>IF($A$1="BL",0,'Peak Hours'!O94*Peak!U95*'Peak Hours'!$Y94)</f>
        <v>0</v>
      </c>
      <c r="P94" s="177">
        <f>IF($A$1="BL",0,'Peak Hours'!P94*Peak!V95*'Peak Hours'!$Y94)</f>
        <v>0</v>
      </c>
      <c r="Q94" s="177">
        <f>IF($A$1="BL",0,'Peak Hours'!Q94*Peak!W95*'Peak Hours'!$Y94)</f>
        <v>0</v>
      </c>
      <c r="R94" s="177">
        <f>IF($A$1="BL",0,'Peak Hours'!R94*Peak!X95*'Peak Hours'!$Y94)</f>
        <v>0</v>
      </c>
      <c r="S94" s="177">
        <f>IF($A$1="BL",0,'Peak Hours'!S94*Peak!Y95*'Peak Hours'!$Y94)</f>
        <v>0</v>
      </c>
      <c r="T94" s="177">
        <f>IF($A$1="BL",0,'Peak Hours'!T94*Peak!Z95*'Peak Hours'!$Y94)</f>
        <v>0</v>
      </c>
      <c r="U94" s="177">
        <f>IF($A$1="BL",0,'Peak Hours'!U94*Peak!AA95*'Peak Hours'!$Y94)</f>
        <v>0</v>
      </c>
      <c r="V94" s="207"/>
      <c r="W94" s="203">
        <f>(IF($A$1="BL",0,Peak!C95*'Peak Hours'!V94*'Peak Hours'!$Y94))*-1</f>
        <v>-4277282.5316133443</v>
      </c>
      <c r="X94" s="207"/>
      <c r="Y94" s="203">
        <f>(IF($A$1="bl",0,Peak!D95*'Peak Hours'!V94*'Peak Hours'!$Y94))*-1</f>
        <v>-63268.428561296867</v>
      </c>
      <c r="Z94" s="207"/>
      <c r="AA94" s="203">
        <f>(Peak!E95*'Peak Hours'!V94*'Peak Hours'!$Y94)*-1</f>
        <v>0</v>
      </c>
      <c r="AB94" s="204"/>
      <c r="AC94" s="203">
        <f>(Peak!F95*'Peak Hours'!V94*'Peak Hours'!$Y94)*-1</f>
        <v>0</v>
      </c>
      <c r="AD94" s="204"/>
    </row>
    <row r="95" spans="1:30" x14ac:dyDescent="0.2">
      <c r="A95" s="1">
        <f t="shared" si="1"/>
        <v>39125.445000000109</v>
      </c>
      <c r="B95" s="177">
        <f>IF($A$1="BL",0,'Peak Hours'!B95*Peak!H96*'Peak Hours'!$Y95)</f>
        <v>516886.04573722719</v>
      </c>
      <c r="C95" s="177">
        <f>IF($A$1="BL",0,'Peak Hours'!C95*Peak!I96*'Peak Hours'!$Y95)</f>
        <v>393713.95409286715</v>
      </c>
      <c r="D95" s="177">
        <f>IF($A$1="BL",0,'Peak Hours'!D95*Peak!J96*'Peak Hours'!$Y95)</f>
        <v>625421.87227277935</v>
      </c>
      <c r="E95" s="177">
        <f>IF($A$1="BL",0,'Peak Hours'!E95*Peak!K96*'Peak Hours'!$Y95)</f>
        <v>1033973.7755629804</v>
      </c>
      <c r="F95" s="177">
        <f>IF($A$1="BL",0,'Peak Hours'!F95*Peak!L96*'Peak Hours'!$Y95)</f>
        <v>923515.05686350097</v>
      </c>
      <c r="G95" s="177">
        <f>IF($A$1="BL",0,'Peak Hours'!G95*Peak!M96*'Peak Hours'!$Y95)</f>
        <v>1743112.5576529743</v>
      </c>
      <c r="H95" s="177">
        <f>IF($A$1="BL",0,'Peak Hours'!H95*Peak!N96*'Peak Hours'!$Y95)</f>
        <v>1666782.0058630111</v>
      </c>
      <c r="I95" s="177">
        <f>IF($A$1="BL",0,'Peak Hours'!I95*Peak!O96*'Peak Hours'!$Y95)</f>
        <v>1648003.5567946001</v>
      </c>
      <c r="J95" s="177">
        <f>IF($A$1="BL",0,'Peak Hours'!J95*Peak!P96*'Peak Hours'!$Y95)</f>
        <v>1258954.3138845286</v>
      </c>
      <c r="K95" s="177">
        <f>IF($A$1="BL",0,'Peak Hours'!K95*Peak!Q96*'Peak Hours'!$Y95)</f>
        <v>1196616.731533593</v>
      </c>
      <c r="L95" s="177">
        <f>IF($A$1="BL",0,'Peak Hours'!L95*Peak!R96*'Peak Hours'!$Y95)</f>
        <v>1163804.3741944693</v>
      </c>
      <c r="M95" s="177">
        <f>IF($A$1="BL",0,'Peak Hours'!M95*Peak!S96*'Peak Hours'!$Y95)</f>
        <v>0</v>
      </c>
      <c r="N95" s="177">
        <f>IF($A$1="BL",0,'Peak Hours'!N95*Peak!T96*'Peak Hours'!$Y95)</f>
        <v>0</v>
      </c>
      <c r="O95" s="177">
        <f>IF($A$1="BL",0,'Peak Hours'!O95*Peak!U96*'Peak Hours'!$Y95)</f>
        <v>0</v>
      </c>
      <c r="P95" s="177">
        <f>IF($A$1="BL",0,'Peak Hours'!P95*Peak!V96*'Peak Hours'!$Y95)</f>
        <v>0</v>
      </c>
      <c r="Q95" s="177">
        <f>IF($A$1="BL",0,'Peak Hours'!Q95*Peak!W96*'Peak Hours'!$Y95)</f>
        <v>0</v>
      </c>
      <c r="R95" s="177">
        <f>IF($A$1="BL",0,'Peak Hours'!R95*Peak!X96*'Peak Hours'!$Y95)</f>
        <v>0</v>
      </c>
      <c r="S95" s="177">
        <f>IF($A$1="BL",0,'Peak Hours'!S95*Peak!Y96*'Peak Hours'!$Y95)</f>
        <v>0</v>
      </c>
      <c r="T95" s="177">
        <f>IF($A$1="BL",0,'Peak Hours'!T95*Peak!Z96*'Peak Hours'!$Y95)</f>
        <v>0</v>
      </c>
      <c r="U95" s="177">
        <f>IF($A$1="BL",0,'Peak Hours'!U95*Peak!AA96*'Peak Hours'!$Y95)</f>
        <v>0</v>
      </c>
      <c r="V95" s="207"/>
      <c r="W95" s="203">
        <f>(IF($A$1="BL",0,Peak!C96*'Peak Hours'!V95*'Peak Hours'!$Y95))*-1</f>
        <v>-8214917.6281555695</v>
      </c>
      <c r="X95" s="207"/>
      <c r="Y95" s="203">
        <f>(IF($A$1="bl",0,Peak!D96*'Peak Hours'!V95*'Peak Hours'!$Y95))*-1</f>
        <v>-135801.1627333551</v>
      </c>
      <c r="Z95" s="207"/>
      <c r="AA95" s="203">
        <f>(Peak!E96*'Peak Hours'!V95*'Peak Hours'!$Y95)*-1</f>
        <v>0</v>
      </c>
      <c r="AB95" s="204"/>
      <c r="AC95" s="203">
        <f>(Peak!F96*'Peak Hours'!V95*'Peak Hours'!$Y95)*-1</f>
        <v>0</v>
      </c>
      <c r="AD95" s="204"/>
    </row>
    <row r="96" spans="1:30" x14ac:dyDescent="0.2">
      <c r="A96" s="1">
        <f t="shared" si="1"/>
        <v>39155.86200000011</v>
      </c>
      <c r="B96" s="177">
        <f>IF($A$1="BL",0,'Peak Hours'!B96*Peak!H97*'Peak Hours'!$Y96)</f>
        <v>282642.54804818862</v>
      </c>
      <c r="C96" s="177">
        <f>IF($A$1="BL",0,'Peak Hours'!C96*Peak!I97*'Peak Hours'!$Y96)</f>
        <v>265667.95366133214</v>
      </c>
      <c r="D96" s="177">
        <f>IF($A$1="BL",0,'Peak Hours'!D96*Peak!J97*'Peak Hours'!$Y96)</f>
        <v>511206.04818599997</v>
      </c>
      <c r="E96" s="177">
        <f>IF($A$1="BL",0,'Peak Hours'!E96*Peak!K97*'Peak Hours'!$Y96)</f>
        <v>984054.10951433668</v>
      </c>
      <c r="F96" s="177">
        <f>IF($A$1="BL",0,'Peak Hours'!F96*Peak!L97*'Peak Hours'!$Y96)</f>
        <v>941637.17300867173</v>
      </c>
      <c r="G96" s="177">
        <f>IF($A$1="BL",0,'Peak Hours'!G96*Peak!M97*'Peak Hours'!$Y96)</f>
        <v>1830764.0221716084</v>
      </c>
      <c r="H96" s="177">
        <f>IF($A$1="BL",0,'Peak Hours'!H96*Peak!N97*'Peak Hours'!$Y96)</f>
        <v>1821195.3968054466</v>
      </c>
      <c r="I96" s="177">
        <f>IF($A$1="BL",0,'Peak Hours'!I96*Peak!O97*'Peak Hours'!$Y96)</f>
        <v>1706920.3905842556</v>
      </c>
      <c r="J96" s="177">
        <f>IF($A$1="BL",0,'Peak Hours'!J96*Peak!P97*'Peak Hours'!$Y96)</f>
        <v>1304609.0918764942</v>
      </c>
      <c r="K96" s="177">
        <f>IF($A$1="BL",0,'Peak Hours'!K96*Peak!Q97*'Peak Hours'!$Y96)</f>
        <v>1215177.2114853833</v>
      </c>
      <c r="L96" s="177">
        <f>IF($A$1="BL",0,'Peak Hours'!L96*Peak!R97*'Peak Hours'!$Y96)</f>
        <v>0</v>
      </c>
      <c r="M96" s="177">
        <f>IF($A$1="BL",0,'Peak Hours'!M96*Peak!S97*'Peak Hours'!$Y96)</f>
        <v>0</v>
      </c>
      <c r="N96" s="177">
        <f>IF($A$1="BL",0,'Peak Hours'!N96*Peak!T97*'Peak Hours'!$Y96)</f>
        <v>0</v>
      </c>
      <c r="O96" s="177">
        <f>IF($A$1="BL",0,'Peak Hours'!O96*Peak!U97*'Peak Hours'!$Y96)</f>
        <v>0</v>
      </c>
      <c r="P96" s="177">
        <f>IF($A$1="BL",0,'Peak Hours'!P96*Peak!V97*'Peak Hours'!$Y96)</f>
        <v>0</v>
      </c>
      <c r="Q96" s="177">
        <f>IF($A$1="BL",0,'Peak Hours'!Q96*Peak!W97*'Peak Hours'!$Y96)</f>
        <v>0</v>
      </c>
      <c r="R96" s="177">
        <f>IF($A$1="BL",0,'Peak Hours'!R96*Peak!X97*'Peak Hours'!$Y96)</f>
        <v>0</v>
      </c>
      <c r="S96" s="177">
        <f>IF($A$1="BL",0,'Peak Hours'!S96*Peak!Y97*'Peak Hours'!$Y96)</f>
        <v>0</v>
      </c>
      <c r="T96" s="177">
        <f>IF($A$1="BL",0,'Peak Hours'!T96*Peak!Z97*'Peak Hours'!$Y96)</f>
        <v>0</v>
      </c>
      <c r="U96" s="177">
        <f>IF($A$1="BL",0,'Peak Hours'!U96*Peak!AA97*'Peak Hours'!$Y96)</f>
        <v>0</v>
      </c>
      <c r="V96" s="207"/>
      <c r="W96" s="203">
        <f>(IF($A$1="BL",0,Peak!C97*'Peak Hours'!V96*'Peak Hours'!$Y96))*-1</f>
        <v>-7194691.4480703361</v>
      </c>
      <c r="X96" s="207"/>
      <c r="Y96" s="203">
        <f>(IF($A$1="bl",0,Peak!D97*'Peak Hours'!V96*'Peak Hours'!$Y96))*-1</f>
        <v>-121171.48814625427</v>
      </c>
      <c r="Z96" s="207"/>
      <c r="AA96" s="203">
        <f>(Peak!E97*'Peak Hours'!V96*'Peak Hours'!$Y96)*-1</f>
        <v>0</v>
      </c>
      <c r="AB96" s="204"/>
      <c r="AC96" s="203">
        <f>(Peak!F97*'Peak Hours'!V96*'Peak Hours'!$Y96)*-1</f>
        <v>0</v>
      </c>
      <c r="AD96" s="204"/>
    </row>
    <row r="97" spans="1:30" x14ac:dyDescent="0.2">
      <c r="A97" s="1">
        <f t="shared" si="1"/>
        <v>39186.279000000111</v>
      </c>
      <c r="B97" s="177">
        <f>IF($A$1="BL",0,'Peak Hours'!B97*Peak!H98*'Peak Hours'!$Y97)</f>
        <v>277413.9012388729</v>
      </c>
      <c r="C97" s="177">
        <f>IF($A$1="BL",0,'Peak Hours'!C97*Peak!I98*'Peak Hours'!$Y97)</f>
        <v>277413.9012388729</v>
      </c>
      <c r="D97" s="177">
        <f>IF($A$1="BL",0,'Peak Hours'!D97*Peak!J98*'Peak Hours'!$Y97)</f>
        <v>546457.41072914342</v>
      </c>
      <c r="E97" s="177">
        <f>IF($A$1="BL",0,'Peak Hours'!E97*Peak!K98*'Peak Hours'!$Y97)</f>
        <v>885426.14936629089</v>
      </c>
      <c r="F97" s="177">
        <f>IF($A$1="BL",0,'Peak Hours'!F97*Peak!L98*'Peak Hours'!$Y97)</f>
        <v>758490.89413636061</v>
      </c>
      <c r="G97" s="177">
        <f>IF($A$1="BL",0,'Peak Hours'!G97*Peak!M98*'Peak Hours'!$Y97)</f>
        <v>1374996.7098663875</v>
      </c>
      <c r="H97" s="177">
        <f>IF($A$1="BL",0,'Peak Hours'!H97*Peak!N98*'Peak Hours'!$Y97)</f>
        <v>1319969.6808328684</v>
      </c>
      <c r="I97" s="177">
        <f>IF($A$1="BL",0,'Peak Hours'!I97*Peak!O98*'Peak Hours'!$Y97)</f>
        <v>1100484.2197238477</v>
      </c>
      <c r="J97" s="177">
        <f>IF($A$1="BL",0,'Peak Hours'!J97*Peak!P98*'Peak Hours'!$Y97)</f>
        <v>1092393.1008217859</v>
      </c>
      <c r="K97" s="177">
        <f>IF($A$1="BL",0,'Peak Hours'!K97*Peak!Q98*'Peak Hours'!$Y97)</f>
        <v>1082112.8734161528</v>
      </c>
      <c r="L97" s="177">
        <f>IF($A$1="BL",0,'Peak Hours'!L97*Peak!R98*'Peak Hours'!$Y97)</f>
        <v>0</v>
      </c>
      <c r="M97" s="177">
        <f>IF($A$1="BL",0,'Peak Hours'!M97*Peak!S98*'Peak Hours'!$Y97)</f>
        <v>0</v>
      </c>
      <c r="N97" s="177">
        <f>IF($A$1="BL",0,'Peak Hours'!N97*Peak!T98*'Peak Hours'!$Y97)</f>
        <v>0</v>
      </c>
      <c r="O97" s="177">
        <f>IF($A$1="BL",0,'Peak Hours'!O97*Peak!U98*'Peak Hours'!$Y97)</f>
        <v>0</v>
      </c>
      <c r="P97" s="177">
        <f>IF($A$1="BL",0,'Peak Hours'!P97*Peak!V98*'Peak Hours'!$Y97)</f>
        <v>0</v>
      </c>
      <c r="Q97" s="177">
        <f>IF($A$1="BL",0,'Peak Hours'!Q97*Peak!W98*'Peak Hours'!$Y97)</f>
        <v>0</v>
      </c>
      <c r="R97" s="177">
        <f>IF($A$1="BL",0,'Peak Hours'!R97*Peak!X98*'Peak Hours'!$Y97)</f>
        <v>0</v>
      </c>
      <c r="S97" s="177">
        <f>IF($A$1="BL",0,'Peak Hours'!S97*Peak!Y98*'Peak Hours'!$Y97)</f>
        <v>0</v>
      </c>
      <c r="T97" s="177">
        <f>IF($A$1="BL",0,'Peak Hours'!T97*Peak!Z98*'Peak Hours'!$Y97)</f>
        <v>0</v>
      </c>
      <c r="U97" s="177">
        <f>IF($A$1="BL",0,'Peak Hours'!U97*Peak!AA98*'Peak Hours'!$Y97)</f>
        <v>0</v>
      </c>
      <c r="V97" s="207"/>
      <c r="W97" s="203">
        <f>(IF($A$1="BL",0,Peak!C98*'Peak Hours'!V97*'Peak Hours'!$Y97))*-1</f>
        <v>-6840023.5597851789</v>
      </c>
      <c r="X97" s="207"/>
      <c r="Y97" s="203">
        <f>(IF($A$1="bl",0,Peak!D98*'Peak Hours'!V97*'Peak Hours'!$Y97))*-1</f>
        <v>-121373.44062649804</v>
      </c>
      <c r="Z97" s="207"/>
      <c r="AA97" s="203">
        <f>(Peak!E98*'Peak Hours'!V97*'Peak Hours'!$Y97)*-1</f>
        <v>0</v>
      </c>
      <c r="AB97" s="204"/>
      <c r="AC97" s="203">
        <f>(Peak!F98*'Peak Hours'!V97*'Peak Hours'!$Y97)*-1</f>
        <v>0</v>
      </c>
      <c r="AD97" s="204"/>
    </row>
    <row r="98" spans="1:30" x14ac:dyDescent="0.2">
      <c r="A98" s="1">
        <f t="shared" si="1"/>
        <v>39216.696000000113</v>
      </c>
      <c r="B98" s="177">
        <f>IF($A$1="BL",0,'Peak Hours'!B98*Peak!H99*'Peak Hours'!$Y98)</f>
        <v>252840.95309680805</v>
      </c>
      <c r="C98" s="177">
        <f>IF($A$1="BL",0,'Peak Hours'!C98*Peak!I99*'Peak Hours'!$Y98)</f>
        <v>231680.64208915093</v>
      </c>
      <c r="D98" s="177">
        <f>IF($A$1="BL",0,'Peak Hours'!D98*Peak!J99*'Peak Hours'!$Y98)</f>
        <v>437497.48254824325</v>
      </c>
      <c r="E98" s="177">
        <f>IF($A$1="BL",0,'Peak Hours'!E98*Peak!K99*'Peak Hours'!$Y98)</f>
        <v>808258.84739235824</v>
      </c>
      <c r="F98" s="177">
        <f>IF($A$1="BL",0,'Peak Hours'!F98*Peak!L99*'Peak Hours'!$Y98)</f>
        <v>789925.21830748499</v>
      </c>
      <c r="G98" s="177">
        <f>IF($A$1="BL",0,'Peak Hours'!G98*Peak!M99*'Peak Hours'!$Y98)</f>
        <v>1513097.5235629329</v>
      </c>
      <c r="H98" s="177">
        <f>IF($A$1="BL",0,'Peak Hours'!H98*Peak!N99*'Peak Hours'!$Y98)</f>
        <v>1178853.2163609236</v>
      </c>
      <c r="I98" s="177">
        <f>IF($A$1="BL",0,'Peak Hours'!I98*Peak!O99*'Peak Hours'!$Y98)</f>
        <v>0</v>
      </c>
      <c r="J98" s="177">
        <f>IF($A$1="BL",0,'Peak Hours'!J98*Peak!P99*'Peak Hours'!$Y98)</f>
        <v>0</v>
      </c>
      <c r="K98" s="177">
        <f>IF($A$1="BL",0,'Peak Hours'!K98*Peak!Q99*'Peak Hours'!$Y98)</f>
        <v>0</v>
      </c>
      <c r="L98" s="177">
        <f>IF($A$1="BL",0,'Peak Hours'!L98*Peak!R99*'Peak Hours'!$Y98)</f>
        <v>0</v>
      </c>
      <c r="M98" s="177">
        <f>IF($A$1="BL",0,'Peak Hours'!M98*Peak!S99*'Peak Hours'!$Y98)</f>
        <v>0</v>
      </c>
      <c r="N98" s="177">
        <f>IF($A$1="BL",0,'Peak Hours'!N98*Peak!T99*'Peak Hours'!$Y98)</f>
        <v>0</v>
      </c>
      <c r="O98" s="177">
        <f>IF($A$1="BL",0,'Peak Hours'!O98*Peak!U99*'Peak Hours'!$Y98)</f>
        <v>0</v>
      </c>
      <c r="P98" s="177">
        <f>IF($A$1="BL",0,'Peak Hours'!P98*Peak!V99*'Peak Hours'!$Y98)</f>
        <v>0</v>
      </c>
      <c r="Q98" s="177">
        <f>IF($A$1="BL",0,'Peak Hours'!Q98*Peak!W99*'Peak Hours'!$Y98)</f>
        <v>0</v>
      </c>
      <c r="R98" s="177">
        <f>IF($A$1="BL",0,'Peak Hours'!R98*Peak!X99*'Peak Hours'!$Y98)</f>
        <v>0</v>
      </c>
      <c r="S98" s="177">
        <f>IF($A$1="BL",0,'Peak Hours'!S98*Peak!Y99*'Peak Hours'!$Y98)</f>
        <v>0</v>
      </c>
      <c r="T98" s="177">
        <f>IF($A$1="BL",0,'Peak Hours'!T98*Peak!Z99*'Peak Hours'!$Y98)</f>
        <v>0</v>
      </c>
      <c r="U98" s="177">
        <f>IF($A$1="BL",0,'Peak Hours'!U98*Peak!AA99*'Peak Hours'!$Y98)</f>
        <v>0</v>
      </c>
      <c r="V98" s="207"/>
      <c r="W98" s="203">
        <f>(IF($A$1="BL",0,Peak!C99*'Peak Hours'!V98*'Peak Hours'!$Y98))*-1</f>
        <v>-3877962.075205842</v>
      </c>
      <c r="X98" s="207"/>
      <c r="Y98" s="203">
        <f>(IF($A$1="bl",0,Peak!D99*'Peak Hours'!V98*'Peak Hours'!$Y98))*-1</f>
        <v>-65463.854450727849</v>
      </c>
      <c r="Z98" s="207"/>
      <c r="AA98" s="203">
        <f>(Peak!E99*'Peak Hours'!V98*'Peak Hours'!$Y98)*-1</f>
        <v>0</v>
      </c>
      <c r="AB98" s="204"/>
      <c r="AC98" s="203">
        <f>(Peak!F99*'Peak Hours'!V98*'Peak Hours'!$Y98)*-1</f>
        <v>0</v>
      </c>
      <c r="AD98" s="204"/>
    </row>
    <row r="99" spans="1:30" x14ac:dyDescent="0.2">
      <c r="A99" s="1">
        <f t="shared" si="1"/>
        <v>39247.113000000114</v>
      </c>
      <c r="B99" s="177">
        <f>IF($A$1="BL",0,'Peak Hours'!B99*Peak!H100*'Peak Hours'!$Y99)</f>
        <v>716746.2859659238</v>
      </c>
      <c r="C99" s="177">
        <f>IF($A$1="BL",0,'Peak Hours'!C99*Peak!I100*'Peak Hours'!$Y99)</f>
        <v>579123.61702616699</v>
      </c>
      <c r="D99" s="177">
        <f>IF($A$1="BL",0,'Peak Hours'!D99*Peak!J100*'Peak Hours'!$Y99)</f>
        <v>954890.49235004175</v>
      </c>
      <c r="E99" s="177">
        <f>IF($A$1="BL",0,'Peak Hours'!E99*Peak!K100*'Peak Hours'!$Y99)</f>
        <v>1214336.7975734929</v>
      </c>
      <c r="F99" s="177">
        <f>IF($A$1="BL",0,'Peak Hours'!F99*Peak!L100*'Peak Hours'!$Y99)</f>
        <v>1013581.3720196687</v>
      </c>
      <c r="G99" s="177">
        <f>IF($A$1="BL",0,'Peak Hours'!G99*Peak!M100*'Peak Hours'!$Y99)</f>
        <v>1778864.9552989362</v>
      </c>
      <c r="H99" s="177">
        <f>IF($A$1="BL",0,'Peak Hours'!H99*Peak!N100*'Peak Hours'!$Y99)</f>
        <v>1638599.8434166885</v>
      </c>
      <c r="I99" s="177">
        <f>IF($A$1="BL",0,'Peak Hours'!I99*Peak!O100*'Peak Hours'!$Y99)</f>
        <v>1498246.2629953432</v>
      </c>
      <c r="J99" s="177">
        <f>IF($A$1="BL",0,'Peak Hours'!J99*Peak!P100*'Peak Hours'!$Y99)</f>
        <v>1223284.5045384418</v>
      </c>
      <c r="K99" s="177">
        <f>IF($A$1="BL",0,'Peak Hours'!K99*Peak!Q100*'Peak Hours'!$Y99)</f>
        <v>1143525.9943665843</v>
      </c>
      <c r="L99" s="177">
        <f>IF($A$1="BL",0,'Peak Hours'!L99*Peak!R100*'Peak Hours'!$Y99)</f>
        <v>0</v>
      </c>
      <c r="M99" s="177">
        <f>IF($A$1="BL",0,'Peak Hours'!M99*Peak!S100*'Peak Hours'!$Y99)</f>
        <v>0</v>
      </c>
      <c r="N99" s="177">
        <f>IF($A$1="BL",0,'Peak Hours'!N99*Peak!T100*'Peak Hours'!$Y99)</f>
        <v>0</v>
      </c>
      <c r="O99" s="177">
        <f>IF($A$1="BL",0,'Peak Hours'!O99*Peak!U100*'Peak Hours'!$Y99)</f>
        <v>0</v>
      </c>
      <c r="P99" s="177">
        <f>IF($A$1="BL",0,'Peak Hours'!P99*Peak!V100*'Peak Hours'!$Y99)</f>
        <v>0</v>
      </c>
      <c r="Q99" s="177">
        <f>IF($A$1="BL",0,'Peak Hours'!Q99*Peak!W100*'Peak Hours'!$Y99)</f>
        <v>0</v>
      </c>
      <c r="R99" s="177">
        <f>IF($A$1="BL",0,'Peak Hours'!R99*Peak!X100*'Peak Hours'!$Y99)</f>
        <v>0</v>
      </c>
      <c r="S99" s="177">
        <f>IF($A$1="BL",0,'Peak Hours'!S99*Peak!Y100*'Peak Hours'!$Y99)</f>
        <v>0</v>
      </c>
      <c r="T99" s="177">
        <f>IF($A$1="BL",0,'Peak Hours'!T99*Peak!Z100*'Peak Hours'!$Y99)</f>
        <v>0</v>
      </c>
      <c r="U99" s="177">
        <f>IF($A$1="BL",0,'Peak Hours'!U99*Peak!AA100*'Peak Hours'!$Y99)</f>
        <v>0</v>
      </c>
      <c r="V99" s="207"/>
      <c r="W99" s="203">
        <f>(IF($A$1="BL",0,Peak!C100*'Peak Hours'!V99*'Peak Hours'!$Y99))*-1</f>
        <v>-6978180.5950638326</v>
      </c>
      <c r="X99" s="207"/>
      <c r="Y99" s="203">
        <f>(IF($A$1="bl",0,Peak!D100*'Peak Hours'!V99*'Peak Hours'!$Y99))*-1</f>
        <v>-123844.91654794589</v>
      </c>
      <c r="Z99" s="207"/>
      <c r="AA99" s="203">
        <f>(Peak!E100*'Peak Hours'!V99*'Peak Hours'!$Y99)*-1</f>
        <v>0</v>
      </c>
      <c r="AB99" s="204"/>
      <c r="AC99" s="203">
        <f>(Peak!F100*'Peak Hours'!V99*'Peak Hours'!$Y99)*-1</f>
        <v>0</v>
      </c>
      <c r="AD99" s="204"/>
    </row>
    <row r="100" spans="1:30" x14ac:dyDescent="0.2">
      <c r="A100" s="1">
        <f t="shared" si="1"/>
        <v>39277.530000000115</v>
      </c>
      <c r="B100" s="177">
        <f>IF($A$1="BL",0,'Peak Hours'!B100*Peak!H101*'Peak Hours'!$Y100)</f>
        <v>998979.19328942313</v>
      </c>
      <c r="C100" s="177">
        <f>IF($A$1="BL",0,'Peak Hours'!C100*Peak!I101*'Peak Hours'!$Y100)</f>
        <v>765618.96516740485</v>
      </c>
      <c r="D100" s="177">
        <f>IF($A$1="BL",0,'Peak Hours'!D100*Peak!J101*'Peak Hours'!$Y100)</f>
        <v>1250157.3051455303</v>
      </c>
      <c r="E100" s="177">
        <f>IF($A$1="BL",0,'Peak Hours'!E100*Peak!K101*'Peak Hours'!$Y100)</f>
        <v>1983139.8015770405</v>
      </c>
      <c r="F100" s="177">
        <f>IF($A$1="BL",0,'Peak Hours'!F100*Peak!L101*'Peak Hours'!$Y100)</f>
        <v>1280868.7731384623</v>
      </c>
      <c r="G100" s="177">
        <f>IF($A$1="BL",0,'Peak Hours'!G100*Peak!M101*'Peak Hours'!$Y100)</f>
        <v>2278084.4148601983</v>
      </c>
      <c r="H100" s="177">
        <f>IF($A$1="BL",0,'Peak Hours'!H100*Peak!N101*'Peak Hours'!$Y100)</f>
        <v>2086579.1137345922</v>
      </c>
      <c r="I100" s="177">
        <f>IF($A$1="BL",0,'Peak Hours'!I100*Peak!O101*'Peak Hours'!$Y100)</f>
        <v>2022513.9969722638</v>
      </c>
      <c r="J100" s="177">
        <f>IF($A$1="BL",0,'Peak Hours'!J100*Peak!P101*'Peak Hours'!$Y100)</f>
        <v>1603091.9564609171</v>
      </c>
      <c r="K100" s="177">
        <f>IF($A$1="BL",0,'Peak Hours'!K100*Peak!Q101*'Peak Hours'!$Y100)</f>
        <v>1264064.6440715177</v>
      </c>
      <c r="L100" s="177">
        <f>IF($A$1="BL",0,'Peak Hours'!L100*Peak!R101*'Peak Hours'!$Y100)</f>
        <v>1153108.3424558013</v>
      </c>
      <c r="M100" s="177">
        <f>IF($A$1="BL",0,'Peak Hours'!M100*Peak!S101*'Peak Hours'!$Y100)</f>
        <v>0</v>
      </c>
      <c r="N100" s="177">
        <f>IF($A$1="BL",0,'Peak Hours'!N100*Peak!T101*'Peak Hours'!$Y100)</f>
        <v>0</v>
      </c>
      <c r="O100" s="177">
        <f>IF($A$1="BL",0,'Peak Hours'!O100*Peak!U101*'Peak Hours'!$Y100)</f>
        <v>0</v>
      </c>
      <c r="P100" s="177">
        <f>IF($A$1="BL",0,'Peak Hours'!P100*Peak!V101*'Peak Hours'!$Y100)</f>
        <v>0</v>
      </c>
      <c r="Q100" s="177">
        <f>IF($A$1="BL",0,'Peak Hours'!Q100*Peak!W101*'Peak Hours'!$Y100)</f>
        <v>0</v>
      </c>
      <c r="R100" s="177">
        <f>IF($A$1="BL",0,'Peak Hours'!R100*Peak!X101*'Peak Hours'!$Y100)</f>
        <v>0</v>
      </c>
      <c r="S100" s="177">
        <f>IF($A$1="BL",0,'Peak Hours'!S100*Peak!Y101*'Peak Hours'!$Y100)</f>
        <v>0</v>
      </c>
      <c r="T100" s="177">
        <f>IF($A$1="BL",0,'Peak Hours'!T100*Peak!Z101*'Peak Hours'!$Y100)</f>
        <v>0</v>
      </c>
      <c r="U100" s="177">
        <f>IF($A$1="BL",0,'Peak Hours'!U100*Peak!AA101*'Peak Hours'!$Y100)</f>
        <v>0</v>
      </c>
      <c r="V100" s="207"/>
      <c r="W100" s="203">
        <f>(IF($A$1="BL",0,Peak!C101*'Peak Hours'!V100*'Peak Hours'!$Y100))*-1</f>
        <v>-8026266.6289378311</v>
      </c>
      <c r="X100" s="207"/>
      <c r="Y100" s="203">
        <f>(IF($A$1="bl",0,Peak!D101*'Peak Hours'!V100*'Peak Hours'!$Y100))*-1</f>
        <v>-143136.143933299</v>
      </c>
      <c r="Z100" s="207"/>
      <c r="AA100" s="203">
        <f>(Peak!E101*'Peak Hours'!V100*'Peak Hours'!$Y100)*-1</f>
        <v>0</v>
      </c>
      <c r="AB100" s="204"/>
      <c r="AC100" s="203">
        <f>(Peak!F101*'Peak Hours'!V100*'Peak Hours'!$Y100)*-1</f>
        <v>0</v>
      </c>
      <c r="AD100" s="204"/>
    </row>
    <row r="101" spans="1:30" x14ac:dyDescent="0.2">
      <c r="A101" s="1">
        <f t="shared" si="1"/>
        <v>39307.947000000117</v>
      </c>
      <c r="B101" s="177">
        <f>IF($A$1="BL",0,'Peak Hours'!B101*Peak!H102*'Peak Hours'!$Y101)</f>
        <v>1720238.058420975</v>
      </c>
      <c r="C101" s="177">
        <f>IF($A$1="BL",0,'Peak Hours'!C101*Peak!I102*'Peak Hours'!$Y101)</f>
        <v>1178898.4177780508</v>
      </c>
      <c r="D101" s="177">
        <f>IF($A$1="BL",0,'Peak Hours'!D101*Peak!J102*'Peak Hours'!$Y101)</f>
        <v>1830996.6115471129</v>
      </c>
      <c r="E101" s="177">
        <f>IF($A$1="BL",0,'Peak Hours'!E101*Peak!K102*'Peak Hours'!$Y101)</f>
        <v>2679877.0053832661</v>
      </c>
      <c r="F101" s="177">
        <f>IF($A$1="BL",0,'Peak Hours'!F101*Peak!L102*'Peak Hours'!$Y101)</f>
        <v>2134198.9546740721</v>
      </c>
      <c r="G101" s="177">
        <f>IF($A$1="BL",0,'Peak Hours'!G101*Peak!M102*'Peak Hours'!$Y101)</f>
        <v>2861912.5348302391</v>
      </c>
      <c r="H101" s="177">
        <f>IF($A$1="BL",0,'Peak Hours'!H101*Peak!N102*'Peak Hours'!$Y101)</f>
        <v>2382086.6639358848</v>
      </c>
      <c r="I101" s="177">
        <f>IF($A$1="BL",0,'Peak Hours'!I101*Peak!O102*'Peak Hours'!$Y101)</f>
        <v>2236517.2690098276</v>
      </c>
      <c r="J101" s="177">
        <f>IF($A$1="BL",0,'Peak Hours'!J101*Peak!P102*'Peak Hours'!$Y101)</f>
        <v>1815308.2087103107</v>
      </c>
      <c r="K101" s="177">
        <f>IF($A$1="BL",0,'Peak Hours'!K101*Peak!Q102*'Peak Hours'!$Y101)</f>
        <v>1332133.6399282985</v>
      </c>
      <c r="L101" s="177">
        <f>IF($A$1="BL",0,'Peak Hours'!L101*Peak!R102*'Peak Hours'!$Y101)</f>
        <v>1148384.6584581167</v>
      </c>
      <c r="M101" s="177">
        <f>IF($A$1="BL",0,'Peak Hours'!M101*Peak!S102*'Peak Hours'!$Y101)</f>
        <v>1082568.8223990926</v>
      </c>
      <c r="N101" s="177">
        <f>IF($A$1="BL",0,'Peak Hours'!N101*Peak!T102*'Peak Hours'!$Y101)</f>
        <v>1047256.1157420104</v>
      </c>
      <c r="O101" s="177">
        <f>IF($A$1="BL",0,'Peak Hours'!O101*Peak!U102*'Peak Hours'!$Y101)</f>
        <v>0</v>
      </c>
      <c r="P101" s="177">
        <f>IF($A$1="BL",0,'Peak Hours'!P101*Peak!V102*'Peak Hours'!$Y101)</f>
        <v>0</v>
      </c>
      <c r="Q101" s="177">
        <f>IF($A$1="BL",0,'Peak Hours'!Q101*Peak!W102*'Peak Hours'!$Y101)</f>
        <v>0</v>
      </c>
      <c r="R101" s="177">
        <f>IF($A$1="BL",0,'Peak Hours'!R101*Peak!X102*'Peak Hours'!$Y101)</f>
        <v>0</v>
      </c>
      <c r="S101" s="177">
        <f>IF($A$1="BL",0,'Peak Hours'!S101*Peak!Y102*'Peak Hours'!$Y101)</f>
        <v>0</v>
      </c>
      <c r="T101" s="177">
        <f>IF($A$1="BL",0,'Peak Hours'!T101*Peak!Z102*'Peak Hours'!$Y101)</f>
        <v>0</v>
      </c>
      <c r="U101" s="177">
        <f>IF($A$1="BL",0,'Peak Hours'!U101*Peak!AA102*'Peak Hours'!$Y101)</f>
        <v>0</v>
      </c>
      <c r="V101" s="207"/>
      <c r="W101" s="203">
        <f>(IF($A$1="BL",0,Peak!C102*'Peak Hours'!V101*'Peak Hours'!$Y101))*-1</f>
        <v>-9639447.1316428687</v>
      </c>
      <c r="X101" s="207"/>
      <c r="Y101" s="203">
        <f>(IF($A$1="bl",0,Peak!D102*'Peak Hours'!V101*'Peak Hours'!$Y101))*-1</f>
        <v>-181607.95861937126</v>
      </c>
      <c r="Z101" s="207"/>
      <c r="AA101" s="203">
        <f>(Peak!E102*'Peak Hours'!V101*'Peak Hours'!$Y101)*-1</f>
        <v>0</v>
      </c>
      <c r="AB101" s="204"/>
      <c r="AC101" s="203">
        <f>(Peak!F102*'Peak Hours'!V101*'Peak Hours'!$Y101)*-1</f>
        <v>0</v>
      </c>
      <c r="AD101" s="204"/>
    </row>
    <row r="102" spans="1:30" x14ac:dyDescent="0.2">
      <c r="A102" s="1">
        <f t="shared" si="1"/>
        <v>39338.364000000118</v>
      </c>
      <c r="B102" s="177">
        <f>IF($A$1="BL",0,'Peak Hours'!B102*Peak!H103*'Peak Hours'!$Y102)</f>
        <v>751780.93640804582</v>
      </c>
      <c r="C102" s="177">
        <f>IF($A$1="BL",0,'Peak Hours'!C102*Peak!I103*'Peak Hours'!$Y102)</f>
        <v>602595.32130780059</v>
      </c>
      <c r="D102" s="177">
        <f>IF($A$1="BL",0,'Peak Hours'!D102*Peak!J103*'Peak Hours'!$Y102)</f>
        <v>1057249.5039776498</v>
      </c>
      <c r="E102" s="177">
        <f>IF($A$1="BL",0,'Peak Hours'!E102*Peak!K103*'Peak Hours'!$Y102)</f>
        <v>1257671.1624129568</v>
      </c>
      <c r="F102" s="177">
        <f>IF($A$1="BL",0,'Peak Hours'!F102*Peak!L103*'Peak Hours'!$Y102)</f>
        <v>1012952.905184717</v>
      </c>
      <c r="G102" s="177">
        <f>IF($A$1="BL",0,'Peak Hours'!G102*Peak!M103*'Peak Hours'!$Y102)</f>
        <v>1689645.4813219446</v>
      </c>
      <c r="H102" s="177">
        <f>IF($A$1="BL",0,'Peak Hours'!H102*Peak!N103*'Peak Hours'!$Y102)</f>
        <v>1507924.797328297</v>
      </c>
      <c r="I102" s="177">
        <f>IF($A$1="BL",0,'Peak Hours'!I102*Peak!O103*'Peak Hours'!$Y102)</f>
        <v>1454193.9251881773</v>
      </c>
      <c r="J102" s="177">
        <f>IF($A$1="BL",0,'Peak Hours'!J102*Peak!P103*'Peak Hours'!$Y102)</f>
        <v>1285851.5014421141</v>
      </c>
      <c r="K102" s="177">
        <f>IF($A$1="BL",0,'Peak Hours'!K102*Peak!Q103*'Peak Hours'!$Y102)</f>
        <v>1152950.5236873003</v>
      </c>
      <c r="L102" s="177">
        <f>IF($A$1="BL",0,'Peak Hours'!L102*Peak!R103*'Peak Hours'!$Y102)</f>
        <v>1035636.3742852226</v>
      </c>
      <c r="M102" s="177">
        <f>IF($A$1="BL",0,'Peak Hours'!M102*Peak!S103*'Peak Hours'!$Y102)</f>
        <v>0</v>
      </c>
      <c r="N102" s="177">
        <f>IF($A$1="BL",0,'Peak Hours'!N102*Peak!T103*'Peak Hours'!$Y102)</f>
        <v>0</v>
      </c>
      <c r="O102" s="177">
        <f>IF($A$1="BL",0,'Peak Hours'!O102*Peak!U103*'Peak Hours'!$Y102)</f>
        <v>0</v>
      </c>
      <c r="P102" s="177">
        <f>IF($A$1="BL",0,'Peak Hours'!P102*Peak!V103*'Peak Hours'!$Y102)</f>
        <v>0</v>
      </c>
      <c r="Q102" s="177">
        <f>IF($A$1="BL",0,'Peak Hours'!Q102*Peak!W103*'Peak Hours'!$Y102)</f>
        <v>0</v>
      </c>
      <c r="R102" s="177">
        <f>IF($A$1="BL",0,'Peak Hours'!R102*Peak!X103*'Peak Hours'!$Y102)</f>
        <v>0</v>
      </c>
      <c r="S102" s="177">
        <f>IF($A$1="BL",0,'Peak Hours'!S102*Peak!Y103*'Peak Hours'!$Y102)</f>
        <v>0</v>
      </c>
      <c r="T102" s="177">
        <f>IF($A$1="BL",0,'Peak Hours'!T102*Peak!Z103*'Peak Hours'!$Y102)</f>
        <v>0</v>
      </c>
      <c r="U102" s="177">
        <f>IF($A$1="BL",0,'Peak Hours'!U102*Peak!AA103*'Peak Hours'!$Y102)</f>
        <v>0</v>
      </c>
      <c r="V102" s="207"/>
      <c r="W102" s="203">
        <f>(IF($A$1="BL",0,Peak!C103*'Peak Hours'!V102*'Peak Hours'!$Y102))*-1</f>
        <v>-7458047.6665301165</v>
      </c>
      <c r="X102" s="207"/>
      <c r="Y102" s="203">
        <f>(IF($A$1="bl",0,Peak!D103*'Peak Hours'!V102*'Peak Hours'!$Y102))*-1</f>
        <v>-141217.22662308344</v>
      </c>
      <c r="Z102" s="207"/>
      <c r="AA102" s="203">
        <f>(Peak!E103*'Peak Hours'!V102*'Peak Hours'!$Y102)*-1</f>
        <v>0</v>
      </c>
      <c r="AB102" s="204"/>
      <c r="AC102" s="203">
        <f>(Peak!F103*'Peak Hours'!V102*'Peak Hours'!$Y102)*-1</f>
        <v>0</v>
      </c>
      <c r="AD102" s="204"/>
    </row>
    <row r="103" spans="1:30" x14ac:dyDescent="0.2">
      <c r="A103" s="1">
        <f t="shared" si="1"/>
        <v>39368.781000000119</v>
      </c>
      <c r="B103" s="177">
        <f>IF($A$1="BL",0,'Peak Hours'!B103*Peak!H104*'Peak Hours'!$Y103)</f>
        <v>302249.49962855584</v>
      </c>
      <c r="C103" s="177">
        <f>IF($A$1="BL",0,'Peak Hours'!C103*Peak!I104*'Peak Hours'!$Y103)</f>
        <v>267634.4045153</v>
      </c>
      <c r="D103" s="177">
        <f>IF($A$1="BL",0,'Peak Hours'!D103*Peak!J104*'Peak Hours'!$Y103)</f>
        <v>504866.13424740435</v>
      </c>
      <c r="E103" s="177">
        <f>IF($A$1="BL",0,'Peak Hours'!E103*Peak!K104*'Peak Hours'!$Y103)</f>
        <v>950354.47990998207</v>
      </c>
      <c r="F103" s="177">
        <f>IF($A$1="BL",0,'Peak Hours'!F103*Peak!L104*'Peak Hours'!$Y103)</f>
        <v>903574.89233168063</v>
      </c>
      <c r="G103" s="177">
        <f>IF($A$1="BL",0,'Peak Hours'!G103*Peak!M104*'Peak Hours'!$Y103)</f>
        <v>1687889.880913802</v>
      </c>
      <c r="H103" s="177">
        <f>IF($A$1="BL",0,'Peak Hours'!H103*Peak!N104*'Peak Hours'!$Y103)</f>
        <v>1676347.1392078747</v>
      </c>
      <c r="I103" s="177">
        <f>IF($A$1="BL",0,'Peak Hours'!I103*Peak!O104*'Peak Hours'!$Y103)</f>
        <v>1579347.6110296506</v>
      </c>
      <c r="J103" s="177">
        <f>IF($A$1="BL",0,'Peak Hours'!J103*Peak!P104*'Peak Hours'!$Y103)</f>
        <v>1233730.3972160323</v>
      </c>
      <c r="K103" s="177">
        <f>IF($A$1="BL",0,'Peak Hours'!K103*Peak!Q104*'Peak Hours'!$Y103)</f>
        <v>1178795.5047337634</v>
      </c>
      <c r="L103" s="177">
        <f>IF($A$1="BL",0,'Peak Hours'!L103*Peak!R104*'Peak Hours'!$Y103)</f>
        <v>0</v>
      </c>
      <c r="M103" s="177">
        <f>IF($A$1="BL",0,'Peak Hours'!M103*Peak!S104*'Peak Hours'!$Y103)</f>
        <v>0</v>
      </c>
      <c r="N103" s="177">
        <f>IF($A$1="BL",0,'Peak Hours'!N103*Peak!T104*'Peak Hours'!$Y103)</f>
        <v>0</v>
      </c>
      <c r="O103" s="177">
        <f>IF($A$1="BL",0,'Peak Hours'!O103*Peak!U104*'Peak Hours'!$Y103)</f>
        <v>0</v>
      </c>
      <c r="P103" s="177">
        <f>IF($A$1="BL",0,'Peak Hours'!P103*Peak!V104*'Peak Hours'!$Y103)</f>
        <v>0</v>
      </c>
      <c r="Q103" s="177">
        <f>IF($A$1="BL",0,'Peak Hours'!Q103*Peak!W104*'Peak Hours'!$Y103)</f>
        <v>0</v>
      </c>
      <c r="R103" s="177">
        <f>IF($A$1="BL",0,'Peak Hours'!R103*Peak!X104*'Peak Hours'!$Y103)</f>
        <v>0</v>
      </c>
      <c r="S103" s="177">
        <f>IF($A$1="BL",0,'Peak Hours'!S103*Peak!Y104*'Peak Hours'!$Y103)</f>
        <v>0</v>
      </c>
      <c r="T103" s="177">
        <f>IF($A$1="BL",0,'Peak Hours'!T103*Peak!Z104*'Peak Hours'!$Y103)</f>
        <v>0</v>
      </c>
      <c r="U103" s="177">
        <f>IF($A$1="BL",0,'Peak Hours'!U103*Peak!AA104*'Peak Hours'!$Y103)</f>
        <v>0</v>
      </c>
      <c r="V103" s="207"/>
      <c r="W103" s="203">
        <f>(IF($A$1="BL",0,Peak!C104*'Peak Hours'!V103*'Peak Hours'!$Y103))*-1</f>
        <v>-7158500.8472249135</v>
      </c>
      <c r="X103" s="207"/>
      <c r="Y103" s="203">
        <f>(IF($A$1="bl",0,Peak!D104*'Peak Hours'!V103*'Peak Hours'!$Y103))*-1</f>
        <v>-122592.24351179457</v>
      </c>
      <c r="Z103" s="207"/>
      <c r="AA103" s="203">
        <f>(Peak!E104*'Peak Hours'!V103*'Peak Hours'!$Y103)*-1</f>
        <v>0</v>
      </c>
      <c r="AB103" s="204"/>
      <c r="AC103" s="203">
        <f>(Peak!F104*'Peak Hours'!V103*'Peak Hours'!$Y103)*-1</f>
        <v>0</v>
      </c>
      <c r="AD103" s="204"/>
    </row>
    <row r="104" spans="1:30" x14ac:dyDescent="0.2">
      <c r="A104" s="1">
        <f t="shared" si="1"/>
        <v>39399.19800000012</v>
      </c>
      <c r="B104" s="177">
        <f>IF($A$1="BL",0,'Peak Hours'!B104*Peak!H105*'Peak Hours'!$Y104)</f>
        <v>292222.72344521043</v>
      </c>
      <c r="C104" s="177">
        <f>IF($A$1="BL",0,'Peak Hours'!C104*Peak!I105*'Peak Hours'!$Y104)</f>
        <v>283487.89733864908</v>
      </c>
      <c r="D104" s="177">
        <f>IF($A$1="BL",0,'Peak Hours'!D104*Peak!J105*'Peak Hours'!$Y104)</f>
        <v>544572.40140932787</v>
      </c>
      <c r="E104" s="177">
        <f>IF($A$1="BL",0,'Peak Hours'!E104*Peak!K105*'Peak Hours'!$Y104)</f>
        <v>1028571.3127115342</v>
      </c>
      <c r="F104" s="177">
        <f>IF($A$1="BL",0,'Peak Hours'!F104*Peak!L105*'Peak Hours'!$Y104)</f>
        <v>980538.21747634409</v>
      </c>
      <c r="G104" s="177">
        <f>IF($A$1="BL",0,'Peak Hours'!G104*Peak!M105*'Peak Hours'!$Y104)</f>
        <v>1952642.7286941363</v>
      </c>
      <c r="H104" s="177">
        <f>IF($A$1="BL",0,'Peak Hours'!H104*Peak!N105*'Peak Hours'!$Y104)</f>
        <v>1821933.3736527115</v>
      </c>
      <c r="I104" s="177">
        <f>IF($A$1="BL",0,'Peak Hours'!I104*Peak!O105*'Peak Hours'!$Y104)</f>
        <v>1381240.7603717907</v>
      </c>
      <c r="J104" s="177">
        <f>IF($A$1="BL",0,'Peak Hours'!J104*Peak!P105*'Peak Hours'!$Y104)</f>
        <v>1260344.9085694295</v>
      </c>
      <c r="K104" s="177">
        <f>IF($A$1="BL",0,'Peak Hours'!K104*Peak!Q105*'Peak Hours'!$Y104)</f>
        <v>0</v>
      </c>
      <c r="L104" s="177">
        <f>IF($A$1="BL",0,'Peak Hours'!L104*Peak!R105*'Peak Hours'!$Y104)</f>
        <v>0</v>
      </c>
      <c r="M104" s="177">
        <f>IF($A$1="BL",0,'Peak Hours'!M104*Peak!S105*'Peak Hours'!$Y104)</f>
        <v>0</v>
      </c>
      <c r="N104" s="177">
        <f>IF($A$1="BL",0,'Peak Hours'!N104*Peak!T105*'Peak Hours'!$Y104)</f>
        <v>0</v>
      </c>
      <c r="O104" s="177">
        <f>IF($A$1="BL",0,'Peak Hours'!O104*Peak!U105*'Peak Hours'!$Y104)</f>
        <v>0</v>
      </c>
      <c r="P104" s="177">
        <f>IF($A$1="BL",0,'Peak Hours'!P104*Peak!V105*'Peak Hours'!$Y104)</f>
        <v>0</v>
      </c>
      <c r="Q104" s="177">
        <f>IF($A$1="BL",0,'Peak Hours'!Q104*Peak!W105*'Peak Hours'!$Y104)</f>
        <v>0</v>
      </c>
      <c r="R104" s="177">
        <f>IF($A$1="BL",0,'Peak Hours'!R104*Peak!X105*'Peak Hours'!$Y104)</f>
        <v>0</v>
      </c>
      <c r="S104" s="177">
        <f>IF($A$1="BL",0,'Peak Hours'!S104*Peak!Y105*'Peak Hours'!$Y104)</f>
        <v>0</v>
      </c>
      <c r="T104" s="177">
        <f>IF($A$1="BL",0,'Peak Hours'!T104*Peak!Z105*'Peak Hours'!$Y104)</f>
        <v>0</v>
      </c>
      <c r="U104" s="177">
        <f>IF($A$1="BL",0,'Peak Hours'!U104*Peak!AA105*'Peak Hours'!$Y104)</f>
        <v>0</v>
      </c>
      <c r="V104" s="207"/>
      <c r="W104" s="203">
        <f>(IF($A$1="BL",0,Peak!C105*'Peak Hours'!V104*'Peak Hours'!$Y104))*-1</f>
        <v>-6632901.9672544431</v>
      </c>
      <c r="X104" s="207"/>
      <c r="Y104" s="203">
        <f>(IF($A$1="bl",0,Peak!D105*'Peak Hours'!V104*'Peak Hours'!$Y104))*-1</f>
        <v>-103904.7848533941</v>
      </c>
      <c r="Z104" s="207"/>
      <c r="AA104" s="203">
        <f>(Peak!E105*'Peak Hours'!V104*'Peak Hours'!$Y104)*-1</f>
        <v>0</v>
      </c>
      <c r="AB104" s="204"/>
      <c r="AC104" s="203">
        <f>(Peak!F105*'Peak Hours'!V104*'Peak Hours'!$Y104)*-1</f>
        <v>0</v>
      </c>
      <c r="AD104" s="204"/>
    </row>
    <row r="105" spans="1:30" x14ac:dyDescent="0.2">
      <c r="A105" s="1">
        <f t="shared" si="1"/>
        <v>39429.615000000122</v>
      </c>
      <c r="B105" s="177">
        <f>IF($A$1="BL",0,'Peak Hours'!B105*Peak!H106*'Peak Hours'!$Y105)</f>
        <v>321236.20447558101</v>
      </c>
      <c r="C105" s="177">
        <f>IF($A$1="BL",0,'Peak Hours'!C105*Peak!I106*'Peak Hours'!$Y105)</f>
        <v>308039.03224972571</v>
      </c>
      <c r="D105" s="177">
        <f>IF($A$1="BL",0,'Peak Hours'!D105*Peak!J106*'Peak Hours'!$Y105)</f>
        <v>598703.98441370775</v>
      </c>
      <c r="E105" s="177">
        <f>IF($A$1="BL",0,'Peak Hours'!E105*Peak!K106*'Peak Hours'!$Y105)</f>
        <v>1141511.2001796174</v>
      </c>
      <c r="F105" s="177">
        <f>IF($A$1="BL",0,'Peak Hours'!F105*Peak!L106*'Peak Hours'!$Y105)</f>
        <v>1089133.4756963993</v>
      </c>
      <c r="G105" s="177">
        <f>IF($A$1="BL",0,'Peak Hours'!G105*Peak!M106*'Peak Hours'!$Y105)</f>
        <v>2168508.4383088546</v>
      </c>
      <c r="H105" s="177">
        <f>IF($A$1="BL",0,'Peak Hours'!H105*Peak!N106*'Peak Hours'!$Y105)</f>
        <v>2047156.4367865033</v>
      </c>
      <c r="I105" s="177">
        <f>IF($A$1="BL",0,'Peak Hours'!I105*Peak!O106*'Peak Hours'!$Y105)</f>
        <v>1581337.9994273933</v>
      </c>
      <c r="J105" s="177">
        <f>IF($A$1="BL",0,'Peak Hours'!J105*Peak!P106*'Peak Hours'!$Y105)</f>
        <v>1389266.9338306829</v>
      </c>
      <c r="K105" s="177">
        <f>IF($A$1="BL",0,'Peak Hours'!K105*Peak!Q106*'Peak Hours'!$Y105)</f>
        <v>0</v>
      </c>
      <c r="L105" s="177">
        <f>IF($A$1="BL",0,'Peak Hours'!L105*Peak!R106*'Peak Hours'!$Y105)</f>
        <v>0</v>
      </c>
      <c r="M105" s="177">
        <f>IF($A$1="BL",0,'Peak Hours'!M105*Peak!S106*'Peak Hours'!$Y105)</f>
        <v>0</v>
      </c>
      <c r="N105" s="177">
        <f>IF($A$1="BL",0,'Peak Hours'!N105*Peak!T106*'Peak Hours'!$Y105)</f>
        <v>0</v>
      </c>
      <c r="O105" s="177">
        <f>IF($A$1="BL",0,'Peak Hours'!O105*Peak!U106*'Peak Hours'!$Y105)</f>
        <v>0</v>
      </c>
      <c r="P105" s="177">
        <f>IF($A$1="BL",0,'Peak Hours'!P105*Peak!V106*'Peak Hours'!$Y105)</f>
        <v>0</v>
      </c>
      <c r="Q105" s="177">
        <f>IF($A$1="BL",0,'Peak Hours'!Q105*Peak!W106*'Peak Hours'!$Y105)</f>
        <v>0</v>
      </c>
      <c r="R105" s="177">
        <f>IF($A$1="BL",0,'Peak Hours'!R105*Peak!X106*'Peak Hours'!$Y105)</f>
        <v>0</v>
      </c>
      <c r="S105" s="177">
        <f>IF($A$1="BL",0,'Peak Hours'!S105*Peak!Y106*'Peak Hours'!$Y105)</f>
        <v>0</v>
      </c>
      <c r="T105" s="177">
        <f>IF($A$1="BL",0,'Peak Hours'!T105*Peak!Z106*'Peak Hours'!$Y105)</f>
        <v>0</v>
      </c>
      <c r="U105" s="177">
        <f>IF($A$1="BL",0,'Peak Hours'!U105*Peak!AA106*'Peak Hours'!$Y105)</f>
        <v>0</v>
      </c>
      <c r="V105" s="208">
        <f>SUM(B94:U105)</f>
        <v>138612873.42785889</v>
      </c>
      <c r="W105" s="203">
        <f>(IF($A$1="BL",0,Peak!C106*'Peak Hours'!V105*'Peak Hours'!$Y105))*-1</f>
        <v>-6983627.9632167239</v>
      </c>
      <c r="X105" s="208">
        <f>SUM(W94:W105)</f>
        <v>-83281850.042701006</v>
      </c>
      <c r="Y105" s="203">
        <f>(IF($A$1="bl",0,Peak!D106*'Peak Hours'!V105*'Peak Hours'!$Y105))*-1</f>
        <v>-101259.81525476571</v>
      </c>
      <c r="Z105" s="208">
        <f>SUM(Y94:Y105)</f>
        <v>-1424641.4638617863</v>
      </c>
      <c r="AA105" s="203">
        <f>(Peak!E106*'Peak Hours'!V105*'Peak Hours'!$Y105)*-1</f>
        <v>0</v>
      </c>
      <c r="AB105" s="205">
        <f>SUM(AA94:AA105)</f>
        <v>0</v>
      </c>
      <c r="AC105" s="203">
        <f>(Peak!F106*'Peak Hours'!V105*'Peak Hours'!$Y105)*-1</f>
        <v>0</v>
      </c>
      <c r="AD105" s="205">
        <f>SUM(AC94:AC105)</f>
        <v>0</v>
      </c>
    </row>
    <row r="106" spans="1:30" x14ac:dyDescent="0.2">
      <c r="A106" s="1">
        <f t="shared" si="1"/>
        <v>39460.032000000123</v>
      </c>
      <c r="B106" s="177">
        <f>IF($A$1="BL",0,'Peak Hours'!B106*Peak!H107*'Peak Hours'!$Y106)</f>
        <v>475848.2951436477</v>
      </c>
      <c r="C106" s="177">
        <f>IF($A$1="BL",0,'Peak Hours'!C106*Peak!I107*'Peak Hours'!$Y106)</f>
        <v>394292.13624484715</v>
      </c>
      <c r="D106" s="177">
        <f>IF($A$1="BL",0,'Peak Hours'!D106*Peak!J107*'Peak Hours'!$Y106)</f>
        <v>676684.56837392319</v>
      </c>
      <c r="E106" s="177">
        <f>IF($A$1="BL",0,'Peak Hours'!E106*Peak!K107*'Peak Hours'!$Y106)</f>
        <v>1068220.7656621926</v>
      </c>
      <c r="F106" s="177">
        <f>IF($A$1="BL",0,'Peak Hours'!F106*Peak!L107*'Peak Hours'!$Y106)</f>
        <v>998060.43039322738</v>
      </c>
      <c r="G106" s="177">
        <f>IF($A$1="BL",0,'Peak Hours'!G106*Peak!M107*'Peak Hours'!$Y106)</f>
        <v>1855682.5600549318</v>
      </c>
      <c r="H106" s="177">
        <f>IF($A$1="BL",0,'Peak Hours'!H106*Peak!N107*'Peak Hours'!$Y106)</f>
        <v>1804922.6492428398</v>
      </c>
      <c r="I106" s="177">
        <f>IF($A$1="BL",0,'Peak Hours'!I106*Peak!O107*'Peak Hours'!$Y106)</f>
        <v>1759794.680974209</v>
      </c>
      <c r="J106" s="177">
        <f>IF($A$1="BL",0,'Peak Hours'!J106*Peak!P107*'Peak Hours'!$Y106)</f>
        <v>1441136.4641093076</v>
      </c>
      <c r="K106" s="177">
        <f>IF($A$1="BL",0,'Peak Hours'!K106*Peak!Q107*'Peak Hours'!$Y106)</f>
        <v>1244116.3184027656</v>
      </c>
      <c r="L106" s="177">
        <f>IF($A$1="BL",0,'Peak Hours'!L106*Peak!R107*'Peak Hours'!$Y106)</f>
        <v>0</v>
      </c>
      <c r="M106" s="177">
        <f>IF($A$1="BL",0,'Peak Hours'!M106*Peak!S107*'Peak Hours'!$Y106)</f>
        <v>0</v>
      </c>
      <c r="N106" s="177">
        <f>IF($A$1="BL",0,'Peak Hours'!N106*Peak!T107*'Peak Hours'!$Y106)</f>
        <v>0</v>
      </c>
      <c r="O106" s="177">
        <f>IF($A$1="BL",0,'Peak Hours'!O106*Peak!U107*'Peak Hours'!$Y106)</f>
        <v>0</v>
      </c>
      <c r="P106" s="177">
        <f>IF($A$1="BL",0,'Peak Hours'!P106*Peak!V107*'Peak Hours'!$Y106)</f>
        <v>0</v>
      </c>
      <c r="Q106" s="177">
        <f>IF($A$1="BL",0,'Peak Hours'!Q106*Peak!W107*'Peak Hours'!$Y106)</f>
        <v>0</v>
      </c>
      <c r="R106" s="177">
        <f>IF($A$1="BL",0,'Peak Hours'!R106*Peak!X107*'Peak Hours'!$Y106)</f>
        <v>0</v>
      </c>
      <c r="S106" s="177">
        <f>IF($A$1="BL",0,'Peak Hours'!S106*Peak!Y107*'Peak Hours'!$Y106)</f>
        <v>0</v>
      </c>
      <c r="T106" s="177">
        <f>IF($A$1="BL",0,'Peak Hours'!T106*Peak!Z107*'Peak Hours'!$Y106)</f>
        <v>0</v>
      </c>
      <c r="U106" s="177">
        <f>IF($A$1="BL",0,'Peak Hours'!U106*Peak!AA107*'Peak Hours'!$Y106)</f>
        <v>0</v>
      </c>
      <c r="V106" s="207"/>
      <c r="W106" s="203">
        <f>(IF($A$1="BL",0,Peak!C107*'Peak Hours'!V106*'Peak Hours'!$Y106))*-1</f>
        <v>-7368265.0078446958</v>
      </c>
      <c r="X106" s="207"/>
      <c r="Y106" s="203">
        <f>(IF($A$1="bl",0,Peak!D107*'Peak Hours'!V106*'Peak Hours'!$Y106))*-1</f>
        <v>-119870.14190689161</v>
      </c>
      <c r="Z106" s="207"/>
      <c r="AA106" s="203">
        <f>(Peak!E107*'Peak Hours'!V106*'Peak Hours'!$Y106)*-1</f>
        <v>0</v>
      </c>
      <c r="AB106" s="204"/>
      <c r="AC106" s="203">
        <f>(Peak!F107*'Peak Hours'!V106*'Peak Hours'!$Y106)*-1</f>
        <v>0</v>
      </c>
      <c r="AD106" s="204"/>
    </row>
    <row r="107" spans="1:30" x14ac:dyDescent="0.2">
      <c r="A107" s="1">
        <f t="shared" si="1"/>
        <v>39490.449000000124</v>
      </c>
      <c r="B107" s="177">
        <f>IF($A$1="BL",0,'Peak Hours'!B107*Peak!H108*'Peak Hours'!$Y107)</f>
        <v>357606.36862199358</v>
      </c>
      <c r="C107" s="177">
        <f>IF($A$1="BL",0,'Peak Hours'!C107*Peak!I108*'Peak Hours'!$Y107)</f>
        <v>323724.92999257421</v>
      </c>
      <c r="D107" s="177">
        <f>IF($A$1="BL",0,'Peak Hours'!D107*Peak!J108*'Peak Hours'!$Y107)</f>
        <v>617847.06340335927</v>
      </c>
      <c r="E107" s="177">
        <f>IF($A$1="BL",0,'Peak Hours'!E107*Peak!K108*'Peak Hours'!$Y107)</f>
        <v>1181392.921649155</v>
      </c>
      <c r="F107" s="177">
        <f>IF($A$1="BL",0,'Peak Hours'!F107*Peak!L108*'Peak Hours'!$Y107)</f>
        <v>1118135.7131364008</v>
      </c>
      <c r="G107" s="177">
        <f>IF($A$1="BL",0,'Peak Hours'!G107*Peak!M108*'Peak Hours'!$Y107)</f>
        <v>2208477.3115351894</v>
      </c>
      <c r="H107" s="177">
        <f>IF($A$1="BL",0,'Peak Hours'!H107*Peak!N108*'Peak Hours'!$Y107)</f>
        <v>2126052.6386727854</v>
      </c>
      <c r="I107" s="177">
        <f>IF($A$1="BL",0,'Peak Hours'!I107*Peak!O108*'Peak Hours'!$Y107)</f>
        <v>1771888.5328208327</v>
      </c>
      <c r="J107" s="177">
        <f>IF($A$1="BL",0,'Peak Hours'!J107*Peak!P108*'Peak Hours'!$Y107)</f>
        <v>1477026.6101944083</v>
      </c>
      <c r="K107" s="177">
        <f>IF($A$1="BL",0,'Peak Hours'!K107*Peak!Q108*'Peak Hours'!$Y107)</f>
        <v>1238671.9676682276</v>
      </c>
      <c r="L107" s="177">
        <f>IF($A$1="BL",0,'Peak Hours'!L107*Peak!R108*'Peak Hours'!$Y107)</f>
        <v>1178813.7097207871</v>
      </c>
      <c r="M107" s="177">
        <f>IF($A$1="BL",0,'Peak Hours'!M107*Peak!S108*'Peak Hours'!$Y107)</f>
        <v>1055676.8944141273</v>
      </c>
      <c r="N107" s="177">
        <f>IF($A$1="BL",0,'Peak Hours'!N107*Peak!T108*'Peak Hours'!$Y107)</f>
        <v>0</v>
      </c>
      <c r="O107" s="177">
        <f>IF($A$1="BL",0,'Peak Hours'!O107*Peak!U108*'Peak Hours'!$Y107)</f>
        <v>0</v>
      </c>
      <c r="P107" s="177">
        <f>IF($A$1="BL",0,'Peak Hours'!P107*Peak!V108*'Peak Hours'!$Y107)</f>
        <v>0</v>
      </c>
      <c r="Q107" s="177">
        <f>IF($A$1="BL",0,'Peak Hours'!Q107*Peak!W108*'Peak Hours'!$Y107)</f>
        <v>0</v>
      </c>
      <c r="R107" s="177">
        <f>IF($A$1="BL",0,'Peak Hours'!R107*Peak!X108*'Peak Hours'!$Y107)</f>
        <v>0</v>
      </c>
      <c r="S107" s="177">
        <f>IF($A$1="BL",0,'Peak Hours'!S107*Peak!Y108*'Peak Hours'!$Y107)</f>
        <v>0</v>
      </c>
      <c r="T107" s="177">
        <f>IF($A$1="BL",0,'Peak Hours'!T107*Peak!Z108*'Peak Hours'!$Y107)</f>
        <v>0</v>
      </c>
      <c r="U107" s="177">
        <f>IF($A$1="BL",0,'Peak Hours'!U107*Peak!AA108*'Peak Hours'!$Y107)</f>
        <v>0</v>
      </c>
      <c r="V107" s="207"/>
      <c r="W107" s="203">
        <f>(IF($A$1="BL",0,Peak!C108*'Peak Hours'!V107*'Peak Hours'!$Y107))*-1</f>
        <v>-8636004.5478605293</v>
      </c>
      <c r="X107" s="207"/>
      <c r="Y107" s="203">
        <f>(IF($A$1="bl",0,Peak!D108*'Peak Hours'!V107*'Peak Hours'!$Y107))*-1</f>
        <v>-157014.51793111689</v>
      </c>
      <c r="Z107" s="207"/>
      <c r="AA107" s="203">
        <f>(Peak!E108*'Peak Hours'!V107*'Peak Hours'!$Y107)*-1</f>
        <v>0</v>
      </c>
      <c r="AB107" s="204"/>
      <c r="AC107" s="203">
        <f>(Peak!F108*'Peak Hours'!V107*'Peak Hours'!$Y107)*-1</f>
        <v>0</v>
      </c>
      <c r="AD107" s="204"/>
    </row>
    <row r="108" spans="1:30" x14ac:dyDescent="0.2">
      <c r="A108" s="1">
        <f t="shared" si="1"/>
        <v>39520.866000000125</v>
      </c>
      <c r="B108" s="177">
        <f>IF($A$1="BL",0,'Peak Hours'!B108*Peak!H109*'Peak Hours'!$Y108)</f>
        <v>327195.64128977101</v>
      </c>
      <c r="C108" s="177">
        <f>IF($A$1="BL",0,'Peak Hours'!C108*Peak!I109*'Peak Hours'!$Y108)</f>
        <v>325676.94793284044</v>
      </c>
      <c r="D108" s="177">
        <f>IF($A$1="BL",0,'Peak Hours'!D108*Peak!J109*'Peak Hours'!$Y108)</f>
        <v>634426.15546923433</v>
      </c>
      <c r="E108" s="177">
        <f>IF($A$1="BL",0,'Peak Hours'!E108*Peak!K109*'Peak Hours'!$Y108)</f>
        <v>1106562.368862309</v>
      </c>
      <c r="F108" s="177">
        <f>IF($A$1="BL",0,'Peak Hours'!F108*Peak!L109*'Peak Hours'!$Y108)</f>
        <v>885255.60393184819</v>
      </c>
      <c r="G108" s="177">
        <f>IF($A$1="BL",0,'Peak Hours'!G108*Peak!M109*'Peak Hours'!$Y108)</f>
        <v>1533376.4440969913</v>
      </c>
      <c r="H108" s="177">
        <f>IF($A$1="BL",0,'Peak Hours'!H108*Peak!N109*'Peak Hours'!$Y108)</f>
        <v>1431179.9229196338</v>
      </c>
      <c r="I108" s="177">
        <f>IF($A$1="BL",0,'Peak Hours'!I108*Peak!O109*'Peak Hours'!$Y108)</f>
        <v>1275192.2095337939</v>
      </c>
      <c r="J108" s="177">
        <f>IF($A$1="BL",0,'Peak Hours'!J108*Peak!P109*'Peak Hours'!$Y108)</f>
        <v>1275192.2095337939</v>
      </c>
      <c r="K108" s="177">
        <f>IF($A$1="BL",0,'Peak Hours'!K108*Peak!Q109*'Peak Hours'!$Y108)</f>
        <v>1273878.5422473659</v>
      </c>
      <c r="L108" s="177">
        <f>IF($A$1="BL",0,'Peak Hours'!L108*Peak!R109*'Peak Hours'!$Y108)</f>
        <v>1264584.5233416993</v>
      </c>
      <c r="M108" s="177">
        <f>IF($A$1="BL",0,'Peak Hours'!M108*Peak!S109*'Peak Hours'!$Y108)</f>
        <v>1264584.5233416993</v>
      </c>
      <c r="N108" s="177">
        <f>IF($A$1="BL",0,'Peak Hours'!N108*Peak!T109*'Peak Hours'!$Y108)</f>
        <v>1264584.5233416993</v>
      </c>
      <c r="O108" s="177">
        <f>IF($A$1="BL",0,'Peak Hours'!O108*Peak!U109*'Peak Hours'!$Y108)</f>
        <v>1264584.5233416993</v>
      </c>
      <c r="P108" s="177">
        <f>IF($A$1="BL",0,'Peak Hours'!P108*Peak!V109*'Peak Hours'!$Y108)</f>
        <v>1158041.0250173169</v>
      </c>
      <c r="Q108" s="177">
        <f>IF($A$1="BL",0,'Peak Hours'!Q108*Peak!W109*'Peak Hours'!$Y108)</f>
        <v>0</v>
      </c>
      <c r="R108" s="177">
        <f>IF($A$1="BL",0,'Peak Hours'!R108*Peak!X109*'Peak Hours'!$Y108)</f>
        <v>0</v>
      </c>
      <c r="S108" s="177">
        <f>IF($A$1="BL",0,'Peak Hours'!S108*Peak!Y109*'Peak Hours'!$Y108)</f>
        <v>0</v>
      </c>
      <c r="T108" s="177">
        <f>IF($A$1="BL",0,'Peak Hours'!T108*Peak!Z109*'Peak Hours'!$Y108)</f>
        <v>0</v>
      </c>
      <c r="U108" s="177">
        <f>IF($A$1="BL",0,'Peak Hours'!U108*Peak!AA109*'Peak Hours'!$Y108)</f>
        <v>0</v>
      </c>
      <c r="V108" s="207"/>
      <c r="W108" s="203">
        <f>(IF($A$1="BL",0,Peak!C109*'Peak Hours'!V108*'Peak Hours'!$Y108))*-1</f>
        <v>-11807246.882557034</v>
      </c>
      <c r="X108" s="207"/>
      <c r="Y108" s="203">
        <f>(IF($A$1="bl",0,Peak!D109*'Peak Hours'!V108*'Peak Hours'!$Y108))*-1</f>
        <v>-218707.45391642067</v>
      </c>
      <c r="Z108" s="207"/>
      <c r="AA108" s="203">
        <f>(Peak!E109*'Peak Hours'!V108*'Peak Hours'!$Y108)*-1</f>
        <v>0</v>
      </c>
      <c r="AB108" s="204"/>
      <c r="AC108" s="203">
        <f>(Peak!F109*'Peak Hours'!V108*'Peak Hours'!$Y108)*-1</f>
        <v>0</v>
      </c>
      <c r="AD108" s="204"/>
    </row>
    <row r="109" spans="1:30" x14ac:dyDescent="0.2">
      <c r="A109" s="1">
        <f t="shared" si="1"/>
        <v>39551.283000000127</v>
      </c>
      <c r="B109" s="177">
        <f>IF($A$1="BL",0,'Peak Hours'!B109*Peak!H110*'Peak Hours'!$Y109)</f>
        <v>263917.29478444479</v>
      </c>
      <c r="C109" s="177">
        <f>IF($A$1="BL",0,'Peak Hours'!C109*Peak!I110*'Peak Hours'!$Y109)</f>
        <v>253322.0643338965</v>
      </c>
      <c r="D109" s="177">
        <f>IF($A$1="BL",0,'Peak Hours'!D109*Peak!J110*'Peak Hours'!$Y109)</f>
        <v>484978.95581355161</v>
      </c>
      <c r="E109" s="177">
        <f>IF($A$1="BL",0,'Peak Hours'!E109*Peak!K110*'Peak Hours'!$Y109)</f>
        <v>922560.58763187786</v>
      </c>
      <c r="F109" s="177">
        <f>IF($A$1="BL",0,'Peak Hours'!F109*Peak!L110*'Peak Hours'!$Y109)</f>
        <v>864235.73347105528</v>
      </c>
      <c r="G109" s="177">
        <f>IF($A$1="BL",0,'Peak Hours'!G109*Peak!M110*'Peak Hours'!$Y109)</f>
        <v>1692529.9739159094</v>
      </c>
      <c r="H109" s="177">
        <f>IF($A$1="BL",0,'Peak Hours'!H109*Peak!N110*'Peak Hours'!$Y109)</f>
        <v>1677554.9032559823</v>
      </c>
      <c r="I109" s="177">
        <f>IF($A$1="BL",0,'Peak Hours'!I109*Peak!O110*'Peak Hours'!$Y109)</f>
        <v>1450480.2355292439</v>
      </c>
      <c r="J109" s="177">
        <f>IF($A$1="BL",0,'Peak Hours'!J109*Peak!P110*'Peak Hours'!$Y109)</f>
        <v>1184780.4031268139</v>
      </c>
      <c r="K109" s="177">
        <f>IF($A$1="BL",0,'Peak Hours'!K109*Peak!Q110*'Peak Hours'!$Y109)</f>
        <v>1042280.9535453498</v>
      </c>
      <c r="L109" s="177">
        <f>IF($A$1="BL",0,'Peak Hours'!L109*Peak!R110*'Peak Hours'!$Y109)</f>
        <v>0</v>
      </c>
      <c r="M109" s="177">
        <f>IF($A$1="BL",0,'Peak Hours'!M109*Peak!S110*'Peak Hours'!$Y109)</f>
        <v>0</v>
      </c>
      <c r="N109" s="177">
        <f>IF($A$1="BL",0,'Peak Hours'!N109*Peak!T110*'Peak Hours'!$Y109)</f>
        <v>0</v>
      </c>
      <c r="O109" s="177">
        <f>IF($A$1="BL",0,'Peak Hours'!O109*Peak!U110*'Peak Hours'!$Y109)</f>
        <v>0</v>
      </c>
      <c r="P109" s="177">
        <f>IF($A$1="BL",0,'Peak Hours'!P109*Peak!V110*'Peak Hours'!$Y109)</f>
        <v>0</v>
      </c>
      <c r="Q109" s="177">
        <f>IF($A$1="BL",0,'Peak Hours'!Q109*Peak!W110*'Peak Hours'!$Y109)</f>
        <v>0</v>
      </c>
      <c r="R109" s="177">
        <f>IF($A$1="BL",0,'Peak Hours'!R109*Peak!X110*'Peak Hours'!$Y109)</f>
        <v>0</v>
      </c>
      <c r="S109" s="177">
        <f>IF($A$1="BL",0,'Peak Hours'!S109*Peak!Y110*'Peak Hours'!$Y109)</f>
        <v>0</v>
      </c>
      <c r="T109" s="177">
        <f>IF($A$1="BL",0,'Peak Hours'!T109*Peak!Z110*'Peak Hours'!$Y109)</f>
        <v>0</v>
      </c>
      <c r="U109" s="177">
        <f>IF($A$1="BL",0,'Peak Hours'!U109*Peak!AA110*'Peak Hours'!$Y109)</f>
        <v>0</v>
      </c>
      <c r="V109" s="207"/>
      <c r="W109" s="203">
        <f>(IF($A$1="BL",0,Peak!C110*'Peak Hours'!V109*'Peak Hours'!$Y109))*-1</f>
        <v>-6344677.9788388228</v>
      </c>
      <c r="X109" s="207"/>
      <c r="Y109" s="203">
        <f>(IF($A$1="bl",0,Peak!D110*'Peak Hours'!V109*'Peak Hours'!$Y109))*-1</f>
        <v>-123823.28532239093</v>
      </c>
      <c r="Z109" s="207"/>
      <c r="AA109" s="203">
        <f>(Peak!E110*'Peak Hours'!V109*'Peak Hours'!$Y109)*-1</f>
        <v>0</v>
      </c>
      <c r="AB109" s="204"/>
      <c r="AC109" s="203">
        <f>(Peak!F110*'Peak Hours'!V109*'Peak Hours'!$Y109)*-1</f>
        <v>0</v>
      </c>
      <c r="AD109" s="204"/>
    </row>
    <row r="110" spans="1:30" x14ac:dyDescent="0.2">
      <c r="A110" s="1">
        <f t="shared" si="1"/>
        <v>39581.700000000128</v>
      </c>
      <c r="B110" s="177">
        <f>IF($A$1="BL",0,'Peak Hours'!B110*Peak!H111*'Peak Hours'!$Y110)</f>
        <v>247870.14595804657</v>
      </c>
      <c r="C110" s="177">
        <f>IF($A$1="BL",0,'Peak Hours'!C110*Peak!I111*'Peak Hours'!$Y110)</f>
        <v>234596.51539880777</v>
      </c>
      <c r="D110" s="177">
        <f>IF($A$1="BL",0,'Peak Hours'!D110*Peak!J111*'Peak Hours'!$Y110)</f>
        <v>440701.45875459822</v>
      </c>
      <c r="E110" s="177">
        <f>IF($A$1="BL",0,'Peak Hours'!E110*Peak!K111*'Peak Hours'!$Y110)</f>
        <v>851182.99593453167</v>
      </c>
      <c r="F110" s="177">
        <f>IF($A$1="BL",0,'Peak Hours'!F110*Peak!L111*'Peak Hours'!$Y110)</f>
        <v>845218.02833145321</v>
      </c>
      <c r="G110" s="177">
        <f>IF($A$1="BL",0,'Peak Hours'!G110*Peak!M111*'Peak Hours'!$Y110)</f>
        <v>1410091.575307087</v>
      </c>
      <c r="H110" s="177">
        <f>IF($A$1="BL",0,'Peak Hours'!H110*Peak!N111*'Peak Hours'!$Y110)</f>
        <v>1187438.4351621687</v>
      </c>
      <c r="I110" s="177">
        <f>IF($A$1="BL",0,'Peak Hours'!I110*Peak!O111*'Peak Hours'!$Y110)</f>
        <v>1100501.9694598324</v>
      </c>
      <c r="J110" s="177">
        <f>IF($A$1="BL",0,'Peak Hours'!J110*Peak!P111*'Peak Hours'!$Y110)</f>
        <v>0</v>
      </c>
      <c r="K110" s="177">
        <f>IF($A$1="BL",0,'Peak Hours'!K110*Peak!Q111*'Peak Hours'!$Y110)</f>
        <v>0</v>
      </c>
      <c r="L110" s="177">
        <f>IF($A$1="BL",0,'Peak Hours'!L110*Peak!R111*'Peak Hours'!$Y110)</f>
        <v>0</v>
      </c>
      <c r="M110" s="177">
        <f>IF($A$1="BL",0,'Peak Hours'!M110*Peak!S111*'Peak Hours'!$Y110)</f>
        <v>0</v>
      </c>
      <c r="N110" s="177">
        <f>IF($A$1="BL",0,'Peak Hours'!N110*Peak!T111*'Peak Hours'!$Y110)</f>
        <v>0</v>
      </c>
      <c r="O110" s="177">
        <f>IF($A$1="BL",0,'Peak Hours'!O110*Peak!U111*'Peak Hours'!$Y110)</f>
        <v>0</v>
      </c>
      <c r="P110" s="177">
        <f>IF($A$1="BL",0,'Peak Hours'!P110*Peak!V111*'Peak Hours'!$Y110)</f>
        <v>0</v>
      </c>
      <c r="Q110" s="177">
        <f>IF($A$1="BL",0,'Peak Hours'!Q110*Peak!W111*'Peak Hours'!$Y110)</f>
        <v>0</v>
      </c>
      <c r="R110" s="177">
        <f>IF($A$1="BL",0,'Peak Hours'!R110*Peak!X111*'Peak Hours'!$Y110)</f>
        <v>0</v>
      </c>
      <c r="S110" s="177">
        <f>IF($A$1="BL",0,'Peak Hours'!S110*Peak!Y111*'Peak Hours'!$Y110)</f>
        <v>0</v>
      </c>
      <c r="T110" s="177">
        <f>IF($A$1="BL",0,'Peak Hours'!T110*Peak!Z111*'Peak Hours'!$Y110)</f>
        <v>0</v>
      </c>
      <c r="U110" s="177">
        <f>IF($A$1="BL",0,'Peak Hours'!U110*Peak!AA111*'Peak Hours'!$Y110)</f>
        <v>0</v>
      </c>
      <c r="V110" s="207"/>
      <c r="W110" s="203">
        <f>(IF($A$1="BL",0,Peak!C111*'Peak Hours'!V110*'Peak Hours'!$Y110))*-1</f>
        <v>-4624875.1567359921</v>
      </c>
      <c r="X110" s="207"/>
      <c r="Y110" s="203">
        <f>(IF($A$1="bl",0,Peak!D111*'Peak Hours'!V110*'Peak Hours'!$Y110))*-1</f>
        <v>-85866.685937027258</v>
      </c>
      <c r="Z110" s="207"/>
      <c r="AA110" s="203">
        <f>(Peak!E111*'Peak Hours'!V110*'Peak Hours'!$Y110)*-1</f>
        <v>0</v>
      </c>
      <c r="AB110" s="204"/>
      <c r="AC110" s="203">
        <f>(Peak!F111*'Peak Hours'!V110*'Peak Hours'!$Y110)*-1</f>
        <v>0</v>
      </c>
      <c r="AD110" s="204"/>
    </row>
    <row r="111" spans="1:30" x14ac:dyDescent="0.2">
      <c r="A111" s="1">
        <f t="shared" si="1"/>
        <v>39612.117000000129</v>
      </c>
      <c r="B111" s="177">
        <f>IF($A$1="BL",0,'Peak Hours'!B111*Peak!H112*'Peak Hours'!$Y111)</f>
        <v>578183.3609000938</v>
      </c>
      <c r="C111" s="177">
        <f>IF($A$1="BL",0,'Peak Hours'!C111*Peak!I112*'Peak Hours'!$Y111)</f>
        <v>522124.20733219467</v>
      </c>
      <c r="D111" s="177">
        <f>IF($A$1="BL",0,'Peak Hours'!D111*Peak!J112*'Peak Hours'!$Y111)</f>
        <v>957079.54236808722</v>
      </c>
      <c r="E111" s="177">
        <f>IF($A$1="BL",0,'Peak Hours'!E111*Peak!K112*'Peak Hours'!$Y111)</f>
        <v>1256575.7039636616</v>
      </c>
      <c r="F111" s="177">
        <f>IF($A$1="BL",0,'Peak Hours'!F111*Peak!L112*'Peak Hours'!$Y111)</f>
        <v>970588.68701640365</v>
      </c>
      <c r="G111" s="177">
        <f>IF($A$1="BL",0,'Peak Hours'!G111*Peak!M112*'Peak Hours'!$Y111)</f>
        <v>1735833.1801756679</v>
      </c>
      <c r="H111" s="177">
        <f>IF($A$1="BL",0,'Peak Hours'!H111*Peak!N112*'Peak Hours'!$Y111)</f>
        <v>1555572.5844038608</v>
      </c>
      <c r="I111" s="177">
        <f>IF($A$1="BL",0,'Peak Hours'!I111*Peak!O112*'Peak Hours'!$Y111)</f>
        <v>1514103.8579732096</v>
      </c>
      <c r="J111" s="177">
        <f>IF($A$1="BL",0,'Peak Hours'!J111*Peak!P112*'Peak Hours'!$Y111)</f>
        <v>1246672.2376302078</v>
      </c>
      <c r="K111" s="177">
        <f>IF($A$1="BL",0,'Peak Hours'!K111*Peak!Q112*'Peak Hours'!$Y111)</f>
        <v>1097224.4447948108</v>
      </c>
      <c r="L111" s="177">
        <f>IF($A$1="BL",0,'Peak Hours'!L111*Peak!R112*'Peak Hours'!$Y111)</f>
        <v>1057788.8721476449</v>
      </c>
      <c r="M111" s="177">
        <f>IF($A$1="BL",0,'Peak Hours'!M111*Peak!S112*'Peak Hours'!$Y111)</f>
        <v>0</v>
      </c>
      <c r="N111" s="177">
        <f>IF($A$1="BL",0,'Peak Hours'!N111*Peak!T112*'Peak Hours'!$Y111)</f>
        <v>0</v>
      </c>
      <c r="O111" s="177">
        <f>IF($A$1="BL",0,'Peak Hours'!O111*Peak!U112*'Peak Hours'!$Y111)</f>
        <v>0</v>
      </c>
      <c r="P111" s="177">
        <f>IF($A$1="BL",0,'Peak Hours'!P111*Peak!V112*'Peak Hours'!$Y111)</f>
        <v>0</v>
      </c>
      <c r="Q111" s="177">
        <f>IF($A$1="BL",0,'Peak Hours'!Q111*Peak!W112*'Peak Hours'!$Y111)</f>
        <v>0</v>
      </c>
      <c r="R111" s="177">
        <f>IF($A$1="BL",0,'Peak Hours'!R111*Peak!X112*'Peak Hours'!$Y111)</f>
        <v>0</v>
      </c>
      <c r="S111" s="177">
        <f>IF($A$1="BL",0,'Peak Hours'!S111*Peak!Y112*'Peak Hours'!$Y111)</f>
        <v>0</v>
      </c>
      <c r="T111" s="177">
        <f>IF($A$1="BL",0,'Peak Hours'!T111*Peak!Z112*'Peak Hours'!$Y111)</f>
        <v>0</v>
      </c>
      <c r="U111" s="177">
        <f>IF($A$1="BL",0,'Peak Hours'!U111*Peak!AA112*'Peak Hours'!$Y111)</f>
        <v>0</v>
      </c>
      <c r="V111" s="207"/>
      <c r="W111" s="203">
        <f>(IF($A$1="BL",0,Peak!C112*'Peak Hours'!V111*'Peak Hours'!$Y111))*-1</f>
        <v>-7468649.8406512896</v>
      </c>
      <c r="X111" s="207"/>
      <c r="Y111" s="203">
        <f>(IF($A$1="bl",0,Peak!D112*'Peak Hours'!V111*'Peak Hours'!$Y111))*-1</f>
        <v>-145782.2842994949</v>
      </c>
      <c r="Z111" s="207"/>
      <c r="AA111" s="203">
        <f>(Peak!E112*'Peak Hours'!V111*'Peak Hours'!$Y111)*-1</f>
        <v>0</v>
      </c>
      <c r="AB111" s="204"/>
      <c r="AC111" s="203">
        <f>(Peak!F112*'Peak Hours'!V111*'Peak Hours'!$Y111)*-1</f>
        <v>0</v>
      </c>
      <c r="AD111" s="204"/>
    </row>
    <row r="112" spans="1:30" x14ac:dyDescent="0.2">
      <c r="A112" s="1">
        <f t="shared" si="1"/>
        <v>39642.534000000131</v>
      </c>
      <c r="B112" s="177">
        <f>IF($A$1="BL",0,'Peak Hours'!B112*Peak!H113*'Peak Hours'!$Y112)</f>
        <v>1054207.6032929888</v>
      </c>
      <c r="C112" s="177">
        <f>IF($A$1="BL",0,'Peak Hours'!C112*Peak!I113*'Peak Hours'!$Y112)</f>
        <v>843285.71446320054</v>
      </c>
      <c r="D112" s="177">
        <f>IF($A$1="BL",0,'Peak Hours'!D112*Peak!J113*'Peak Hours'!$Y112)</f>
        <v>1409286.3578607016</v>
      </c>
      <c r="E112" s="177">
        <f>IF($A$1="BL",0,'Peak Hours'!E112*Peak!K113*'Peak Hours'!$Y112)</f>
        <v>2291191.6695871348</v>
      </c>
      <c r="F112" s="177">
        <f>IF($A$1="BL",0,'Peak Hours'!F112*Peak!L113*'Peak Hours'!$Y112)</f>
        <v>1915814.5985794233</v>
      </c>
      <c r="G112" s="177">
        <f>IF($A$1="BL",0,'Peak Hours'!G112*Peak!M113*'Peak Hours'!$Y112)</f>
        <v>2784396.5521801435</v>
      </c>
      <c r="H112" s="177">
        <f>IF($A$1="BL",0,'Peak Hours'!H112*Peak!N113*'Peak Hours'!$Y112)</f>
        <v>1888746.0563567879</v>
      </c>
      <c r="I112" s="177">
        <f>IF($A$1="BL",0,'Peak Hours'!I112*Peak!O113*'Peak Hours'!$Y112)</f>
        <v>1641841.2325457113</v>
      </c>
      <c r="J112" s="177">
        <f>IF($A$1="BL",0,'Peak Hours'!J112*Peak!P113*'Peak Hours'!$Y112)</f>
        <v>1599905.6244003058</v>
      </c>
      <c r="K112" s="177">
        <f>IF($A$1="BL",0,'Peak Hours'!K112*Peak!Q113*'Peak Hours'!$Y112)</f>
        <v>1572487.6864245264</v>
      </c>
      <c r="L112" s="177">
        <f>IF($A$1="BL",0,'Peak Hours'!L112*Peak!R113*'Peak Hours'!$Y112)</f>
        <v>1418696.3039036344</v>
      </c>
      <c r="M112" s="177">
        <f>IF($A$1="BL",0,'Peak Hours'!M112*Peak!S113*'Peak Hours'!$Y112)</f>
        <v>1116707.7575834307</v>
      </c>
      <c r="N112" s="177">
        <f>IF($A$1="BL",0,'Peak Hours'!N112*Peak!T113*'Peak Hours'!$Y112)</f>
        <v>1035723.9176699806</v>
      </c>
      <c r="O112" s="177">
        <f>IF($A$1="BL",0,'Peak Hours'!O112*Peak!U113*'Peak Hours'!$Y112)</f>
        <v>0</v>
      </c>
      <c r="P112" s="177">
        <f>IF($A$1="BL",0,'Peak Hours'!P112*Peak!V113*'Peak Hours'!$Y112)</f>
        <v>0</v>
      </c>
      <c r="Q112" s="177">
        <f>IF($A$1="BL",0,'Peak Hours'!Q112*Peak!W113*'Peak Hours'!$Y112)</f>
        <v>0</v>
      </c>
      <c r="R112" s="177">
        <f>IF($A$1="BL",0,'Peak Hours'!R112*Peak!X113*'Peak Hours'!$Y112)</f>
        <v>0</v>
      </c>
      <c r="S112" s="177">
        <f>IF($A$1="BL",0,'Peak Hours'!S112*Peak!Y113*'Peak Hours'!$Y112)</f>
        <v>0</v>
      </c>
      <c r="T112" s="177">
        <f>IF($A$1="BL",0,'Peak Hours'!T112*Peak!Z113*'Peak Hours'!$Y112)</f>
        <v>0</v>
      </c>
      <c r="U112" s="177">
        <f>IF($A$1="BL",0,'Peak Hours'!U112*Peak!AA113*'Peak Hours'!$Y112)</f>
        <v>0</v>
      </c>
      <c r="V112" s="207"/>
      <c r="W112" s="203">
        <f>(IF($A$1="BL",0,Peak!C113*'Peak Hours'!V112*'Peak Hours'!$Y112))*-1</f>
        <v>-9430352.1722147632</v>
      </c>
      <c r="X112" s="207"/>
      <c r="Y112" s="203">
        <f>(IF($A$1="bl",0,Peak!D113*'Peak Hours'!V112*'Peak Hours'!$Y112))*-1</f>
        <v>-184965.32271288135</v>
      </c>
      <c r="Z112" s="207"/>
      <c r="AA112" s="203">
        <f>(Peak!E113*'Peak Hours'!V112*'Peak Hours'!$Y112)*-1</f>
        <v>0</v>
      </c>
      <c r="AB112" s="204"/>
      <c r="AC112" s="203">
        <f>(Peak!F113*'Peak Hours'!V112*'Peak Hours'!$Y112)*-1</f>
        <v>0</v>
      </c>
      <c r="AD112" s="204"/>
    </row>
    <row r="113" spans="1:30" x14ac:dyDescent="0.2">
      <c r="A113" s="1">
        <f t="shared" si="1"/>
        <v>39672.951000000132</v>
      </c>
      <c r="B113" s="177">
        <f>IF($A$1="BL",0,'Peak Hours'!B113*Peak!H114*'Peak Hours'!$Y113)</f>
        <v>1840771.9494847031</v>
      </c>
      <c r="C113" s="177">
        <f>IF($A$1="BL",0,'Peak Hours'!C113*Peak!I114*'Peak Hours'!$Y113)</f>
        <v>1206451.7840520858</v>
      </c>
      <c r="D113" s="177">
        <f>IF($A$1="BL",0,'Peak Hours'!D113*Peak!J114*'Peak Hours'!$Y113)</f>
        <v>1945511.1699090237</v>
      </c>
      <c r="E113" s="177">
        <f>IF($A$1="BL",0,'Peak Hours'!E113*Peak!K114*'Peak Hours'!$Y113)</f>
        <v>2976499.380423238</v>
      </c>
      <c r="F113" s="177">
        <f>IF($A$1="BL",0,'Peak Hours'!F113*Peak!L114*'Peak Hours'!$Y113)</f>
        <v>2336462.5962703042</v>
      </c>
      <c r="G113" s="177">
        <f>IF($A$1="BL",0,'Peak Hours'!G113*Peak!M114*'Peak Hours'!$Y113)</f>
        <v>3492512.473869022</v>
      </c>
      <c r="H113" s="177">
        <f>IF($A$1="BL",0,'Peak Hours'!H113*Peak!N114*'Peak Hours'!$Y113)</f>
        <v>1968406.988887459</v>
      </c>
      <c r="I113" s="177">
        <f>IF($A$1="BL",0,'Peak Hours'!I113*Peak!O114*'Peak Hours'!$Y113)</f>
        <v>1760716.974456544</v>
      </c>
      <c r="J113" s="177">
        <f>IF($A$1="BL",0,'Peak Hours'!J113*Peak!P114*'Peak Hours'!$Y113)</f>
        <v>1493241.369632822</v>
      </c>
      <c r="K113" s="177">
        <f>IF($A$1="BL",0,'Peak Hours'!K113*Peak!Q114*'Peak Hours'!$Y113)</f>
        <v>1118476.9399637666</v>
      </c>
      <c r="L113" s="177">
        <f>IF($A$1="BL",0,'Peak Hours'!L113*Peak!R114*'Peak Hours'!$Y113)</f>
        <v>989944.57521755318</v>
      </c>
      <c r="M113" s="177">
        <f>IF($A$1="BL",0,'Peak Hours'!M113*Peak!S114*'Peak Hours'!$Y113)</f>
        <v>0</v>
      </c>
      <c r="N113" s="177">
        <f>IF($A$1="BL",0,'Peak Hours'!N113*Peak!T114*'Peak Hours'!$Y113)</f>
        <v>0</v>
      </c>
      <c r="O113" s="177">
        <f>IF($A$1="BL",0,'Peak Hours'!O113*Peak!U114*'Peak Hours'!$Y113)</f>
        <v>0</v>
      </c>
      <c r="P113" s="177">
        <f>IF($A$1="BL",0,'Peak Hours'!P113*Peak!V114*'Peak Hours'!$Y113)</f>
        <v>0</v>
      </c>
      <c r="Q113" s="177">
        <f>IF($A$1="BL",0,'Peak Hours'!Q113*Peak!W114*'Peak Hours'!$Y113)</f>
        <v>0</v>
      </c>
      <c r="R113" s="177">
        <f>IF($A$1="BL",0,'Peak Hours'!R113*Peak!X114*'Peak Hours'!$Y113)</f>
        <v>0</v>
      </c>
      <c r="S113" s="177">
        <f>IF($A$1="BL",0,'Peak Hours'!S113*Peak!Y114*'Peak Hours'!$Y113)</f>
        <v>0</v>
      </c>
      <c r="T113" s="177">
        <f>IF($A$1="BL",0,'Peak Hours'!T113*Peak!Z114*'Peak Hours'!$Y113)</f>
        <v>0</v>
      </c>
      <c r="U113" s="177">
        <f>IF($A$1="BL",0,'Peak Hours'!U113*Peak!AA114*'Peak Hours'!$Y113)</f>
        <v>0</v>
      </c>
      <c r="V113" s="207"/>
      <c r="W113" s="203">
        <f>(IF($A$1="BL",0,Peak!C114*'Peak Hours'!V113*'Peak Hours'!$Y113))*-1</f>
        <v>-7058977.0645818105</v>
      </c>
      <c r="X113" s="207"/>
      <c r="Y113" s="203">
        <f>(IF($A$1="bl",0,Peak!D114*'Peak Hours'!V113*'Peak Hours'!$Y113))*-1</f>
        <v>-146268.63019794962</v>
      </c>
      <c r="Z113" s="207"/>
      <c r="AA113" s="203">
        <f>(Peak!E114*'Peak Hours'!V113*'Peak Hours'!$Y113)*-1</f>
        <v>0</v>
      </c>
      <c r="AB113" s="204"/>
      <c r="AC113" s="203">
        <f>(Peak!F114*'Peak Hours'!V113*'Peak Hours'!$Y113)*-1</f>
        <v>0</v>
      </c>
      <c r="AD113" s="204"/>
    </row>
    <row r="114" spans="1:30" x14ac:dyDescent="0.2">
      <c r="A114" s="1">
        <f t="shared" si="1"/>
        <v>39703.368000000133</v>
      </c>
      <c r="B114" s="177">
        <f>IF($A$1="BL",0,'Peak Hours'!B114*Peak!H115*'Peak Hours'!$Y114)</f>
        <v>602584.15882138151</v>
      </c>
      <c r="C114" s="177">
        <f>IF($A$1="BL",0,'Peak Hours'!C114*Peak!I115*'Peak Hours'!$Y114)</f>
        <v>521951.68306098977</v>
      </c>
      <c r="D114" s="177">
        <f>IF($A$1="BL",0,'Peak Hours'!D114*Peak!J115*'Peak Hours'!$Y114)</f>
        <v>767958.02130038734</v>
      </c>
      <c r="E114" s="177">
        <f>IF($A$1="BL",0,'Peak Hours'!E114*Peak!K115*'Peak Hours'!$Y114)</f>
        <v>1155568.9389817666</v>
      </c>
      <c r="F114" s="177">
        <f>IF($A$1="BL",0,'Peak Hours'!F114*Peak!L115*'Peak Hours'!$Y114)</f>
        <v>912285.69714925811</v>
      </c>
      <c r="G114" s="177">
        <f>IF($A$1="BL",0,'Peak Hours'!G114*Peak!M115*'Peak Hours'!$Y114)</f>
        <v>1580329.5922962395</v>
      </c>
      <c r="H114" s="177">
        <f>IF($A$1="BL",0,'Peak Hours'!H114*Peak!N115*'Peak Hours'!$Y114)</f>
        <v>1479940.0655949183</v>
      </c>
      <c r="I114" s="177">
        <f>IF($A$1="BL",0,'Peak Hours'!I114*Peak!O115*'Peak Hours'!$Y114)</f>
        <v>1415659.8026454987</v>
      </c>
      <c r="J114" s="177">
        <f>IF($A$1="BL",0,'Peak Hours'!J114*Peak!P115*'Peak Hours'!$Y114)</f>
        <v>1348834.2875556054</v>
      </c>
      <c r="K114" s="177">
        <f>IF($A$1="BL",0,'Peak Hours'!K114*Peak!Q115*'Peak Hours'!$Y114)</f>
        <v>1129449.7235689741</v>
      </c>
      <c r="L114" s="177">
        <f>IF($A$1="BL",0,'Peak Hours'!L114*Peak!R115*'Peak Hours'!$Y114)</f>
        <v>1033735.0266127505</v>
      </c>
      <c r="M114" s="177">
        <f>IF($A$1="BL",0,'Peak Hours'!M114*Peak!S115*'Peak Hours'!$Y114)</f>
        <v>0</v>
      </c>
      <c r="N114" s="177">
        <f>IF($A$1="BL",0,'Peak Hours'!N114*Peak!T115*'Peak Hours'!$Y114)</f>
        <v>0</v>
      </c>
      <c r="O114" s="177">
        <f>IF($A$1="BL",0,'Peak Hours'!O114*Peak!U115*'Peak Hours'!$Y114)</f>
        <v>0</v>
      </c>
      <c r="P114" s="177">
        <f>IF($A$1="BL",0,'Peak Hours'!P114*Peak!V115*'Peak Hours'!$Y114)</f>
        <v>0</v>
      </c>
      <c r="Q114" s="177">
        <f>IF($A$1="BL",0,'Peak Hours'!Q114*Peak!W115*'Peak Hours'!$Y114)</f>
        <v>0</v>
      </c>
      <c r="R114" s="177">
        <f>IF($A$1="BL",0,'Peak Hours'!R114*Peak!X115*'Peak Hours'!$Y114)</f>
        <v>0</v>
      </c>
      <c r="S114" s="177">
        <f>IF($A$1="BL",0,'Peak Hours'!S114*Peak!Y115*'Peak Hours'!$Y114)</f>
        <v>0</v>
      </c>
      <c r="T114" s="177">
        <f>IF($A$1="BL",0,'Peak Hours'!T114*Peak!Z115*'Peak Hours'!$Y114)</f>
        <v>0</v>
      </c>
      <c r="U114" s="177">
        <f>IF($A$1="BL",0,'Peak Hours'!U114*Peak!AA115*'Peak Hours'!$Y114)</f>
        <v>0</v>
      </c>
      <c r="V114" s="207"/>
      <c r="W114" s="203">
        <f>(IF($A$1="BL",0,Peak!C115*'Peak Hours'!V114*'Peak Hours'!$Y114))*-1</f>
        <v>-6917945.5862064334</v>
      </c>
      <c r="X114" s="207"/>
      <c r="Y114" s="203">
        <f>(IF($A$1="bl",0,Peak!D115*'Peak Hours'!V114*'Peak Hours'!$Y114))*-1</f>
        <v>-144067.60535359906</v>
      </c>
      <c r="Z114" s="207"/>
      <c r="AA114" s="203">
        <f>(Peak!E115*'Peak Hours'!V114*'Peak Hours'!$Y114)*-1</f>
        <v>0</v>
      </c>
      <c r="AB114" s="204"/>
      <c r="AC114" s="203">
        <f>(Peak!F115*'Peak Hours'!V114*'Peak Hours'!$Y114)*-1</f>
        <v>0</v>
      </c>
      <c r="AD114" s="204"/>
    </row>
    <row r="115" spans="1:30" x14ac:dyDescent="0.2">
      <c r="A115" s="1">
        <f t="shared" si="1"/>
        <v>39733.785000000134</v>
      </c>
      <c r="B115" s="177">
        <f>IF($A$1="BL",0,'Peak Hours'!B115*Peak!H116*'Peak Hours'!$Y115)</f>
        <v>262763.64968251617</v>
      </c>
      <c r="C115" s="177">
        <f>IF($A$1="BL",0,'Peak Hours'!C115*Peak!I116*'Peak Hours'!$Y115)</f>
        <v>249619.82862757603</v>
      </c>
      <c r="D115" s="177">
        <f>IF($A$1="BL",0,'Peak Hours'!D115*Peak!J116*'Peak Hours'!$Y115)</f>
        <v>485415.57726423081</v>
      </c>
      <c r="E115" s="177">
        <f>IF($A$1="BL",0,'Peak Hours'!E115*Peak!K116*'Peak Hours'!$Y115)</f>
        <v>908699.37438983133</v>
      </c>
      <c r="F115" s="177">
        <f>IF($A$1="BL",0,'Peak Hours'!F115*Peak!L116*'Peak Hours'!$Y115)</f>
        <v>893077.5882973969</v>
      </c>
      <c r="G115" s="177">
        <f>IF($A$1="BL",0,'Peak Hours'!G115*Peak!M116*'Peak Hours'!$Y115)</f>
        <v>1770601.0044659735</v>
      </c>
      <c r="H115" s="177">
        <f>IF($A$1="BL",0,'Peak Hours'!H115*Peak!N116*'Peak Hours'!$Y115)</f>
        <v>1485562.4478617755</v>
      </c>
      <c r="I115" s="177">
        <f>IF($A$1="BL",0,'Peak Hours'!I115*Peak!O116*'Peak Hours'!$Y115)</f>
        <v>1244574.4854388561</v>
      </c>
      <c r="J115" s="177">
        <f>IF($A$1="BL",0,'Peak Hours'!J115*Peak!P116*'Peak Hours'!$Y115)</f>
        <v>1110737.2327626999</v>
      </c>
      <c r="K115" s="177">
        <f>IF($A$1="BL",0,'Peak Hours'!K115*Peak!Q116*'Peak Hours'!$Y115)</f>
        <v>0</v>
      </c>
      <c r="L115" s="177">
        <f>IF($A$1="BL",0,'Peak Hours'!L115*Peak!R116*'Peak Hours'!$Y115)</f>
        <v>0</v>
      </c>
      <c r="M115" s="177">
        <f>IF($A$1="BL",0,'Peak Hours'!M115*Peak!S116*'Peak Hours'!$Y115)</f>
        <v>0</v>
      </c>
      <c r="N115" s="177">
        <f>IF($A$1="BL",0,'Peak Hours'!N115*Peak!T116*'Peak Hours'!$Y115)</f>
        <v>0</v>
      </c>
      <c r="O115" s="177">
        <f>IF($A$1="BL",0,'Peak Hours'!O115*Peak!U116*'Peak Hours'!$Y115)</f>
        <v>0</v>
      </c>
      <c r="P115" s="177">
        <f>IF($A$1="BL",0,'Peak Hours'!P115*Peak!V116*'Peak Hours'!$Y115)</f>
        <v>0</v>
      </c>
      <c r="Q115" s="177">
        <f>IF($A$1="BL",0,'Peak Hours'!Q115*Peak!W116*'Peak Hours'!$Y115)</f>
        <v>0</v>
      </c>
      <c r="R115" s="177">
        <f>IF($A$1="BL",0,'Peak Hours'!R115*Peak!X116*'Peak Hours'!$Y115)</f>
        <v>0</v>
      </c>
      <c r="S115" s="177">
        <f>IF($A$1="BL",0,'Peak Hours'!S115*Peak!Y116*'Peak Hours'!$Y115)</f>
        <v>0</v>
      </c>
      <c r="T115" s="177">
        <f>IF($A$1="BL",0,'Peak Hours'!T115*Peak!Z116*'Peak Hours'!$Y115)</f>
        <v>0</v>
      </c>
      <c r="U115" s="177">
        <f>IF($A$1="BL",0,'Peak Hours'!U115*Peak!AA116*'Peak Hours'!$Y115)</f>
        <v>0</v>
      </c>
      <c r="V115" s="207"/>
      <c r="W115" s="203">
        <f>(IF($A$1="BL",0,Peak!C116*'Peak Hours'!V115*'Peak Hours'!$Y115))*-1</f>
        <v>-5618539.0095065171</v>
      </c>
      <c r="X115" s="207"/>
      <c r="Y115" s="203">
        <f>(IF($A$1="bl",0,Peak!D116*'Peak Hours'!V115*'Peak Hours'!$Y115))*-1</f>
        <v>-105825.65988807149</v>
      </c>
      <c r="Z115" s="207"/>
      <c r="AA115" s="203">
        <f>(Peak!E116*'Peak Hours'!V115*'Peak Hours'!$Y115)*-1</f>
        <v>0</v>
      </c>
      <c r="AB115" s="204"/>
      <c r="AC115" s="203">
        <f>(Peak!F116*'Peak Hours'!V115*'Peak Hours'!$Y115)*-1</f>
        <v>0</v>
      </c>
      <c r="AD115" s="204"/>
    </row>
    <row r="116" spans="1:30" x14ac:dyDescent="0.2">
      <c r="A116" s="1">
        <f t="shared" si="1"/>
        <v>39764.202000000136</v>
      </c>
      <c r="B116" s="177">
        <f>IF($A$1="BL",0,'Peak Hours'!B116*Peak!H117*'Peak Hours'!$Y116)</f>
        <v>319646.62782079738</v>
      </c>
      <c r="C116" s="177">
        <f>IF($A$1="BL",0,'Peak Hours'!C116*Peak!I117*'Peak Hours'!$Y116)</f>
        <v>296384.15795127006</v>
      </c>
      <c r="D116" s="177">
        <f>IF($A$1="BL",0,'Peak Hours'!D116*Peak!J117*'Peak Hours'!$Y116)</f>
        <v>563958.66950370278</v>
      </c>
      <c r="E116" s="177">
        <f>IF($A$1="BL",0,'Peak Hours'!E116*Peak!K117*'Peak Hours'!$Y116)</f>
        <v>1058525.5619258066</v>
      </c>
      <c r="F116" s="177">
        <f>IF($A$1="BL",0,'Peak Hours'!F116*Peak!L117*'Peak Hours'!$Y116)</f>
        <v>1016214.0138445239</v>
      </c>
      <c r="G116" s="177">
        <f>IF($A$1="BL",0,'Peak Hours'!G116*Peak!M117*'Peak Hours'!$Y116)</f>
        <v>2020629.5358106531</v>
      </c>
      <c r="H116" s="177">
        <f>IF($A$1="BL",0,'Peak Hours'!H116*Peak!N117*'Peak Hours'!$Y116)</f>
        <v>1792357.7561054474</v>
      </c>
      <c r="I116" s="177">
        <f>IF($A$1="BL",0,'Peak Hours'!I116*Peak!O117*'Peak Hours'!$Y116)</f>
        <v>1400929.6134870423</v>
      </c>
      <c r="J116" s="177">
        <f>IF($A$1="BL",0,'Peak Hours'!J116*Peak!P117*'Peak Hours'!$Y116)</f>
        <v>1216625.355008113</v>
      </c>
      <c r="K116" s="177">
        <f>IF($A$1="BL",0,'Peak Hours'!K116*Peak!Q117*'Peak Hours'!$Y116)</f>
        <v>1146471.6147674923</v>
      </c>
      <c r="L116" s="177">
        <f>IF($A$1="BL",0,'Peak Hours'!L116*Peak!R117*'Peak Hours'!$Y116)</f>
        <v>0</v>
      </c>
      <c r="M116" s="177">
        <f>IF($A$1="BL",0,'Peak Hours'!M116*Peak!S117*'Peak Hours'!$Y116)</f>
        <v>0</v>
      </c>
      <c r="N116" s="177">
        <f>IF($A$1="BL",0,'Peak Hours'!N116*Peak!T117*'Peak Hours'!$Y116)</f>
        <v>0</v>
      </c>
      <c r="O116" s="177">
        <f>IF($A$1="BL",0,'Peak Hours'!O116*Peak!U117*'Peak Hours'!$Y116)</f>
        <v>0</v>
      </c>
      <c r="P116" s="177">
        <f>IF($A$1="BL",0,'Peak Hours'!P116*Peak!V117*'Peak Hours'!$Y116)</f>
        <v>0</v>
      </c>
      <c r="Q116" s="177">
        <f>IF($A$1="BL",0,'Peak Hours'!Q116*Peak!W117*'Peak Hours'!$Y116)</f>
        <v>0</v>
      </c>
      <c r="R116" s="177">
        <f>IF($A$1="BL",0,'Peak Hours'!R116*Peak!X117*'Peak Hours'!$Y116)</f>
        <v>0</v>
      </c>
      <c r="S116" s="177">
        <f>IF($A$1="BL",0,'Peak Hours'!S116*Peak!Y117*'Peak Hours'!$Y116)</f>
        <v>0</v>
      </c>
      <c r="T116" s="177">
        <f>IF($A$1="BL",0,'Peak Hours'!T116*Peak!Z117*'Peak Hours'!$Y116)</f>
        <v>0</v>
      </c>
      <c r="U116" s="177">
        <f>IF($A$1="BL",0,'Peak Hours'!U116*Peak!AA117*'Peak Hours'!$Y116)</f>
        <v>0</v>
      </c>
      <c r="V116" s="207"/>
      <c r="W116" s="203">
        <f>(IF($A$1="BL",0,Peak!C117*'Peak Hours'!V116*'Peak Hours'!$Y116))*-1</f>
        <v>-7271202.3820978254</v>
      </c>
      <c r="X116" s="207"/>
      <c r="Y116" s="203">
        <f>(IF($A$1="bl",0,Peak!D117*'Peak Hours'!V116*'Peak Hours'!$Y116))*-1</f>
        <v>-125275.13344022767</v>
      </c>
      <c r="Z116" s="207"/>
      <c r="AA116" s="203">
        <f>(Peak!E117*'Peak Hours'!V116*'Peak Hours'!$Y116)*-1</f>
        <v>0</v>
      </c>
      <c r="AB116" s="204"/>
      <c r="AC116" s="203">
        <f>(Peak!F117*'Peak Hours'!V116*'Peak Hours'!$Y116)*-1</f>
        <v>0</v>
      </c>
      <c r="AD116" s="204"/>
    </row>
    <row r="117" spans="1:30" x14ac:dyDescent="0.2">
      <c r="A117" s="1">
        <f t="shared" si="1"/>
        <v>39794.619000000137</v>
      </c>
      <c r="B117" s="177">
        <f>IF($A$1="BL",0,'Peak Hours'!B117*Peak!H118*'Peak Hours'!$Y117)</f>
        <v>582675.21351927158</v>
      </c>
      <c r="C117" s="177">
        <f>IF($A$1="BL",0,'Peak Hours'!C117*Peak!I118*'Peak Hours'!$Y117)</f>
        <v>534259.69760528707</v>
      </c>
      <c r="D117" s="177">
        <f>IF($A$1="BL",0,'Peak Hours'!D117*Peak!J118*'Peak Hours'!$Y117)</f>
        <v>1013559.2723147746</v>
      </c>
      <c r="E117" s="177">
        <f>IF($A$1="BL",0,'Peak Hours'!E117*Peak!K118*'Peak Hours'!$Y117)</f>
        <v>1506778.3714204701</v>
      </c>
      <c r="F117" s="177">
        <f>IF($A$1="BL",0,'Peak Hours'!F117*Peak!L118*'Peak Hours'!$Y117)</f>
        <v>1143158.8702666564</v>
      </c>
      <c r="G117" s="177">
        <f>IF($A$1="BL",0,'Peak Hours'!G117*Peak!M118*'Peak Hours'!$Y117)</f>
        <v>1941178.8943687154</v>
      </c>
      <c r="H117" s="177">
        <f>IF($A$1="BL",0,'Peak Hours'!H117*Peak!N118*'Peak Hours'!$Y117)</f>
        <v>1758956.0087165739</v>
      </c>
      <c r="I117" s="177">
        <f>IF($A$1="BL",0,'Peak Hours'!I117*Peak!O118*'Peak Hours'!$Y117)</f>
        <v>1650505.2551454243</v>
      </c>
      <c r="J117" s="177">
        <f>IF($A$1="BL",0,'Peak Hours'!J117*Peak!P118*'Peak Hours'!$Y117)</f>
        <v>1568252.1014402027</v>
      </c>
      <c r="K117" s="177">
        <f>IF($A$1="BL",0,'Peak Hours'!K117*Peak!Q118*'Peak Hours'!$Y117)</f>
        <v>1565114.5070268172</v>
      </c>
      <c r="L117" s="177">
        <f>IF($A$1="BL",0,'Peak Hours'!L117*Peak!R118*'Peak Hours'!$Y117)</f>
        <v>1529573.7660957039</v>
      </c>
      <c r="M117" s="177">
        <f>IF($A$1="BL",0,'Peak Hours'!M117*Peak!S118*'Peak Hours'!$Y117)</f>
        <v>1250616.0040080887</v>
      </c>
      <c r="N117" s="177">
        <f>IF($A$1="BL",0,'Peak Hours'!N117*Peak!T118*'Peak Hours'!$Y117)</f>
        <v>0</v>
      </c>
      <c r="O117" s="177">
        <f>IF($A$1="BL",0,'Peak Hours'!O117*Peak!U118*'Peak Hours'!$Y117)</f>
        <v>0</v>
      </c>
      <c r="P117" s="177">
        <f>IF($A$1="BL",0,'Peak Hours'!P117*Peak!V118*'Peak Hours'!$Y117)</f>
        <v>0</v>
      </c>
      <c r="Q117" s="177">
        <f>IF($A$1="BL",0,'Peak Hours'!Q117*Peak!W118*'Peak Hours'!$Y117)</f>
        <v>0</v>
      </c>
      <c r="R117" s="177">
        <f>IF($A$1="BL",0,'Peak Hours'!R117*Peak!X118*'Peak Hours'!$Y117)</f>
        <v>0</v>
      </c>
      <c r="S117" s="177">
        <f>IF($A$1="BL",0,'Peak Hours'!S117*Peak!Y118*'Peak Hours'!$Y117)</f>
        <v>0</v>
      </c>
      <c r="T117" s="177">
        <f>IF($A$1="BL",0,'Peak Hours'!T117*Peak!Z118*'Peak Hours'!$Y117)</f>
        <v>0</v>
      </c>
      <c r="U117" s="177">
        <f>IF($A$1="BL",0,'Peak Hours'!U117*Peak!AA118*'Peak Hours'!$Y117)</f>
        <v>0</v>
      </c>
      <c r="V117" s="208">
        <f>SUM(B106:U117)</f>
        <v>160241383.93459985</v>
      </c>
      <c r="W117" s="203">
        <f>(IF($A$1="BL",0,Peak!C118*'Peak Hours'!V117*'Peak Hours'!$Y117))*-1</f>
        <v>-10011273.323533671</v>
      </c>
      <c r="X117" s="208">
        <f>SUM(W106:W117)</f>
        <v>-92558008.952629387</v>
      </c>
      <c r="Y117" s="203">
        <f>(IF($A$1="bl",0,Peak!D118*'Peak Hours'!V117*'Peak Hours'!$Y117))*-1</f>
        <v>-159651.14086326261</v>
      </c>
      <c r="Z117" s="208">
        <f>SUM(Y106:Y117)</f>
        <v>-1717117.8617693339</v>
      </c>
      <c r="AA117" s="203">
        <f>(Peak!E118*'Peak Hours'!V117*'Peak Hours'!$Y117)*-1</f>
        <v>0</v>
      </c>
      <c r="AB117" s="205">
        <f>SUM(AA106:AA117)</f>
        <v>0</v>
      </c>
      <c r="AC117" s="203">
        <f>(Peak!F118*'Peak Hours'!V117*'Peak Hours'!$Y117)*-1</f>
        <v>0</v>
      </c>
      <c r="AD117" s="205">
        <f>SUM(AC106:AC117)</f>
        <v>0</v>
      </c>
    </row>
    <row r="118" spans="1:30" x14ac:dyDescent="0.2">
      <c r="A118" s="1">
        <f t="shared" si="1"/>
        <v>39825.036000000138</v>
      </c>
      <c r="B118" s="177">
        <f>IF($A$1="BL",0,'Peak Hours'!B118*Peak!H119*'Peak Hours'!$Y118)</f>
        <v>380246.60037652584</v>
      </c>
      <c r="C118" s="177">
        <f>IF($A$1="BL",0,'Peak Hours'!C118*Peak!I119*'Peak Hours'!$Y118)</f>
        <v>344039.2714315473</v>
      </c>
      <c r="D118" s="177">
        <f>IF($A$1="BL",0,'Peak Hours'!D118*Peak!J119*'Peak Hours'!$Y118)</f>
        <v>608734.42722776555</v>
      </c>
      <c r="E118" s="177">
        <f>IF($A$1="BL",0,'Peak Hours'!E118*Peak!K119*'Peak Hours'!$Y118)</f>
        <v>1132406.7692830781</v>
      </c>
      <c r="F118" s="177">
        <f>IF($A$1="BL",0,'Peak Hours'!F118*Peak!L119*'Peak Hours'!$Y118)</f>
        <v>1072073.0435574867</v>
      </c>
      <c r="G118" s="177">
        <f>IF($A$1="BL",0,'Peak Hours'!G118*Peak!M119*'Peak Hours'!$Y118)</f>
        <v>1999722.0793244916</v>
      </c>
      <c r="H118" s="177">
        <f>IF($A$1="BL",0,'Peak Hours'!H118*Peak!N119*'Peak Hours'!$Y118)</f>
        <v>1980943.4625070705</v>
      </c>
      <c r="I118" s="177">
        <f>IF($A$1="BL",0,'Peak Hours'!I118*Peak!O119*'Peak Hours'!$Y118)</f>
        <v>1835912.4136065694</v>
      </c>
      <c r="J118" s="177">
        <f>IF($A$1="BL",0,'Peak Hours'!J118*Peak!P119*'Peak Hours'!$Y118)</f>
        <v>1402445.3599350585</v>
      </c>
      <c r="K118" s="177">
        <f>IF($A$1="BL",0,'Peak Hours'!K118*Peak!Q119*'Peak Hours'!$Y118)</f>
        <v>1220943.5818199739</v>
      </c>
      <c r="L118" s="177">
        <f>IF($A$1="BL",0,'Peak Hours'!L118*Peak!R119*'Peak Hours'!$Y118)</f>
        <v>0</v>
      </c>
      <c r="M118" s="177">
        <f>IF($A$1="BL",0,'Peak Hours'!M118*Peak!S119*'Peak Hours'!$Y118)</f>
        <v>0</v>
      </c>
      <c r="N118" s="177">
        <f>IF($A$1="BL",0,'Peak Hours'!N118*Peak!T119*'Peak Hours'!$Y118)</f>
        <v>0</v>
      </c>
      <c r="O118" s="177">
        <f>IF($A$1="BL",0,'Peak Hours'!O118*Peak!U119*'Peak Hours'!$Y118)</f>
        <v>0</v>
      </c>
      <c r="P118" s="177">
        <f>IF($A$1="BL",0,'Peak Hours'!P118*Peak!V119*'Peak Hours'!$Y118)</f>
        <v>0</v>
      </c>
      <c r="Q118" s="177">
        <f>IF($A$1="BL",0,'Peak Hours'!Q118*Peak!W119*'Peak Hours'!$Y118)</f>
        <v>0</v>
      </c>
      <c r="R118" s="177">
        <f>IF($A$1="BL",0,'Peak Hours'!R118*Peak!X119*'Peak Hours'!$Y118)</f>
        <v>0</v>
      </c>
      <c r="S118" s="177">
        <f>IF($A$1="BL",0,'Peak Hours'!S118*Peak!Y119*'Peak Hours'!$Y118)</f>
        <v>0</v>
      </c>
      <c r="T118" s="177">
        <f>IF($A$1="BL",0,'Peak Hours'!T118*Peak!Z119*'Peak Hours'!$Y118)</f>
        <v>0</v>
      </c>
      <c r="U118" s="177">
        <f>IF($A$1="BL",0,'Peak Hours'!U118*Peak!AA119*'Peak Hours'!$Y118)</f>
        <v>0</v>
      </c>
      <c r="V118" s="207"/>
      <c r="W118" s="203">
        <f>(IF($A$1="BL",0,Peak!C119*'Peak Hours'!V118*'Peak Hours'!$Y118))*-1</f>
        <v>-7638605.0131561831</v>
      </c>
      <c r="X118" s="207"/>
      <c r="Y118" s="203">
        <f>(IF($A$1="bl",0,Peak!D119*'Peak Hours'!V118*'Peak Hours'!$Y118))*-1</f>
        <v>-122289.64348673243</v>
      </c>
      <c r="Z118" s="207"/>
      <c r="AA118" s="203">
        <f>(Peak!E119*'Peak Hours'!V118*'Peak Hours'!$Y118)*-1</f>
        <v>0</v>
      </c>
      <c r="AB118" s="204"/>
      <c r="AC118" s="203">
        <f>(Peak!F119*'Peak Hours'!V118*'Peak Hours'!$Y118)*-1</f>
        <v>0</v>
      </c>
      <c r="AD118" s="204"/>
    </row>
    <row r="119" spans="1:30" x14ac:dyDescent="0.2">
      <c r="A119" s="1">
        <f t="shared" si="1"/>
        <v>39855.45300000014</v>
      </c>
      <c r="B119" s="177">
        <f>IF($A$1="BL",0,'Peak Hours'!B119*Peak!H120*'Peak Hours'!$Y119)</f>
        <v>531174.94529549149</v>
      </c>
      <c r="C119" s="177">
        <f>IF($A$1="BL",0,'Peak Hours'!C119*Peak!I120*'Peak Hours'!$Y119)</f>
        <v>498609.95747456123</v>
      </c>
      <c r="D119" s="177">
        <f>IF($A$1="BL",0,'Peak Hours'!D119*Peak!J120*'Peak Hours'!$Y119)</f>
        <v>781815.39950746053</v>
      </c>
      <c r="E119" s="177">
        <f>IF($A$1="BL",0,'Peak Hours'!E119*Peak!K120*'Peak Hours'!$Y119)</f>
        <v>1151477.5417685693</v>
      </c>
      <c r="F119" s="177">
        <f>IF($A$1="BL",0,'Peak Hours'!F119*Peak!L120*'Peak Hours'!$Y119)</f>
        <v>1073934.5459914671</v>
      </c>
      <c r="G119" s="177">
        <f>IF($A$1="BL",0,'Peak Hours'!G119*Peak!M120*'Peak Hours'!$Y119)</f>
        <v>2022864.5558891667</v>
      </c>
      <c r="H119" s="177">
        <f>IF($A$1="BL",0,'Peak Hours'!H119*Peak!N120*'Peak Hours'!$Y119)</f>
        <v>1918523.1442793238</v>
      </c>
      <c r="I119" s="177">
        <f>IF($A$1="BL",0,'Peak Hours'!I119*Peak!O120*'Peak Hours'!$Y119)</f>
        <v>1885940.6720818679</v>
      </c>
      <c r="J119" s="177">
        <f>IF($A$1="BL",0,'Peak Hours'!J119*Peak!P120*'Peak Hours'!$Y119)</f>
        <v>1527018.475032086</v>
      </c>
      <c r="K119" s="177">
        <f>IF($A$1="BL",0,'Peak Hours'!K119*Peak!Q120*'Peak Hours'!$Y119)</f>
        <v>1273841.8807678707</v>
      </c>
      <c r="L119" s="177">
        <f>IF($A$1="BL",0,'Peak Hours'!L119*Peak!R120*'Peak Hours'!$Y119)</f>
        <v>1083828.9106256808</v>
      </c>
      <c r="M119" s="177">
        <f>IF($A$1="BL",0,'Peak Hours'!M119*Peak!S120*'Peak Hours'!$Y119)</f>
        <v>0</v>
      </c>
      <c r="N119" s="177">
        <f>IF($A$1="BL",0,'Peak Hours'!N119*Peak!T120*'Peak Hours'!$Y119)</f>
        <v>0</v>
      </c>
      <c r="O119" s="177">
        <f>IF($A$1="BL",0,'Peak Hours'!O119*Peak!U120*'Peak Hours'!$Y119)</f>
        <v>0</v>
      </c>
      <c r="P119" s="177">
        <f>IF($A$1="BL",0,'Peak Hours'!P119*Peak!V120*'Peak Hours'!$Y119)</f>
        <v>0</v>
      </c>
      <c r="Q119" s="177">
        <f>IF($A$1="BL",0,'Peak Hours'!Q119*Peak!W120*'Peak Hours'!$Y119)</f>
        <v>0</v>
      </c>
      <c r="R119" s="177">
        <f>IF($A$1="BL",0,'Peak Hours'!R119*Peak!X120*'Peak Hours'!$Y119)</f>
        <v>0</v>
      </c>
      <c r="S119" s="177">
        <f>IF($A$1="BL",0,'Peak Hours'!S119*Peak!Y120*'Peak Hours'!$Y119)</f>
        <v>0</v>
      </c>
      <c r="T119" s="177">
        <f>IF($A$1="BL",0,'Peak Hours'!T119*Peak!Z120*'Peak Hours'!$Y119)</f>
        <v>0</v>
      </c>
      <c r="U119" s="177">
        <f>IF($A$1="BL",0,'Peak Hours'!U119*Peak!AA120*'Peak Hours'!$Y119)</f>
        <v>0</v>
      </c>
      <c r="V119" s="207"/>
      <c r="W119" s="203">
        <f>(IF($A$1="BL",0,Peak!C120*'Peak Hours'!V119*'Peak Hours'!$Y119))*-1</f>
        <v>-7899580.2662652405</v>
      </c>
      <c r="X119" s="207"/>
      <c r="Y119" s="203">
        <f>(IF($A$1="bl",0,Peak!D120*'Peak Hours'!V119*'Peak Hours'!$Y119))*-1</f>
        <v>-141338.60718370424</v>
      </c>
      <c r="Z119" s="207"/>
      <c r="AA119" s="203">
        <f>(Peak!E120*'Peak Hours'!V119*'Peak Hours'!$Y119)*-1</f>
        <v>0</v>
      </c>
      <c r="AB119" s="204"/>
      <c r="AC119" s="203">
        <f>(Peak!F120*'Peak Hours'!V119*'Peak Hours'!$Y119)*-1</f>
        <v>0</v>
      </c>
      <c r="AD119" s="204"/>
    </row>
    <row r="120" spans="1:30" x14ac:dyDescent="0.2">
      <c r="A120" s="1">
        <f t="shared" si="1"/>
        <v>39885.870000000141</v>
      </c>
      <c r="B120" s="177">
        <f>IF($A$1="BL",0,'Peak Hours'!B120*Peak!H121*'Peak Hours'!$Y120)</f>
        <v>328913.33849538973</v>
      </c>
      <c r="C120" s="177">
        <f>IF($A$1="BL",0,'Peak Hours'!C120*Peak!I121*'Peak Hours'!$Y120)</f>
        <v>292512.11106163845</v>
      </c>
      <c r="D120" s="177">
        <f>IF($A$1="BL",0,'Peak Hours'!D120*Peak!J121*'Peak Hours'!$Y120)</f>
        <v>563643.57788059022</v>
      </c>
      <c r="E120" s="177">
        <f>IF($A$1="BL",0,'Peak Hours'!E120*Peak!K121*'Peak Hours'!$Y120)</f>
        <v>1062953.9831737729</v>
      </c>
      <c r="F120" s="177">
        <f>IF($A$1="BL",0,'Peak Hours'!F120*Peak!L121*'Peak Hours'!$Y120)</f>
        <v>989165.5832895739</v>
      </c>
      <c r="G120" s="177">
        <f>IF($A$1="BL",0,'Peak Hours'!G120*Peak!M121*'Peak Hours'!$Y120)</f>
        <v>1952804.7423353458</v>
      </c>
      <c r="H120" s="177">
        <f>IF($A$1="BL",0,'Peak Hours'!H120*Peak!N121*'Peak Hours'!$Y120)</f>
        <v>1885092.1495797564</v>
      </c>
      <c r="I120" s="177">
        <f>IF($A$1="BL",0,'Peak Hours'!I120*Peak!O121*'Peak Hours'!$Y120)</f>
        <v>1492789.0379126128</v>
      </c>
      <c r="J120" s="177">
        <f>IF($A$1="BL",0,'Peak Hours'!J120*Peak!P121*'Peak Hours'!$Y120)</f>
        <v>1330698.8221739107</v>
      </c>
      <c r="K120" s="177">
        <f>IF($A$1="BL",0,'Peak Hours'!K120*Peak!Q121*'Peak Hours'!$Y120)</f>
        <v>1152392.8716953495</v>
      </c>
      <c r="L120" s="177">
        <f>IF($A$1="BL",0,'Peak Hours'!L120*Peak!R121*'Peak Hours'!$Y120)</f>
        <v>1104005.8625788512</v>
      </c>
      <c r="M120" s="177">
        <f>IF($A$1="BL",0,'Peak Hours'!M120*Peak!S121*'Peak Hours'!$Y120)</f>
        <v>1094756.3632067235</v>
      </c>
      <c r="N120" s="177">
        <f>IF($A$1="BL",0,'Peak Hours'!N120*Peak!T121*'Peak Hours'!$Y120)</f>
        <v>0</v>
      </c>
      <c r="O120" s="177">
        <f>IF($A$1="BL",0,'Peak Hours'!O120*Peak!U121*'Peak Hours'!$Y120)</f>
        <v>0</v>
      </c>
      <c r="P120" s="177">
        <f>IF($A$1="BL",0,'Peak Hours'!P120*Peak!V121*'Peak Hours'!$Y120)</f>
        <v>0</v>
      </c>
      <c r="Q120" s="177">
        <f>IF($A$1="BL",0,'Peak Hours'!Q120*Peak!W121*'Peak Hours'!$Y120)</f>
        <v>0</v>
      </c>
      <c r="R120" s="177">
        <f>IF($A$1="BL",0,'Peak Hours'!R120*Peak!X121*'Peak Hours'!$Y120)</f>
        <v>0</v>
      </c>
      <c r="S120" s="177">
        <f>IF($A$1="BL",0,'Peak Hours'!S120*Peak!Y121*'Peak Hours'!$Y120)</f>
        <v>0</v>
      </c>
      <c r="T120" s="177">
        <f>IF($A$1="BL",0,'Peak Hours'!T120*Peak!Z121*'Peak Hours'!$Y120)</f>
        <v>0</v>
      </c>
      <c r="U120" s="177">
        <f>IF($A$1="BL",0,'Peak Hours'!U120*Peak!AA121*'Peak Hours'!$Y120)</f>
        <v>0</v>
      </c>
      <c r="V120" s="207"/>
      <c r="W120" s="203">
        <f>(IF($A$1="BL",0,Peak!C121*'Peak Hours'!V120*'Peak Hours'!$Y120))*-1</f>
        <v>-9047290.7167193983</v>
      </c>
      <c r="X120" s="207"/>
      <c r="Y120" s="203">
        <f>(IF($A$1="bl",0,Peak!D121*'Peak Hours'!V120*'Peak Hours'!$Y120))*-1</f>
        <v>-164916.20392434398</v>
      </c>
      <c r="Z120" s="207"/>
      <c r="AA120" s="203">
        <f>(Peak!E121*'Peak Hours'!V120*'Peak Hours'!$Y120)*-1</f>
        <v>0</v>
      </c>
      <c r="AB120" s="204"/>
      <c r="AC120" s="203">
        <f>(Peak!F121*'Peak Hours'!V120*'Peak Hours'!$Y120)*-1</f>
        <v>0</v>
      </c>
      <c r="AD120" s="204"/>
    </row>
    <row r="121" spans="1:30" x14ac:dyDescent="0.2">
      <c r="A121" s="1">
        <f t="shared" si="1"/>
        <v>39916.287000000142</v>
      </c>
      <c r="B121" s="177">
        <f>IF($A$1="BL",0,'Peak Hours'!B121*Peak!H122*'Peak Hours'!$Y121)</f>
        <v>266566.13627558982</v>
      </c>
      <c r="C121" s="177">
        <f>IF($A$1="BL",0,'Peak Hours'!C121*Peak!I122*'Peak Hours'!$Y121)</f>
        <v>257399.33243638594</v>
      </c>
      <c r="D121" s="177">
        <f>IF($A$1="BL",0,'Peak Hours'!D121*Peak!J122*'Peak Hours'!$Y121)</f>
        <v>488872.77603299718</v>
      </c>
      <c r="E121" s="177">
        <f>IF($A$1="BL",0,'Peak Hours'!E121*Peak!K122*'Peak Hours'!$Y121)</f>
        <v>935828.19320676883</v>
      </c>
      <c r="F121" s="177">
        <f>IF($A$1="BL",0,'Peak Hours'!F121*Peak!L122*'Peak Hours'!$Y121)</f>
        <v>933778.2932001265</v>
      </c>
      <c r="G121" s="177">
        <f>IF($A$1="BL",0,'Peak Hours'!G121*Peak!M122*'Peak Hours'!$Y121)</f>
        <v>1697470.9794869111</v>
      </c>
      <c r="H121" s="177">
        <f>IF($A$1="BL",0,'Peak Hours'!H121*Peak!N122*'Peak Hours'!$Y121)</f>
        <v>1298390.1422955538</v>
      </c>
      <c r="I121" s="177">
        <f>IF($A$1="BL",0,'Peak Hours'!I121*Peak!O122*'Peak Hours'!$Y121)</f>
        <v>1190099.9909230743</v>
      </c>
      <c r="J121" s="177">
        <f>IF($A$1="BL",0,'Peak Hours'!J121*Peak!P122*'Peak Hours'!$Y121)</f>
        <v>1073961.8919823337</v>
      </c>
      <c r="K121" s="177">
        <f>IF($A$1="BL",0,'Peak Hours'!K121*Peak!Q122*'Peak Hours'!$Y121)</f>
        <v>1059569.3001094703</v>
      </c>
      <c r="L121" s="177">
        <f>IF($A$1="BL",0,'Peak Hours'!L121*Peak!R122*'Peak Hours'!$Y121)</f>
        <v>1031425.2750829799</v>
      </c>
      <c r="M121" s="177">
        <f>IF($A$1="BL",0,'Peak Hours'!M121*Peak!S122*'Peak Hours'!$Y121)</f>
        <v>0</v>
      </c>
      <c r="N121" s="177">
        <f>IF($A$1="BL",0,'Peak Hours'!N121*Peak!T122*'Peak Hours'!$Y121)</f>
        <v>0</v>
      </c>
      <c r="O121" s="177">
        <f>IF($A$1="BL",0,'Peak Hours'!O121*Peak!U122*'Peak Hours'!$Y121)</f>
        <v>0</v>
      </c>
      <c r="P121" s="177">
        <f>IF($A$1="BL",0,'Peak Hours'!P121*Peak!V122*'Peak Hours'!$Y121)</f>
        <v>0</v>
      </c>
      <c r="Q121" s="177">
        <f>IF($A$1="BL",0,'Peak Hours'!Q121*Peak!W122*'Peak Hours'!$Y121)</f>
        <v>0</v>
      </c>
      <c r="R121" s="177">
        <f>IF($A$1="BL",0,'Peak Hours'!R121*Peak!X122*'Peak Hours'!$Y121)</f>
        <v>0</v>
      </c>
      <c r="S121" s="177">
        <f>IF($A$1="BL",0,'Peak Hours'!S121*Peak!Y122*'Peak Hours'!$Y121)</f>
        <v>0</v>
      </c>
      <c r="T121" s="177">
        <f>IF($A$1="BL",0,'Peak Hours'!T121*Peak!Z122*'Peak Hours'!$Y121)</f>
        <v>0</v>
      </c>
      <c r="U121" s="177">
        <f>IF($A$1="BL",0,'Peak Hours'!U121*Peak!AA122*'Peak Hours'!$Y121)</f>
        <v>0</v>
      </c>
      <c r="V121" s="207"/>
      <c r="W121" s="203">
        <f>(IF($A$1="BL",0,Peak!C122*'Peak Hours'!V121*'Peak Hours'!$Y121))*-1</f>
        <v>-7589380.1579771237</v>
      </c>
      <c r="X121" s="207"/>
      <c r="Y121" s="203">
        <f>(IF($A$1="bl",0,Peak!D122*'Peak Hours'!V121*'Peak Hours'!$Y121))*-1</f>
        <v>-145756.82140960405</v>
      </c>
      <c r="Z121" s="207"/>
      <c r="AA121" s="203">
        <f>(Peak!E122*'Peak Hours'!V121*'Peak Hours'!$Y121)*-1</f>
        <v>0</v>
      </c>
      <c r="AB121" s="204"/>
      <c r="AC121" s="203">
        <f>(Peak!F122*'Peak Hours'!V121*'Peak Hours'!$Y121)*-1</f>
        <v>0</v>
      </c>
      <c r="AD121" s="204"/>
    </row>
    <row r="122" spans="1:30" x14ac:dyDescent="0.2">
      <c r="A122" s="1">
        <f t="shared" si="1"/>
        <v>39946.704000000143</v>
      </c>
      <c r="B122" s="177">
        <f>IF($A$1="BL",0,'Peak Hours'!B122*Peak!H123*'Peak Hours'!$Y122)</f>
        <v>368247.11779801216</v>
      </c>
      <c r="C122" s="177">
        <f>IF($A$1="BL",0,'Peak Hours'!C122*Peak!I123*'Peak Hours'!$Y122)</f>
        <v>284790.61029309948</v>
      </c>
      <c r="D122" s="177">
        <f>IF($A$1="BL",0,'Peak Hours'!D122*Peak!J123*'Peak Hours'!$Y122)</f>
        <v>515845.59925187682</v>
      </c>
      <c r="E122" s="177">
        <f>IF($A$1="BL",0,'Peak Hours'!E122*Peak!K123*'Peak Hours'!$Y122)</f>
        <v>958163.1448038856</v>
      </c>
      <c r="F122" s="177">
        <f>IF($A$1="BL",0,'Peak Hours'!F122*Peak!L123*'Peak Hours'!$Y122)</f>
        <v>942349.94614936179</v>
      </c>
      <c r="G122" s="177">
        <f>IF($A$1="BL",0,'Peak Hours'!G122*Peak!M123*'Peak Hours'!$Y122)</f>
        <v>1571790.9821831232</v>
      </c>
      <c r="H122" s="177">
        <f>IF($A$1="BL",0,'Peak Hours'!H122*Peak!N123*'Peak Hours'!$Y122)</f>
        <v>1303371.8016899147</v>
      </c>
      <c r="I122" s="177">
        <f>IF($A$1="BL",0,'Peak Hours'!I122*Peak!O123*'Peak Hours'!$Y122)</f>
        <v>1196948.8780724029</v>
      </c>
      <c r="J122" s="177">
        <f>IF($A$1="BL",0,'Peak Hours'!J122*Peak!P123*'Peak Hours'!$Y122)</f>
        <v>1093174.8748904308</v>
      </c>
      <c r="K122" s="177">
        <f>IF($A$1="BL",0,'Peak Hours'!K122*Peak!Q123*'Peak Hours'!$Y122)</f>
        <v>0</v>
      </c>
      <c r="L122" s="177">
        <f>IF($A$1="BL",0,'Peak Hours'!L122*Peak!R123*'Peak Hours'!$Y122)</f>
        <v>0</v>
      </c>
      <c r="M122" s="177">
        <f>IF($A$1="BL",0,'Peak Hours'!M122*Peak!S123*'Peak Hours'!$Y122)</f>
        <v>0</v>
      </c>
      <c r="N122" s="177">
        <f>IF($A$1="BL",0,'Peak Hours'!N122*Peak!T123*'Peak Hours'!$Y122)</f>
        <v>0</v>
      </c>
      <c r="O122" s="177">
        <f>IF($A$1="BL",0,'Peak Hours'!O122*Peak!U123*'Peak Hours'!$Y122)</f>
        <v>0</v>
      </c>
      <c r="P122" s="177">
        <f>IF($A$1="BL",0,'Peak Hours'!P122*Peak!V123*'Peak Hours'!$Y122)</f>
        <v>0</v>
      </c>
      <c r="Q122" s="177">
        <f>IF($A$1="BL",0,'Peak Hours'!Q122*Peak!W123*'Peak Hours'!$Y122)</f>
        <v>0</v>
      </c>
      <c r="R122" s="177">
        <f>IF($A$1="BL",0,'Peak Hours'!R122*Peak!X123*'Peak Hours'!$Y122)</f>
        <v>0</v>
      </c>
      <c r="S122" s="177">
        <f>IF($A$1="BL",0,'Peak Hours'!S122*Peak!Y123*'Peak Hours'!$Y122)</f>
        <v>0</v>
      </c>
      <c r="T122" s="177">
        <f>IF($A$1="BL",0,'Peak Hours'!T122*Peak!Z123*'Peak Hours'!$Y122)</f>
        <v>0</v>
      </c>
      <c r="U122" s="177">
        <f>IF($A$1="BL",0,'Peak Hours'!U122*Peak!AA123*'Peak Hours'!$Y122)</f>
        <v>0</v>
      </c>
      <c r="V122" s="207"/>
      <c r="W122" s="203">
        <f>(IF($A$1="BL",0,Peak!C123*'Peak Hours'!V122*'Peak Hours'!$Y122))*-1</f>
        <v>-5860018.7533728145</v>
      </c>
      <c r="X122" s="207"/>
      <c r="Y122" s="203">
        <f>(IF($A$1="bl",0,Peak!D123*'Peak Hours'!V122*'Peak Hours'!$Y122))*-1</f>
        <v>-107066.48292654358</v>
      </c>
      <c r="Z122" s="207"/>
      <c r="AA122" s="203">
        <f>(Peak!E123*'Peak Hours'!V122*'Peak Hours'!$Y122)*-1</f>
        <v>0</v>
      </c>
      <c r="AB122" s="204"/>
      <c r="AC122" s="203">
        <f>(Peak!F123*'Peak Hours'!V122*'Peak Hours'!$Y122)*-1</f>
        <v>0</v>
      </c>
      <c r="AD122" s="204"/>
    </row>
    <row r="123" spans="1:30" x14ac:dyDescent="0.2">
      <c r="A123" s="1">
        <f t="shared" si="1"/>
        <v>39977.121000000145</v>
      </c>
      <c r="B123" s="177">
        <f>IF($A$1="BL",0,'Peak Hours'!B123*Peak!H124*'Peak Hours'!$Y123)</f>
        <v>696629.76771246362</v>
      </c>
      <c r="C123" s="177">
        <f>IF($A$1="BL",0,'Peak Hours'!C123*Peak!I124*'Peak Hours'!$Y123)</f>
        <v>594902.68573030562</v>
      </c>
      <c r="D123" s="177">
        <f>IF($A$1="BL",0,'Peak Hours'!D123*Peak!J124*'Peak Hours'!$Y123)</f>
        <v>1071656.6923237785</v>
      </c>
      <c r="E123" s="177">
        <f>IF($A$1="BL",0,'Peak Hours'!E123*Peak!K124*'Peak Hours'!$Y123)</f>
        <v>1740924.1915320125</v>
      </c>
      <c r="F123" s="177">
        <f>IF($A$1="BL",0,'Peak Hours'!F123*Peak!L124*'Peak Hours'!$Y123)</f>
        <v>1065436.5807656015</v>
      </c>
      <c r="G123" s="177">
        <f>IF($A$1="BL",0,'Peak Hours'!G123*Peak!M124*'Peak Hours'!$Y123)</f>
        <v>1771485.5212124765</v>
      </c>
      <c r="H123" s="177">
        <f>IF($A$1="BL",0,'Peak Hours'!H123*Peak!N124*'Peak Hours'!$Y123)</f>
        <v>1653400.3801925902</v>
      </c>
      <c r="I123" s="177">
        <f>IF($A$1="BL",0,'Peak Hours'!I123*Peak!O124*'Peak Hours'!$Y123)</f>
        <v>1424567.7122453789</v>
      </c>
      <c r="J123" s="177">
        <f>IF($A$1="BL",0,'Peak Hours'!J123*Peak!P124*'Peak Hours'!$Y123)</f>
        <v>1157612.6566033808</v>
      </c>
      <c r="K123" s="177">
        <f>IF($A$1="BL",0,'Peak Hours'!K123*Peak!Q124*'Peak Hours'!$Y123)</f>
        <v>1060000.6899955554</v>
      </c>
      <c r="L123" s="177">
        <f>IF($A$1="BL",0,'Peak Hours'!L123*Peak!R124*'Peak Hours'!$Y123)</f>
        <v>0</v>
      </c>
      <c r="M123" s="177">
        <f>IF($A$1="BL",0,'Peak Hours'!M123*Peak!S124*'Peak Hours'!$Y123)</f>
        <v>0</v>
      </c>
      <c r="N123" s="177">
        <f>IF($A$1="BL",0,'Peak Hours'!N123*Peak!T124*'Peak Hours'!$Y123)</f>
        <v>0</v>
      </c>
      <c r="O123" s="177">
        <f>IF($A$1="BL",0,'Peak Hours'!O123*Peak!U124*'Peak Hours'!$Y123)</f>
        <v>0</v>
      </c>
      <c r="P123" s="177">
        <f>IF($A$1="BL",0,'Peak Hours'!P123*Peak!V124*'Peak Hours'!$Y123)</f>
        <v>0</v>
      </c>
      <c r="Q123" s="177">
        <f>IF($A$1="BL",0,'Peak Hours'!Q123*Peak!W124*'Peak Hours'!$Y123)</f>
        <v>0</v>
      </c>
      <c r="R123" s="177">
        <f>IF($A$1="BL",0,'Peak Hours'!R123*Peak!X124*'Peak Hours'!$Y123)</f>
        <v>0</v>
      </c>
      <c r="S123" s="177">
        <f>IF($A$1="BL",0,'Peak Hours'!S123*Peak!Y124*'Peak Hours'!$Y123)</f>
        <v>0</v>
      </c>
      <c r="T123" s="177">
        <f>IF($A$1="BL",0,'Peak Hours'!T123*Peak!Z124*'Peak Hours'!$Y123)</f>
        <v>0</v>
      </c>
      <c r="U123" s="177">
        <f>IF($A$1="BL",0,'Peak Hours'!U123*Peak!AA124*'Peak Hours'!$Y123)</f>
        <v>0</v>
      </c>
      <c r="V123" s="207"/>
      <c r="W123" s="203">
        <f>(IF($A$1="BL",0,Peak!C124*'Peak Hours'!V123*'Peak Hours'!$Y123))*-1</f>
        <v>-6710316.5507428236</v>
      </c>
      <c r="X123" s="207"/>
      <c r="Y123" s="203">
        <f>(IF($A$1="bl",0,Peak!D124*'Peak Hours'!V123*'Peak Hours'!$Y123))*-1</f>
        <v>-128894.83167414338</v>
      </c>
      <c r="Z123" s="207"/>
      <c r="AA123" s="203">
        <f>(Peak!E124*'Peak Hours'!V123*'Peak Hours'!$Y123)*-1</f>
        <v>0</v>
      </c>
      <c r="AB123" s="204"/>
      <c r="AC123" s="203">
        <f>(Peak!F124*'Peak Hours'!V123*'Peak Hours'!$Y123)*-1</f>
        <v>0</v>
      </c>
      <c r="AD123" s="204"/>
    </row>
    <row r="124" spans="1:30" x14ac:dyDescent="0.2">
      <c r="A124" s="1">
        <f t="shared" si="1"/>
        <v>40007.538000000146</v>
      </c>
      <c r="B124" s="177">
        <f>IF($A$1="BL",0,'Peak Hours'!B124*Peak!H125*'Peak Hours'!$Y124)</f>
        <v>1092914.0201380199</v>
      </c>
      <c r="C124" s="177">
        <f>IF($A$1="BL",0,'Peak Hours'!C124*Peak!I125*'Peak Hours'!$Y124)</f>
        <v>906136.7935630274</v>
      </c>
      <c r="D124" s="177">
        <f>IF($A$1="BL",0,'Peak Hours'!D124*Peak!J125*'Peak Hours'!$Y124)</f>
        <v>1557530.7315646405</v>
      </c>
      <c r="E124" s="177">
        <f>IF($A$1="BL",0,'Peak Hours'!E124*Peak!K125*'Peak Hours'!$Y124)</f>
        <v>2586136.8741170419</v>
      </c>
      <c r="F124" s="177">
        <f>IF($A$1="BL",0,'Peak Hours'!F124*Peak!L125*'Peak Hours'!$Y124)</f>
        <v>2211068.4917008476</v>
      </c>
      <c r="G124" s="177">
        <f>IF($A$1="BL",0,'Peak Hours'!G124*Peak!M125*'Peak Hours'!$Y124)</f>
        <v>3656392.9057236752</v>
      </c>
      <c r="H124" s="177">
        <f>IF($A$1="BL",0,'Peak Hours'!H124*Peak!N125*'Peak Hours'!$Y124)</f>
        <v>2022020.5731426072</v>
      </c>
      <c r="I124" s="177">
        <f>IF($A$1="BL",0,'Peak Hours'!I124*Peak!O125*'Peak Hours'!$Y124)</f>
        <v>1746492.2826526512</v>
      </c>
      <c r="J124" s="177">
        <f>IF($A$1="BL",0,'Peak Hours'!J124*Peak!P125*'Peak Hours'!$Y124)</f>
        <v>1671716.5307041379</v>
      </c>
      <c r="K124" s="177">
        <f>IF($A$1="BL",0,'Peak Hours'!K124*Peak!Q125*'Peak Hours'!$Y124)</f>
        <v>1444040.2483750577</v>
      </c>
      <c r="L124" s="177">
        <f>IF($A$1="BL",0,'Peak Hours'!L124*Peak!R125*'Peak Hours'!$Y124)</f>
        <v>1101877.3079680405</v>
      </c>
      <c r="M124" s="177">
        <f>IF($A$1="BL",0,'Peak Hours'!M124*Peak!S125*'Peak Hours'!$Y124)</f>
        <v>0</v>
      </c>
      <c r="N124" s="177">
        <f>IF($A$1="BL",0,'Peak Hours'!N124*Peak!T125*'Peak Hours'!$Y124)</f>
        <v>0</v>
      </c>
      <c r="O124" s="177">
        <f>IF($A$1="BL",0,'Peak Hours'!O124*Peak!U125*'Peak Hours'!$Y124)</f>
        <v>0</v>
      </c>
      <c r="P124" s="177">
        <f>IF($A$1="BL",0,'Peak Hours'!P124*Peak!V125*'Peak Hours'!$Y124)</f>
        <v>0</v>
      </c>
      <c r="Q124" s="177">
        <f>IF($A$1="BL",0,'Peak Hours'!Q124*Peak!W125*'Peak Hours'!$Y124)</f>
        <v>0</v>
      </c>
      <c r="R124" s="177">
        <f>IF($A$1="BL",0,'Peak Hours'!R124*Peak!X125*'Peak Hours'!$Y124)</f>
        <v>0</v>
      </c>
      <c r="S124" s="177">
        <f>IF($A$1="BL",0,'Peak Hours'!S124*Peak!Y125*'Peak Hours'!$Y124)</f>
        <v>0</v>
      </c>
      <c r="T124" s="177">
        <f>IF($A$1="BL",0,'Peak Hours'!T124*Peak!Z125*'Peak Hours'!$Y124)</f>
        <v>0</v>
      </c>
      <c r="U124" s="177">
        <f>IF($A$1="BL",0,'Peak Hours'!U124*Peak!AA125*'Peak Hours'!$Y124)</f>
        <v>0</v>
      </c>
      <c r="V124" s="207"/>
      <c r="W124" s="203">
        <f>(IF($A$1="BL",0,Peak!C125*'Peak Hours'!V124*'Peak Hours'!$Y124))*-1</f>
        <v>-7718170.8135978179</v>
      </c>
      <c r="X124" s="207"/>
      <c r="Y124" s="203">
        <f>(IF($A$1="bl",0,Peak!D125*'Peak Hours'!V124*'Peak Hours'!$Y124))*-1</f>
        <v>-148972.68045415418</v>
      </c>
      <c r="Z124" s="207"/>
      <c r="AA124" s="203">
        <f>(Peak!E125*'Peak Hours'!V124*'Peak Hours'!$Y124)*-1</f>
        <v>0</v>
      </c>
      <c r="AB124" s="204"/>
      <c r="AC124" s="203">
        <f>(Peak!F125*'Peak Hours'!V124*'Peak Hours'!$Y124)*-1</f>
        <v>0</v>
      </c>
      <c r="AD124" s="204"/>
    </row>
    <row r="125" spans="1:30" x14ac:dyDescent="0.2">
      <c r="A125" s="1">
        <f t="shared" si="1"/>
        <v>40037.955000000147</v>
      </c>
      <c r="B125" s="177">
        <f>IF($A$1="BL",0,'Peak Hours'!B125*Peak!H126*'Peak Hours'!$Y125)</f>
        <v>1248320.5833511858</v>
      </c>
      <c r="C125" s="177">
        <f>IF($A$1="BL",0,'Peak Hours'!C125*Peak!I126*'Peak Hours'!$Y125)</f>
        <v>939351.42758913105</v>
      </c>
      <c r="D125" s="177">
        <f>IF($A$1="BL",0,'Peak Hours'!D125*Peak!J126*'Peak Hours'!$Y125)</f>
        <v>1567223.3020301096</v>
      </c>
      <c r="E125" s="177">
        <f>IF($A$1="BL",0,'Peak Hours'!E125*Peak!K126*'Peak Hours'!$Y125)</f>
        <v>2502521.8376183808</v>
      </c>
      <c r="F125" s="177">
        <f>IF($A$1="BL",0,'Peak Hours'!F125*Peak!L126*'Peak Hours'!$Y125)</f>
        <v>2112665.0250185588</v>
      </c>
      <c r="G125" s="177">
        <f>IF($A$1="BL",0,'Peak Hours'!G125*Peak!M126*'Peak Hours'!$Y125)</f>
        <v>2944255.5901132436</v>
      </c>
      <c r="H125" s="177">
        <f>IF($A$1="BL",0,'Peak Hours'!H125*Peak!N126*'Peak Hours'!$Y125)</f>
        <v>2209638.551851918</v>
      </c>
      <c r="I125" s="177">
        <f>IF($A$1="BL",0,'Peak Hours'!I125*Peak!O126*'Peak Hours'!$Y125)</f>
        <v>2046760.3102126634</v>
      </c>
      <c r="J125" s="177">
        <f>IF($A$1="BL",0,'Peak Hours'!J125*Peak!P126*'Peak Hours'!$Y125)</f>
        <v>1567218.9280511599</v>
      </c>
      <c r="K125" s="177">
        <f>IF($A$1="BL",0,'Peak Hours'!K125*Peak!Q126*'Peak Hours'!$Y125)</f>
        <v>1191711.1046502097</v>
      </c>
      <c r="L125" s="177">
        <f>IF($A$1="BL",0,'Peak Hours'!L125*Peak!R126*'Peak Hours'!$Y125)</f>
        <v>1109777.0461353657</v>
      </c>
      <c r="M125" s="177">
        <f>IF($A$1="BL",0,'Peak Hours'!M125*Peak!S126*'Peak Hours'!$Y125)</f>
        <v>1033576.9558902176</v>
      </c>
      <c r="N125" s="177">
        <f>IF($A$1="BL",0,'Peak Hours'!N125*Peak!T126*'Peak Hours'!$Y125)</f>
        <v>998073.54334142176</v>
      </c>
      <c r="O125" s="177">
        <f>IF($A$1="BL",0,'Peak Hours'!O125*Peak!U126*'Peak Hours'!$Y125)</f>
        <v>998070.53727697383</v>
      </c>
      <c r="P125" s="177">
        <f>IF($A$1="BL",0,'Peak Hours'!P125*Peak!V126*'Peak Hours'!$Y125)</f>
        <v>998067.70565061679</v>
      </c>
      <c r="Q125" s="177">
        <f>IF($A$1="BL",0,'Peak Hours'!Q125*Peak!W126*'Peak Hours'!$Y125)</f>
        <v>998064.00692132616</v>
      </c>
      <c r="R125" s="177">
        <f>IF($A$1="BL",0,'Peak Hours'!R125*Peak!X126*'Peak Hours'!$Y125)</f>
        <v>996845.65129656973</v>
      </c>
      <c r="S125" s="177">
        <f>IF($A$1="BL",0,'Peak Hours'!S125*Peak!Y126*'Peak Hours'!$Y125)</f>
        <v>0</v>
      </c>
      <c r="T125" s="177">
        <f>IF($A$1="BL",0,'Peak Hours'!T125*Peak!Z126*'Peak Hours'!$Y125)</f>
        <v>0</v>
      </c>
      <c r="U125" s="177">
        <f>IF($A$1="BL",0,'Peak Hours'!U125*Peak!AA126*'Peak Hours'!$Y125)</f>
        <v>0</v>
      </c>
      <c r="V125" s="207"/>
      <c r="W125" s="203">
        <f>(IF($A$1="BL",0,Peak!C126*'Peak Hours'!V125*'Peak Hours'!$Y125))*-1</f>
        <v>-13172344.855206946</v>
      </c>
      <c r="X125" s="207"/>
      <c r="Y125" s="203">
        <f>(IF($A$1="bl",0,Peak!D126*'Peak Hours'!V125*'Peak Hours'!$Y125))*-1</f>
        <v>-268597.74285883998</v>
      </c>
      <c r="Z125" s="207"/>
      <c r="AA125" s="203">
        <f>(Peak!E126*'Peak Hours'!V125*'Peak Hours'!$Y125)*-1</f>
        <v>0</v>
      </c>
      <c r="AB125" s="204"/>
      <c r="AC125" s="203">
        <f>(Peak!F126*'Peak Hours'!V125*'Peak Hours'!$Y125)*-1</f>
        <v>0</v>
      </c>
      <c r="AD125" s="204"/>
    </row>
    <row r="126" spans="1:30" x14ac:dyDescent="0.2">
      <c r="A126" s="1">
        <f t="shared" si="1"/>
        <v>40068.372000000149</v>
      </c>
      <c r="B126" s="177">
        <f>IF($A$1="BL",0,'Peak Hours'!B126*Peak!H127*'Peak Hours'!$Y126)</f>
        <v>667152.22732748545</v>
      </c>
      <c r="C126" s="177">
        <f>IF($A$1="BL",0,'Peak Hours'!C126*Peak!I127*'Peak Hours'!$Y126)</f>
        <v>588825.29130022856</v>
      </c>
      <c r="D126" s="177">
        <f>IF($A$1="BL",0,'Peak Hours'!D126*Peak!J127*'Peak Hours'!$Y126)</f>
        <v>1087020.5193056045</v>
      </c>
      <c r="E126" s="177">
        <f>IF($A$1="BL",0,'Peak Hours'!E126*Peak!K127*'Peak Hours'!$Y126)</f>
        <v>1817736.2686699838</v>
      </c>
      <c r="F126" s="177">
        <f>IF($A$1="BL",0,'Peak Hours'!F126*Peak!L127*'Peak Hours'!$Y126)</f>
        <v>921735.24490523501</v>
      </c>
      <c r="G126" s="177">
        <f>IF($A$1="BL",0,'Peak Hours'!G126*Peak!M127*'Peak Hours'!$Y126)</f>
        <v>1646253.6689640614</v>
      </c>
      <c r="H126" s="177">
        <f>IF($A$1="BL",0,'Peak Hours'!H126*Peak!N127*'Peak Hours'!$Y126)</f>
        <v>1552083.8558049367</v>
      </c>
      <c r="I126" s="177">
        <f>IF($A$1="BL",0,'Peak Hours'!I126*Peak!O127*'Peak Hours'!$Y126)</f>
        <v>1308818.4648311606</v>
      </c>
      <c r="J126" s="177">
        <f>IF($A$1="BL",0,'Peak Hours'!J126*Peak!P127*'Peak Hours'!$Y126)</f>
        <v>1000738.2124560315</v>
      </c>
      <c r="K126" s="177">
        <f>IF($A$1="BL",0,'Peak Hours'!K126*Peak!Q127*'Peak Hours'!$Y126)</f>
        <v>0</v>
      </c>
      <c r="L126" s="177">
        <f>IF($A$1="BL",0,'Peak Hours'!L126*Peak!R127*'Peak Hours'!$Y126)</f>
        <v>0</v>
      </c>
      <c r="M126" s="177">
        <f>IF($A$1="BL",0,'Peak Hours'!M126*Peak!S127*'Peak Hours'!$Y126)</f>
        <v>0</v>
      </c>
      <c r="N126" s="177">
        <f>IF($A$1="BL",0,'Peak Hours'!N126*Peak!T127*'Peak Hours'!$Y126)</f>
        <v>0</v>
      </c>
      <c r="O126" s="177">
        <f>IF($A$1="BL",0,'Peak Hours'!O126*Peak!U127*'Peak Hours'!$Y126)</f>
        <v>0</v>
      </c>
      <c r="P126" s="177">
        <f>IF($A$1="BL",0,'Peak Hours'!P126*Peak!V127*'Peak Hours'!$Y126)</f>
        <v>0</v>
      </c>
      <c r="Q126" s="177">
        <f>IF($A$1="BL",0,'Peak Hours'!Q126*Peak!W127*'Peak Hours'!$Y126)</f>
        <v>0</v>
      </c>
      <c r="R126" s="177">
        <f>IF($A$1="BL",0,'Peak Hours'!R126*Peak!X127*'Peak Hours'!$Y126)</f>
        <v>0</v>
      </c>
      <c r="S126" s="177">
        <f>IF($A$1="BL",0,'Peak Hours'!S126*Peak!Y127*'Peak Hours'!$Y126)</f>
        <v>0</v>
      </c>
      <c r="T126" s="177">
        <f>IF($A$1="BL",0,'Peak Hours'!T126*Peak!Z127*'Peak Hours'!$Y126)</f>
        <v>0</v>
      </c>
      <c r="U126" s="177">
        <f>IF($A$1="BL",0,'Peak Hours'!U126*Peak!AA127*'Peak Hours'!$Y126)</f>
        <v>0</v>
      </c>
      <c r="V126" s="207"/>
      <c r="W126" s="203">
        <f>(IF($A$1="BL",0,Peak!C127*'Peak Hours'!V126*'Peak Hours'!$Y126))*-1</f>
        <v>-5259293.2128260536</v>
      </c>
      <c r="X126" s="207"/>
      <c r="Y126" s="203">
        <f>(IF($A$1="bl",0,Peak!D127*'Peak Hours'!V126*'Peak Hours'!$Y126))*-1</f>
        <v>-107782.04590430814</v>
      </c>
      <c r="Z126" s="207"/>
      <c r="AA126" s="203">
        <f>(Peak!E127*'Peak Hours'!V126*'Peak Hours'!$Y126)*-1</f>
        <v>0</v>
      </c>
      <c r="AB126" s="204"/>
      <c r="AC126" s="203">
        <f>(Peak!F127*'Peak Hours'!V126*'Peak Hours'!$Y126)*-1</f>
        <v>0</v>
      </c>
      <c r="AD126" s="204"/>
    </row>
    <row r="127" spans="1:30" x14ac:dyDescent="0.2">
      <c r="A127" s="1">
        <f t="shared" si="1"/>
        <v>40098.78900000015</v>
      </c>
      <c r="B127" s="177">
        <f>IF($A$1="BL",0,'Peak Hours'!B127*Peak!H128*'Peak Hours'!$Y127)</f>
        <v>268047.42843940842</v>
      </c>
      <c r="C127" s="177">
        <f>IF($A$1="BL",0,'Peak Hours'!C127*Peak!I128*'Peak Hours'!$Y127)</f>
        <v>265152.68488535821</v>
      </c>
      <c r="D127" s="177">
        <f>IF($A$1="BL",0,'Peak Hours'!D127*Peak!J128*'Peak Hours'!$Y127)</f>
        <v>530305.36977071641</v>
      </c>
      <c r="E127" s="177">
        <f>IF($A$1="BL",0,'Peak Hours'!E127*Peak!K128*'Peak Hours'!$Y127)</f>
        <v>1051341.516414853</v>
      </c>
      <c r="F127" s="177">
        <f>IF($A$1="BL",0,'Peak Hours'!F127*Peak!L128*'Peak Hours'!$Y127)</f>
        <v>988379.6220675864</v>
      </c>
      <c r="G127" s="177">
        <f>IF($A$1="BL",0,'Peak Hours'!G127*Peak!M128*'Peak Hours'!$Y127)</f>
        <v>1516247.7375219723</v>
      </c>
      <c r="H127" s="177">
        <f>IF($A$1="BL",0,'Peak Hours'!H127*Peak!N128*'Peak Hours'!$Y127)</f>
        <v>1281458.0848021514</v>
      </c>
      <c r="I127" s="177">
        <f>IF($A$1="BL",0,'Peak Hours'!I127*Peak!O128*'Peak Hours'!$Y127)</f>
        <v>1193828.1221775285</v>
      </c>
      <c r="J127" s="177">
        <f>IF($A$1="BL",0,'Peak Hours'!J127*Peak!P128*'Peak Hours'!$Y127)</f>
        <v>1124466.5178688846</v>
      </c>
      <c r="K127" s="177">
        <f>IF($A$1="BL",0,'Peak Hours'!K127*Peak!Q128*'Peak Hours'!$Y127)</f>
        <v>0</v>
      </c>
      <c r="L127" s="177">
        <f>IF($A$1="BL",0,'Peak Hours'!L127*Peak!R128*'Peak Hours'!$Y127)</f>
        <v>0</v>
      </c>
      <c r="M127" s="177">
        <f>IF($A$1="BL",0,'Peak Hours'!M127*Peak!S128*'Peak Hours'!$Y127)</f>
        <v>0</v>
      </c>
      <c r="N127" s="177">
        <f>IF($A$1="BL",0,'Peak Hours'!N127*Peak!T128*'Peak Hours'!$Y127)</f>
        <v>0</v>
      </c>
      <c r="O127" s="177">
        <f>IF($A$1="BL",0,'Peak Hours'!O127*Peak!U128*'Peak Hours'!$Y127)</f>
        <v>0</v>
      </c>
      <c r="P127" s="177">
        <f>IF($A$1="BL",0,'Peak Hours'!P127*Peak!V128*'Peak Hours'!$Y127)</f>
        <v>0</v>
      </c>
      <c r="Q127" s="177">
        <f>IF($A$1="BL",0,'Peak Hours'!Q127*Peak!W128*'Peak Hours'!$Y127)</f>
        <v>0</v>
      </c>
      <c r="R127" s="177">
        <f>IF($A$1="BL",0,'Peak Hours'!R127*Peak!X128*'Peak Hours'!$Y127)</f>
        <v>0</v>
      </c>
      <c r="S127" s="177">
        <f>IF($A$1="BL",0,'Peak Hours'!S127*Peak!Y128*'Peak Hours'!$Y127)</f>
        <v>0</v>
      </c>
      <c r="T127" s="177">
        <f>IF($A$1="BL",0,'Peak Hours'!T127*Peak!Z128*'Peak Hours'!$Y127)</f>
        <v>0</v>
      </c>
      <c r="U127" s="177">
        <f>IF($A$1="BL",0,'Peak Hours'!U127*Peak!AA128*'Peak Hours'!$Y127)</f>
        <v>0</v>
      </c>
      <c r="V127" s="207"/>
      <c r="W127" s="203">
        <f>(IF($A$1="BL",0,Peak!C128*'Peak Hours'!V127*'Peak Hours'!$Y127))*-1</f>
        <v>-5824681.9568700632</v>
      </c>
      <c r="X127" s="207"/>
      <c r="Y127" s="203">
        <f>(IF($A$1="bl",0,Peak!D128*'Peak Hours'!V127*'Peak Hours'!$Y127))*-1</f>
        <v>-107961.68264748198</v>
      </c>
      <c r="Z127" s="207"/>
      <c r="AA127" s="203">
        <f>(Peak!E128*'Peak Hours'!V127*'Peak Hours'!$Y127)*-1</f>
        <v>0</v>
      </c>
      <c r="AB127" s="204"/>
      <c r="AC127" s="203">
        <f>(Peak!F128*'Peak Hours'!V127*'Peak Hours'!$Y127)*-1</f>
        <v>0</v>
      </c>
      <c r="AD127" s="204"/>
    </row>
    <row r="128" spans="1:30" x14ac:dyDescent="0.2">
      <c r="A128" s="1">
        <f t="shared" si="1"/>
        <v>40129.206000000151</v>
      </c>
      <c r="B128" s="177">
        <f>IF($A$1="BL",0,'Peak Hours'!B128*Peak!H129*'Peak Hours'!$Y128)</f>
        <v>510358.76828079944</v>
      </c>
      <c r="C128" s="177">
        <f>IF($A$1="BL",0,'Peak Hours'!C128*Peak!I129*'Peak Hours'!$Y128)</f>
        <v>472268.27099819854</v>
      </c>
      <c r="D128" s="177">
        <f>IF($A$1="BL",0,'Peak Hours'!D128*Peak!J129*'Peak Hours'!$Y128)</f>
        <v>773233.32625505666</v>
      </c>
      <c r="E128" s="177">
        <f>IF($A$1="BL",0,'Peak Hours'!E128*Peak!K129*'Peak Hours'!$Y128)</f>
        <v>1113268.5970305034</v>
      </c>
      <c r="F128" s="177">
        <f>IF($A$1="BL",0,'Peak Hours'!F128*Peak!L129*'Peak Hours'!$Y128)</f>
        <v>1003429.8002572509</v>
      </c>
      <c r="G128" s="177">
        <f>IF($A$1="BL",0,'Peak Hours'!G128*Peak!M129*'Peak Hours'!$Y128)</f>
        <v>1926514.1011661179</v>
      </c>
      <c r="H128" s="177">
        <f>IF($A$1="BL",0,'Peak Hours'!H128*Peak!N129*'Peak Hours'!$Y128)</f>
        <v>1786210.4007493169</v>
      </c>
      <c r="I128" s="177">
        <f>IF($A$1="BL",0,'Peak Hours'!I128*Peak!O129*'Peak Hours'!$Y128)</f>
        <v>1371312.9623705994</v>
      </c>
      <c r="J128" s="177">
        <f>IF($A$1="BL",0,'Peak Hours'!J128*Peak!P129*'Peak Hours'!$Y128)</f>
        <v>1362299.2661379992</v>
      </c>
      <c r="K128" s="177">
        <f>IF($A$1="BL",0,'Peak Hours'!K128*Peak!Q129*'Peak Hours'!$Y128)</f>
        <v>1335148.1391052552</v>
      </c>
      <c r="L128" s="177">
        <f>IF($A$1="BL",0,'Peak Hours'!L128*Peak!R129*'Peak Hours'!$Y128)</f>
        <v>0</v>
      </c>
      <c r="M128" s="177">
        <f>IF($A$1="BL",0,'Peak Hours'!M128*Peak!S129*'Peak Hours'!$Y128)</f>
        <v>0</v>
      </c>
      <c r="N128" s="177">
        <f>IF($A$1="BL",0,'Peak Hours'!N128*Peak!T129*'Peak Hours'!$Y128)</f>
        <v>0</v>
      </c>
      <c r="O128" s="177">
        <f>IF($A$1="BL",0,'Peak Hours'!O128*Peak!U129*'Peak Hours'!$Y128)</f>
        <v>0</v>
      </c>
      <c r="P128" s="177">
        <f>IF($A$1="BL",0,'Peak Hours'!P128*Peak!V129*'Peak Hours'!$Y128)</f>
        <v>0</v>
      </c>
      <c r="Q128" s="177">
        <f>IF($A$1="BL",0,'Peak Hours'!Q128*Peak!W129*'Peak Hours'!$Y128)</f>
        <v>0</v>
      </c>
      <c r="R128" s="177">
        <f>IF($A$1="BL",0,'Peak Hours'!R128*Peak!X129*'Peak Hours'!$Y128)</f>
        <v>0</v>
      </c>
      <c r="S128" s="177">
        <f>IF($A$1="BL",0,'Peak Hours'!S128*Peak!Y129*'Peak Hours'!$Y128)</f>
        <v>0</v>
      </c>
      <c r="T128" s="177">
        <f>IF($A$1="BL",0,'Peak Hours'!T128*Peak!Z129*'Peak Hours'!$Y128)</f>
        <v>0</v>
      </c>
      <c r="U128" s="177">
        <f>IF($A$1="BL",0,'Peak Hours'!U128*Peak!AA129*'Peak Hours'!$Y128)</f>
        <v>0</v>
      </c>
      <c r="V128" s="207"/>
      <c r="W128" s="203">
        <f>(IF($A$1="BL",0,Peak!C129*'Peak Hours'!V128*'Peak Hours'!$Y128))*-1</f>
        <v>-7537981.1812458523</v>
      </c>
      <c r="X128" s="207"/>
      <c r="Y128" s="203">
        <f>(IF($A$1="bl",0,Peak!D129*'Peak Hours'!V128*'Peak Hours'!$Y128))*-1</f>
        <v>-127803.73129163284</v>
      </c>
      <c r="Z128" s="207"/>
      <c r="AA128" s="203">
        <f>(Peak!E129*'Peak Hours'!V128*'Peak Hours'!$Y128)*-1</f>
        <v>0</v>
      </c>
      <c r="AB128" s="204"/>
      <c r="AC128" s="203">
        <f>(Peak!F129*'Peak Hours'!V128*'Peak Hours'!$Y128)*-1</f>
        <v>0</v>
      </c>
      <c r="AD128" s="204"/>
    </row>
    <row r="129" spans="1:30" x14ac:dyDescent="0.2">
      <c r="A129" s="1">
        <f t="shared" si="1"/>
        <v>40159.623000000152</v>
      </c>
      <c r="B129" s="177">
        <f>IF($A$1="BL",0,'Peak Hours'!B129*Peak!H130*'Peak Hours'!$Y129)</f>
        <v>490577.84652765893</v>
      </c>
      <c r="C129" s="177">
        <f>IF($A$1="BL",0,'Peak Hours'!C129*Peak!I130*'Peak Hours'!$Y129)</f>
        <v>404751.09594434412</v>
      </c>
      <c r="D129" s="177">
        <f>IF($A$1="BL",0,'Peak Hours'!D129*Peak!J130*'Peak Hours'!$Y129)</f>
        <v>615899.99472903484</v>
      </c>
      <c r="E129" s="177">
        <f>IF($A$1="BL",0,'Peak Hours'!E129*Peak!K130*'Peak Hours'!$Y129)</f>
        <v>1144242.4062543493</v>
      </c>
      <c r="F129" s="177">
        <f>IF($A$1="BL",0,'Peak Hours'!F129*Peak!L130*'Peak Hours'!$Y129)</f>
        <v>1086930.2903330077</v>
      </c>
      <c r="G129" s="177">
        <f>IF($A$1="BL",0,'Peak Hours'!G129*Peak!M130*'Peak Hours'!$Y129)</f>
        <v>2035716.518415702</v>
      </c>
      <c r="H129" s="177">
        <f>IF($A$1="BL",0,'Peak Hours'!H129*Peak!N130*'Peak Hours'!$Y129)</f>
        <v>2021514.5547215857</v>
      </c>
      <c r="I129" s="177">
        <f>IF($A$1="BL",0,'Peak Hours'!I129*Peak!O130*'Peak Hours'!$Y129)</f>
        <v>1922786.4082120177</v>
      </c>
      <c r="J129" s="177">
        <f>IF($A$1="BL",0,'Peak Hours'!J129*Peak!P130*'Peak Hours'!$Y129)</f>
        <v>1500497.9499861065</v>
      </c>
      <c r="K129" s="177">
        <f>IF($A$1="BL",0,'Peak Hours'!K129*Peak!Q130*'Peak Hours'!$Y129)</f>
        <v>1341138.6173508379</v>
      </c>
      <c r="L129" s="177">
        <f>IF($A$1="BL",0,'Peak Hours'!L129*Peak!R130*'Peak Hours'!$Y129)</f>
        <v>0</v>
      </c>
      <c r="M129" s="177">
        <f>IF($A$1="BL",0,'Peak Hours'!M129*Peak!S130*'Peak Hours'!$Y129)</f>
        <v>0</v>
      </c>
      <c r="N129" s="177">
        <f>IF($A$1="BL",0,'Peak Hours'!N129*Peak!T130*'Peak Hours'!$Y129)</f>
        <v>0</v>
      </c>
      <c r="O129" s="177">
        <f>IF($A$1="BL",0,'Peak Hours'!O129*Peak!U130*'Peak Hours'!$Y129)</f>
        <v>0</v>
      </c>
      <c r="P129" s="177">
        <f>IF($A$1="BL",0,'Peak Hours'!P129*Peak!V130*'Peak Hours'!$Y129)</f>
        <v>0</v>
      </c>
      <c r="Q129" s="177">
        <f>IF($A$1="BL",0,'Peak Hours'!Q129*Peak!W130*'Peak Hours'!$Y129)</f>
        <v>0</v>
      </c>
      <c r="R129" s="177">
        <f>IF($A$1="BL",0,'Peak Hours'!R129*Peak!X130*'Peak Hours'!$Y129)</f>
        <v>0</v>
      </c>
      <c r="S129" s="177">
        <f>IF($A$1="BL",0,'Peak Hours'!S129*Peak!Y130*'Peak Hours'!$Y129)</f>
        <v>0</v>
      </c>
      <c r="T129" s="177">
        <f>IF($A$1="BL",0,'Peak Hours'!T129*Peak!Z130*'Peak Hours'!$Y129)</f>
        <v>0</v>
      </c>
      <c r="U129" s="177">
        <f>IF($A$1="BL",0,'Peak Hours'!U129*Peak!AA130*'Peak Hours'!$Y129)</f>
        <v>0</v>
      </c>
      <c r="V129" s="208">
        <f>SUM(B118:U129)</f>
        <v>158167046.64463222</v>
      </c>
      <c r="W129" s="203">
        <f>(IF($A$1="BL",0,Peak!C130*'Peak Hours'!V129*'Peak Hours'!$Y129))*-1</f>
        <v>-7936564.7831729138</v>
      </c>
      <c r="X129" s="208">
        <f>SUM(W118:W129)</f>
        <v>-92194228.261153236</v>
      </c>
      <c r="Y129" s="203">
        <f>(IF($A$1="bl",0,Peak!D130*'Peak Hours'!V129*'Peak Hours'!$Y129))*-1</f>
        <v>-124550.39715177973</v>
      </c>
      <c r="Z129" s="208">
        <f>SUM(Y118:Y129)</f>
        <v>-1695930.8709132685</v>
      </c>
      <c r="AA129" s="203">
        <f>(Peak!E130*'Peak Hours'!V129*'Peak Hours'!$Y129)*-1</f>
        <v>0</v>
      </c>
      <c r="AB129" s="205">
        <f>SUM(AA118:AA129)</f>
        <v>0</v>
      </c>
      <c r="AC129" s="203">
        <f>(Peak!F130*'Peak Hours'!V129*'Peak Hours'!$Y129)*-1</f>
        <v>0</v>
      </c>
      <c r="AD129" s="205">
        <f>SUM(AC118:AC129)</f>
        <v>0</v>
      </c>
    </row>
    <row r="130" spans="1:30" x14ac:dyDescent="0.2">
      <c r="A130" s="1">
        <f t="shared" si="1"/>
        <v>40190.040000000154</v>
      </c>
      <c r="B130" s="177">
        <f>IF($A$1="BL",0,'Peak Hours'!B130*Peak!H131*'Peak Hours'!$Y130)</f>
        <v>311480.30348303879</v>
      </c>
      <c r="C130" s="177">
        <f>IF($A$1="BL",0,'Peak Hours'!C130*Peak!I131*'Peak Hours'!$Y130)</f>
        <v>311480.30348303879</v>
      </c>
      <c r="D130" s="177">
        <f>IF($A$1="BL",0,'Peak Hours'!D130*Peak!J131*'Peak Hours'!$Y130)</f>
        <v>617878.45676235121</v>
      </c>
      <c r="E130" s="177">
        <f>IF($A$1="BL",0,'Peak Hours'!E130*Peak!K131*'Peak Hours'!$Y130)</f>
        <v>1165575.2951214674</v>
      </c>
      <c r="F130" s="177">
        <f>IF($A$1="BL",0,'Peak Hours'!F130*Peak!L131*'Peak Hours'!$Y130)</f>
        <v>1118306.4094842111</v>
      </c>
      <c r="G130" s="177">
        <f>IF($A$1="BL",0,'Peak Hours'!G130*Peak!M131*'Peak Hours'!$Y130)</f>
        <v>2214373.728306693</v>
      </c>
      <c r="H130" s="177">
        <f>IF($A$1="BL",0,'Peak Hours'!H130*Peak!N131*'Peak Hours'!$Y130)</f>
        <v>1646109.7615515389</v>
      </c>
      <c r="I130" s="177">
        <f>IF($A$1="BL",0,'Peak Hours'!I130*Peak!O131*'Peak Hours'!$Y130)</f>
        <v>1423032.4765270706</v>
      </c>
      <c r="J130" s="177">
        <f>IF($A$1="BL",0,'Peak Hours'!J130*Peak!P131*'Peak Hours'!$Y130)</f>
        <v>0</v>
      </c>
      <c r="K130" s="177">
        <f>IF($A$1="BL",0,'Peak Hours'!K130*Peak!Q131*'Peak Hours'!$Y130)</f>
        <v>0</v>
      </c>
      <c r="L130" s="177">
        <f>IF($A$1="BL",0,'Peak Hours'!L130*Peak!R131*'Peak Hours'!$Y130)</f>
        <v>0</v>
      </c>
      <c r="M130" s="177">
        <f>IF($A$1="BL",0,'Peak Hours'!M130*Peak!S131*'Peak Hours'!$Y130)</f>
        <v>0</v>
      </c>
      <c r="N130" s="177">
        <f>IF($A$1="BL",0,'Peak Hours'!N130*Peak!T131*'Peak Hours'!$Y130)</f>
        <v>0</v>
      </c>
      <c r="O130" s="177">
        <f>IF($A$1="BL",0,'Peak Hours'!O130*Peak!U131*'Peak Hours'!$Y130)</f>
        <v>0</v>
      </c>
      <c r="P130" s="177">
        <f>IF($A$1="BL",0,'Peak Hours'!P130*Peak!V131*'Peak Hours'!$Y130)</f>
        <v>0</v>
      </c>
      <c r="Q130" s="177">
        <f>IF($A$1="BL",0,'Peak Hours'!Q130*Peak!W131*'Peak Hours'!$Y130)</f>
        <v>0</v>
      </c>
      <c r="R130" s="177">
        <f>IF($A$1="BL",0,'Peak Hours'!R130*Peak!X131*'Peak Hours'!$Y130)</f>
        <v>0</v>
      </c>
      <c r="S130" s="177">
        <f>IF($A$1="BL",0,'Peak Hours'!S130*Peak!Y131*'Peak Hours'!$Y130)</f>
        <v>0</v>
      </c>
      <c r="T130" s="177">
        <f>IF($A$1="BL",0,'Peak Hours'!T130*Peak!Z131*'Peak Hours'!$Y130)</f>
        <v>0</v>
      </c>
      <c r="U130" s="177">
        <f>IF($A$1="BL",0,'Peak Hours'!U130*Peak!AA131*'Peak Hours'!$Y130)</f>
        <v>0</v>
      </c>
      <c r="V130" s="207"/>
      <c r="W130" s="203">
        <f>(IF($A$1="BL",0,Peak!C131*'Peak Hours'!V130*'Peak Hours'!$Y130))*-1</f>
        <v>-5514588.4623887967</v>
      </c>
      <c r="X130" s="207"/>
      <c r="Y130" s="203">
        <f>(IF($A$1="bl",0,Peak!D131*'Peak Hours'!V130*'Peak Hours'!$Y130))*-1</f>
        <v>-86370.910024868776</v>
      </c>
      <c r="Z130" s="207"/>
      <c r="AA130" s="203">
        <f>(Peak!E131*'Peak Hours'!V130*'Peak Hours'!$Y130)*-1</f>
        <v>0</v>
      </c>
      <c r="AB130" s="204"/>
      <c r="AC130" s="203">
        <f>(Peak!F131*'Peak Hours'!V130*'Peak Hours'!$Y130)*-1</f>
        <v>0</v>
      </c>
      <c r="AD130" s="204"/>
    </row>
    <row r="131" spans="1:30" x14ac:dyDescent="0.2">
      <c r="A131" s="1">
        <f t="shared" si="1"/>
        <v>40220.457000000155</v>
      </c>
      <c r="B131" s="177">
        <f>IF($A$1="BL",0,'Peak Hours'!B131*Peak!H132*'Peak Hours'!$Y131)</f>
        <v>365396.26991541492</v>
      </c>
      <c r="C131" s="177">
        <f>IF($A$1="BL",0,'Peak Hours'!C131*Peak!I132*'Peak Hours'!$Y131)</f>
        <v>311509.18938979827</v>
      </c>
      <c r="D131" s="177">
        <f>IF($A$1="BL",0,'Peak Hours'!D131*Peak!J132*'Peak Hours'!$Y131)</f>
        <v>600854.2308125355</v>
      </c>
      <c r="E131" s="177">
        <f>IF($A$1="BL",0,'Peak Hours'!E131*Peak!K132*'Peak Hours'!$Y131)</f>
        <v>1134846.7024225208</v>
      </c>
      <c r="F131" s="177">
        <f>IF($A$1="BL",0,'Peak Hours'!F131*Peak!L132*'Peak Hours'!$Y131)</f>
        <v>1076436.8266337458</v>
      </c>
      <c r="G131" s="177">
        <f>IF($A$1="BL",0,'Peak Hours'!G131*Peak!M132*'Peak Hours'!$Y131)</f>
        <v>2077221.4221350641</v>
      </c>
      <c r="H131" s="177">
        <f>IF($A$1="BL",0,'Peak Hours'!H131*Peak!N132*'Peak Hours'!$Y131)</f>
        <v>2020815.7708784093</v>
      </c>
      <c r="I131" s="177">
        <f>IF($A$1="BL",0,'Peak Hours'!I131*Peak!O132*'Peak Hours'!$Y131)</f>
        <v>1672713.3455000934</v>
      </c>
      <c r="J131" s="177">
        <f>IF($A$1="BL",0,'Peak Hours'!J131*Peak!P132*'Peak Hours'!$Y131)</f>
        <v>1378868.2571439708</v>
      </c>
      <c r="K131" s="177">
        <f>IF($A$1="BL",0,'Peak Hours'!K131*Peak!Q132*'Peak Hours'!$Y131)</f>
        <v>1168668.8266548275</v>
      </c>
      <c r="L131" s="177">
        <f>IF($A$1="BL",0,'Peak Hours'!L131*Peak!R132*'Peak Hours'!$Y131)</f>
        <v>0</v>
      </c>
      <c r="M131" s="177">
        <f>IF($A$1="BL",0,'Peak Hours'!M131*Peak!S132*'Peak Hours'!$Y131)</f>
        <v>0</v>
      </c>
      <c r="N131" s="177">
        <f>IF($A$1="BL",0,'Peak Hours'!N131*Peak!T132*'Peak Hours'!$Y131)</f>
        <v>0</v>
      </c>
      <c r="O131" s="177">
        <f>IF($A$1="BL",0,'Peak Hours'!O131*Peak!U132*'Peak Hours'!$Y131)</f>
        <v>0</v>
      </c>
      <c r="P131" s="177">
        <f>IF($A$1="BL",0,'Peak Hours'!P131*Peak!V132*'Peak Hours'!$Y131)</f>
        <v>0</v>
      </c>
      <c r="Q131" s="177">
        <f>IF($A$1="BL",0,'Peak Hours'!Q131*Peak!W132*'Peak Hours'!$Y131)</f>
        <v>0</v>
      </c>
      <c r="R131" s="177">
        <f>IF($A$1="BL",0,'Peak Hours'!R131*Peak!X132*'Peak Hours'!$Y131)</f>
        <v>0</v>
      </c>
      <c r="S131" s="177">
        <f>IF($A$1="BL",0,'Peak Hours'!S131*Peak!Y132*'Peak Hours'!$Y131)</f>
        <v>0</v>
      </c>
      <c r="T131" s="177">
        <f>IF($A$1="BL",0,'Peak Hours'!T131*Peak!Z132*'Peak Hours'!$Y131)</f>
        <v>0</v>
      </c>
      <c r="U131" s="177">
        <f>IF($A$1="BL",0,'Peak Hours'!U131*Peak!AA132*'Peak Hours'!$Y131)</f>
        <v>0</v>
      </c>
      <c r="V131" s="207"/>
      <c r="W131" s="203">
        <f>(IF($A$1="BL",0,Peak!C132*'Peak Hours'!V131*'Peak Hours'!$Y131))*-1</f>
        <v>-7139306.1624483829</v>
      </c>
      <c r="X131" s="207"/>
      <c r="Y131" s="203">
        <f>(IF($A$1="bl",0,Peak!D132*'Peak Hours'!V131*'Peak Hours'!$Y131))*-1</f>
        <v>-124965.91111561109</v>
      </c>
      <c r="Z131" s="207"/>
      <c r="AA131" s="203">
        <f>(Peak!E132*'Peak Hours'!V131*'Peak Hours'!$Y131)*-1</f>
        <v>0</v>
      </c>
      <c r="AB131" s="204"/>
      <c r="AC131" s="203">
        <f>(Peak!F132*'Peak Hours'!V131*'Peak Hours'!$Y131)*-1</f>
        <v>0</v>
      </c>
      <c r="AD131" s="204"/>
    </row>
    <row r="132" spans="1:30" x14ac:dyDescent="0.2">
      <c r="A132" s="1">
        <f t="shared" si="1"/>
        <v>40250.874000000156</v>
      </c>
      <c r="B132" s="177">
        <f>IF($A$1="BL",0,'Peak Hours'!B132*Peak!H133*'Peak Hours'!$Y132)</f>
        <v>275376.7848910084</v>
      </c>
      <c r="C132" s="177">
        <f>IF($A$1="BL",0,'Peak Hours'!C132*Peak!I133*'Peak Hours'!$Y132)</f>
        <v>265200.7988496449</v>
      </c>
      <c r="D132" s="177">
        <f>IF($A$1="BL",0,'Peak Hours'!D132*Peak!J133*'Peak Hours'!$Y132)</f>
        <v>516792.88573892089</v>
      </c>
      <c r="E132" s="177">
        <f>IF($A$1="BL",0,'Peak Hours'!E132*Peak!K133*'Peak Hours'!$Y132)</f>
        <v>966652.4579584134</v>
      </c>
      <c r="F132" s="177">
        <f>IF($A$1="BL",0,'Peak Hours'!F132*Peak!L133*'Peak Hours'!$Y132)</f>
        <v>938292.73528551718</v>
      </c>
      <c r="G132" s="177">
        <f>IF($A$1="BL",0,'Peak Hours'!G132*Peak!M133*'Peak Hours'!$Y132)</f>
        <v>1859989.7441703433</v>
      </c>
      <c r="H132" s="177">
        <f>IF($A$1="BL",0,'Peak Hours'!H132*Peak!N133*'Peak Hours'!$Y132)</f>
        <v>1610340.7379581137</v>
      </c>
      <c r="I132" s="177">
        <f>IF($A$1="BL",0,'Peak Hours'!I132*Peak!O133*'Peak Hours'!$Y132)</f>
        <v>1304383.2313198375</v>
      </c>
      <c r="J132" s="177">
        <f>IF($A$1="BL",0,'Peak Hours'!J132*Peak!P133*'Peak Hours'!$Y132)</f>
        <v>1224362.3467543842</v>
      </c>
      <c r="K132" s="177">
        <f>IF($A$1="BL",0,'Peak Hours'!K132*Peak!Q133*'Peak Hours'!$Y132)</f>
        <v>0</v>
      </c>
      <c r="L132" s="177">
        <f>IF($A$1="BL",0,'Peak Hours'!L132*Peak!R133*'Peak Hours'!$Y132)</f>
        <v>0</v>
      </c>
      <c r="M132" s="177">
        <f>IF($A$1="BL",0,'Peak Hours'!M132*Peak!S133*'Peak Hours'!$Y132)</f>
        <v>0</v>
      </c>
      <c r="N132" s="177">
        <f>IF($A$1="BL",0,'Peak Hours'!N132*Peak!T133*'Peak Hours'!$Y132)</f>
        <v>0</v>
      </c>
      <c r="O132" s="177">
        <f>IF($A$1="BL",0,'Peak Hours'!O132*Peak!U133*'Peak Hours'!$Y132)</f>
        <v>0</v>
      </c>
      <c r="P132" s="177">
        <f>IF($A$1="BL",0,'Peak Hours'!P132*Peak!V133*'Peak Hours'!$Y132)</f>
        <v>0</v>
      </c>
      <c r="Q132" s="177">
        <f>IF($A$1="BL",0,'Peak Hours'!Q132*Peak!W133*'Peak Hours'!$Y132)</f>
        <v>0</v>
      </c>
      <c r="R132" s="177">
        <f>IF($A$1="BL",0,'Peak Hours'!R132*Peak!X133*'Peak Hours'!$Y132)</f>
        <v>0</v>
      </c>
      <c r="S132" s="177">
        <f>IF($A$1="BL",0,'Peak Hours'!S132*Peak!Y133*'Peak Hours'!$Y132)</f>
        <v>0</v>
      </c>
      <c r="T132" s="177">
        <f>IF($A$1="BL",0,'Peak Hours'!T132*Peak!Z133*'Peak Hours'!$Y132)</f>
        <v>0</v>
      </c>
      <c r="U132" s="177">
        <f>IF($A$1="BL",0,'Peak Hours'!U132*Peak!AA133*'Peak Hours'!$Y132)</f>
        <v>0</v>
      </c>
      <c r="V132" s="207"/>
      <c r="W132" s="203">
        <f>(IF($A$1="BL",0,Peak!C133*'Peak Hours'!V132*'Peak Hours'!$Y132))*-1</f>
        <v>-6104670.202687325</v>
      </c>
      <c r="X132" s="207"/>
      <c r="Y132" s="203">
        <f>(IF($A$1="bl",0,Peak!D133*'Peak Hours'!V132*'Peak Hours'!$Y132))*-1</f>
        <v>-108864.36727423272</v>
      </c>
      <c r="Z132" s="207"/>
      <c r="AA132" s="203">
        <f>(Peak!E133*'Peak Hours'!V132*'Peak Hours'!$Y132)*-1</f>
        <v>0</v>
      </c>
      <c r="AB132" s="204"/>
      <c r="AC132" s="203">
        <f>(Peak!F133*'Peak Hours'!V132*'Peak Hours'!$Y132)*-1</f>
        <v>0</v>
      </c>
      <c r="AD132" s="204"/>
    </row>
    <row r="133" spans="1:30" x14ac:dyDescent="0.2">
      <c r="A133" s="1">
        <f t="shared" si="1"/>
        <v>40281.291000000158</v>
      </c>
      <c r="B133" s="177">
        <f>IF($A$1="BL",0,'Peak Hours'!B133*Peak!H134*'Peak Hours'!$Y133)</f>
        <v>256268.73337111724</v>
      </c>
      <c r="C133" s="177">
        <f>IF($A$1="BL",0,'Peak Hours'!C133*Peak!I134*'Peak Hours'!$Y133)</f>
        <v>247853.69872384614</v>
      </c>
      <c r="D133" s="177">
        <f>IF($A$1="BL",0,'Peak Hours'!D133*Peak!J134*'Peak Hours'!$Y133)</f>
        <v>473696.15674639016</v>
      </c>
      <c r="E133" s="177">
        <f>IF($A$1="BL",0,'Peak Hours'!E133*Peak!K134*'Peak Hours'!$Y133)</f>
        <v>919209.6889279366</v>
      </c>
      <c r="F133" s="177">
        <f>IF($A$1="BL",0,'Peak Hours'!F133*Peak!L134*'Peak Hours'!$Y133)</f>
        <v>915542.87682880636</v>
      </c>
      <c r="G133" s="177">
        <f>IF($A$1="BL",0,'Peak Hours'!G133*Peak!M134*'Peak Hours'!$Y133)</f>
        <v>1409169.7776299138</v>
      </c>
      <c r="H133" s="177">
        <f>IF($A$1="BL",0,'Peak Hours'!H133*Peak!N134*'Peak Hours'!$Y133)</f>
        <v>1216439.4237019569</v>
      </c>
      <c r="I133" s="177">
        <f>IF($A$1="BL",0,'Peak Hours'!I133*Peak!O134*'Peak Hours'!$Y133)</f>
        <v>0</v>
      </c>
      <c r="J133" s="177">
        <f>IF($A$1="BL",0,'Peak Hours'!J133*Peak!P134*'Peak Hours'!$Y133)</f>
        <v>0</v>
      </c>
      <c r="K133" s="177">
        <f>IF($A$1="BL",0,'Peak Hours'!K133*Peak!Q134*'Peak Hours'!$Y133)</f>
        <v>0</v>
      </c>
      <c r="L133" s="177">
        <f>IF($A$1="BL",0,'Peak Hours'!L133*Peak!R134*'Peak Hours'!$Y133)</f>
        <v>0</v>
      </c>
      <c r="M133" s="177">
        <f>IF($A$1="BL",0,'Peak Hours'!M133*Peak!S134*'Peak Hours'!$Y133)</f>
        <v>0</v>
      </c>
      <c r="N133" s="177">
        <f>IF($A$1="BL",0,'Peak Hours'!N133*Peak!T134*'Peak Hours'!$Y133)</f>
        <v>0</v>
      </c>
      <c r="O133" s="177">
        <f>IF($A$1="BL",0,'Peak Hours'!O133*Peak!U134*'Peak Hours'!$Y133)</f>
        <v>0</v>
      </c>
      <c r="P133" s="177">
        <f>IF($A$1="BL",0,'Peak Hours'!P133*Peak!V134*'Peak Hours'!$Y133)</f>
        <v>0</v>
      </c>
      <c r="Q133" s="177">
        <f>IF($A$1="BL",0,'Peak Hours'!Q133*Peak!W134*'Peak Hours'!$Y133)</f>
        <v>0</v>
      </c>
      <c r="R133" s="177">
        <f>IF($A$1="BL",0,'Peak Hours'!R133*Peak!X134*'Peak Hours'!$Y133)</f>
        <v>0</v>
      </c>
      <c r="S133" s="177">
        <f>IF($A$1="BL",0,'Peak Hours'!S133*Peak!Y134*'Peak Hours'!$Y133)</f>
        <v>0</v>
      </c>
      <c r="T133" s="177">
        <f>IF($A$1="BL",0,'Peak Hours'!T133*Peak!Z134*'Peak Hours'!$Y133)</f>
        <v>0</v>
      </c>
      <c r="U133" s="177">
        <f>IF($A$1="BL",0,'Peak Hours'!U133*Peak!AA134*'Peak Hours'!$Y133)</f>
        <v>0</v>
      </c>
      <c r="V133" s="207"/>
      <c r="W133" s="203">
        <f>(IF($A$1="BL",0,Peak!C134*'Peak Hours'!V133*'Peak Hours'!$Y133))*-1</f>
        <v>-3693286.3902301677</v>
      </c>
      <c r="X133" s="207"/>
      <c r="Y133" s="203">
        <f>(IF($A$1="bl",0,Peak!D134*'Peak Hours'!V133*'Peak Hours'!$Y133))*-1</f>
        <v>-69392.786836772284</v>
      </c>
      <c r="Z133" s="207"/>
      <c r="AA133" s="203">
        <f>(Peak!E134*'Peak Hours'!V133*'Peak Hours'!$Y133)*-1</f>
        <v>0</v>
      </c>
      <c r="AB133" s="204"/>
      <c r="AC133" s="203">
        <f>(Peak!F134*'Peak Hours'!V133*'Peak Hours'!$Y133)*-1</f>
        <v>0</v>
      </c>
      <c r="AD133" s="204"/>
    </row>
    <row r="134" spans="1:30" x14ac:dyDescent="0.2">
      <c r="A134" s="1">
        <f t="shared" si="1"/>
        <v>40311.708000000159</v>
      </c>
      <c r="B134" s="177">
        <f>IF($A$1="BL",0,'Peak Hours'!B134*Peak!H135*'Peak Hours'!$Y134)</f>
        <v>418370.93628513871</v>
      </c>
      <c r="C134" s="177">
        <f>IF($A$1="BL",0,'Peak Hours'!C134*Peak!I135*'Peak Hours'!$Y134)</f>
        <v>246442.64742386944</v>
      </c>
      <c r="D134" s="177">
        <f>IF($A$1="BL",0,'Peak Hours'!D134*Peak!J135*'Peak Hours'!$Y134)</f>
        <v>462176.94216408959</v>
      </c>
      <c r="E134" s="177">
        <f>IF($A$1="BL",0,'Peak Hours'!E134*Peak!K135*'Peak Hours'!$Y134)</f>
        <v>850954.33454229718</v>
      </c>
      <c r="F134" s="177">
        <f>IF($A$1="BL",0,'Peak Hours'!F134*Peak!L135*'Peak Hours'!$Y134)</f>
        <v>818719.78696433315</v>
      </c>
      <c r="G134" s="177">
        <f>IF($A$1="BL",0,'Peak Hours'!G134*Peak!M135*'Peak Hours'!$Y134)</f>
        <v>1581861.7672549644</v>
      </c>
      <c r="H134" s="177">
        <f>IF($A$1="BL",0,'Peak Hours'!H134*Peak!N135*'Peak Hours'!$Y134)</f>
        <v>1218491.4719670794</v>
      </c>
      <c r="I134" s="177">
        <f>IF($A$1="BL",0,'Peak Hours'!I134*Peak!O135*'Peak Hours'!$Y134)</f>
        <v>0</v>
      </c>
      <c r="J134" s="177">
        <f>IF($A$1="BL",0,'Peak Hours'!J134*Peak!P135*'Peak Hours'!$Y134)</f>
        <v>0</v>
      </c>
      <c r="K134" s="177">
        <f>IF($A$1="BL",0,'Peak Hours'!K134*Peak!Q135*'Peak Hours'!$Y134)</f>
        <v>0</v>
      </c>
      <c r="L134" s="177">
        <f>IF($A$1="BL",0,'Peak Hours'!L134*Peak!R135*'Peak Hours'!$Y134)</f>
        <v>0</v>
      </c>
      <c r="M134" s="177">
        <f>IF($A$1="BL",0,'Peak Hours'!M134*Peak!S135*'Peak Hours'!$Y134)</f>
        <v>0</v>
      </c>
      <c r="N134" s="177">
        <f>IF($A$1="BL",0,'Peak Hours'!N134*Peak!T135*'Peak Hours'!$Y134)</f>
        <v>0</v>
      </c>
      <c r="O134" s="177">
        <f>IF($A$1="BL",0,'Peak Hours'!O134*Peak!U135*'Peak Hours'!$Y134)</f>
        <v>0</v>
      </c>
      <c r="P134" s="177">
        <f>IF($A$1="BL",0,'Peak Hours'!P134*Peak!V135*'Peak Hours'!$Y134)</f>
        <v>0</v>
      </c>
      <c r="Q134" s="177">
        <f>IF($A$1="BL",0,'Peak Hours'!Q134*Peak!W135*'Peak Hours'!$Y134)</f>
        <v>0</v>
      </c>
      <c r="R134" s="177">
        <f>IF($A$1="BL",0,'Peak Hours'!R134*Peak!X135*'Peak Hours'!$Y134)</f>
        <v>0</v>
      </c>
      <c r="S134" s="177">
        <f>IF($A$1="BL",0,'Peak Hours'!S134*Peak!Y135*'Peak Hours'!$Y134)</f>
        <v>0</v>
      </c>
      <c r="T134" s="177">
        <f>IF($A$1="BL",0,'Peak Hours'!T134*Peak!Z135*'Peak Hours'!$Y134)</f>
        <v>0</v>
      </c>
      <c r="U134" s="177">
        <f>IF($A$1="BL",0,'Peak Hours'!U134*Peak!AA135*'Peak Hours'!$Y134)</f>
        <v>0</v>
      </c>
      <c r="V134" s="207"/>
      <c r="W134" s="203">
        <f>(IF($A$1="BL",0,Peak!C135*'Peak Hours'!V134*'Peak Hours'!$Y134))*-1</f>
        <v>-3888698.368549224</v>
      </c>
      <c r="X134" s="207"/>
      <c r="Y134" s="203">
        <f>(IF($A$1="bl",0,Peak!D135*'Peak Hours'!V134*'Peak Hours'!$Y134))*-1</f>
        <v>-69508.441481500238</v>
      </c>
      <c r="Z134" s="207"/>
      <c r="AA134" s="203">
        <f>(Peak!E135*'Peak Hours'!V134*'Peak Hours'!$Y134)*-1</f>
        <v>0</v>
      </c>
      <c r="AB134" s="204"/>
      <c r="AC134" s="203">
        <f>(Peak!F135*'Peak Hours'!V134*'Peak Hours'!$Y134)*-1</f>
        <v>0</v>
      </c>
      <c r="AD134" s="204"/>
    </row>
    <row r="135" spans="1:30" x14ac:dyDescent="0.2">
      <c r="A135" s="1">
        <f t="shared" si="1"/>
        <v>40342.12500000016</v>
      </c>
      <c r="B135" s="177">
        <f>IF($A$1="BL",0,'Peak Hours'!B135*Peak!H136*'Peak Hours'!$Y135)</f>
        <v>563672.93922603806</v>
      </c>
      <c r="C135" s="177">
        <f>IF($A$1="BL",0,'Peak Hours'!C135*Peak!I136*'Peak Hours'!$Y135)</f>
        <v>515489.9342972528</v>
      </c>
      <c r="D135" s="177">
        <f>IF($A$1="BL",0,'Peak Hours'!D135*Peak!J136*'Peak Hours'!$Y135)</f>
        <v>762903.14151413227</v>
      </c>
      <c r="E135" s="177">
        <f>IF($A$1="BL",0,'Peak Hours'!E135*Peak!K136*'Peak Hours'!$Y135)</f>
        <v>1267543.6542026054</v>
      </c>
      <c r="F135" s="177">
        <f>IF($A$1="BL",0,'Peak Hours'!F135*Peak!L136*'Peak Hours'!$Y135)</f>
        <v>1188309.9045502229</v>
      </c>
      <c r="G135" s="177">
        <f>IF($A$1="BL",0,'Peak Hours'!G135*Peak!M136*'Peak Hours'!$Y135)</f>
        <v>1617000.3932870317</v>
      </c>
      <c r="H135" s="177">
        <f>IF($A$1="BL",0,'Peak Hours'!H135*Peak!N136*'Peak Hours'!$Y135)</f>
        <v>1323739.7863512384</v>
      </c>
      <c r="I135" s="177">
        <f>IF($A$1="BL",0,'Peak Hours'!I135*Peak!O136*'Peak Hours'!$Y135)</f>
        <v>1187950.9079015106</v>
      </c>
      <c r="J135" s="177">
        <f>IF($A$1="BL",0,'Peak Hours'!J135*Peak!P136*'Peak Hours'!$Y135)</f>
        <v>1187950.9079015106</v>
      </c>
      <c r="K135" s="177">
        <f>IF($A$1="BL",0,'Peak Hours'!K135*Peak!Q136*'Peak Hours'!$Y135)</f>
        <v>1187949.7696438432</v>
      </c>
      <c r="L135" s="177">
        <f>IF($A$1="BL",0,'Peak Hours'!L135*Peak!R136*'Peak Hours'!$Y135)</f>
        <v>1187944.8132581632</v>
      </c>
      <c r="M135" s="177">
        <f>IF($A$1="BL",0,'Peak Hours'!M135*Peak!S136*'Peak Hours'!$Y135)</f>
        <v>1187940.2251866495</v>
      </c>
      <c r="N135" s="177">
        <f>IF($A$1="BL",0,'Peak Hours'!N135*Peak!T136*'Peak Hours'!$Y135)</f>
        <v>1187927.9186320149</v>
      </c>
      <c r="O135" s="177">
        <f>IF($A$1="BL",0,'Peak Hours'!O135*Peak!U136*'Peak Hours'!$Y135)</f>
        <v>1098325.9162306155</v>
      </c>
      <c r="P135" s="177">
        <f>IF($A$1="BL",0,'Peak Hours'!P135*Peak!V136*'Peak Hours'!$Y135)</f>
        <v>0</v>
      </c>
      <c r="Q135" s="177">
        <f>IF($A$1="BL",0,'Peak Hours'!Q135*Peak!W136*'Peak Hours'!$Y135)</f>
        <v>0</v>
      </c>
      <c r="R135" s="177">
        <f>IF($A$1="BL",0,'Peak Hours'!R135*Peak!X136*'Peak Hours'!$Y135)</f>
        <v>0</v>
      </c>
      <c r="S135" s="177">
        <f>IF($A$1="BL",0,'Peak Hours'!S135*Peak!Y136*'Peak Hours'!$Y135)</f>
        <v>0</v>
      </c>
      <c r="T135" s="177">
        <f>IF($A$1="BL",0,'Peak Hours'!T135*Peak!Z136*'Peak Hours'!$Y135)</f>
        <v>0</v>
      </c>
      <c r="U135" s="177">
        <f>IF($A$1="BL",0,'Peak Hours'!U135*Peak!AA136*'Peak Hours'!$Y135)</f>
        <v>0</v>
      </c>
      <c r="V135" s="207"/>
      <c r="W135" s="203">
        <f>(IF($A$1="BL",0,Peak!C136*'Peak Hours'!V135*'Peak Hours'!$Y135))*-1</f>
        <v>-11303653.79375693</v>
      </c>
      <c r="X135" s="207"/>
      <c r="Y135" s="203">
        <f>(IF($A$1="bl",0,Peak!D136*'Peak Hours'!V135*'Peak Hours'!$Y135))*-1</f>
        <v>-212417.40821887634</v>
      </c>
      <c r="Z135" s="207"/>
      <c r="AA135" s="203">
        <f>(Peak!E136*'Peak Hours'!V135*'Peak Hours'!$Y135)*-1</f>
        <v>0</v>
      </c>
      <c r="AB135" s="204"/>
      <c r="AC135" s="203">
        <f>(Peak!F136*'Peak Hours'!V135*'Peak Hours'!$Y135)*-1</f>
        <v>0</v>
      </c>
      <c r="AD135" s="204"/>
    </row>
    <row r="136" spans="1:30" x14ac:dyDescent="0.2">
      <c r="A136" s="1">
        <f t="shared" si="1"/>
        <v>40372.542000000161</v>
      </c>
      <c r="B136" s="177">
        <f>IF($A$1="BL",0,'Peak Hours'!B136*Peak!H137*'Peak Hours'!$Y136)</f>
        <v>1294385.313943676</v>
      </c>
      <c r="C136" s="177">
        <f>IF($A$1="BL",0,'Peak Hours'!C136*Peak!I137*'Peak Hours'!$Y136)</f>
        <v>974126.84997325216</v>
      </c>
      <c r="D136" s="177">
        <f>IF($A$1="BL",0,'Peak Hours'!D136*Peak!J137*'Peak Hours'!$Y136)</f>
        <v>1713871.0811441308</v>
      </c>
      <c r="E136" s="177">
        <f>IF($A$1="BL",0,'Peak Hours'!E136*Peak!K137*'Peak Hours'!$Y136)</f>
        <v>2909674.1046236851</v>
      </c>
      <c r="F136" s="177">
        <f>IF($A$1="BL",0,'Peak Hours'!F136*Peak!L137*'Peak Hours'!$Y136)</f>
        <v>2499553.181792926</v>
      </c>
      <c r="G136" s="177">
        <f>IF($A$1="BL",0,'Peak Hours'!G136*Peak!M137*'Peak Hours'!$Y136)</f>
        <v>4323141.3594043963</v>
      </c>
      <c r="H136" s="177">
        <f>IF($A$1="BL",0,'Peak Hours'!H136*Peak!N137*'Peak Hours'!$Y136)</f>
        <v>2323098.0155065944</v>
      </c>
      <c r="I136" s="177">
        <f>IF($A$1="BL",0,'Peak Hours'!I136*Peak!O137*'Peak Hours'!$Y136)</f>
        <v>1361919.5508225602</v>
      </c>
      <c r="J136" s="177">
        <f>IF($A$1="BL",0,'Peak Hours'!J136*Peak!P137*'Peak Hours'!$Y136)</f>
        <v>1220163.5134189848</v>
      </c>
      <c r="K136" s="177">
        <f>IF($A$1="BL",0,'Peak Hours'!K136*Peak!Q137*'Peak Hours'!$Y136)</f>
        <v>1151238.1834525967</v>
      </c>
      <c r="L136" s="177">
        <f>IF($A$1="BL",0,'Peak Hours'!L136*Peak!R137*'Peak Hours'!$Y136)</f>
        <v>1093773.4198120739</v>
      </c>
      <c r="M136" s="177">
        <f>IF($A$1="BL",0,'Peak Hours'!M136*Peak!S137*'Peak Hours'!$Y136)</f>
        <v>0</v>
      </c>
      <c r="N136" s="177">
        <f>IF($A$1="BL",0,'Peak Hours'!N136*Peak!T137*'Peak Hours'!$Y136)</f>
        <v>0</v>
      </c>
      <c r="O136" s="177">
        <f>IF($A$1="BL",0,'Peak Hours'!O136*Peak!U137*'Peak Hours'!$Y136)</f>
        <v>0</v>
      </c>
      <c r="P136" s="177">
        <f>IF($A$1="BL",0,'Peak Hours'!P136*Peak!V137*'Peak Hours'!$Y136)</f>
        <v>0</v>
      </c>
      <c r="Q136" s="177">
        <f>IF($A$1="BL",0,'Peak Hours'!Q136*Peak!W137*'Peak Hours'!$Y136)</f>
        <v>0</v>
      </c>
      <c r="R136" s="177">
        <f>IF($A$1="BL",0,'Peak Hours'!R136*Peak!X137*'Peak Hours'!$Y136)</f>
        <v>0</v>
      </c>
      <c r="S136" s="177">
        <f>IF($A$1="BL",0,'Peak Hours'!S136*Peak!Y137*'Peak Hours'!$Y136)</f>
        <v>0</v>
      </c>
      <c r="T136" s="177">
        <f>IF($A$1="BL",0,'Peak Hours'!T136*Peak!Z137*'Peak Hours'!$Y136)</f>
        <v>0</v>
      </c>
      <c r="U136" s="177">
        <f>IF($A$1="BL",0,'Peak Hours'!U136*Peak!AA137*'Peak Hours'!$Y136)</f>
        <v>0</v>
      </c>
      <c r="V136" s="207"/>
      <c r="W136" s="203">
        <f>(IF($A$1="BL",0,Peak!C137*'Peak Hours'!V136*'Peak Hours'!$Y136))*-1</f>
        <v>-8048487.6696054097</v>
      </c>
      <c r="X136" s="207"/>
      <c r="Y136" s="203">
        <f>(IF($A$1="bl",0,Peak!D137*'Peak Hours'!V136*'Peak Hours'!$Y136))*-1</f>
        <v>-151979.59802326752</v>
      </c>
      <c r="Z136" s="207"/>
      <c r="AA136" s="203">
        <f>(Peak!E137*'Peak Hours'!V136*'Peak Hours'!$Y136)*-1</f>
        <v>0</v>
      </c>
      <c r="AB136" s="204"/>
      <c r="AC136" s="203">
        <f>(Peak!F137*'Peak Hours'!V136*'Peak Hours'!$Y136)*-1</f>
        <v>0</v>
      </c>
      <c r="AD136" s="204"/>
    </row>
    <row r="137" spans="1:30" x14ac:dyDescent="0.2">
      <c r="A137" s="1">
        <f t="shared" si="1"/>
        <v>40402.959000000163</v>
      </c>
      <c r="B137" s="177">
        <f>IF($A$1="BL",0,'Peak Hours'!B137*Peak!H138*'Peak Hours'!$Y137)</f>
        <v>2111429.1605568281</v>
      </c>
      <c r="C137" s="177">
        <f>IF($A$1="BL",0,'Peak Hours'!C137*Peak!I138*'Peak Hours'!$Y137)</f>
        <v>1240495.2300617455</v>
      </c>
      <c r="D137" s="177">
        <f>IF($A$1="BL",0,'Peak Hours'!D137*Peak!J138*'Peak Hours'!$Y137)</f>
        <v>1945970.7080257959</v>
      </c>
      <c r="E137" s="177">
        <f>IF($A$1="BL",0,'Peak Hours'!E137*Peak!K138*'Peak Hours'!$Y137)</f>
        <v>3200409.029633922</v>
      </c>
      <c r="F137" s="177">
        <f>IF($A$1="BL",0,'Peak Hours'!F137*Peak!L138*'Peak Hours'!$Y137)</f>
        <v>2690169.9868057221</v>
      </c>
      <c r="G137" s="177">
        <f>IF($A$1="BL",0,'Peak Hours'!G137*Peak!M138*'Peak Hours'!$Y137)</f>
        <v>4542006.6265717652</v>
      </c>
      <c r="H137" s="177">
        <f>IF($A$1="BL",0,'Peak Hours'!H137*Peak!N138*'Peak Hours'!$Y137)</f>
        <v>3372871.9858785872</v>
      </c>
      <c r="I137" s="177">
        <f>IF($A$1="BL",0,'Peak Hours'!I137*Peak!O138*'Peak Hours'!$Y137)</f>
        <v>0</v>
      </c>
      <c r="J137" s="177">
        <f>IF($A$1="BL",0,'Peak Hours'!J137*Peak!P138*'Peak Hours'!$Y137)</f>
        <v>0</v>
      </c>
      <c r="K137" s="177">
        <f>IF($A$1="BL",0,'Peak Hours'!K137*Peak!Q138*'Peak Hours'!$Y137)</f>
        <v>0</v>
      </c>
      <c r="L137" s="177">
        <f>IF($A$1="BL",0,'Peak Hours'!L137*Peak!R138*'Peak Hours'!$Y137)</f>
        <v>0</v>
      </c>
      <c r="M137" s="177">
        <f>IF($A$1="BL",0,'Peak Hours'!M137*Peak!S138*'Peak Hours'!$Y137)</f>
        <v>0</v>
      </c>
      <c r="N137" s="177">
        <f>IF($A$1="BL",0,'Peak Hours'!N137*Peak!T138*'Peak Hours'!$Y137)</f>
        <v>0</v>
      </c>
      <c r="O137" s="177">
        <f>IF($A$1="BL",0,'Peak Hours'!O137*Peak!U138*'Peak Hours'!$Y137)</f>
        <v>0</v>
      </c>
      <c r="P137" s="177">
        <f>IF($A$1="BL",0,'Peak Hours'!P137*Peak!V138*'Peak Hours'!$Y137)</f>
        <v>0</v>
      </c>
      <c r="Q137" s="177">
        <f>IF($A$1="BL",0,'Peak Hours'!Q137*Peak!W138*'Peak Hours'!$Y137)</f>
        <v>0</v>
      </c>
      <c r="R137" s="177">
        <f>IF($A$1="BL",0,'Peak Hours'!R137*Peak!X138*'Peak Hours'!$Y137)</f>
        <v>0</v>
      </c>
      <c r="S137" s="177">
        <f>IF($A$1="BL",0,'Peak Hours'!S137*Peak!Y138*'Peak Hours'!$Y137)</f>
        <v>0</v>
      </c>
      <c r="T137" s="177">
        <f>IF($A$1="BL",0,'Peak Hours'!T137*Peak!Z138*'Peak Hours'!$Y137)</f>
        <v>0</v>
      </c>
      <c r="U137" s="177">
        <f>IF($A$1="BL",0,'Peak Hours'!U137*Peak!AA138*'Peak Hours'!$Y137)</f>
        <v>0</v>
      </c>
      <c r="V137" s="207"/>
      <c r="W137" s="203">
        <f>(IF($A$1="BL",0,Peak!C138*'Peak Hours'!V137*'Peak Hours'!$Y137))*-1</f>
        <v>-3561207.3836871353</v>
      </c>
      <c r="X137" s="207"/>
      <c r="Y137" s="203">
        <f>(IF($A$1="bl",0,Peak!D138*'Peak Hours'!V137*'Peak Hours'!$Y137))*-1</f>
        <v>-71042.018764876266</v>
      </c>
      <c r="Z137" s="207"/>
      <c r="AA137" s="203">
        <f>(Peak!E138*'Peak Hours'!V137*'Peak Hours'!$Y137)*-1</f>
        <v>0</v>
      </c>
      <c r="AB137" s="204"/>
      <c r="AC137" s="203">
        <f>(Peak!F138*'Peak Hours'!V137*'Peak Hours'!$Y137)*-1</f>
        <v>0</v>
      </c>
      <c r="AD137" s="204"/>
    </row>
    <row r="138" spans="1:30" x14ac:dyDescent="0.2">
      <c r="A138" s="1">
        <f t="shared" si="1"/>
        <v>40433.376000000164</v>
      </c>
      <c r="B138" s="177">
        <f>IF($A$1="BL",0,'Peak Hours'!B138*Peak!H139*'Peak Hours'!$Y138)</f>
        <v>519061.78127377818</v>
      </c>
      <c r="C138" s="177">
        <f>IF($A$1="BL",0,'Peak Hours'!C138*Peak!I139*'Peak Hours'!$Y138)</f>
        <v>432293.57604384708</v>
      </c>
      <c r="D138" s="177">
        <f>IF($A$1="BL",0,'Peak Hours'!D138*Peak!J139*'Peak Hours'!$Y138)</f>
        <v>649005.6559589284</v>
      </c>
      <c r="E138" s="177">
        <f>IF($A$1="BL",0,'Peak Hours'!E138*Peak!K139*'Peak Hours'!$Y138)</f>
        <v>1147376.9641336219</v>
      </c>
      <c r="F138" s="177">
        <f>IF($A$1="BL",0,'Peak Hours'!F138*Peak!L139*'Peak Hours'!$Y138)</f>
        <v>1072517.9156604342</v>
      </c>
      <c r="G138" s="177">
        <f>IF($A$1="BL",0,'Peak Hours'!G138*Peak!M139*'Peak Hours'!$Y138)</f>
        <v>2090275.801876745</v>
      </c>
      <c r="H138" s="177">
        <f>IF($A$1="BL",0,'Peak Hours'!H138*Peak!N139*'Peak Hours'!$Y138)</f>
        <v>1569418.1952223673</v>
      </c>
      <c r="I138" s="177">
        <f>IF($A$1="BL",0,'Peak Hours'!I138*Peak!O139*'Peak Hours'!$Y138)</f>
        <v>1268600.690564299</v>
      </c>
      <c r="J138" s="177">
        <f>IF($A$1="BL",0,'Peak Hours'!J138*Peak!P139*'Peak Hours'!$Y138)</f>
        <v>1196361.8624301001</v>
      </c>
      <c r="K138" s="177">
        <f>IF($A$1="BL",0,'Peak Hours'!K138*Peak!Q139*'Peak Hours'!$Y138)</f>
        <v>1056204.5190582131</v>
      </c>
      <c r="L138" s="177">
        <f>IF($A$1="BL",0,'Peak Hours'!L138*Peak!R139*'Peak Hours'!$Y138)</f>
        <v>1039490.962109542</v>
      </c>
      <c r="M138" s="177">
        <f>IF($A$1="BL",0,'Peak Hours'!M138*Peak!S139*'Peak Hours'!$Y138)</f>
        <v>1031337.3661097967</v>
      </c>
      <c r="N138" s="177">
        <f>IF($A$1="BL",0,'Peak Hours'!N138*Peak!T139*'Peak Hours'!$Y138)</f>
        <v>0</v>
      </c>
      <c r="O138" s="177">
        <f>IF($A$1="BL",0,'Peak Hours'!O138*Peak!U139*'Peak Hours'!$Y138)</f>
        <v>0</v>
      </c>
      <c r="P138" s="177">
        <f>IF($A$1="BL",0,'Peak Hours'!P138*Peak!V139*'Peak Hours'!$Y138)</f>
        <v>0</v>
      </c>
      <c r="Q138" s="177">
        <f>IF($A$1="BL",0,'Peak Hours'!Q138*Peak!W139*'Peak Hours'!$Y138)</f>
        <v>0</v>
      </c>
      <c r="R138" s="177">
        <f>IF($A$1="BL",0,'Peak Hours'!R138*Peak!X139*'Peak Hours'!$Y138)</f>
        <v>0</v>
      </c>
      <c r="S138" s="177">
        <f>IF($A$1="BL",0,'Peak Hours'!S138*Peak!Y139*'Peak Hours'!$Y138)</f>
        <v>0</v>
      </c>
      <c r="T138" s="177">
        <f>IF($A$1="BL",0,'Peak Hours'!T138*Peak!Z139*'Peak Hours'!$Y138)</f>
        <v>0</v>
      </c>
      <c r="U138" s="177">
        <f>IF($A$1="BL",0,'Peak Hours'!U138*Peak!AA139*'Peak Hours'!$Y138)</f>
        <v>0</v>
      </c>
      <c r="V138" s="207"/>
      <c r="W138" s="203">
        <f>(IF($A$1="BL",0,Peak!C139*'Peak Hours'!V138*'Peak Hours'!$Y138))*-1</f>
        <v>-8475854.9796045627</v>
      </c>
      <c r="X138" s="207"/>
      <c r="Y138" s="203">
        <f>(IF($A$1="bl",0,Peak!D139*'Peak Hours'!V138*'Peak Hours'!$Y138))*-1</f>
        <v>-169934.40635760457</v>
      </c>
      <c r="Z138" s="207"/>
      <c r="AA138" s="203">
        <f>(Peak!E139*'Peak Hours'!V138*'Peak Hours'!$Y138)*-1</f>
        <v>0</v>
      </c>
      <c r="AB138" s="204"/>
      <c r="AC138" s="203">
        <f>(Peak!F139*'Peak Hours'!V138*'Peak Hours'!$Y138)*-1</f>
        <v>0</v>
      </c>
      <c r="AD138" s="204"/>
    </row>
    <row r="139" spans="1:30" x14ac:dyDescent="0.2">
      <c r="A139" s="1">
        <f t="shared" si="1"/>
        <v>40463.793000000165</v>
      </c>
      <c r="B139" s="177">
        <f>IF($A$1="BL",0,'Peak Hours'!B139*Peak!H140*'Peak Hours'!$Y139)</f>
        <v>267308.61038757791</v>
      </c>
      <c r="C139" s="177">
        <f>IF($A$1="BL",0,'Peak Hours'!C139*Peak!I140*'Peak Hours'!$Y139)</f>
        <v>249739.94233412846</v>
      </c>
      <c r="D139" s="177">
        <f>IF($A$1="BL",0,'Peak Hours'!D139*Peak!J140*'Peak Hours'!$Y139)</f>
        <v>489622.24897193973</v>
      </c>
      <c r="E139" s="177">
        <f>IF($A$1="BL",0,'Peak Hours'!E139*Peak!K140*'Peak Hours'!$Y139)</f>
        <v>924771.86369081843</v>
      </c>
      <c r="F139" s="177">
        <f>IF($A$1="BL",0,'Peak Hours'!F139*Peak!L140*'Peak Hours'!$Y139)</f>
        <v>886808.07502211828</v>
      </c>
      <c r="G139" s="177">
        <f>IF($A$1="BL",0,'Peak Hours'!G139*Peak!M140*'Peak Hours'!$Y139)</f>
        <v>1764349.9191754214</v>
      </c>
      <c r="H139" s="177">
        <f>IF($A$1="BL",0,'Peak Hours'!H139*Peak!N140*'Peak Hours'!$Y139)</f>
        <v>1678975.748035558</v>
      </c>
      <c r="I139" s="177">
        <f>IF($A$1="BL",0,'Peak Hours'!I139*Peak!O140*'Peak Hours'!$Y139)</f>
        <v>1257780.9983188268</v>
      </c>
      <c r="J139" s="177">
        <f>IF($A$1="BL",0,'Peak Hours'!J139*Peak!P140*'Peak Hours'!$Y139)</f>
        <v>1178903.7233623138</v>
      </c>
      <c r="K139" s="177">
        <f>IF($A$1="BL",0,'Peak Hours'!K139*Peak!Q140*'Peak Hours'!$Y139)</f>
        <v>0</v>
      </c>
      <c r="L139" s="177">
        <f>IF($A$1="BL",0,'Peak Hours'!L139*Peak!R140*'Peak Hours'!$Y139)</f>
        <v>0</v>
      </c>
      <c r="M139" s="177">
        <f>IF($A$1="BL",0,'Peak Hours'!M139*Peak!S140*'Peak Hours'!$Y139)</f>
        <v>0</v>
      </c>
      <c r="N139" s="177">
        <f>IF($A$1="BL",0,'Peak Hours'!N139*Peak!T140*'Peak Hours'!$Y139)</f>
        <v>0</v>
      </c>
      <c r="O139" s="177">
        <f>IF($A$1="BL",0,'Peak Hours'!O139*Peak!U140*'Peak Hours'!$Y139)</f>
        <v>0</v>
      </c>
      <c r="P139" s="177">
        <f>IF($A$1="BL",0,'Peak Hours'!P139*Peak!V140*'Peak Hours'!$Y139)</f>
        <v>0</v>
      </c>
      <c r="Q139" s="177">
        <f>IF($A$1="BL",0,'Peak Hours'!Q139*Peak!W140*'Peak Hours'!$Y139)</f>
        <v>0</v>
      </c>
      <c r="R139" s="177">
        <f>IF($A$1="BL",0,'Peak Hours'!R139*Peak!X140*'Peak Hours'!$Y139)</f>
        <v>0</v>
      </c>
      <c r="S139" s="177">
        <f>IF($A$1="BL",0,'Peak Hours'!S139*Peak!Y140*'Peak Hours'!$Y139)</f>
        <v>0</v>
      </c>
      <c r="T139" s="177">
        <f>IF($A$1="BL",0,'Peak Hours'!T139*Peak!Z140*'Peak Hours'!$Y139)</f>
        <v>0</v>
      </c>
      <c r="U139" s="177">
        <f>IF($A$1="BL",0,'Peak Hours'!U139*Peak!AA140*'Peak Hours'!$Y139)</f>
        <v>0</v>
      </c>
      <c r="V139" s="207"/>
      <c r="W139" s="203">
        <f>(IF($A$1="BL",0,Peak!C140*'Peak Hours'!V139*'Peak Hours'!$Y139))*-1</f>
        <v>-6073962.6060943305</v>
      </c>
      <c r="X139" s="207"/>
      <c r="Y139" s="203">
        <f>(IF($A$1="bl",0,Peak!D140*'Peak Hours'!V139*'Peak Hours'!$Y139))*-1</f>
        <v>-110140.81965001214</v>
      </c>
      <c r="Z139" s="207"/>
      <c r="AA139" s="203">
        <f>(Peak!E140*'Peak Hours'!V139*'Peak Hours'!$Y139)*-1</f>
        <v>0</v>
      </c>
      <c r="AB139" s="204"/>
      <c r="AC139" s="203">
        <f>(Peak!F140*'Peak Hours'!V139*'Peak Hours'!$Y139)*-1</f>
        <v>0</v>
      </c>
      <c r="AD139" s="204"/>
    </row>
    <row r="140" spans="1:30" x14ac:dyDescent="0.2">
      <c r="A140" s="1">
        <f t="shared" ref="A140:A203" si="2">A139+30.417</f>
        <v>40494.210000000166</v>
      </c>
      <c r="B140" s="177">
        <f>IF($A$1="BL",0,'Peak Hours'!B140*Peak!H141*'Peak Hours'!$Y140)</f>
        <v>396966.42105930689</v>
      </c>
      <c r="C140" s="177">
        <f>IF($A$1="BL",0,'Peak Hours'!C140*Peak!I141*'Peak Hours'!$Y140)</f>
        <v>396961.626952953</v>
      </c>
      <c r="D140" s="177">
        <f>IF($A$1="BL",0,'Peak Hours'!D140*Peak!J141*'Peak Hours'!$Y140)</f>
        <v>790178.0117623515</v>
      </c>
      <c r="E140" s="177">
        <f>IF($A$1="BL",0,'Peak Hours'!E140*Peak!K141*'Peak Hours'!$Y140)</f>
        <v>1447784.0225917848</v>
      </c>
      <c r="F140" s="177">
        <f>IF($A$1="BL",0,'Peak Hours'!F140*Peak!L141*'Peak Hours'!$Y140)</f>
        <v>1099675.0115349768</v>
      </c>
      <c r="G140" s="177">
        <f>IF($A$1="BL",0,'Peak Hours'!G140*Peak!M141*'Peak Hours'!$Y140)</f>
        <v>1920954.0745113553</v>
      </c>
      <c r="H140" s="177">
        <f>IF($A$1="BL",0,'Peak Hours'!H140*Peak!N141*'Peak Hours'!$Y140)</f>
        <v>1756212.941665933</v>
      </c>
      <c r="I140" s="177">
        <f>IF($A$1="BL",0,'Peak Hours'!I140*Peak!O141*'Peak Hours'!$Y140)</f>
        <v>1489448.0982388258</v>
      </c>
      <c r="J140" s="177">
        <f>IF($A$1="BL",0,'Peak Hours'!J140*Peak!P141*'Peak Hours'!$Y140)</f>
        <v>1476618.8523465553</v>
      </c>
      <c r="K140" s="177">
        <f>IF($A$1="BL",0,'Peak Hours'!K140*Peak!Q141*'Peak Hours'!$Y140)</f>
        <v>1476614.9066156656</v>
      </c>
      <c r="L140" s="177">
        <f>IF($A$1="BL",0,'Peak Hours'!L140*Peak!R141*'Peak Hours'!$Y140)</f>
        <v>1476612.0034075633</v>
      </c>
      <c r="M140" s="177">
        <f>IF($A$1="BL",0,'Peak Hours'!M140*Peak!S141*'Peak Hours'!$Y140)</f>
        <v>1476612.0034075633</v>
      </c>
      <c r="N140" s="177">
        <f>IF($A$1="BL",0,'Peak Hours'!N140*Peak!T141*'Peak Hours'!$Y140)</f>
        <v>0</v>
      </c>
      <c r="O140" s="177">
        <f>IF($A$1="BL",0,'Peak Hours'!O140*Peak!U141*'Peak Hours'!$Y140)</f>
        <v>0</v>
      </c>
      <c r="P140" s="177">
        <f>IF($A$1="BL",0,'Peak Hours'!P140*Peak!V141*'Peak Hours'!$Y140)</f>
        <v>0</v>
      </c>
      <c r="Q140" s="177">
        <f>IF($A$1="BL",0,'Peak Hours'!Q140*Peak!W141*'Peak Hours'!$Y140)</f>
        <v>0</v>
      </c>
      <c r="R140" s="177">
        <f>IF($A$1="BL",0,'Peak Hours'!R140*Peak!X141*'Peak Hours'!$Y140)</f>
        <v>0</v>
      </c>
      <c r="S140" s="177">
        <f>IF($A$1="BL",0,'Peak Hours'!S140*Peak!Y141*'Peak Hours'!$Y140)</f>
        <v>0</v>
      </c>
      <c r="T140" s="177">
        <f>IF($A$1="BL",0,'Peak Hours'!T140*Peak!Z141*'Peak Hours'!$Y140)</f>
        <v>0</v>
      </c>
      <c r="U140" s="177">
        <f>IF($A$1="BL",0,'Peak Hours'!U140*Peak!AA141*'Peak Hours'!$Y140)</f>
        <v>0</v>
      </c>
      <c r="V140" s="207"/>
      <c r="W140" s="203">
        <f>(IF($A$1="BL",0,Peak!C141*'Peak Hours'!V140*'Peak Hours'!$Y140))*-1</f>
        <v>-10279228.379520426</v>
      </c>
      <c r="X140" s="207"/>
      <c r="Y140" s="203">
        <f>(IF($A$1="bl",0,Peak!D141*'Peak Hours'!V140*'Peak Hours'!$Y140))*-1</f>
        <v>-170501.32641881428</v>
      </c>
      <c r="Z140" s="207"/>
      <c r="AA140" s="203">
        <f>(Peak!E141*'Peak Hours'!V140*'Peak Hours'!$Y140)*-1</f>
        <v>0</v>
      </c>
      <c r="AB140" s="204"/>
      <c r="AC140" s="203">
        <f>(Peak!F141*'Peak Hours'!V140*'Peak Hours'!$Y140)*-1</f>
        <v>0</v>
      </c>
      <c r="AD140" s="204"/>
    </row>
    <row r="141" spans="1:30" x14ac:dyDescent="0.2">
      <c r="A141" s="1">
        <f t="shared" si="2"/>
        <v>40524.627000000168</v>
      </c>
      <c r="B141" s="177">
        <f>IF($A$1="BL",0,'Peak Hours'!B141*Peak!H142*'Peak Hours'!$Y141)</f>
        <v>442278.78676555183</v>
      </c>
      <c r="C141" s="177">
        <f>IF($A$1="BL",0,'Peak Hours'!C141*Peak!I142*'Peak Hours'!$Y141)</f>
        <v>378359.00306327187</v>
      </c>
      <c r="D141" s="177">
        <f>IF($A$1="BL",0,'Peak Hours'!D141*Peak!J142*'Peak Hours'!$Y141)</f>
        <v>647791.06998663512</v>
      </c>
      <c r="E141" s="177">
        <f>IF($A$1="BL",0,'Peak Hours'!E141*Peak!K142*'Peak Hours'!$Y141)</f>
        <v>1202841.7690422444</v>
      </c>
      <c r="F141" s="177">
        <f>IF($A$1="BL",0,'Peak Hours'!F141*Peak!L142*'Peak Hours'!$Y141)</f>
        <v>1131298.0837533679</v>
      </c>
      <c r="G141" s="177">
        <f>IF($A$1="BL",0,'Peak Hours'!G141*Peak!M142*'Peak Hours'!$Y141)</f>
        <v>2157847.0628538374</v>
      </c>
      <c r="H141" s="177">
        <f>IF($A$1="BL",0,'Peak Hours'!H141*Peak!N142*'Peak Hours'!$Y141)</f>
        <v>2142256.2508131298</v>
      </c>
      <c r="I141" s="177">
        <f>IF($A$1="BL",0,'Peak Hours'!I141*Peak!O142*'Peak Hours'!$Y141)</f>
        <v>1976258.3847719594</v>
      </c>
      <c r="J141" s="177">
        <f>IF($A$1="BL",0,'Peak Hours'!J141*Peak!P142*'Peak Hours'!$Y141)</f>
        <v>1516266.6808435682</v>
      </c>
      <c r="K141" s="177">
        <f>IF($A$1="BL",0,'Peak Hours'!K141*Peak!Q142*'Peak Hours'!$Y141)</f>
        <v>1357850.1457566996</v>
      </c>
      <c r="L141" s="177">
        <f>IF($A$1="BL",0,'Peak Hours'!L141*Peak!R142*'Peak Hours'!$Y141)</f>
        <v>0</v>
      </c>
      <c r="M141" s="177">
        <f>IF($A$1="BL",0,'Peak Hours'!M141*Peak!S142*'Peak Hours'!$Y141)</f>
        <v>0</v>
      </c>
      <c r="N141" s="177">
        <f>IF($A$1="BL",0,'Peak Hours'!N141*Peak!T142*'Peak Hours'!$Y141)</f>
        <v>0</v>
      </c>
      <c r="O141" s="177">
        <f>IF($A$1="BL",0,'Peak Hours'!O141*Peak!U142*'Peak Hours'!$Y141)</f>
        <v>0</v>
      </c>
      <c r="P141" s="177">
        <f>IF($A$1="BL",0,'Peak Hours'!P141*Peak!V142*'Peak Hours'!$Y141)</f>
        <v>0</v>
      </c>
      <c r="Q141" s="177">
        <f>IF($A$1="BL",0,'Peak Hours'!Q141*Peak!W142*'Peak Hours'!$Y141)</f>
        <v>0</v>
      </c>
      <c r="R141" s="177">
        <f>IF($A$1="BL",0,'Peak Hours'!R141*Peak!X142*'Peak Hours'!$Y141)</f>
        <v>0</v>
      </c>
      <c r="S141" s="177">
        <f>IF($A$1="BL",0,'Peak Hours'!S141*Peak!Y142*'Peak Hours'!$Y141)</f>
        <v>0</v>
      </c>
      <c r="T141" s="177">
        <f>IF($A$1="BL",0,'Peak Hours'!T141*Peak!Z142*'Peak Hours'!$Y141)</f>
        <v>0</v>
      </c>
      <c r="U141" s="177">
        <f>IF($A$1="BL",0,'Peak Hours'!U141*Peak!AA142*'Peak Hours'!$Y141)</f>
        <v>0</v>
      </c>
      <c r="V141" s="208">
        <f>SUM(B130:U141)</f>
        <v>145972996.68676126</v>
      </c>
      <c r="W141" s="203">
        <f>(IF($A$1="BL",0,Peak!C142*'Peak Hours'!V141*'Peak Hours'!$Y141))*-1</f>
        <v>-8276228.3109688461</v>
      </c>
      <c r="X141" s="208">
        <f>SUM(W130:W141)</f>
        <v>-82359172.709541544</v>
      </c>
      <c r="Y141" s="203">
        <f>(IF($A$1="bl",0,Peak!D142*'Peak Hours'!V141*'Peak Hours'!$Y141))*-1</f>
        <v>-127064.36666816354</v>
      </c>
      <c r="Z141" s="208">
        <f>SUM(Y130:Y141)</f>
        <v>-1472182.3608345997</v>
      </c>
      <c r="AA141" s="203">
        <f>(Peak!E142*'Peak Hours'!V141*'Peak Hours'!$Y141)*-1</f>
        <v>0</v>
      </c>
      <c r="AB141" s="205">
        <f>SUM(AA130:AA141)</f>
        <v>0</v>
      </c>
      <c r="AC141" s="203">
        <f>(Peak!F142*'Peak Hours'!V141*'Peak Hours'!$Y141)*-1</f>
        <v>0</v>
      </c>
      <c r="AD141" s="205">
        <f>SUM(AC130:AC141)</f>
        <v>0</v>
      </c>
    </row>
    <row r="142" spans="1:30" x14ac:dyDescent="0.2">
      <c r="A142" s="1">
        <f t="shared" si="2"/>
        <v>40555.044000000169</v>
      </c>
      <c r="B142" s="177">
        <f>IF($A$1="BL",0,'Peak Hours'!B142*Peak!H143*'Peak Hours'!$Y142)</f>
        <v>535097.12723093072</v>
      </c>
      <c r="C142" s="177">
        <f>IF($A$1="BL",0,'Peak Hours'!C142*Peak!I143*'Peak Hours'!$Y142)</f>
        <v>514552.817611837</v>
      </c>
      <c r="D142" s="177">
        <f>IF($A$1="BL",0,'Peak Hours'!D142*Peak!J143*'Peak Hours'!$Y142)</f>
        <v>998272.52208830649</v>
      </c>
      <c r="E142" s="177">
        <f>IF($A$1="BL",0,'Peak Hours'!E142*Peak!K143*'Peak Hours'!$Y142)</f>
        <v>1625857.4998626253</v>
      </c>
      <c r="F142" s="177">
        <f>IF($A$1="BL",0,'Peak Hours'!F142*Peak!L143*'Peak Hours'!$Y142)</f>
        <v>1067213.253865489</v>
      </c>
      <c r="G142" s="177">
        <f>IF($A$1="BL",0,'Peak Hours'!G142*Peak!M143*'Peak Hours'!$Y142)</f>
        <v>1979775.9730240991</v>
      </c>
      <c r="H142" s="177">
        <f>IF($A$1="BL",0,'Peak Hours'!H142*Peak!N143*'Peak Hours'!$Y142)</f>
        <v>1819839.9713786913</v>
      </c>
      <c r="I142" s="177">
        <f>IF($A$1="BL",0,'Peak Hours'!I142*Peak!O143*'Peak Hours'!$Y142)</f>
        <v>1804065.1830223037</v>
      </c>
      <c r="J142" s="177">
        <f>IF($A$1="BL",0,'Peak Hours'!J142*Peak!P143*'Peak Hours'!$Y142)</f>
        <v>1711364.572585823</v>
      </c>
      <c r="K142" s="177">
        <f>IF($A$1="BL",0,'Peak Hours'!K142*Peak!Q143*'Peak Hours'!$Y142)</f>
        <v>1315180.5015182572</v>
      </c>
      <c r="L142" s="177">
        <f>IF($A$1="BL",0,'Peak Hours'!L142*Peak!R143*'Peak Hours'!$Y142)</f>
        <v>0</v>
      </c>
      <c r="M142" s="177">
        <f>IF($A$1="BL",0,'Peak Hours'!M142*Peak!S143*'Peak Hours'!$Y142)</f>
        <v>0</v>
      </c>
      <c r="N142" s="177">
        <f>IF($A$1="BL",0,'Peak Hours'!N142*Peak!T143*'Peak Hours'!$Y142)</f>
        <v>0</v>
      </c>
      <c r="O142" s="177">
        <f>IF($A$1="BL",0,'Peak Hours'!O142*Peak!U143*'Peak Hours'!$Y142)</f>
        <v>0</v>
      </c>
      <c r="P142" s="177">
        <f>IF($A$1="BL",0,'Peak Hours'!P142*Peak!V143*'Peak Hours'!$Y142)</f>
        <v>0</v>
      </c>
      <c r="Q142" s="177">
        <f>IF($A$1="BL",0,'Peak Hours'!Q142*Peak!W143*'Peak Hours'!$Y142)</f>
        <v>0</v>
      </c>
      <c r="R142" s="177">
        <f>IF($A$1="BL",0,'Peak Hours'!R142*Peak!X143*'Peak Hours'!$Y142)</f>
        <v>0</v>
      </c>
      <c r="S142" s="177">
        <f>IF($A$1="BL",0,'Peak Hours'!S142*Peak!Y143*'Peak Hours'!$Y142)</f>
        <v>0</v>
      </c>
      <c r="T142" s="177">
        <f>IF($A$1="BL",0,'Peak Hours'!T142*Peak!Z143*'Peak Hours'!$Y142)</f>
        <v>0</v>
      </c>
      <c r="U142" s="177">
        <f>IF($A$1="BL",0,'Peak Hours'!U142*Peak!AA143*'Peak Hours'!$Y142)</f>
        <v>0</v>
      </c>
      <c r="V142" s="207"/>
      <c r="W142" s="203">
        <f>(IF($A$1="BL",0,Peak!C143*'Peak Hours'!V142*'Peak Hours'!$Y142))*-1</f>
        <v>-8130469.7802440347</v>
      </c>
      <c r="X142" s="207"/>
      <c r="Y142" s="203">
        <f>(IF($A$1="bl",0,Peak!D143*'Peak Hours'!V142*'Peak Hours'!$Y142))*-1</f>
        <v>-127276.14061261048</v>
      </c>
      <c r="Z142" s="207"/>
      <c r="AA142" s="203">
        <f>(Peak!E143*'Peak Hours'!V142*'Peak Hours'!$Y142)*-1</f>
        <v>0</v>
      </c>
      <c r="AB142" s="204"/>
      <c r="AC142" s="203">
        <f>(Peak!F143*'Peak Hours'!V142*'Peak Hours'!$Y142)*-1</f>
        <v>0</v>
      </c>
      <c r="AD142" s="204"/>
    </row>
    <row r="143" spans="1:30" x14ac:dyDescent="0.2">
      <c r="A143" s="1">
        <f t="shared" si="2"/>
        <v>40585.46100000017</v>
      </c>
      <c r="B143" s="177">
        <f>IF($A$1="BL",0,'Peak Hours'!B143*Peak!H144*'Peak Hours'!$Y143)</f>
        <v>469640.31085468258</v>
      </c>
      <c r="C143" s="177">
        <f>IF($A$1="BL",0,'Peak Hours'!C143*Peak!I144*'Peak Hours'!$Y143)</f>
        <v>373115.46400252538</v>
      </c>
      <c r="D143" s="177">
        <f>IF($A$1="BL",0,'Peak Hours'!D143*Peak!J144*'Peak Hours'!$Y143)</f>
        <v>631297.78032362263</v>
      </c>
      <c r="E143" s="177">
        <f>IF($A$1="BL",0,'Peak Hours'!E143*Peak!K144*'Peak Hours'!$Y143)</f>
        <v>1176790.8198572006</v>
      </c>
      <c r="F143" s="177">
        <f>IF($A$1="BL",0,'Peak Hours'!F143*Peak!L144*'Peak Hours'!$Y143)</f>
        <v>1111171.3944005838</v>
      </c>
      <c r="G143" s="177">
        <f>IF($A$1="BL",0,'Peak Hours'!G143*Peak!M144*'Peak Hours'!$Y143)</f>
        <v>2057190.2075059849</v>
      </c>
      <c r="H143" s="177">
        <f>IF($A$1="BL",0,'Peak Hours'!H143*Peak!N144*'Peak Hours'!$Y143)</f>
        <v>2024804.223109399</v>
      </c>
      <c r="I143" s="177">
        <f>IF($A$1="BL",0,'Peak Hours'!I143*Peak!O144*'Peak Hours'!$Y143)</f>
        <v>1773328.3089925449</v>
      </c>
      <c r="J143" s="177">
        <f>IF($A$1="BL",0,'Peak Hours'!J143*Peak!P144*'Peak Hours'!$Y143)</f>
        <v>1410062.9615661234</v>
      </c>
      <c r="K143" s="177">
        <f>IF($A$1="BL",0,'Peak Hours'!K143*Peak!Q144*'Peak Hours'!$Y143)</f>
        <v>1297799.704268045</v>
      </c>
      <c r="L143" s="177">
        <f>IF($A$1="BL",0,'Peak Hours'!L143*Peak!R144*'Peak Hours'!$Y143)</f>
        <v>1170930.6407883123</v>
      </c>
      <c r="M143" s="177">
        <f>IF($A$1="BL",0,'Peak Hours'!M143*Peak!S144*'Peak Hours'!$Y143)</f>
        <v>1148078.1687349083</v>
      </c>
      <c r="N143" s="177">
        <f>IF($A$1="BL",0,'Peak Hours'!N143*Peak!T144*'Peak Hours'!$Y143)</f>
        <v>0</v>
      </c>
      <c r="O143" s="177">
        <f>IF($A$1="BL",0,'Peak Hours'!O143*Peak!U144*'Peak Hours'!$Y143)</f>
        <v>0</v>
      </c>
      <c r="P143" s="177">
        <f>IF($A$1="BL",0,'Peak Hours'!P143*Peak!V144*'Peak Hours'!$Y143)</f>
        <v>0</v>
      </c>
      <c r="Q143" s="177">
        <f>IF($A$1="BL",0,'Peak Hours'!Q143*Peak!W144*'Peak Hours'!$Y143)</f>
        <v>0</v>
      </c>
      <c r="R143" s="177">
        <f>IF($A$1="BL",0,'Peak Hours'!R143*Peak!X144*'Peak Hours'!$Y143)</f>
        <v>0</v>
      </c>
      <c r="S143" s="177">
        <f>IF($A$1="BL",0,'Peak Hours'!S143*Peak!Y144*'Peak Hours'!$Y143)</f>
        <v>0</v>
      </c>
      <c r="T143" s="177">
        <f>IF($A$1="BL",0,'Peak Hours'!T143*Peak!Z144*'Peak Hours'!$Y143)</f>
        <v>0</v>
      </c>
      <c r="U143" s="177">
        <f>IF($A$1="BL",0,'Peak Hours'!U143*Peak!AA144*'Peak Hours'!$Y143)</f>
        <v>0</v>
      </c>
      <c r="V143" s="207"/>
      <c r="W143" s="203">
        <f>(IF($A$1="BL",0,Peak!C144*'Peak Hours'!V143*'Peak Hours'!$Y143))*-1</f>
        <v>-9529349.707655089</v>
      </c>
      <c r="X143" s="207"/>
      <c r="Y143" s="203">
        <f>(IF($A$1="bl",0,Peak!D144*'Peak Hours'!V143*'Peak Hours'!$Y143))*-1</f>
        <v>-166715.42674859503</v>
      </c>
      <c r="Z143" s="207"/>
      <c r="AA143" s="203">
        <f>(Peak!E144*'Peak Hours'!V143*'Peak Hours'!$Y143)*-1</f>
        <v>0</v>
      </c>
      <c r="AB143" s="204"/>
      <c r="AC143" s="203">
        <f>(Peak!F144*'Peak Hours'!V143*'Peak Hours'!$Y143)*-1</f>
        <v>0</v>
      </c>
      <c r="AD143" s="204"/>
    </row>
    <row r="144" spans="1:30" x14ac:dyDescent="0.2">
      <c r="A144" s="1">
        <f t="shared" si="2"/>
        <v>40615.878000000172</v>
      </c>
      <c r="B144" s="177">
        <f>IF($A$1="BL",0,'Peak Hours'!B144*Peak!H145*'Peak Hours'!$Y144)</f>
        <v>452418.15657488094</v>
      </c>
      <c r="C144" s="177">
        <f>IF($A$1="BL",0,'Peak Hours'!C144*Peak!I145*'Peak Hours'!$Y144)</f>
        <v>371647.07183999091</v>
      </c>
      <c r="D144" s="177">
        <f>IF($A$1="BL",0,'Peak Hours'!D144*Peak!J145*'Peak Hours'!$Y144)</f>
        <v>570715.93110655691</v>
      </c>
      <c r="E144" s="177">
        <f>IF($A$1="BL",0,'Peak Hours'!E144*Peak!K145*'Peak Hours'!$Y144)</f>
        <v>1016975.2025356427</v>
      </c>
      <c r="F144" s="177">
        <f>IF($A$1="BL",0,'Peak Hours'!F144*Peak!L145*'Peak Hours'!$Y144)</f>
        <v>958739.27455487614</v>
      </c>
      <c r="G144" s="177">
        <f>IF($A$1="BL",0,'Peak Hours'!G144*Peak!M145*'Peak Hours'!$Y144)</f>
        <v>1799522.1089455339</v>
      </c>
      <c r="H144" s="177">
        <f>IF($A$1="BL",0,'Peak Hours'!H144*Peak!N145*'Peak Hours'!$Y144)</f>
        <v>1789669.9302478824</v>
      </c>
      <c r="I144" s="177">
        <f>IF($A$1="BL",0,'Peak Hours'!I144*Peak!O145*'Peak Hours'!$Y144)</f>
        <v>1681302.3743777459</v>
      </c>
      <c r="J144" s="177">
        <f>IF($A$1="BL",0,'Peak Hours'!J144*Peak!P145*'Peak Hours'!$Y144)</f>
        <v>1342124.5502821153</v>
      </c>
      <c r="K144" s="177">
        <f>IF($A$1="BL",0,'Peak Hours'!K144*Peak!Q145*'Peak Hours'!$Y144)</f>
        <v>1252179.3008687859</v>
      </c>
      <c r="L144" s="177">
        <f>IF($A$1="BL",0,'Peak Hours'!L144*Peak!R145*'Peak Hours'!$Y144)</f>
        <v>1189645.4619727705</v>
      </c>
      <c r="M144" s="177">
        <f>IF($A$1="BL",0,'Peak Hours'!M144*Peak!S145*'Peak Hours'!$Y144)</f>
        <v>0</v>
      </c>
      <c r="N144" s="177">
        <f>IF($A$1="BL",0,'Peak Hours'!N144*Peak!T145*'Peak Hours'!$Y144)</f>
        <v>0</v>
      </c>
      <c r="O144" s="177">
        <f>IF($A$1="BL",0,'Peak Hours'!O144*Peak!U145*'Peak Hours'!$Y144)</f>
        <v>0</v>
      </c>
      <c r="P144" s="177">
        <f>IF($A$1="BL",0,'Peak Hours'!P144*Peak!V145*'Peak Hours'!$Y144)</f>
        <v>0</v>
      </c>
      <c r="Q144" s="177">
        <f>IF($A$1="BL",0,'Peak Hours'!Q144*Peak!W145*'Peak Hours'!$Y144)</f>
        <v>0</v>
      </c>
      <c r="R144" s="177">
        <f>IF($A$1="BL",0,'Peak Hours'!R144*Peak!X145*'Peak Hours'!$Y144)</f>
        <v>0</v>
      </c>
      <c r="S144" s="177">
        <f>IF($A$1="BL",0,'Peak Hours'!S144*Peak!Y145*'Peak Hours'!$Y144)</f>
        <v>0</v>
      </c>
      <c r="T144" s="177">
        <f>IF($A$1="BL",0,'Peak Hours'!T144*Peak!Z145*'Peak Hours'!$Y144)</f>
        <v>0</v>
      </c>
      <c r="U144" s="177">
        <f>IF($A$1="BL",0,'Peak Hours'!U144*Peak!AA145*'Peak Hours'!$Y144)</f>
        <v>0</v>
      </c>
      <c r="V144" s="207"/>
      <c r="W144" s="203">
        <f>(IF($A$1="BL",0,Peak!C145*'Peak Hours'!V144*'Peak Hours'!$Y144))*-1</f>
        <v>-8496938.4006338883</v>
      </c>
      <c r="X144" s="207"/>
      <c r="Y144" s="203">
        <f>(IF($A$1="bl",0,Peak!D145*'Peak Hours'!V144*'Peak Hours'!$Y144))*-1</f>
        <v>-151447.80597864199</v>
      </c>
      <c r="Z144" s="207"/>
      <c r="AA144" s="203">
        <f>(Peak!E145*'Peak Hours'!V144*'Peak Hours'!$Y144)*-1</f>
        <v>0</v>
      </c>
      <c r="AB144" s="204"/>
      <c r="AC144" s="203">
        <f>(Peak!F145*'Peak Hours'!V144*'Peak Hours'!$Y144)*-1</f>
        <v>0</v>
      </c>
      <c r="AD144" s="204"/>
    </row>
    <row r="145" spans="1:30" x14ac:dyDescent="0.2">
      <c r="A145" s="1">
        <f t="shared" si="2"/>
        <v>40646.295000000173</v>
      </c>
      <c r="B145" s="177">
        <f>IF($A$1="BL",0,'Peak Hours'!B145*Peak!H146*'Peak Hours'!$Y145)</f>
        <v>269496.94068240788</v>
      </c>
      <c r="C145" s="177">
        <f>IF($A$1="BL",0,'Peak Hours'!C145*Peak!I146*'Peak Hours'!$Y145)</f>
        <v>259721.30804609557</v>
      </c>
      <c r="D145" s="177">
        <f>IF($A$1="BL",0,'Peak Hours'!D145*Peak!J146*'Peak Hours'!$Y145)</f>
        <v>487737.38267755427</v>
      </c>
      <c r="E145" s="177">
        <f>IF($A$1="BL",0,'Peak Hours'!E145*Peak!K146*'Peak Hours'!$Y145)</f>
        <v>942061.49072380492</v>
      </c>
      <c r="F145" s="177">
        <f>IF($A$1="BL",0,'Peak Hours'!F145*Peak!L146*'Peak Hours'!$Y145)</f>
        <v>939687.18227828376</v>
      </c>
      <c r="G145" s="177">
        <f>IF($A$1="BL",0,'Peak Hours'!G145*Peak!M146*'Peak Hours'!$Y145)</f>
        <v>1647124.4714502546</v>
      </c>
      <c r="H145" s="177">
        <f>IF($A$1="BL",0,'Peak Hours'!H145*Peak!N146*'Peak Hours'!$Y145)</f>
        <v>1310781.2807722308</v>
      </c>
      <c r="I145" s="177">
        <f>IF($A$1="BL",0,'Peak Hours'!I145*Peak!O146*'Peak Hours'!$Y145)</f>
        <v>1141596.3270083189</v>
      </c>
      <c r="J145" s="177">
        <f>IF($A$1="BL",0,'Peak Hours'!J145*Peak!P146*'Peak Hours'!$Y145)</f>
        <v>0</v>
      </c>
      <c r="K145" s="177">
        <f>IF($A$1="BL",0,'Peak Hours'!K145*Peak!Q146*'Peak Hours'!$Y145)</f>
        <v>0</v>
      </c>
      <c r="L145" s="177">
        <f>IF($A$1="BL",0,'Peak Hours'!L145*Peak!R146*'Peak Hours'!$Y145)</f>
        <v>0</v>
      </c>
      <c r="M145" s="177">
        <f>IF($A$1="BL",0,'Peak Hours'!M145*Peak!S146*'Peak Hours'!$Y145)</f>
        <v>0</v>
      </c>
      <c r="N145" s="177">
        <f>IF($A$1="BL",0,'Peak Hours'!N145*Peak!T146*'Peak Hours'!$Y145)</f>
        <v>0</v>
      </c>
      <c r="O145" s="177">
        <f>IF($A$1="BL",0,'Peak Hours'!O145*Peak!U146*'Peak Hours'!$Y145)</f>
        <v>0</v>
      </c>
      <c r="P145" s="177">
        <f>IF($A$1="BL",0,'Peak Hours'!P145*Peak!V146*'Peak Hours'!$Y145)</f>
        <v>0</v>
      </c>
      <c r="Q145" s="177">
        <f>IF($A$1="BL",0,'Peak Hours'!Q145*Peak!W146*'Peak Hours'!$Y145)</f>
        <v>0</v>
      </c>
      <c r="R145" s="177">
        <f>IF($A$1="BL",0,'Peak Hours'!R145*Peak!X146*'Peak Hours'!$Y145)</f>
        <v>0</v>
      </c>
      <c r="S145" s="177">
        <f>IF($A$1="BL",0,'Peak Hours'!S145*Peak!Y146*'Peak Hours'!$Y145)</f>
        <v>0</v>
      </c>
      <c r="T145" s="177">
        <f>IF($A$1="BL",0,'Peak Hours'!T145*Peak!Z146*'Peak Hours'!$Y145)</f>
        <v>0</v>
      </c>
      <c r="U145" s="177">
        <f>IF($A$1="BL",0,'Peak Hours'!U145*Peak!AA146*'Peak Hours'!$Y145)</f>
        <v>0</v>
      </c>
      <c r="V145" s="207"/>
      <c r="W145" s="203">
        <f>(IF($A$1="BL",0,Peak!C146*'Peak Hours'!V145*'Peak Hours'!$Y145))*-1</f>
        <v>-4846845.1440235563</v>
      </c>
      <c r="X145" s="207"/>
      <c r="Y145" s="203">
        <f>(IF($A$1="bl",0,Peak!D146*'Peak Hours'!V145*'Peak Hours'!$Y145))*-1</f>
        <v>-91020.131393163829</v>
      </c>
      <c r="Z145" s="207"/>
      <c r="AA145" s="203">
        <f>(Peak!E146*'Peak Hours'!V145*'Peak Hours'!$Y145)*-1</f>
        <v>0</v>
      </c>
      <c r="AB145" s="204"/>
      <c r="AC145" s="203">
        <f>(Peak!F146*'Peak Hours'!V145*'Peak Hours'!$Y145)*-1</f>
        <v>0</v>
      </c>
      <c r="AD145" s="204"/>
    </row>
    <row r="146" spans="1:30" x14ac:dyDescent="0.2">
      <c r="A146" s="1">
        <f t="shared" si="2"/>
        <v>40676.712000000174</v>
      </c>
      <c r="B146" s="177">
        <f>IF($A$1="BL",0,'Peak Hours'!B146*Peak!H147*'Peak Hours'!$Y146)</f>
        <v>341225.44263577944</v>
      </c>
      <c r="C146" s="177">
        <f>IF($A$1="BL",0,'Peak Hours'!C146*Peak!I147*'Peak Hours'!$Y146)</f>
        <v>266314.0167455168</v>
      </c>
      <c r="D146" s="177">
        <f>IF($A$1="BL",0,'Peak Hours'!D146*Peak!J147*'Peak Hours'!$Y146)</f>
        <v>457009.68607230327</v>
      </c>
      <c r="E146" s="177">
        <f>IF($A$1="BL",0,'Peak Hours'!E146*Peak!K147*'Peak Hours'!$Y146)</f>
        <v>868679.09260031348</v>
      </c>
      <c r="F146" s="177">
        <f>IF($A$1="BL",0,'Peak Hours'!F146*Peak!L147*'Peak Hours'!$Y146)</f>
        <v>857486.83943080367</v>
      </c>
      <c r="G146" s="177">
        <f>IF($A$1="BL",0,'Peak Hours'!G146*Peak!M147*'Peak Hours'!$Y146)</f>
        <v>1624323.6047867769</v>
      </c>
      <c r="H146" s="177">
        <f>IF($A$1="BL",0,'Peak Hours'!H146*Peak!N147*'Peak Hours'!$Y146)</f>
        <v>1556500.1438888696</v>
      </c>
      <c r="I146" s="177">
        <f>IF($A$1="BL",0,'Peak Hours'!I146*Peak!O147*'Peak Hours'!$Y146)</f>
        <v>1216355.9671248826</v>
      </c>
      <c r="J146" s="177">
        <f>IF($A$1="BL",0,'Peak Hours'!J146*Peak!P147*'Peak Hours'!$Y146)</f>
        <v>0</v>
      </c>
      <c r="K146" s="177">
        <f>IF($A$1="BL",0,'Peak Hours'!K146*Peak!Q147*'Peak Hours'!$Y146)</f>
        <v>0</v>
      </c>
      <c r="L146" s="177">
        <f>IF($A$1="BL",0,'Peak Hours'!L146*Peak!R147*'Peak Hours'!$Y146)</f>
        <v>0</v>
      </c>
      <c r="M146" s="177">
        <f>IF($A$1="BL",0,'Peak Hours'!M146*Peak!S147*'Peak Hours'!$Y146)</f>
        <v>0</v>
      </c>
      <c r="N146" s="177">
        <f>IF($A$1="BL",0,'Peak Hours'!N146*Peak!T147*'Peak Hours'!$Y146)</f>
        <v>0</v>
      </c>
      <c r="O146" s="177">
        <f>IF($A$1="BL",0,'Peak Hours'!O146*Peak!U147*'Peak Hours'!$Y146)</f>
        <v>0</v>
      </c>
      <c r="P146" s="177">
        <f>IF($A$1="BL",0,'Peak Hours'!P146*Peak!V147*'Peak Hours'!$Y146)</f>
        <v>0</v>
      </c>
      <c r="Q146" s="177">
        <f>IF($A$1="BL",0,'Peak Hours'!Q146*Peak!W147*'Peak Hours'!$Y146)</f>
        <v>0</v>
      </c>
      <c r="R146" s="177">
        <f>IF($A$1="BL",0,'Peak Hours'!R146*Peak!X147*'Peak Hours'!$Y146)</f>
        <v>0</v>
      </c>
      <c r="S146" s="177">
        <f>IF($A$1="BL",0,'Peak Hours'!S146*Peak!Y147*'Peak Hours'!$Y146)</f>
        <v>0</v>
      </c>
      <c r="T146" s="177">
        <f>IF($A$1="BL",0,'Peak Hours'!T146*Peak!Z147*'Peak Hours'!$Y146)</f>
        <v>0</v>
      </c>
      <c r="U146" s="177">
        <f>IF($A$1="BL",0,'Peak Hours'!U146*Peak!AA147*'Peak Hours'!$Y146)</f>
        <v>0</v>
      </c>
      <c r="V146" s="207"/>
      <c r="W146" s="203">
        <f>(IF($A$1="BL",0,Peak!C147*'Peak Hours'!V146*'Peak Hours'!$Y146))*-1</f>
        <v>-5103291.9770406745</v>
      </c>
      <c r="X146" s="207"/>
      <c r="Y146" s="203">
        <f>(IF($A$1="bl",0,Peak!D147*'Peak Hours'!V146*'Peak Hours'!$Y146))*-1</f>
        <v>-91171.83161215244</v>
      </c>
      <c r="Z146" s="207"/>
      <c r="AA146" s="203">
        <f>(Peak!E147*'Peak Hours'!V146*'Peak Hours'!$Y146)*-1</f>
        <v>0</v>
      </c>
      <c r="AB146" s="204"/>
      <c r="AC146" s="203">
        <f>(Peak!F147*'Peak Hours'!V146*'Peak Hours'!$Y146)*-1</f>
        <v>0</v>
      </c>
      <c r="AD146" s="204"/>
    </row>
    <row r="147" spans="1:30" x14ac:dyDescent="0.2">
      <c r="A147" s="1">
        <f t="shared" si="2"/>
        <v>40707.129000000175</v>
      </c>
      <c r="B147" s="177">
        <f>IF($A$1="BL",0,'Peak Hours'!B147*Peak!H148*'Peak Hours'!$Y147)</f>
        <v>798928.30464628164</v>
      </c>
      <c r="C147" s="177">
        <f>IF($A$1="BL",0,'Peak Hours'!C147*Peak!I148*'Peak Hours'!$Y147)</f>
        <v>708148.59834743931</v>
      </c>
      <c r="D147" s="177">
        <f>IF($A$1="BL",0,'Peak Hours'!D147*Peak!J148*'Peak Hours'!$Y147)</f>
        <v>1275156.0617312875</v>
      </c>
      <c r="E147" s="177">
        <f>IF($A$1="BL",0,'Peak Hours'!E147*Peak!K148*'Peak Hours'!$Y147)</f>
        <v>2228092.6492409469</v>
      </c>
      <c r="F147" s="177">
        <f>IF($A$1="BL",0,'Peak Hours'!F147*Peak!L148*'Peak Hours'!$Y147)</f>
        <v>1996374.2993605856</v>
      </c>
      <c r="G147" s="177">
        <f>IF($A$1="BL",0,'Peak Hours'!G147*Peak!M148*'Peak Hours'!$Y147)</f>
        <v>2221224.8447723454</v>
      </c>
      <c r="H147" s="177">
        <f>IF($A$1="BL",0,'Peak Hours'!H147*Peak!N148*'Peak Hours'!$Y147)</f>
        <v>1435136.9269609</v>
      </c>
      <c r="I147" s="177">
        <f>IF($A$1="BL",0,'Peak Hours'!I147*Peak!O148*'Peak Hours'!$Y147)</f>
        <v>1279918.2327303037</v>
      </c>
      <c r="J147" s="177">
        <f>IF($A$1="BL",0,'Peak Hours'!J147*Peak!P148*'Peak Hours'!$Y147)</f>
        <v>1242036.1022793683</v>
      </c>
      <c r="K147" s="177">
        <f>IF($A$1="BL",0,'Peak Hours'!K147*Peak!Q148*'Peak Hours'!$Y147)</f>
        <v>0</v>
      </c>
      <c r="L147" s="177">
        <f>IF($A$1="BL",0,'Peak Hours'!L147*Peak!R148*'Peak Hours'!$Y147)</f>
        <v>0</v>
      </c>
      <c r="M147" s="177">
        <f>IF($A$1="BL",0,'Peak Hours'!M147*Peak!S148*'Peak Hours'!$Y147)</f>
        <v>0</v>
      </c>
      <c r="N147" s="177">
        <f>IF($A$1="BL",0,'Peak Hours'!N147*Peak!T148*'Peak Hours'!$Y147)</f>
        <v>0</v>
      </c>
      <c r="O147" s="177">
        <f>IF($A$1="BL",0,'Peak Hours'!O147*Peak!U148*'Peak Hours'!$Y147)</f>
        <v>0</v>
      </c>
      <c r="P147" s="177">
        <f>IF($A$1="BL",0,'Peak Hours'!P147*Peak!V148*'Peak Hours'!$Y147)</f>
        <v>0</v>
      </c>
      <c r="Q147" s="177">
        <f>IF($A$1="BL",0,'Peak Hours'!Q147*Peak!W148*'Peak Hours'!$Y147)</f>
        <v>0</v>
      </c>
      <c r="R147" s="177">
        <f>IF($A$1="BL",0,'Peak Hours'!R147*Peak!X148*'Peak Hours'!$Y147)</f>
        <v>0</v>
      </c>
      <c r="S147" s="177">
        <f>IF($A$1="BL",0,'Peak Hours'!S147*Peak!Y148*'Peak Hours'!$Y147)</f>
        <v>0</v>
      </c>
      <c r="T147" s="177">
        <f>IF($A$1="BL",0,'Peak Hours'!T147*Peak!Z148*'Peak Hours'!$Y147)</f>
        <v>0</v>
      </c>
      <c r="U147" s="177">
        <f>IF($A$1="BL",0,'Peak Hours'!U147*Peak!AA148*'Peak Hours'!$Y147)</f>
        <v>0</v>
      </c>
      <c r="V147" s="207"/>
      <c r="W147" s="203">
        <f>(IF($A$1="BL",0,Peak!C148*'Peak Hours'!V147*'Peak Hours'!$Y147))*-1</f>
        <v>-6043575.155561381</v>
      </c>
      <c r="X147" s="207"/>
      <c r="Y147" s="203">
        <f>(IF($A$1="bl",0,Peak!D148*'Peak Hours'!V147*'Peak Hours'!$Y147))*-1</f>
        <v>-113512.09924439988</v>
      </c>
      <c r="Z147" s="207"/>
      <c r="AA147" s="203">
        <f>(Peak!E148*'Peak Hours'!V147*'Peak Hours'!$Y147)*-1</f>
        <v>0</v>
      </c>
      <c r="AB147" s="204"/>
      <c r="AC147" s="203">
        <f>(Peak!F148*'Peak Hours'!V147*'Peak Hours'!$Y147)*-1</f>
        <v>0</v>
      </c>
      <c r="AD147" s="204"/>
    </row>
    <row r="148" spans="1:30" x14ac:dyDescent="0.2">
      <c r="A148" s="1">
        <f t="shared" si="2"/>
        <v>40737.546000000177</v>
      </c>
      <c r="B148" s="177">
        <f>IF($A$1="BL",0,'Peak Hours'!B148*Peak!H149*'Peak Hours'!$Y148)</f>
        <v>784224.81630159321</v>
      </c>
      <c r="C148" s="177">
        <f>IF($A$1="BL",0,'Peak Hours'!C148*Peak!I149*'Peak Hours'!$Y148)</f>
        <v>678816.90624945506</v>
      </c>
      <c r="D148" s="177">
        <f>IF($A$1="BL",0,'Peak Hours'!D148*Peak!J149*'Peak Hours'!$Y148)</f>
        <v>1213257.5416873868</v>
      </c>
      <c r="E148" s="177">
        <f>IF($A$1="BL",0,'Peak Hours'!E148*Peak!K149*'Peak Hours'!$Y148)</f>
        <v>2132769.3272566022</v>
      </c>
      <c r="F148" s="177">
        <f>IF($A$1="BL",0,'Peak Hours'!F148*Peak!L149*'Peak Hours'!$Y148)</f>
        <v>1792133.035647474</v>
      </c>
      <c r="G148" s="177">
        <f>IF($A$1="BL",0,'Peak Hours'!G148*Peak!M149*'Peak Hours'!$Y148)</f>
        <v>2759612.0872376291</v>
      </c>
      <c r="H148" s="177">
        <f>IF($A$1="BL",0,'Peak Hours'!H148*Peak!N149*'Peak Hours'!$Y148)</f>
        <v>2585060.2351484285</v>
      </c>
      <c r="I148" s="177">
        <f>IF($A$1="BL",0,'Peak Hours'!I148*Peak!O149*'Peak Hours'!$Y148)</f>
        <v>2067850.2232503295</v>
      </c>
      <c r="J148" s="177">
        <f>IF($A$1="BL",0,'Peak Hours'!J148*Peak!P149*'Peak Hours'!$Y148)</f>
        <v>1583558.5458051204</v>
      </c>
      <c r="K148" s="177">
        <f>IF($A$1="BL",0,'Peak Hours'!K148*Peak!Q149*'Peak Hours'!$Y148)</f>
        <v>1413124.087513075</v>
      </c>
      <c r="L148" s="177">
        <f>IF($A$1="BL",0,'Peak Hours'!L148*Peak!R149*'Peak Hours'!$Y148)</f>
        <v>1237450.4441960163</v>
      </c>
      <c r="M148" s="177">
        <f>IF($A$1="BL",0,'Peak Hours'!M148*Peak!S149*'Peak Hours'!$Y148)</f>
        <v>1232649.982512017</v>
      </c>
      <c r="N148" s="177">
        <f>IF($A$1="BL",0,'Peak Hours'!N148*Peak!T149*'Peak Hours'!$Y148)</f>
        <v>1232644.351745222</v>
      </c>
      <c r="O148" s="177">
        <f>IF($A$1="BL",0,'Peak Hours'!O148*Peak!U149*'Peak Hours'!$Y148)</f>
        <v>1213070.090877797</v>
      </c>
      <c r="P148" s="177">
        <f>IF($A$1="BL",0,'Peak Hours'!P148*Peak!V149*'Peak Hours'!$Y148)</f>
        <v>0</v>
      </c>
      <c r="Q148" s="177">
        <f>IF($A$1="BL",0,'Peak Hours'!Q148*Peak!W149*'Peak Hours'!$Y148)</f>
        <v>0</v>
      </c>
      <c r="R148" s="177">
        <f>IF($A$1="BL",0,'Peak Hours'!R148*Peak!X149*'Peak Hours'!$Y148)</f>
        <v>0</v>
      </c>
      <c r="S148" s="177">
        <f>IF($A$1="BL",0,'Peak Hours'!S148*Peak!Y149*'Peak Hours'!$Y148)</f>
        <v>0</v>
      </c>
      <c r="T148" s="177">
        <f>IF($A$1="BL",0,'Peak Hours'!T148*Peak!Z149*'Peak Hours'!$Y148)</f>
        <v>0</v>
      </c>
      <c r="U148" s="177">
        <f>IF($A$1="BL",0,'Peak Hours'!U148*Peak!AA149*'Peak Hours'!$Y148)</f>
        <v>0</v>
      </c>
      <c r="V148" s="207"/>
      <c r="W148" s="203">
        <f>(IF($A$1="BL",0,Peak!C149*'Peak Hours'!V148*'Peak Hours'!$Y148))*-1</f>
        <v>-11501222.570206713</v>
      </c>
      <c r="X148" s="207"/>
      <c r="Y148" s="203">
        <f>(IF($A$1="bl",0,Peak!D149*'Peak Hours'!V148*'Peak Hours'!$Y148))*-1</f>
        <v>-217066.09160054105</v>
      </c>
      <c r="Z148" s="207"/>
      <c r="AA148" s="203">
        <f>(Peak!E149*'Peak Hours'!V148*'Peak Hours'!$Y148)*-1</f>
        <v>0</v>
      </c>
      <c r="AB148" s="204"/>
      <c r="AC148" s="203">
        <f>(Peak!F149*'Peak Hours'!V148*'Peak Hours'!$Y148)*-1</f>
        <v>0</v>
      </c>
      <c r="AD148" s="204"/>
    </row>
    <row r="149" spans="1:30" x14ac:dyDescent="0.2">
      <c r="A149" s="1">
        <f t="shared" si="2"/>
        <v>40767.963000000178</v>
      </c>
      <c r="B149" s="177">
        <f>IF($A$1="BL",0,'Peak Hours'!B149*Peak!H150*'Peak Hours'!$Y149)</f>
        <v>778307.64540846238</v>
      </c>
      <c r="C149" s="177">
        <f>IF($A$1="BL",0,'Peak Hours'!C149*Peak!I150*'Peak Hours'!$Y149)</f>
        <v>667719.68845084158</v>
      </c>
      <c r="D149" s="177">
        <f>IF($A$1="BL",0,'Peak Hours'!D149*Peak!J150*'Peak Hours'!$Y149)</f>
        <v>1203614.6356031678</v>
      </c>
      <c r="E149" s="177">
        <f>IF($A$1="BL",0,'Peak Hours'!E149*Peak!K150*'Peak Hours'!$Y149)</f>
        <v>2132317.778802562</v>
      </c>
      <c r="F149" s="177">
        <f>IF($A$1="BL",0,'Peak Hours'!F149*Peak!L150*'Peak Hours'!$Y149)</f>
        <v>1955633.226952855</v>
      </c>
      <c r="G149" s="177">
        <f>IF($A$1="BL",0,'Peak Hours'!G149*Peak!M150*'Peak Hours'!$Y149)</f>
        <v>3488809.3765080627</v>
      </c>
      <c r="H149" s="177">
        <f>IF($A$1="BL",0,'Peak Hours'!H149*Peak!N150*'Peak Hours'!$Y149)</f>
        <v>2220490.1303257956</v>
      </c>
      <c r="I149" s="177">
        <f>IF($A$1="BL",0,'Peak Hours'!I149*Peak!O150*'Peak Hours'!$Y149)</f>
        <v>1819007.4008242211</v>
      </c>
      <c r="J149" s="177">
        <f>IF($A$1="BL",0,'Peak Hours'!J149*Peak!P150*'Peak Hours'!$Y149)</f>
        <v>1712675.0514522134</v>
      </c>
      <c r="K149" s="177">
        <f>IF($A$1="BL",0,'Peak Hours'!K149*Peak!Q150*'Peak Hours'!$Y149)</f>
        <v>1676485.888415857</v>
      </c>
      <c r="L149" s="177">
        <f>IF($A$1="BL",0,'Peak Hours'!L149*Peak!R150*'Peak Hours'!$Y149)</f>
        <v>1667943.0750772455</v>
      </c>
      <c r="M149" s="177">
        <f>IF($A$1="BL",0,'Peak Hours'!M149*Peak!S150*'Peak Hours'!$Y149)</f>
        <v>1616207.0967325089</v>
      </c>
      <c r="N149" s="177">
        <f>IF($A$1="BL",0,'Peak Hours'!N149*Peak!T150*'Peak Hours'!$Y149)</f>
        <v>1273721.5462812691</v>
      </c>
      <c r="O149" s="177">
        <f>IF($A$1="BL",0,'Peak Hours'!O149*Peak!U150*'Peak Hours'!$Y149)</f>
        <v>1179516.1275066163</v>
      </c>
      <c r="P149" s="177">
        <f>IF($A$1="BL",0,'Peak Hours'!P149*Peak!V150*'Peak Hours'!$Y149)</f>
        <v>1130834.7472088258</v>
      </c>
      <c r="Q149" s="177">
        <f>IF($A$1="BL",0,'Peak Hours'!Q149*Peak!W150*'Peak Hours'!$Y149)</f>
        <v>1086090.2676524154</v>
      </c>
      <c r="R149" s="177">
        <f>IF($A$1="BL",0,'Peak Hours'!R149*Peak!X150*'Peak Hours'!$Y149)</f>
        <v>1063313.8919809419</v>
      </c>
      <c r="S149" s="177">
        <f>IF($A$1="BL",0,'Peak Hours'!S149*Peak!Y150*'Peak Hours'!$Y149)</f>
        <v>0</v>
      </c>
      <c r="T149" s="177">
        <f>IF($A$1="BL",0,'Peak Hours'!T149*Peak!Z150*'Peak Hours'!$Y149)</f>
        <v>0</v>
      </c>
      <c r="U149" s="177">
        <f>IF($A$1="BL",0,'Peak Hours'!U149*Peak!AA150*'Peak Hours'!$Y149)</f>
        <v>0</v>
      </c>
      <c r="V149" s="207"/>
      <c r="W149" s="203">
        <f>(IF($A$1="BL",0,Peak!C150*'Peak Hours'!V149*'Peak Hours'!$Y149))*-1</f>
        <v>-14020537.990347233</v>
      </c>
      <c r="X149" s="207"/>
      <c r="Y149" s="203">
        <f>(IF($A$1="bl",0,Peak!D150*'Peak Hours'!V149*'Peak Hours'!$Y149))*-1</f>
        <v>-279550.11653983971</v>
      </c>
      <c r="Z149" s="207"/>
      <c r="AA149" s="203">
        <f>(Peak!E150*'Peak Hours'!V149*'Peak Hours'!$Y149)*-1</f>
        <v>0</v>
      </c>
      <c r="AB149" s="204"/>
      <c r="AC149" s="203">
        <f>(Peak!F150*'Peak Hours'!V149*'Peak Hours'!$Y149)*-1</f>
        <v>0</v>
      </c>
      <c r="AD149" s="204"/>
    </row>
    <row r="150" spans="1:30" x14ac:dyDescent="0.2">
      <c r="A150" s="1">
        <f t="shared" si="2"/>
        <v>40798.380000000179</v>
      </c>
      <c r="B150" s="177">
        <f>IF($A$1="BL",0,'Peak Hours'!B150*Peak!H151*'Peak Hours'!$Y150)</f>
        <v>513708.70105812256</v>
      </c>
      <c r="C150" s="177">
        <f>IF($A$1="BL",0,'Peak Hours'!C150*Peak!I151*'Peak Hours'!$Y150)</f>
        <v>346716.92037684366</v>
      </c>
      <c r="D150" s="177">
        <f>IF($A$1="BL",0,'Peak Hours'!D150*Peak!J151*'Peak Hours'!$Y150)</f>
        <v>541215.8366535469</v>
      </c>
      <c r="E150" s="177">
        <f>IF($A$1="BL",0,'Peak Hours'!E150*Peak!K151*'Peak Hours'!$Y150)</f>
        <v>990374.05022085912</v>
      </c>
      <c r="F150" s="177">
        <f>IF($A$1="BL",0,'Peak Hours'!F150*Peak!L151*'Peak Hours'!$Y150)</f>
        <v>918670.7858291642</v>
      </c>
      <c r="G150" s="177">
        <f>IF($A$1="BL",0,'Peak Hours'!G150*Peak!M151*'Peak Hours'!$Y150)</f>
        <v>1796168.843752099</v>
      </c>
      <c r="H150" s="177">
        <f>IF($A$1="BL",0,'Peak Hours'!H150*Peak!N151*'Peak Hours'!$Y150)</f>
        <v>1469280.8108464696</v>
      </c>
      <c r="I150" s="177">
        <f>IF($A$1="BL",0,'Peak Hours'!I150*Peak!O151*'Peak Hours'!$Y150)</f>
        <v>1274703.085676556</v>
      </c>
      <c r="J150" s="177">
        <f>IF($A$1="BL",0,'Peak Hours'!J150*Peak!P151*'Peak Hours'!$Y150)</f>
        <v>1202560.2475858547</v>
      </c>
      <c r="K150" s="177">
        <f>IF($A$1="BL",0,'Peak Hours'!K150*Peak!Q151*'Peak Hours'!$Y150)</f>
        <v>1133641.7568398174</v>
      </c>
      <c r="L150" s="177">
        <f>IF($A$1="BL",0,'Peak Hours'!L150*Peak!R151*'Peak Hours'!$Y150)</f>
        <v>1088069.4323735703</v>
      </c>
      <c r="M150" s="177">
        <f>IF($A$1="BL",0,'Peak Hours'!M150*Peak!S151*'Peak Hours'!$Y150)</f>
        <v>1048579.8293415706</v>
      </c>
      <c r="N150" s="177">
        <f>IF($A$1="BL",0,'Peak Hours'!N150*Peak!T151*'Peak Hours'!$Y150)</f>
        <v>0</v>
      </c>
      <c r="O150" s="177">
        <f>IF($A$1="BL",0,'Peak Hours'!O150*Peak!U151*'Peak Hours'!$Y150)</f>
        <v>0</v>
      </c>
      <c r="P150" s="177">
        <f>IF($A$1="BL",0,'Peak Hours'!P150*Peak!V151*'Peak Hours'!$Y150)</f>
        <v>0</v>
      </c>
      <c r="Q150" s="177">
        <f>IF($A$1="BL",0,'Peak Hours'!Q150*Peak!W151*'Peak Hours'!$Y150)</f>
        <v>0</v>
      </c>
      <c r="R150" s="177">
        <f>IF($A$1="BL",0,'Peak Hours'!R150*Peak!X151*'Peak Hours'!$Y150)</f>
        <v>0</v>
      </c>
      <c r="S150" s="177">
        <f>IF($A$1="BL",0,'Peak Hours'!S150*Peak!Y151*'Peak Hours'!$Y150)</f>
        <v>0</v>
      </c>
      <c r="T150" s="177">
        <f>IF($A$1="BL",0,'Peak Hours'!T150*Peak!Z151*'Peak Hours'!$Y150)</f>
        <v>0</v>
      </c>
      <c r="U150" s="177">
        <f>IF($A$1="BL",0,'Peak Hours'!U150*Peak!AA151*'Peak Hours'!$Y150)</f>
        <v>0</v>
      </c>
      <c r="V150" s="207"/>
      <c r="W150" s="203">
        <f>(IF($A$1="BL",0,Peak!C151*'Peak Hours'!V150*'Peak Hours'!$Y150))*-1</f>
        <v>-8651376.3822953068</v>
      </c>
      <c r="X150" s="207"/>
      <c r="Y150" s="203">
        <f>(IF($A$1="bl",0,Peak!D151*'Peak Hours'!V150*'Peak Hours'!$Y150))*-1</f>
        <v>-173364.42285805132</v>
      </c>
      <c r="Z150" s="207"/>
      <c r="AA150" s="203">
        <f>(Peak!E151*'Peak Hours'!V150*'Peak Hours'!$Y150)*-1</f>
        <v>0</v>
      </c>
      <c r="AB150" s="204"/>
      <c r="AC150" s="203">
        <f>(Peak!F151*'Peak Hours'!V150*'Peak Hours'!$Y150)*-1</f>
        <v>0</v>
      </c>
      <c r="AD150" s="204"/>
    </row>
    <row r="151" spans="1:30" x14ac:dyDescent="0.2">
      <c r="A151" s="1">
        <f t="shared" si="2"/>
        <v>40828.797000000181</v>
      </c>
      <c r="B151" s="177">
        <f>IF($A$1="BL",0,'Peak Hours'!B151*Peak!H152*'Peak Hours'!$Y151)</f>
        <v>271212.95541856484</v>
      </c>
      <c r="C151" s="177">
        <f>IF($A$1="BL",0,'Peak Hours'!C151*Peak!I152*'Peak Hours'!$Y151)</f>
        <v>266185.93179895775</v>
      </c>
      <c r="D151" s="177">
        <f>IF($A$1="BL",0,'Peak Hours'!D151*Peak!J152*'Peak Hours'!$Y151)</f>
        <v>519540.18954209477</v>
      </c>
      <c r="E151" s="177">
        <f>IF($A$1="BL",0,'Peak Hours'!E151*Peak!K152*'Peak Hours'!$Y151)</f>
        <v>976834.28699597484</v>
      </c>
      <c r="F151" s="177">
        <f>IF($A$1="BL",0,'Peak Hours'!F151*Peak!L152*'Peak Hours'!$Y151)</f>
        <v>943669.5003722267</v>
      </c>
      <c r="G151" s="177">
        <f>IF($A$1="BL",0,'Peak Hours'!G151*Peak!M152*'Peak Hours'!$Y151)</f>
        <v>1862407.8773742344</v>
      </c>
      <c r="H151" s="177">
        <f>IF($A$1="BL",0,'Peak Hours'!H151*Peak!N152*'Peak Hours'!$Y151)</f>
        <v>1407854.7916664768</v>
      </c>
      <c r="I151" s="177">
        <f>IF($A$1="BL",0,'Peak Hours'!I151*Peak!O152*'Peak Hours'!$Y151)</f>
        <v>1317848.851513444</v>
      </c>
      <c r="J151" s="177">
        <f>IF($A$1="BL",0,'Peak Hours'!J151*Peak!P152*'Peak Hours'!$Y151)</f>
        <v>1194935.1917143248</v>
      </c>
      <c r="K151" s="177">
        <f>IF($A$1="BL",0,'Peak Hours'!K151*Peak!Q152*'Peak Hours'!$Y151)</f>
        <v>0</v>
      </c>
      <c r="L151" s="177">
        <f>IF($A$1="BL",0,'Peak Hours'!L151*Peak!R152*'Peak Hours'!$Y151)</f>
        <v>0</v>
      </c>
      <c r="M151" s="177">
        <f>IF($A$1="BL",0,'Peak Hours'!M151*Peak!S152*'Peak Hours'!$Y151)</f>
        <v>0</v>
      </c>
      <c r="N151" s="177">
        <f>IF($A$1="BL",0,'Peak Hours'!N151*Peak!T152*'Peak Hours'!$Y151)</f>
        <v>0</v>
      </c>
      <c r="O151" s="177">
        <f>IF($A$1="BL",0,'Peak Hours'!O151*Peak!U152*'Peak Hours'!$Y151)</f>
        <v>0</v>
      </c>
      <c r="P151" s="177">
        <f>IF($A$1="BL",0,'Peak Hours'!P151*Peak!V152*'Peak Hours'!$Y151)</f>
        <v>0</v>
      </c>
      <c r="Q151" s="177">
        <f>IF($A$1="BL",0,'Peak Hours'!Q151*Peak!W152*'Peak Hours'!$Y151)</f>
        <v>0</v>
      </c>
      <c r="R151" s="177">
        <f>IF($A$1="BL",0,'Peak Hours'!R151*Peak!X152*'Peak Hours'!$Y151)</f>
        <v>0</v>
      </c>
      <c r="S151" s="177">
        <f>IF($A$1="BL",0,'Peak Hours'!S151*Peak!Y152*'Peak Hours'!$Y151)</f>
        <v>0</v>
      </c>
      <c r="T151" s="177">
        <f>IF($A$1="BL",0,'Peak Hours'!T151*Peak!Z152*'Peak Hours'!$Y151)</f>
        <v>0</v>
      </c>
      <c r="U151" s="177">
        <f>IF($A$1="BL",0,'Peak Hours'!U151*Peak!AA152*'Peak Hours'!$Y151)</f>
        <v>0</v>
      </c>
      <c r="V151" s="207"/>
      <c r="W151" s="203">
        <f>(IF($A$1="BL",0,Peak!C152*'Peak Hours'!V151*'Peak Hours'!$Y151))*-1</f>
        <v>-6199744.6586516462</v>
      </c>
      <c r="X151" s="207"/>
      <c r="Y151" s="203">
        <f>(IF($A$1="bl",0,Peak!D152*'Peak Hours'!V151*'Peak Hours'!$Y151))*-1</f>
        <v>-112363.94112888013</v>
      </c>
      <c r="Z151" s="207"/>
      <c r="AA151" s="203">
        <f>(Peak!E152*'Peak Hours'!V151*'Peak Hours'!$Y151)*-1</f>
        <v>0</v>
      </c>
      <c r="AB151" s="204"/>
      <c r="AC151" s="203">
        <f>(Peak!F152*'Peak Hours'!V151*'Peak Hours'!$Y151)*-1</f>
        <v>0</v>
      </c>
      <c r="AD151" s="204"/>
    </row>
    <row r="152" spans="1:30" x14ac:dyDescent="0.2">
      <c r="A152" s="1">
        <f t="shared" si="2"/>
        <v>40859.214000000182</v>
      </c>
      <c r="B152" s="177">
        <f>IF($A$1="BL",0,'Peak Hours'!B152*Peak!H153*'Peak Hours'!$Y152)</f>
        <v>515729.86399852246</v>
      </c>
      <c r="C152" s="177">
        <f>IF($A$1="BL",0,'Peak Hours'!C152*Peak!I153*'Peak Hours'!$Y152)</f>
        <v>499340.33051802695</v>
      </c>
      <c r="D152" s="177">
        <f>IF($A$1="BL",0,'Peak Hours'!D152*Peak!J153*'Peak Hours'!$Y152)</f>
        <v>633343.9429065173</v>
      </c>
      <c r="E152" s="177">
        <f>IF($A$1="BL",0,'Peak Hours'!E152*Peak!K153*'Peak Hours'!$Y152)</f>
        <v>1085615.8888440796</v>
      </c>
      <c r="F152" s="177">
        <f>IF($A$1="BL",0,'Peak Hours'!F152*Peak!L153*'Peak Hours'!$Y152)</f>
        <v>920253.0960229208</v>
      </c>
      <c r="G152" s="177">
        <f>IF($A$1="BL",0,'Peak Hours'!G152*Peak!M153*'Peak Hours'!$Y152)</f>
        <v>1739809.3135574278</v>
      </c>
      <c r="H152" s="177">
        <f>IF($A$1="BL",0,'Peak Hours'!H152*Peak!N153*'Peak Hours'!$Y152)</f>
        <v>1624787.3223301258</v>
      </c>
      <c r="I152" s="177">
        <f>IF($A$1="BL",0,'Peak Hours'!I152*Peak!O153*'Peak Hours'!$Y152)</f>
        <v>1582319.5862118993</v>
      </c>
      <c r="J152" s="177">
        <f>IF($A$1="BL",0,'Peak Hours'!J152*Peak!P153*'Peak Hours'!$Y152)</f>
        <v>1547799.165068215</v>
      </c>
      <c r="K152" s="177">
        <f>IF($A$1="BL",0,'Peak Hours'!K152*Peak!Q153*'Peak Hours'!$Y152)</f>
        <v>1270195.9502109552</v>
      </c>
      <c r="L152" s="177">
        <f>IF($A$1="BL",0,'Peak Hours'!L152*Peak!R153*'Peak Hours'!$Y152)</f>
        <v>0</v>
      </c>
      <c r="M152" s="177">
        <f>IF($A$1="BL",0,'Peak Hours'!M152*Peak!S153*'Peak Hours'!$Y152)</f>
        <v>0</v>
      </c>
      <c r="N152" s="177">
        <f>IF($A$1="BL",0,'Peak Hours'!N152*Peak!T153*'Peak Hours'!$Y152)</f>
        <v>0</v>
      </c>
      <c r="O152" s="177">
        <f>IF($A$1="BL",0,'Peak Hours'!O152*Peak!U153*'Peak Hours'!$Y152)</f>
        <v>0</v>
      </c>
      <c r="P152" s="177">
        <f>IF($A$1="BL",0,'Peak Hours'!P152*Peak!V153*'Peak Hours'!$Y152)</f>
        <v>0</v>
      </c>
      <c r="Q152" s="177">
        <f>IF($A$1="BL",0,'Peak Hours'!Q152*Peak!W153*'Peak Hours'!$Y152)</f>
        <v>0</v>
      </c>
      <c r="R152" s="177">
        <f>IF($A$1="BL",0,'Peak Hours'!R152*Peak!X153*'Peak Hours'!$Y152)</f>
        <v>0</v>
      </c>
      <c r="S152" s="177">
        <f>IF($A$1="BL",0,'Peak Hours'!S152*Peak!Y153*'Peak Hours'!$Y152)</f>
        <v>0</v>
      </c>
      <c r="T152" s="177">
        <f>IF($A$1="BL",0,'Peak Hours'!T152*Peak!Z153*'Peak Hours'!$Y152)</f>
        <v>0</v>
      </c>
      <c r="U152" s="177">
        <f>IF($A$1="BL",0,'Peak Hours'!U152*Peak!AA153*'Peak Hours'!$Y152)</f>
        <v>0</v>
      </c>
      <c r="V152" s="207"/>
      <c r="W152" s="203">
        <f>(IF($A$1="BL",0,Peak!C153*'Peak Hours'!V152*'Peak Hours'!$Y152))*-1</f>
        <v>-8023366.5823289398</v>
      </c>
      <c r="X152" s="207"/>
      <c r="Y152" s="203">
        <f>(IF($A$1="bl",0,Peak!D153*'Peak Hours'!V152*'Peak Hours'!$Y152))*-1</f>
        <v>-133015.07152120309</v>
      </c>
      <c r="Z152" s="207"/>
      <c r="AA152" s="203">
        <f>(Peak!E153*'Peak Hours'!V152*'Peak Hours'!$Y152)*-1</f>
        <v>0</v>
      </c>
      <c r="AB152" s="204"/>
      <c r="AC152" s="203">
        <f>(Peak!F153*'Peak Hours'!V152*'Peak Hours'!$Y152)*-1</f>
        <v>0</v>
      </c>
      <c r="AD152" s="204"/>
    </row>
    <row r="153" spans="1:30" x14ac:dyDescent="0.2">
      <c r="A153" s="1">
        <f t="shared" si="2"/>
        <v>40889.631000000183</v>
      </c>
      <c r="B153" s="177">
        <f>IF($A$1="BL",0,'Peak Hours'!B153*Peak!H154*'Peak Hours'!$Y153)</f>
        <v>328068.39521615894</v>
      </c>
      <c r="C153" s="177">
        <f>IF($A$1="BL",0,'Peak Hours'!C153*Peak!I154*'Peak Hours'!$Y153)</f>
        <v>310852.51345888391</v>
      </c>
      <c r="D153" s="177">
        <f>IF($A$1="BL",0,'Peak Hours'!D153*Peak!J154*'Peak Hours'!$Y153)</f>
        <v>601215.34752796812</v>
      </c>
      <c r="E153" s="177">
        <f>IF($A$1="BL",0,'Peak Hours'!E153*Peak!K154*'Peak Hours'!$Y153)</f>
        <v>1123012.1974911452</v>
      </c>
      <c r="F153" s="177">
        <f>IF($A$1="BL",0,'Peak Hours'!F153*Peak!L154*'Peak Hours'!$Y153)</f>
        <v>1102807.8338985101</v>
      </c>
      <c r="G153" s="177">
        <f>IF($A$1="BL",0,'Peak Hours'!G153*Peak!M154*'Peak Hours'!$Y153)</f>
        <v>2167065.6314226096</v>
      </c>
      <c r="H153" s="177">
        <f>IF($A$1="BL",0,'Peak Hours'!H153*Peak!N154*'Peak Hours'!$Y153)</f>
        <v>1753697.6249166713</v>
      </c>
      <c r="I153" s="177">
        <f>IF($A$1="BL",0,'Peak Hours'!I153*Peak!O154*'Peak Hours'!$Y153)</f>
        <v>1495782.4735340727</v>
      </c>
      <c r="J153" s="177">
        <f>IF($A$1="BL",0,'Peak Hours'!J153*Peak!P154*'Peak Hours'!$Y153)</f>
        <v>0</v>
      </c>
      <c r="K153" s="177">
        <f>IF($A$1="BL",0,'Peak Hours'!K153*Peak!Q154*'Peak Hours'!$Y153)</f>
        <v>0</v>
      </c>
      <c r="L153" s="177">
        <f>IF($A$1="BL",0,'Peak Hours'!L153*Peak!R154*'Peak Hours'!$Y153)</f>
        <v>0</v>
      </c>
      <c r="M153" s="177">
        <f>IF($A$1="BL",0,'Peak Hours'!M153*Peak!S154*'Peak Hours'!$Y153)</f>
        <v>0</v>
      </c>
      <c r="N153" s="177">
        <f>IF($A$1="BL",0,'Peak Hours'!N153*Peak!T154*'Peak Hours'!$Y153)</f>
        <v>0</v>
      </c>
      <c r="O153" s="177">
        <f>IF($A$1="BL",0,'Peak Hours'!O153*Peak!U154*'Peak Hours'!$Y153)</f>
        <v>0</v>
      </c>
      <c r="P153" s="177">
        <f>IF($A$1="BL",0,'Peak Hours'!P153*Peak!V154*'Peak Hours'!$Y153)</f>
        <v>0</v>
      </c>
      <c r="Q153" s="177">
        <f>IF($A$1="BL",0,'Peak Hours'!Q153*Peak!W154*'Peak Hours'!$Y153)</f>
        <v>0</v>
      </c>
      <c r="R153" s="177">
        <f>IF($A$1="BL",0,'Peak Hours'!R153*Peak!X154*'Peak Hours'!$Y153)</f>
        <v>0</v>
      </c>
      <c r="S153" s="177">
        <f>IF($A$1="BL",0,'Peak Hours'!S153*Peak!Y154*'Peak Hours'!$Y153)</f>
        <v>0</v>
      </c>
      <c r="T153" s="177">
        <f>IF($A$1="BL",0,'Peak Hours'!T153*Peak!Z154*'Peak Hours'!$Y153)</f>
        <v>0</v>
      </c>
      <c r="U153" s="177">
        <f>IF($A$1="BL",0,'Peak Hours'!U153*Peak!AA154*'Peak Hours'!$Y153)</f>
        <v>0</v>
      </c>
      <c r="V153" s="208">
        <f>SUM(B142:U153)</f>
        <v>157796271.57159024</v>
      </c>
      <c r="W153" s="203">
        <f>(IF($A$1="BL",0,Peak!C154*'Peak Hours'!V153*'Peak Hours'!$Y153))*-1</f>
        <v>-5848349.3754783189</v>
      </c>
      <c r="X153" s="208">
        <f>SUM(W142:W153)</f>
        <v>-96395067.724466786</v>
      </c>
      <c r="Y153" s="203">
        <f>(IF($A$1="bl",0,Peak!D154*'Peak Hours'!V153*'Peak Hours'!$Y153))*-1</f>
        <v>-89743.208565765104</v>
      </c>
      <c r="Z153" s="208">
        <f>SUM(Y142:Y153)</f>
        <v>-1746246.2878038441</v>
      </c>
      <c r="AA153" s="203">
        <f>(Peak!E154*'Peak Hours'!V153*'Peak Hours'!$Y153)*-1</f>
        <v>0</v>
      </c>
      <c r="AB153" s="205">
        <f>SUM(AA142:AA153)</f>
        <v>0</v>
      </c>
      <c r="AC153" s="203">
        <f>(Peak!F154*'Peak Hours'!V153*'Peak Hours'!$Y153)*-1</f>
        <v>0</v>
      </c>
      <c r="AD153" s="205">
        <f>SUM(AC142:AC153)</f>
        <v>0</v>
      </c>
    </row>
    <row r="154" spans="1:30" x14ac:dyDescent="0.2">
      <c r="A154" s="1">
        <f t="shared" si="2"/>
        <v>40920.048000000184</v>
      </c>
      <c r="B154" s="177">
        <f>IF($A$1="BL",0,'Peak Hours'!B154*Peak!H155*'Peak Hours'!$Y154)</f>
        <v>331676.57078057353</v>
      </c>
      <c r="C154" s="177">
        <f>IF($A$1="BL",0,'Peak Hours'!C154*Peak!I155*'Peak Hours'!$Y154)</f>
        <v>322199.96563751396</v>
      </c>
      <c r="D154" s="177">
        <f>IF($A$1="BL",0,'Peak Hours'!D154*Peak!J155*'Peak Hours'!$Y154)</f>
        <v>644311.98416679411</v>
      </c>
      <c r="E154" s="177">
        <f>IF($A$1="BL",0,'Peak Hours'!E154*Peak!K155*'Peak Hours'!$Y154)</f>
        <v>1259107.5089990078</v>
      </c>
      <c r="F154" s="177">
        <f>IF($A$1="BL",0,'Peak Hours'!F154*Peak!L155*'Peak Hours'!$Y154)</f>
        <v>1070077.7870375325</v>
      </c>
      <c r="G154" s="177">
        <f>IF($A$1="BL",0,'Peak Hours'!G154*Peak!M155*'Peak Hours'!$Y154)</f>
        <v>1672255.6614215316</v>
      </c>
      <c r="H154" s="177">
        <f>IF($A$1="BL",0,'Peak Hours'!H154*Peak!N155*'Peak Hours'!$Y154)</f>
        <v>1435349.6344052872</v>
      </c>
      <c r="I154" s="177">
        <f>IF($A$1="BL",0,'Peak Hours'!I154*Peak!O155*'Peak Hours'!$Y154)</f>
        <v>1300727.3970927047</v>
      </c>
      <c r="J154" s="177">
        <f>IF($A$1="BL",0,'Peak Hours'!J154*Peak!P155*'Peak Hours'!$Y154)</f>
        <v>0</v>
      </c>
      <c r="K154" s="177">
        <f>IF($A$1="BL",0,'Peak Hours'!K154*Peak!Q155*'Peak Hours'!$Y154)</f>
        <v>0</v>
      </c>
      <c r="L154" s="177">
        <f>IF($A$1="BL",0,'Peak Hours'!L154*Peak!R155*'Peak Hours'!$Y154)</f>
        <v>0</v>
      </c>
      <c r="M154" s="177">
        <f>IF($A$1="BL",0,'Peak Hours'!M154*Peak!S155*'Peak Hours'!$Y154)</f>
        <v>0</v>
      </c>
      <c r="N154" s="177">
        <f>IF($A$1="BL",0,'Peak Hours'!N154*Peak!T155*'Peak Hours'!$Y154)</f>
        <v>0</v>
      </c>
      <c r="O154" s="177">
        <f>IF($A$1="BL",0,'Peak Hours'!O154*Peak!U155*'Peak Hours'!$Y154)</f>
        <v>0</v>
      </c>
      <c r="P154" s="177">
        <f>IF($A$1="BL",0,'Peak Hours'!P154*Peak!V155*'Peak Hours'!$Y154)</f>
        <v>0</v>
      </c>
      <c r="Q154" s="177">
        <f>IF($A$1="BL",0,'Peak Hours'!Q154*Peak!W155*'Peak Hours'!$Y154)</f>
        <v>0</v>
      </c>
      <c r="R154" s="177">
        <f>IF($A$1="BL",0,'Peak Hours'!R154*Peak!X155*'Peak Hours'!$Y154)</f>
        <v>0</v>
      </c>
      <c r="S154" s="177">
        <f>IF($A$1="BL",0,'Peak Hours'!S154*Peak!Y155*'Peak Hours'!$Y154)</f>
        <v>0</v>
      </c>
      <c r="T154" s="177">
        <f>IF($A$1="BL",0,'Peak Hours'!T154*Peak!Z155*'Peak Hours'!$Y154)</f>
        <v>0</v>
      </c>
      <c r="U154" s="177">
        <f>IF($A$1="BL",0,'Peak Hours'!U154*Peak!AA155*'Peak Hours'!$Y154)</f>
        <v>0</v>
      </c>
      <c r="V154" s="207"/>
      <c r="W154" s="203">
        <f>(IF($A$1="BL",0,Peak!C155*'Peak Hours'!V154*'Peak Hours'!$Y154))*-1</f>
        <v>-5615657.0610574055</v>
      </c>
      <c r="X154" s="207"/>
      <c r="Y154" s="203">
        <f>(IF($A$1="bl",0,Peak!D155*'Peak Hours'!V154*'Peak Hours'!$Y154))*-1</f>
        <v>-89892.780580041377</v>
      </c>
      <c r="Z154" s="207"/>
      <c r="AA154" s="203">
        <f>(Peak!E155*'Peak Hours'!V154*'Peak Hours'!$Y154)*-1</f>
        <v>0</v>
      </c>
      <c r="AB154" s="204"/>
      <c r="AC154" s="203">
        <f>(Peak!F155*'Peak Hours'!V154*'Peak Hours'!$Y154)*-1</f>
        <v>0</v>
      </c>
      <c r="AD154" s="204"/>
    </row>
    <row r="155" spans="1:30" x14ac:dyDescent="0.2">
      <c r="A155" s="1">
        <f t="shared" si="2"/>
        <v>40950.465000000186</v>
      </c>
      <c r="B155" s="177">
        <f>IF($A$1="BL",0,'Peak Hours'!B155*Peak!H156*'Peak Hours'!$Y155)</f>
        <v>380371.35596384748</v>
      </c>
      <c r="C155" s="177">
        <f>IF($A$1="BL",0,'Peak Hours'!C155*Peak!I156*'Peak Hours'!$Y155)</f>
        <v>334113.74078543356</v>
      </c>
      <c r="D155" s="177">
        <f>IF($A$1="BL",0,'Peak Hours'!D155*Peak!J156*'Peak Hours'!$Y155)</f>
        <v>637460.51631852728</v>
      </c>
      <c r="E155" s="177">
        <f>IF($A$1="BL",0,'Peak Hours'!E155*Peak!K156*'Peak Hours'!$Y155)</f>
        <v>1187256.0110323268</v>
      </c>
      <c r="F155" s="177">
        <f>IF($A$1="BL",0,'Peak Hours'!F155*Peak!L156*'Peak Hours'!$Y155)</f>
        <v>1115769.8651593558</v>
      </c>
      <c r="G155" s="177">
        <f>IF($A$1="BL",0,'Peak Hours'!G155*Peak!M156*'Peak Hours'!$Y155)</f>
        <v>2214149.3878963697</v>
      </c>
      <c r="H155" s="177">
        <f>IF($A$1="BL",0,'Peak Hours'!H155*Peak!N156*'Peak Hours'!$Y155)</f>
        <v>1945461.6752417358</v>
      </c>
      <c r="I155" s="177">
        <f>IF($A$1="BL",0,'Peak Hours'!I155*Peak!O156*'Peak Hours'!$Y155)</f>
        <v>1508614.1459514496</v>
      </c>
      <c r="J155" s="177">
        <f>IF($A$1="BL",0,'Peak Hours'!J155*Peak!P156*'Peak Hours'!$Y155)</f>
        <v>1252014.9233532154</v>
      </c>
      <c r="K155" s="177">
        <f>IF($A$1="BL",0,'Peak Hours'!K155*Peak!Q156*'Peak Hours'!$Y155)</f>
        <v>1190979.5343855042</v>
      </c>
      <c r="L155" s="177">
        <f>IF($A$1="BL",0,'Peak Hours'!L155*Peak!R156*'Peak Hours'!$Y155)</f>
        <v>0</v>
      </c>
      <c r="M155" s="177">
        <f>IF($A$1="BL",0,'Peak Hours'!M155*Peak!S156*'Peak Hours'!$Y155)</f>
        <v>0</v>
      </c>
      <c r="N155" s="177">
        <f>IF($A$1="BL",0,'Peak Hours'!N155*Peak!T156*'Peak Hours'!$Y155)</f>
        <v>0</v>
      </c>
      <c r="O155" s="177">
        <f>IF($A$1="BL",0,'Peak Hours'!O155*Peak!U156*'Peak Hours'!$Y155)</f>
        <v>0</v>
      </c>
      <c r="P155" s="177">
        <f>IF($A$1="BL",0,'Peak Hours'!P155*Peak!V156*'Peak Hours'!$Y155)</f>
        <v>0</v>
      </c>
      <c r="Q155" s="177">
        <f>IF($A$1="BL",0,'Peak Hours'!Q155*Peak!W156*'Peak Hours'!$Y155)</f>
        <v>0</v>
      </c>
      <c r="R155" s="177">
        <f>IF($A$1="BL",0,'Peak Hours'!R155*Peak!X156*'Peak Hours'!$Y155)</f>
        <v>0</v>
      </c>
      <c r="S155" s="177">
        <f>IF($A$1="BL",0,'Peak Hours'!S155*Peak!Y156*'Peak Hours'!$Y155)</f>
        <v>0</v>
      </c>
      <c r="T155" s="177">
        <f>IF($A$1="BL",0,'Peak Hours'!T155*Peak!Z156*'Peak Hours'!$Y155)</f>
        <v>0</v>
      </c>
      <c r="U155" s="177">
        <f>IF($A$1="BL",0,'Peak Hours'!U155*Peak!AA156*'Peak Hours'!$Y155)</f>
        <v>0</v>
      </c>
      <c r="V155" s="207"/>
      <c r="W155" s="203">
        <f>(IF($A$1="BL",0,Peak!C156*'Peak Hours'!V155*'Peak Hours'!$Y155))*-1</f>
        <v>-7270151.7684670473</v>
      </c>
      <c r="X155" s="207"/>
      <c r="Y155" s="203">
        <f>(IF($A$1="bl",0,Peak!D156*'Peak Hours'!V155*'Peak Hours'!$Y155))*-1</f>
        <v>-130061.53605034509</v>
      </c>
      <c r="Z155" s="207"/>
      <c r="AA155" s="203">
        <f>(Peak!E156*'Peak Hours'!V155*'Peak Hours'!$Y155)*-1</f>
        <v>0</v>
      </c>
      <c r="AB155" s="204"/>
      <c r="AC155" s="203">
        <f>(Peak!F156*'Peak Hours'!V155*'Peak Hours'!$Y155)*-1</f>
        <v>0</v>
      </c>
      <c r="AD155" s="204"/>
    </row>
    <row r="156" spans="1:30" x14ac:dyDescent="0.2">
      <c r="A156" s="1">
        <f t="shared" si="2"/>
        <v>40980.882000000187</v>
      </c>
      <c r="B156" s="177">
        <f>IF($A$1="BL",0,'Peak Hours'!B156*Peak!H157*'Peak Hours'!$Y156)</f>
        <v>355252.95494991227</v>
      </c>
      <c r="C156" s="177">
        <f>IF($A$1="BL",0,'Peak Hours'!C156*Peak!I157*'Peak Hours'!$Y156)</f>
        <v>314299.98963172251</v>
      </c>
      <c r="D156" s="177">
        <f>IF($A$1="BL",0,'Peak Hours'!D156*Peak!J157*'Peak Hours'!$Y156)</f>
        <v>599686.44001057383</v>
      </c>
      <c r="E156" s="177">
        <f>IF($A$1="BL",0,'Peak Hours'!E156*Peak!K157*'Peak Hours'!$Y156)</f>
        <v>1120478.9645610072</v>
      </c>
      <c r="F156" s="177">
        <f>IF($A$1="BL",0,'Peak Hours'!F156*Peak!L157*'Peak Hours'!$Y156)</f>
        <v>1051004.0905722487</v>
      </c>
      <c r="G156" s="177">
        <f>IF($A$1="BL",0,'Peak Hours'!G156*Peak!M157*'Peak Hours'!$Y156)</f>
        <v>2093498.8402946719</v>
      </c>
      <c r="H156" s="177">
        <f>IF($A$1="BL",0,'Peak Hours'!H156*Peak!N157*'Peak Hours'!$Y156)</f>
        <v>1802030.4154782407</v>
      </c>
      <c r="I156" s="177">
        <f>IF($A$1="BL",0,'Peak Hours'!I156*Peak!O157*'Peak Hours'!$Y156)</f>
        <v>1444399.3193956774</v>
      </c>
      <c r="J156" s="177">
        <f>IF($A$1="BL",0,'Peak Hours'!J156*Peak!P157*'Peak Hours'!$Y156)</f>
        <v>1191464.2599108578</v>
      </c>
      <c r="K156" s="177">
        <f>IF($A$1="BL",0,'Peak Hours'!K156*Peak!Q157*'Peak Hours'!$Y156)</f>
        <v>1180435.4866810737</v>
      </c>
      <c r="L156" s="177">
        <f>IF($A$1="BL",0,'Peak Hours'!L156*Peak!R157*'Peak Hours'!$Y156)</f>
        <v>0</v>
      </c>
      <c r="M156" s="177">
        <f>IF($A$1="BL",0,'Peak Hours'!M156*Peak!S157*'Peak Hours'!$Y156)</f>
        <v>0</v>
      </c>
      <c r="N156" s="177">
        <f>IF($A$1="BL",0,'Peak Hours'!N156*Peak!T157*'Peak Hours'!$Y156)</f>
        <v>0</v>
      </c>
      <c r="O156" s="177">
        <f>IF($A$1="BL",0,'Peak Hours'!O156*Peak!U157*'Peak Hours'!$Y156)</f>
        <v>0</v>
      </c>
      <c r="P156" s="177">
        <f>IF($A$1="BL",0,'Peak Hours'!P156*Peak!V157*'Peak Hours'!$Y156)</f>
        <v>0</v>
      </c>
      <c r="Q156" s="177">
        <f>IF($A$1="BL",0,'Peak Hours'!Q156*Peak!W157*'Peak Hours'!$Y156)</f>
        <v>0</v>
      </c>
      <c r="R156" s="177">
        <f>IF($A$1="BL",0,'Peak Hours'!R156*Peak!X157*'Peak Hours'!$Y156)</f>
        <v>0</v>
      </c>
      <c r="S156" s="177">
        <f>IF($A$1="BL",0,'Peak Hours'!S156*Peak!Y157*'Peak Hours'!$Y156)</f>
        <v>0</v>
      </c>
      <c r="T156" s="177">
        <f>IF($A$1="BL",0,'Peak Hours'!T156*Peak!Z157*'Peak Hours'!$Y156)</f>
        <v>0</v>
      </c>
      <c r="U156" s="177">
        <f>IF($A$1="BL",0,'Peak Hours'!U156*Peak!AA157*'Peak Hours'!$Y156)</f>
        <v>0</v>
      </c>
      <c r="V156" s="207"/>
      <c r="W156" s="203">
        <f>(IF($A$1="BL",0,Peak!C157*'Peak Hours'!V156*'Peak Hours'!$Y156))*-1</f>
        <v>-7346835.9807392247</v>
      </c>
      <c r="X156" s="207"/>
      <c r="Y156" s="203">
        <f>(IF($A$1="bl",0,Peak!D157*'Peak Hours'!V156*'Peak Hours'!$Y156))*-1</f>
        <v>-133904.05804680492</v>
      </c>
      <c r="Z156" s="207"/>
      <c r="AA156" s="203">
        <f>(Peak!E157*'Peak Hours'!V156*'Peak Hours'!$Y156)*-1</f>
        <v>0</v>
      </c>
      <c r="AB156" s="204"/>
      <c r="AC156" s="203">
        <f>(Peak!F157*'Peak Hours'!V156*'Peak Hours'!$Y156)*-1</f>
        <v>0</v>
      </c>
      <c r="AD156" s="204"/>
    </row>
    <row r="157" spans="1:30" x14ac:dyDescent="0.2">
      <c r="A157" s="1">
        <f t="shared" si="2"/>
        <v>41011.299000000188</v>
      </c>
      <c r="B157" s="177">
        <f>IF($A$1="BL",0,'Peak Hours'!B157*Peak!H158*'Peak Hours'!$Y157)</f>
        <v>266222.90675635793</v>
      </c>
      <c r="C157" s="177">
        <f>IF($A$1="BL",0,'Peak Hours'!C157*Peak!I158*'Peak Hours'!$Y157)</f>
        <v>260688.03850217201</v>
      </c>
      <c r="D157" s="177">
        <f>IF($A$1="BL",0,'Peak Hours'!D157*Peak!J158*'Peak Hours'!$Y157)</f>
        <v>521376.07700434403</v>
      </c>
      <c r="E157" s="177">
        <f>IF($A$1="BL",0,'Peak Hours'!E157*Peak!K158*'Peak Hours'!$Y157)</f>
        <v>957733.82961457584</v>
      </c>
      <c r="F157" s="177">
        <f>IF($A$1="BL",0,'Peak Hours'!F157*Peak!L158*'Peak Hours'!$Y157)</f>
        <v>726371.70842443814</v>
      </c>
      <c r="G157" s="177">
        <f>IF($A$1="BL",0,'Peak Hours'!G157*Peak!M158*'Peak Hours'!$Y157)</f>
        <v>1345702.0415690856</v>
      </c>
      <c r="H157" s="177">
        <f>IF($A$1="BL",0,'Peak Hours'!H157*Peak!N158*'Peak Hours'!$Y157)</f>
        <v>1176447.7565400347</v>
      </c>
      <c r="I157" s="177">
        <f>IF($A$1="BL",0,'Peak Hours'!I157*Peak!O158*'Peak Hours'!$Y157)</f>
        <v>1167715.0576709099</v>
      </c>
      <c r="J157" s="177">
        <f>IF($A$1="BL",0,'Peak Hours'!J157*Peak!P158*'Peak Hours'!$Y157)</f>
        <v>0</v>
      </c>
      <c r="K157" s="177">
        <f>IF($A$1="BL",0,'Peak Hours'!K157*Peak!Q158*'Peak Hours'!$Y157)</f>
        <v>0</v>
      </c>
      <c r="L157" s="177">
        <f>IF($A$1="BL",0,'Peak Hours'!L157*Peak!R158*'Peak Hours'!$Y157)</f>
        <v>0</v>
      </c>
      <c r="M157" s="177">
        <f>IF($A$1="BL",0,'Peak Hours'!M157*Peak!S158*'Peak Hours'!$Y157)</f>
        <v>0</v>
      </c>
      <c r="N157" s="177">
        <f>IF($A$1="BL",0,'Peak Hours'!N157*Peak!T158*'Peak Hours'!$Y157)</f>
        <v>0</v>
      </c>
      <c r="O157" s="177">
        <f>IF($A$1="BL",0,'Peak Hours'!O157*Peak!U158*'Peak Hours'!$Y157)</f>
        <v>0</v>
      </c>
      <c r="P157" s="177">
        <f>IF($A$1="BL",0,'Peak Hours'!P157*Peak!V158*'Peak Hours'!$Y157)</f>
        <v>0</v>
      </c>
      <c r="Q157" s="177">
        <f>IF($A$1="BL",0,'Peak Hours'!Q157*Peak!W158*'Peak Hours'!$Y157)</f>
        <v>0</v>
      </c>
      <c r="R157" s="177">
        <f>IF($A$1="BL",0,'Peak Hours'!R157*Peak!X158*'Peak Hours'!$Y157)</f>
        <v>0</v>
      </c>
      <c r="S157" s="177">
        <f>IF($A$1="BL",0,'Peak Hours'!S157*Peak!Y158*'Peak Hours'!$Y157)</f>
        <v>0</v>
      </c>
      <c r="T157" s="177">
        <f>IF($A$1="BL",0,'Peak Hours'!T157*Peak!Z158*'Peak Hours'!$Y157)</f>
        <v>0</v>
      </c>
      <c r="U157" s="177">
        <f>IF($A$1="BL",0,'Peak Hours'!U157*Peak!AA158*'Peak Hours'!$Y157)</f>
        <v>0</v>
      </c>
      <c r="V157" s="207"/>
      <c r="W157" s="203">
        <f>(IF($A$1="BL",0,Peak!C158*'Peak Hours'!V157*'Peak Hours'!$Y157))*-1</f>
        <v>-4835539.3914399557</v>
      </c>
      <c r="X157" s="207"/>
      <c r="Y157" s="203">
        <f>(IF($A$1="bl",0,Peak!D158*'Peak Hours'!V157*'Peak Hours'!$Y157))*-1</f>
        <v>-92857.314099380485</v>
      </c>
      <c r="Z157" s="207"/>
      <c r="AA157" s="203">
        <f>(Peak!E158*'Peak Hours'!V157*'Peak Hours'!$Y157)*-1</f>
        <v>0</v>
      </c>
      <c r="AB157" s="204"/>
      <c r="AC157" s="203">
        <f>(Peak!F158*'Peak Hours'!V157*'Peak Hours'!$Y157)*-1</f>
        <v>0</v>
      </c>
      <c r="AD157" s="204"/>
    </row>
    <row r="158" spans="1:30" x14ac:dyDescent="0.2">
      <c r="A158" s="1">
        <f t="shared" si="2"/>
        <v>41041.71600000019</v>
      </c>
      <c r="B158" s="177">
        <f>IF($A$1="BL",0,'Peak Hours'!B158*Peak!H159*'Peak Hours'!$Y158)</f>
        <v>519580.04610341322</v>
      </c>
      <c r="C158" s="177">
        <f>IF($A$1="BL",0,'Peak Hours'!C158*Peak!I159*'Peak Hours'!$Y158)</f>
        <v>446986.46144541062</v>
      </c>
      <c r="D158" s="177">
        <f>IF($A$1="BL",0,'Peak Hours'!D158*Peak!J159*'Peak Hours'!$Y158)</f>
        <v>558330.98856034607</v>
      </c>
      <c r="E158" s="177">
        <f>IF($A$1="BL",0,'Peak Hours'!E158*Peak!K159*'Peak Hours'!$Y158)</f>
        <v>970205.20719508571</v>
      </c>
      <c r="F158" s="177">
        <f>IF($A$1="BL",0,'Peak Hours'!F158*Peak!L159*'Peak Hours'!$Y158)</f>
        <v>917065.83107874345</v>
      </c>
      <c r="G158" s="177">
        <f>IF($A$1="BL",0,'Peak Hours'!G158*Peak!M159*'Peak Hours'!$Y158)</f>
        <v>1703964.2287160358</v>
      </c>
      <c r="H158" s="177">
        <f>IF($A$1="BL",0,'Peak Hours'!H158*Peak!N159*'Peak Hours'!$Y158)</f>
        <v>1667612.6364403176</v>
      </c>
      <c r="I158" s="177">
        <f>IF($A$1="BL",0,'Peak Hours'!I158*Peak!O159*'Peak Hours'!$Y158)</f>
        <v>1375677.1799520031</v>
      </c>
      <c r="J158" s="177">
        <f>IF($A$1="BL",0,'Peak Hours'!J158*Peak!P159*'Peak Hours'!$Y158)</f>
        <v>1166338.813322817</v>
      </c>
      <c r="K158" s="177">
        <f>IF($A$1="BL",0,'Peak Hours'!K158*Peak!Q159*'Peak Hours'!$Y158)</f>
        <v>0</v>
      </c>
      <c r="L158" s="177">
        <f>IF($A$1="BL",0,'Peak Hours'!L158*Peak!R159*'Peak Hours'!$Y158)</f>
        <v>0</v>
      </c>
      <c r="M158" s="177">
        <f>IF($A$1="BL",0,'Peak Hours'!M158*Peak!S159*'Peak Hours'!$Y158)</f>
        <v>0</v>
      </c>
      <c r="N158" s="177">
        <f>IF($A$1="BL",0,'Peak Hours'!N158*Peak!T159*'Peak Hours'!$Y158)</f>
        <v>0</v>
      </c>
      <c r="O158" s="177">
        <f>IF($A$1="BL",0,'Peak Hours'!O158*Peak!U159*'Peak Hours'!$Y158)</f>
        <v>0</v>
      </c>
      <c r="P158" s="177">
        <f>IF($A$1="BL",0,'Peak Hours'!P158*Peak!V159*'Peak Hours'!$Y158)</f>
        <v>0</v>
      </c>
      <c r="Q158" s="177">
        <f>IF($A$1="BL",0,'Peak Hours'!Q158*Peak!W159*'Peak Hours'!$Y158)</f>
        <v>0</v>
      </c>
      <c r="R158" s="177">
        <f>IF($A$1="BL",0,'Peak Hours'!R158*Peak!X159*'Peak Hours'!$Y158)</f>
        <v>0</v>
      </c>
      <c r="S158" s="177">
        <f>IF($A$1="BL",0,'Peak Hours'!S158*Peak!Y159*'Peak Hours'!$Y158)</f>
        <v>0</v>
      </c>
      <c r="T158" s="177">
        <f>IF($A$1="BL",0,'Peak Hours'!T158*Peak!Z159*'Peak Hours'!$Y158)</f>
        <v>0</v>
      </c>
      <c r="U158" s="177">
        <f>IF($A$1="BL",0,'Peak Hours'!U158*Peak!AA159*'Peak Hours'!$Y158)</f>
        <v>0</v>
      </c>
      <c r="V158" s="207"/>
      <c r="W158" s="203">
        <f>(IF($A$1="BL",0,Peak!C159*'Peak Hours'!V158*'Peak Hours'!$Y158))*-1</f>
        <v>-6222807.6001540637</v>
      </c>
      <c r="X158" s="207"/>
      <c r="Y158" s="203">
        <f>(IF($A$1="bl",0,Peak!D159*'Peak Hours'!V158*'Peak Hours'!$Y158))*-1</f>
        <v>-113681.42657611195</v>
      </c>
      <c r="Z158" s="207"/>
      <c r="AA158" s="203">
        <f>(Peak!E159*'Peak Hours'!V158*'Peak Hours'!$Y158)*-1</f>
        <v>0</v>
      </c>
      <c r="AB158" s="204"/>
      <c r="AC158" s="203">
        <f>(Peak!F159*'Peak Hours'!V158*'Peak Hours'!$Y158)*-1</f>
        <v>0</v>
      </c>
      <c r="AD158" s="204"/>
    </row>
    <row r="159" spans="1:30" x14ac:dyDescent="0.2">
      <c r="A159" s="1">
        <f t="shared" si="2"/>
        <v>41072.133000000191</v>
      </c>
      <c r="B159" s="177">
        <f>IF($A$1="BL",0,'Peak Hours'!B159*Peak!H160*'Peak Hours'!$Y159)</f>
        <v>658686.28738203354</v>
      </c>
      <c r="C159" s="177">
        <f>IF($A$1="BL",0,'Peak Hours'!C159*Peak!I160*'Peak Hours'!$Y159)</f>
        <v>597508.70077562483</v>
      </c>
      <c r="D159" s="177">
        <f>IF($A$1="BL",0,'Peak Hours'!D159*Peak!J160*'Peak Hours'!$Y159)</f>
        <v>1090723.6954550506</v>
      </c>
      <c r="E159" s="177">
        <f>IF($A$1="BL",0,'Peak Hours'!E159*Peak!K160*'Peak Hours'!$Y159)</f>
        <v>1825571.179459213</v>
      </c>
      <c r="F159" s="177">
        <f>IF($A$1="BL",0,'Peak Hours'!F159*Peak!L160*'Peak Hours'!$Y159)</f>
        <v>1225959.3691410022</v>
      </c>
      <c r="G159" s="177">
        <f>IF($A$1="BL",0,'Peak Hours'!G159*Peak!M160*'Peak Hours'!$Y159)</f>
        <v>2135358.8097228543</v>
      </c>
      <c r="H159" s="177">
        <f>IF($A$1="BL",0,'Peak Hours'!H159*Peak!N160*'Peak Hours'!$Y159)</f>
        <v>1437992.8223372092</v>
      </c>
      <c r="I159" s="177">
        <f>IF($A$1="BL",0,'Peak Hours'!I159*Peak!O160*'Peak Hours'!$Y159)</f>
        <v>1274069.3422594639</v>
      </c>
      <c r="J159" s="177">
        <f>IF($A$1="BL",0,'Peak Hours'!J159*Peak!P160*'Peak Hours'!$Y159)</f>
        <v>1142537.8589201947</v>
      </c>
      <c r="K159" s="177">
        <f>IF($A$1="BL",0,'Peak Hours'!K159*Peak!Q160*'Peak Hours'!$Y159)</f>
        <v>1125421.4512600121</v>
      </c>
      <c r="L159" s="177">
        <f>IF($A$1="BL",0,'Peak Hours'!L159*Peak!R160*'Peak Hours'!$Y159)</f>
        <v>0</v>
      </c>
      <c r="M159" s="177">
        <f>IF($A$1="BL",0,'Peak Hours'!M159*Peak!S160*'Peak Hours'!$Y159)</f>
        <v>0</v>
      </c>
      <c r="N159" s="177">
        <f>IF($A$1="BL",0,'Peak Hours'!N159*Peak!T160*'Peak Hours'!$Y159)</f>
        <v>0</v>
      </c>
      <c r="O159" s="177">
        <f>IF($A$1="BL",0,'Peak Hours'!O159*Peak!U160*'Peak Hours'!$Y159)</f>
        <v>0</v>
      </c>
      <c r="P159" s="177">
        <f>IF($A$1="BL",0,'Peak Hours'!P159*Peak!V160*'Peak Hours'!$Y159)</f>
        <v>0</v>
      </c>
      <c r="Q159" s="177">
        <f>IF($A$1="BL",0,'Peak Hours'!Q159*Peak!W160*'Peak Hours'!$Y159)</f>
        <v>0</v>
      </c>
      <c r="R159" s="177">
        <f>IF($A$1="BL",0,'Peak Hours'!R159*Peak!X160*'Peak Hours'!$Y159)</f>
        <v>0</v>
      </c>
      <c r="S159" s="177">
        <f>IF($A$1="BL",0,'Peak Hours'!S159*Peak!Y160*'Peak Hours'!$Y159)</f>
        <v>0</v>
      </c>
      <c r="T159" s="177">
        <f>IF($A$1="BL",0,'Peak Hours'!T159*Peak!Z160*'Peak Hours'!$Y159)</f>
        <v>0</v>
      </c>
      <c r="U159" s="177">
        <f>IF($A$1="BL",0,'Peak Hours'!U159*Peak!AA160*'Peak Hours'!$Y159)</f>
        <v>0</v>
      </c>
      <c r="V159" s="207"/>
      <c r="W159" s="203">
        <f>(IF($A$1="BL",0,Peak!C160*'Peak Hours'!V159*'Peak Hours'!$Y159))*-1</f>
        <v>-7125746.6210954087</v>
      </c>
      <c r="X159" s="207"/>
      <c r="Y159" s="203">
        <f>(IF($A$1="bl",0,Peak!D160*'Peak Hours'!V159*'Peak Hours'!$Y159))*-1</f>
        <v>-136858.40743510332</v>
      </c>
      <c r="Z159" s="207"/>
      <c r="AA159" s="203">
        <f>(Peak!E160*'Peak Hours'!V159*'Peak Hours'!$Y159)*-1</f>
        <v>0</v>
      </c>
      <c r="AB159" s="204"/>
      <c r="AC159" s="203">
        <f>(Peak!F160*'Peak Hours'!V159*'Peak Hours'!$Y159)*-1</f>
        <v>0</v>
      </c>
      <c r="AD159" s="204"/>
    </row>
    <row r="160" spans="1:30" x14ac:dyDescent="0.2">
      <c r="A160" s="1">
        <f t="shared" si="2"/>
        <v>41102.550000000192</v>
      </c>
      <c r="B160" s="177">
        <f>IF($A$1="BL",0,'Peak Hours'!B160*Peak!H161*'Peak Hours'!$Y160)</f>
        <v>775956.23116437311</v>
      </c>
      <c r="C160" s="177">
        <f>IF($A$1="BL",0,'Peak Hours'!C160*Peak!I161*'Peak Hours'!$Y160)</f>
        <v>682058.56862132484</v>
      </c>
      <c r="D160" s="177">
        <f>IF($A$1="BL",0,'Peak Hours'!D160*Peak!J161*'Peak Hours'!$Y160)</f>
        <v>1234985.2536272616</v>
      </c>
      <c r="E160" s="177">
        <f>IF($A$1="BL",0,'Peak Hours'!E160*Peak!K161*'Peak Hours'!$Y160)</f>
        <v>2182612.9910380729</v>
      </c>
      <c r="F160" s="177">
        <f>IF($A$1="BL",0,'Peak Hours'!F160*Peak!L161*'Peak Hours'!$Y160)</f>
        <v>1990334.1158623858</v>
      </c>
      <c r="G160" s="177">
        <f>IF($A$1="BL",0,'Peak Hours'!G160*Peak!M161*'Peak Hours'!$Y160)</f>
        <v>2718479.487056321</v>
      </c>
      <c r="H160" s="177">
        <f>IF($A$1="BL",0,'Peak Hours'!H160*Peak!N161*'Peak Hours'!$Y160)</f>
        <v>2308380.0161090037</v>
      </c>
      <c r="I160" s="177">
        <f>IF($A$1="BL",0,'Peak Hours'!I160*Peak!O161*'Peak Hours'!$Y160)</f>
        <v>2198161.2220034706</v>
      </c>
      <c r="J160" s="177">
        <f>IF($A$1="BL",0,'Peak Hours'!J160*Peak!P161*'Peak Hours'!$Y160)</f>
        <v>1903655.8743606433</v>
      </c>
      <c r="K160" s="177">
        <f>IF($A$1="BL",0,'Peak Hours'!K160*Peak!Q161*'Peak Hours'!$Y160)</f>
        <v>1463908.8515548753</v>
      </c>
      <c r="L160" s="177">
        <f>IF($A$1="BL",0,'Peak Hours'!L160*Peak!R161*'Peak Hours'!$Y160)</f>
        <v>1242653.9899509926</v>
      </c>
      <c r="M160" s="177">
        <f>IF($A$1="BL",0,'Peak Hours'!M160*Peak!S161*'Peak Hours'!$Y160)</f>
        <v>1192778.5754825096</v>
      </c>
      <c r="N160" s="177">
        <f>IF($A$1="BL",0,'Peak Hours'!N160*Peak!T161*'Peak Hours'!$Y160)</f>
        <v>0</v>
      </c>
      <c r="O160" s="177">
        <f>IF($A$1="BL",0,'Peak Hours'!O160*Peak!U161*'Peak Hours'!$Y160)</f>
        <v>0</v>
      </c>
      <c r="P160" s="177">
        <f>IF($A$1="BL",0,'Peak Hours'!P160*Peak!V161*'Peak Hours'!$Y160)</f>
        <v>0</v>
      </c>
      <c r="Q160" s="177">
        <f>IF($A$1="BL",0,'Peak Hours'!Q160*Peak!W161*'Peak Hours'!$Y160)</f>
        <v>0</v>
      </c>
      <c r="R160" s="177">
        <f>IF($A$1="BL",0,'Peak Hours'!R160*Peak!X161*'Peak Hours'!$Y160)</f>
        <v>0</v>
      </c>
      <c r="S160" s="177">
        <f>IF($A$1="BL",0,'Peak Hours'!S160*Peak!Y161*'Peak Hours'!$Y160)</f>
        <v>0</v>
      </c>
      <c r="T160" s="177">
        <f>IF($A$1="BL",0,'Peak Hours'!T160*Peak!Z161*'Peak Hours'!$Y160)</f>
        <v>0</v>
      </c>
      <c r="U160" s="177">
        <f>IF($A$1="BL",0,'Peak Hours'!U160*Peak!AA161*'Peak Hours'!$Y160)</f>
        <v>0</v>
      </c>
      <c r="V160" s="207"/>
      <c r="W160" s="203">
        <f>(IF($A$1="BL",0,Peak!C161*'Peak Hours'!V160*'Peak Hours'!$Y160))*-1</f>
        <v>-9288795.8023286052</v>
      </c>
      <c r="X160" s="207"/>
      <c r="Y160" s="203">
        <f>(IF($A$1="bl",0,Peak!D161*'Peak Hours'!V160*'Peak Hours'!$Y160))*-1</f>
        <v>-179266.9677903142</v>
      </c>
      <c r="Z160" s="207"/>
      <c r="AA160" s="203">
        <f>(Peak!E161*'Peak Hours'!V160*'Peak Hours'!$Y160)*-1</f>
        <v>0</v>
      </c>
      <c r="AB160" s="204"/>
      <c r="AC160" s="203">
        <f>(Peak!F161*'Peak Hours'!V160*'Peak Hours'!$Y160)*-1</f>
        <v>0</v>
      </c>
      <c r="AD160" s="204"/>
    </row>
    <row r="161" spans="1:30" x14ac:dyDescent="0.2">
      <c r="A161" s="1">
        <f t="shared" si="2"/>
        <v>41132.967000000193</v>
      </c>
      <c r="B161" s="177">
        <f>IF($A$1="BL",0,'Peak Hours'!B161*Peak!H162*'Peak Hours'!$Y161)</f>
        <v>1546641.0680151628</v>
      </c>
      <c r="C161" s="177">
        <f>IF($A$1="BL",0,'Peak Hours'!C161*Peak!I162*'Peak Hours'!$Y161)</f>
        <v>987740.40793854173</v>
      </c>
      <c r="D161" s="177">
        <f>IF($A$1="BL",0,'Peak Hours'!D161*Peak!J162*'Peak Hours'!$Y161)</f>
        <v>1650095.8533381596</v>
      </c>
      <c r="E161" s="177">
        <f>IF($A$1="BL",0,'Peak Hours'!E161*Peak!K162*'Peak Hours'!$Y161)</f>
        <v>2831446.5724790096</v>
      </c>
      <c r="F161" s="177">
        <f>IF($A$1="BL",0,'Peak Hours'!F161*Peak!L162*'Peak Hours'!$Y161)</f>
        <v>2459987.0533604603</v>
      </c>
      <c r="G161" s="177">
        <f>IF($A$1="BL",0,'Peak Hours'!G161*Peak!M162*'Peak Hours'!$Y161)</f>
        <v>4271243.5365575626</v>
      </c>
      <c r="H161" s="177">
        <f>IF($A$1="BL",0,'Peak Hours'!H161*Peak!N162*'Peak Hours'!$Y161)</f>
        <v>2846963.9962123795</v>
      </c>
      <c r="I161" s="177">
        <f>IF($A$1="BL",0,'Peak Hours'!I161*Peak!O162*'Peak Hours'!$Y161)</f>
        <v>1566011.1160689455</v>
      </c>
      <c r="J161" s="177">
        <f>IF($A$1="BL",0,'Peak Hours'!J161*Peak!P162*'Peak Hours'!$Y161)</f>
        <v>1338398.3797964719</v>
      </c>
      <c r="K161" s="177">
        <f>IF($A$1="BL",0,'Peak Hours'!K161*Peak!Q162*'Peak Hours'!$Y161)</f>
        <v>1228117.5169498145</v>
      </c>
      <c r="L161" s="177">
        <f>IF($A$1="BL",0,'Peak Hours'!L161*Peak!R162*'Peak Hours'!$Y161)</f>
        <v>1154484.4150369109</v>
      </c>
      <c r="M161" s="177">
        <f>IF($A$1="BL",0,'Peak Hours'!M161*Peak!S162*'Peak Hours'!$Y161)</f>
        <v>1059935.7450922693</v>
      </c>
      <c r="N161" s="177">
        <f>IF($A$1="BL",0,'Peak Hours'!N161*Peak!T162*'Peak Hours'!$Y161)</f>
        <v>0</v>
      </c>
      <c r="O161" s="177">
        <f>IF($A$1="BL",0,'Peak Hours'!O161*Peak!U162*'Peak Hours'!$Y161)</f>
        <v>0</v>
      </c>
      <c r="P161" s="177">
        <f>IF($A$1="BL",0,'Peak Hours'!P161*Peak!V162*'Peak Hours'!$Y161)</f>
        <v>0</v>
      </c>
      <c r="Q161" s="177">
        <f>IF($A$1="BL",0,'Peak Hours'!Q161*Peak!W162*'Peak Hours'!$Y161)</f>
        <v>0</v>
      </c>
      <c r="R161" s="177">
        <f>IF($A$1="BL",0,'Peak Hours'!R161*Peak!X162*'Peak Hours'!$Y161)</f>
        <v>0</v>
      </c>
      <c r="S161" s="177">
        <f>IF($A$1="BL",0,'Peak Hours'!S161*Peak!Y162*'Peak Hours'!$Y161)</f>
        <v>0</v>
      </c>
      <c r="T161" s="177">
        <f>IF($A$1="BL",0,'Peak Hours'!T161*Peak!Z162*'Peak Hours'!$Y161)</f>
        <v>0</v>
      </c>
      <c r="U161" s="177">
        <f>IF($A$1="BL",0,'Peak Hours'!U161*Peak!AA162*'Peak Hours'!$Y161)</f>
        <v>0</v>
      </c>
      <c r="V161" s="207"/>
      <c r="W161" s="203">
        <f>(IF($A$1="BL",0,Peak!C162*'Peak Hours'!V161*'Peak Hours'!$Y161))*-1</f>
        <v>-8807154.5385041591</v>
      </c>
      <c r="X161" s="207"/>
      <c r="Y161" s="203">
        <f>(IF($A$1="bl",0,Peak!D162*'Peak Hours'!V161*'Peak Hours'!$Y161))*-1</f>
        <v>-179565.74606996472</v>
      </c>
      <c r="Z161" s="207"/>
      <c r="AA161" s="203">
        <f>(Peak!E162*'Peak Hours'!V161*'Peak Hours'!$Y161)*-1</f>
        <v>0</v>
      </c>
      <c r="AB161" s="204"/>
      <c r="AC161" s="203">
        <f>(Peak!F162*'Peak Hours'!V161*'Peak Hours'!$Y161)*-1</f>
        <v>0</v>
      </c>
      <c r="AD161" s="204"/>
    </row>
    <row r="162" spans="1:30" x14ac:dyDescent="0.2">
      <c r="A162" s="1">
        <f t="shared" si="2"/>
        <v>41163.384000000195</v>
      </c>
      <c r="B162" s="177">
        <f>IF($A$1="BL",0,'Peak Hours'!B162*Peak!H163*'Peak Hours'!$Y162)</f>
        <v>592065.55879711045</v>
      </c>
      <c r="C162" s="177">
        <f>IF($A$1="BL",0,'Peak Hours'!C162*Peak!I163*'Peak Hours'!$Y162)</f>
        <v>534799.2104716429</v>
      </c>
      <c r="D162" s="177">
        <f>IF($A$1="BL",0,'Peak Hours'!D162*Peak!J163*'Peak Hours'!$Y162)</f>
        <v>1008058.0792139169</v>
      </c>
      <c r="E162" s="177">
        <f>IF($A$1="BL",0,'Peak Hours'!E162*Peak!K163*'Peak Hours'!$Y162)</f>
        <v>1218237.9183188563</v>
      </c>
      <c r="F162" s="177">
        <f>IF($A$1="BL",0,'Peak Hours'!F162*Peak!L163*'Peak Hours'!$Y162)</f>
        <v>1026722.9740626168</v>
      </c>
      <c r="G162" s="177">
        <f>IF($A$1="BL",0,'Peak Hours'!G162*Peak!M163*'Peak Hours'!$Y162)</f>
        <v>1970404.5610546824</v>
      </c>
      <c r="H162" s="177">
        <f>IF($A$1="BL",0,'Peak Hours'!H162*Peak!N163*'Peak Hours'!$Y162)</f>
        <v>1452187.4080373349</v>
      </c>
      <c r="I162" s="177">
        <f>IF($A$1="BL",0,'Peak Hours'!I162*Peak!O163*'Peak Hours'!$Y162)</f>
        <v>1279107.701674358</v>
      </c>
      <c r="J162" s="177">
        <f>IF($A$1="BL",0,'Peak Hours'!J162*Peak!P163*'Peak Hours'!$Y162)</f>
        <v>1134508.7832497738</v>
      </c>
      <c r="K162" s="177">
        <f>IF($A$1="BL",0,'Peak Hours'!K162*Peak!Q163*'Peak Hours'!$Y162)</f>
        <v>1121079.6425160025</v>
      </c>
      <c r="L162" s="177">
        <f>IF($A$1="BL",0,'Peak Hours'!L162*Peak!R163*'Peak Hours'!$Y162)</f>
        <v>1080835.6143251371</v>
      </c>
      <c r="M162" s="177">
        <f>IF($A$1="BL",0,'Peak Hours'!M162*Peak!S163*'Peak Hours'!$Y162)</f>
        <v>1055595.4016418334</v>
      </c>
      <c r="N162" s="177">
        <f>IF($A$1="BL",0,'Peak Hours'!N162*Peak!T163*'Peak Hours'!$Y162)</f>
        <v>0</v>
      </c>
      <c r="O162" s="177">
        <f>IF($A$1="BL",0,'Peak Hours'!O162*Peak!U163*'Peak Hours'!$Y162)</f>
        <v>0</v>
      </c>
      <c r="P162" s="177">
        <f>IF($A$1="BL",0,'Peak Hours'!P162*Peak!V163*'Peak Hours'!$Y162)</f>
        <v>0</v>
      </c>
      <c r="Q162" s="177">
        <f>IF($A$1="BL",0,'Peak Hours'!Q162*Peak!W163*'Peak Hours'!$Y162)</f>
        <v>0</v>
      </c>
      <c r="R162" s="177">
        <f>IF($A$1="BL",0,'Peak Hours'!R162*Peak!X163*'Peak Hours'!$Y162)</f>
        <v>0</v>
      </c>
      <c r="S162" s="177">
        <f>IF($A$1="BL",0,'Peak Hours'!S162*Peak!Y163*'Peak Hours'!$Y162)</f>
        <v>0</v>
      </c>
      <c r="T162" s="177">
        <f>IF($A$1="BL",0,'Peak Hours'!T162*Peak!Z163*'Peak Hours'!$Y162)</f>
        <v>0</v>
      </c>
      <c r="U162" s="177">
        <f>IF($A$1="BL",0,'Peak Hours'!U162*Peak!AA163*'Peak Hours'!$Y162)</f>
        <v>0</v>
      </c>
      <c r="V162" s="207"/>
      <c r="W162" s="203">
        <f>(IF($A$1="BL",0,Peak!C163*'Peak Hours'!V162*'Peak Hours'!$Y162))*-1</f>
        <v>-8631196.1788888872</v>
      </c>
      <c r="X162" s="207"/>
      <c r="Y162" s="203">
        <f>(IF($A$1="bl",0,Peak!D163*'Peak Hours'!V162*'Peak Hours'!$Y162))*-1</f>
        <v>-176863.67203153652</v>
      </c>
      <c r="Z162" s="207"/>
      <c r="AA162" s="203">
        <f>(Peak!E163*'Peak Hours'!V162*'Peak Hours'!$Y162)*-1</f>
        <v>0</v>
      </c>
      <c r="AB162" s="204"/>
      <c r="AC162" s="203">
        <f>(Peak!F163*'Peak Hours'!V162*'Peak Hours'!$Y162)*-1</f>
        <v>0</v>
      </c>
      <c r="AD162" s="204"/>
    </row>
    <row r="163" spans="1:30" x14ac:dyDescent="0.2">
      <c r="A163" s="1">
        <f t="shared" si="2"/>
        <v>41193.801000000196</v>
      </c>
      <c r="B163" s="177">
        <f>IF($A$1="BL",0,'Peak Hours'!B163*Peak!H164*'Peak Hours'!$Y163)</f>
        <v>381678.61176693242</v>
      </c>
      <c r="C163" s="177">
        <f>IF($A$1="BL",0,'Peak Hours'!C163*Peak!I164*'Peak Hours'!$Y163)</f>
        <v>320563.60892465041</v>
      </c>
      <c r="D163" s="177">
        <f>IF($A$1="BL",0,'Peak Hours'!D163*Peak!J164*'Peak Hours'!$Y163)</f>
        <v>602991.60892907472</v>
      </c>
      <c r="E163" s="177">
        <f>IF($A$1="BL",0,'Peak Hours'!E163*Peak!K164*'Peak Hours'!$Y163)</f>
        <v>1057997.925529978</v>
      </c>
      <c r="F163" s="177">
        <f>IF($A$1="BL",0,'Peak Hours'!F163*Peak!L164*'Peak Hours'!$Y163)</f>
        <v>929442.13631838257</v>
      </c>
      <c r="G163" s="177">
        <f>IF($A$1="BL",0,'Peak Hours'!G163*Peak!M164*'Peak Hours'!$Y163)</f>
        <v>1743598.4627083528</v>
      </c>
      <c r="H163" s="177">
        <f>IF($A$1="BL",0,'Peak Hours'!H163*Peak!N164*'Peak Hours'!$Y163)</f>
        <v>1615570.9020693356</v>
      </c>
      <c r="I163" s="177">
        <f>IF($A$1="BL",0,'Peak Hours'!I163*Peak!O164*'Peak Hours'!$Y163)</f>
        <v>1599905.8582374258</v>
      </c>
      <c r="J163" s="177">
        <f>IF($A$1="BL",0,'Peak Hours'!J163*Peak!P164*'Peak Hours'!$Y163)</f>
        <v>1328712.2031293046</v>
      </c>
      <c r="K163" s="177">
        <f>IF($A$1="BL",0,'Peak Hours'!K163*Peak!Q164*'Peak Hours'!$Y163)</f>
        <v>1216204.7408560889</v>
      </c>
      <c r="L163" s="177">
        <f>IF($A$1="BL",0,'Peak Hours'!L163*Peak!R164*'Peak Hours'!$Y163)</f>
        <v>0</v>
      </c>
      <c r="M163" s="177">
        <f>IF($A$1="BL",0,'Peak Hours'!M163*Peak!S164*'Peak Hours'!$Y163)</f>
        <v>0</v>
      </c>
      <c r="N163" s="177">
        <f>IF($A$1="BL",0,'Peak Hours'!N163*Peak!T164*'Peak Hours'!$Y163)</f>
        <v>0</v>
      </c>
      <c r="O163" s="177">
        <f>IF($A$1="BL",0,'Peak Hours'!O163*Peak!U164*'Peak Hours'!$Y163)</f>
        <v>0</v>
      </c>
      <c r="P163" s="177">
        <f>IF($A$1="BL",0,'Peak Hours'!P163*Peak!V164*'Peak Hours'!$Y163)</f>
        <v>0</v>
      </c>
      <c r="Q163" s="177">
        <f>IF($A$1="BL",0,'Peak Hours'!Q163*Peak!W164*'Peak Hours'!$Y163)</f>
        <v>0</v>
      </c>
      <c r="R163" s="177">
        <f>IF($A$1="BL",0,'Peak Hours'!R163*Peak!X164*'Peak Hours'!$Y163)</f>
        <v>0</v>
      </c>
      <c r="S163" s="177">
        <f>IF($A$1="BL",0,'Peak Hours'!S163*Peak!Y164*'Peak Hours'!$Y163)</f>
        <v>0</v>
      </c>
      <c r="T163" s="177">
        <f>IF($A$1="BL",0,'Peak Hours'!T163*Peak!Z164*'Peak Hours'!$Y163)</f>
        <v>0</v>
      </c>
      <c r="U163" s="177">
        <f>IF($A$1="BL",0,'Peak Hours'!U163*Peak!AA164*'Peak Hours'!$Y163)</f>
        <v>0</v>
      </c>
      <c r="V163" s="207"/>
      <c r="W163" s="203">
        <f>(IF($A$1="BL",0,Peak!C164*'Peak Hours'!V163*'Peak Hours'!$Y163))*-1</f>
        <v>-7309880.0653431546</v>
      </c>
      <c r="X163" s="207"/>
      <c r="Y163" s="203">
        <f>(IF($A$1="bl",0,Peak!D164*'Peak Hours'!V163*'Peak Hours'!$Y163))*-1</f>
        <v>-135474.10486101909</v>
      </c>
      <c r="Z163" s="207"/>
      <c r="AA163" s="203">
        <f>(Peak!E164*'Peak Hours'!V163*'Peak Hours'!$Y163)*-1</f>
        <v>0</v>
      </c>
      <c r="AB163" s="204"/>
      <c r="AC163" s="203">
        <f>(Peak!F164*'Peak Hours'!V163*'Peak Hours'!$Y163)*-1</f>
        <v>0</v>
      </c>
      <c r="AD163" s="204"/>
    </row>
    <row r="164" spans="1:30" x14ac:dyDescent="0.2">
      <c r="A164" s="1">
        <f t="shared" si="2"/>
        <v>41224.218000000197</v>
      </c>
      <c r="B164" s="177">
        <f>IF($A$1="BL",0,'Peak Hours'!B164*Peak!H165*'Peak Hours'!$Y164)</f>
        <v>505470.77558260283</v>
      </c>
      <c r="C164" s="177">
        <f>IF($A$1="BL",0,'Peak Hours'!C164*Peak!I165*'Peak Hours'!$Y164)</f>
        <v>475099.35211123718</v>
      </c>
      <c r="D164" s="177">
        <f>IF($A$1="BL",0,'Peak Hours'!D164*Peak!J165*'Peak Hours'!$Y164)</f>
        <v>789193.63654872612</v>
      </c>
      <c r="E164" s="177">
        <f>IF($A$1="BL",0,'Peak Hours'!E164*Peak!K165*'Peak Hours'!$Y164)</f>
        <v>1152035.9900678114</v>
      </c>
      <c r="F164" s="177">
        <f>IF($A$1="BL",0,'Peak Hours'!F164*Peak!L165*'Peak Hours'!$Y164)</f>
        <v>1026650.8065595194</v>
      </c>
      <c r="G164" s="177">
        <f>IF($A$1="BL",0,'Peak Hours'!G164*Peak!M165*'Peak Hours'!$Y164)</f>
        <v>1957006.3300908713</v>
      </c>
      <c r="H164" s="177">
        <f>IF($A$1="BL",0,'Peak Hours'!H164*Peak!N165*'Peak Hours'!$Y164)</f>
        <v>1768939.4011887526</v>
      </c>
      <c r="I164" s="177">
        <f>IF($A$1="BL",0,'Peak Hours'!I164*Peak!O165*'Peak Hours'!$Y164)</f>
        <v>1387080.0122750117</v>
      </c>
      <c r="J164" s="177">
        <f>IF($A$1="BL",0,'Peak Hours'!J164*Peak!P165*'Peak Hours'!$Y164)</f>
        <v>1376730.0735367523</v>
      </c>
      <c r="K164" s="177">
        <f>IF($A$1="BL",0,'Peak Hours'!K164*Peak!Q165*'Peak Hours'!$Y164)</f>
        <v>1345483.9651883219</v>
      </c>
      <c r="L164" s="177">
        <f>IF($A$1="BL",0,'Peak Hours'!L164*Peak!R165*'Peak Hours'!$Y164)</f>
        <v>0</v>
      </c>
      <c r="M164" s="177">
        <f>IF($A$1="BL",0,'Peak Hours'!M164*Peak!S165*'Peak Hours'!$Y164)</f>
        <v>0</v>
      </c>
      <c r="N164" s="177">
        <f>IF($A$1="BL",0,'Peak Hours'!N164*Peak!T165*'Peak Hours'!$Y164)</f>
        <v>0</v>
      </c>
      <c r="O164" s="177">
        <f>IF($A$1="BL",0,'Peak Hours'!O164*Peak!U165*'Peak Hours'!$Y164)</f>
        <v>0</v>
      </c>
      <c r="P164" s="177">
        <f>IF($A$1="BL",0,'Peak Hours'!P164*Peak!V165*'Peak Hours'!$Y164)</f>
        <v>0</v>
      </c>
      <c r="Q164" s="177">
        <f>IF($A$1="BL",0,'Peak Hours'!Q164*Peak!W165*'Peak Hours'!$Y164)</f>
        <v>0</v>
      </c>
      <c r="R164" s="177">
        <f>IF($A$1="BL",0,'Peak Hours'!R164*Peak!X165*'Peak Hours'!$Y164)</f>
        <v>0</v>
      </c>
      <c r="S164" s="177">
        <f>IF($A$1="BL",0,'Peak Hours'!S164*Peak!Y165*'Peak Hours'!$Y164)</f>
        <v>0</v>
      </c>
      <c r="T164" s="177">
        <f>IF($A$1="BL",0,'Peak Hours'!T164*Peak!Z165*'Peak Hours'!$Y164)</f>
        <v>0</v>
      </c>
      <c r="U164" s="177">
        <f>IF($A$1="BL",0,'Peak Hours'!U164*Peak!AA165*'Peak Hours'!$Y164)</f>
        <v>0</v>
      </c>
      <c r="V164" s="207"/>
      <c r="W164" s="203">
        <f>(IF($A$1="BL",0,Peak!C165*'Peak Hours'!V164*'Peak Hours'!$Y164))*-1</f>
        <v>-8004651.2747893166</v>
      </c>
      <c r="X164" s="207"/>
      <c r="Y164" s="203">
        <f>(IF($A$1="bl",0,Peak!D165*'Peak Hours'!V164*'Peak Hours'!$Y164))*-1</f>
        <v>-135699.89503578746</v>
      </c>
      <c r="Z164" s="207"/>
      <c r="AA164" s="203">
        <f>(Peak!E165*'Peak Hours'!V164*'Peak Hours'!$Y164)*-1</f>
        <v>0</v>
      </c>
      <c r="AB164" s="204"/>
      <c r="AC164" s="203">
        <f>(Peak!F165*'Peak Hours'!V164*'Peak Hours'!$Y164)*-1</f>
        <v>0</v>
      </c>
      <c r="AD164" s="204"/>
    </row>
    <row r="165" spans="1:30" x14ac:dyDescent="0.2">
      <c r="A165" s="1">
        <f t="shared" si="2"/>
        <v>41254.635000000198</v>
      </c>
      <c r="B165" s="177">
        <f>IF($A$1="BL",0,'Peak Hours'!B165*Peak!H166*'Peak Hours'!$Y165)</f>
        <v>493781.73211291805</v>
      </c>
      <c r="C165" s="177">
        <f>IF($A$1="BL",0,'Peak Hours'!C165*Peak!I166*'Peak Hours'!$Y165)</f>
        <v>482445.6817210858</v>
      </c>
      <c r="D165" s="177">
        <f>IF($A$1="BL",0,'Peak Hours'!D165*Peak!J166*'Peak Hours'!$Y165)</f>
        <v>667858.98034743394</v>
      </c>
      <c r="E165" s="177">
        <f>IF($A$1="BL",0,'Peak Hours'!E165*Peak!K166*'Peak Hours'!$Y165)</f>
        <v>1212148.9572277279</v>
      </c>
      <c r="F165" s="177">
        <f>IF($A$1="BL",0,'Peak Hours'!F165*Peak!L166*'Peak Hours'!$Y165)</f>
        <v>1134691.0088836502</v>
      </c>
      <c r="G165" s="177">
        <f>IF($A$1="BL",0,'Peak Hours'!G165*Peak!M166*'Peak Hours'!$Y165)</f>
        <v>2190195.9745824742</v>
      </c>
      <c r="H165" s="177">
        <f>IF($A$1="BL",0,'Peak Hours'!H165*Peak!N166*'Peak Hours'!$Y165)</f>
        <v>2149378.0842925464</v>
      </c>
      <c r="I165" s="177">
        <f>IF($A$1="BL",0,'Peak Hours'!I165*Peak!O166*'Peak Hours'!$Y165)</f>
        <v>1779729.7093947004</v>
      </c>
      <c r="J165" s="177">
        <f>IF($A$1="BL",0,'Peak Hours'!J165*Peak!P166*'Peak Hours'!$Y165)</f>
        <v>1489452.2638235639</v>
      </c>
      <c r="K165" s="177">
        <f>IF($A$1="BL",0,'Peak Hours'!K165*Peak!Q166*'Peak Hours'!$Y165)</f>
        <v>0</v>
      </c>
      <c r="L165" s="177">
        <f>IF($A$1="BL",0,'Peak Hours'!L165*Peak!R166*'Peak Hours'!$Y165)</f>
        <v>0</v>
      </c>
      <c r="M165" s="177">
        <f>IF($A$1="BL",0,'Peak Hours'!M165*Peak!S166*'Peak Hours'!$Y165)</f>
        <v>0</v>
      </c>
      <c r="N165" s="177">
        <f>IF($A$1="BL",0,'Peak Hours'!N165*Peak!T166*'Peak Hours'!$Y165)</f>
        <v>0</v>
      </c>
      <c r="O165" s="177">
        <f>IF($A$1="BL",0,'Peak Hours'!O165*Peak!U166*'Peak Hours'!$Y165)</f>
        <v>0</v>
      </c>
      <c r="P165" s="177">
        <f>IF($A$1="BL",0,'Peak Hours'!P165*Peak!V166*'Peak Hours'!$Y165)</f>
        <v>0</v>
      </c>
      <c r="Q165" s="177">
        <f>IF($A$1="BL",0,'Peak Hours'!Q165*Peak!W166*'Peak Hours'!$Y165)</f>
        <v>0</v>
      </c>
      <c r="R165" s="177">
        <f>IF($A$1="BL",0,'Peak Hours'!R165*Peak!X166*'Peak Hours'!$Y165)</f>
        <v>0</v>
      </c>
      <c r="S165" s="177">
        <f>IF($A$1="BL",0,'Peak Hours'!S165*Peak!Y166*'Peak Hours'!$Y165)</f>
        <v>0</v>
      </c>
      <c r="T165" s="177">
        <f>IF($A$1="BL",0,'Peak Hours'!T165*Peak!Z166*'Peak Hours'!$Y165)</f>
        <v>0</v>
      </c>
      <c r="U165" s="177">
        <f>IF($A$1="BL",0,'Peak Hours'!U165*Peak!AA166*'Peak Hours'!$Y165)</f>
        <v>0</v>
      </c>
      <c r="V165" s="208">
        <f>SUM(B154:U165)</f>
        <v>149704969.23776889</v>
      </c>
      <c r="W165" s="203">
        <f>(IF($A$1="BL",0,Peak!C166*'Peak Hours'!V165*'Peak Hours'!$Y165))*-1</f>
        <v>-7131309.1835256191</v>
      </c>
      <c r="X165" s="208">
        <f>SUM(W154:W165)</f>
        <v>-87589725.466332853</v>
      </c>
      <c r="Y165" s="203">
        <f>(IF($A$1="bl",0,Peak!D166*'Peak Hours'!V165*'Peak Hours'!$Y165))*-1</f>
        <v>-111900.08794244587</v>
      </c>
      <c r="Z165" s="208">
        <f>SUM(Y154:Y165)</f>
        <v>-1616025.996518855</v>
      </c>
      <c r="AA165" s="203">
        <f>(Peak!E166*'Peak Hours'!V165*'Peak Hours'!$Y165)*-1</f>
        <v>0</v>
      </c>
      <c r="AB165" s="205">
        <f>SUM(AA154:AA165)</f>
        <v>0</v>
      </c>
      <c r="AC165" s="203">
        <f>(Peak!F166*'Peak Hours'!V165*'Peak Hours'!$Y165)*-1</f>
        <v>0</v>
      </c>
      <c r="AD165" s="205">
        <f>SUM(AC154:AC165)</f>
        <v>0</v>
      </c>
    </row>
    <row r="166" spans="1:30" x14ac:dyDescent="0.2">
      <c r="A166" s="1">
        <f t="shared" si="2"/>
        <v>41285.0520000002</v>
      </c>
      <c r="B166" s="177">
        <f>IF($A$1="BL",0,'Peak Hours'!B166*Peak!H167*'Peak Hours'!$Y166)</f>
        <v>345767.09606697847</v>
      </c>
      <c r="C166" s="177">
        <f>IF($A$1="BL",0,'Peak Hours'!C166*Peak!I167*'Peak Hours'!$Y166)</f>
        <v>333987.55681577139</v>
      </c>
      <c r="D166" s="177">
        <f>IF($A$1="BL",0,'Peak Hours'!D166*Peak!J167*'Peak Hours'!$Y166)</f>
        <v>639382.68310799589</v>
      </c>
      <c r="E166" s="177">
        <f>IF($A$1="BL",0,'Peak Hours'!E166*Peak!K167*'Peak Hours'!$Y166)</f>
        <v>1222663.6653532451</v>
      </c>
      <c r="F166" s="177">
        <f>IF($A$1="BL",0,'Peak Hours'!F166*Peak!L167*'Peak Hours'!$Y166)</f>
        <v>1219827.8859225626</v>
      </c>
      <c r="G166" s="177">
        <f>IF($A$1="BL",0,'Peak Hours'!G166*Peak!M167*'Peak Hours'!$Y166)</f>
        <v>2273875.8605499584</v>
      </c>
      <c r="H166" s="177">
        <f>IF($A$1="BL",0,'Peak Hours'!H166*Peak!N167*'Peak Hours'!$Y166)</f>
        <v>1658345.8998898868</v>
      </c>
      <c r="I166" s="177">
        <f>IF($A$1="BL",0,'Peak Hours'!I166*Peak!O167*'Peak Hours'!$Y166)</f>
        <v>1486670.5349801113</v>
      </c>
      <c r="J166" s="177">
        <f>IF($A$1="BL",0,'Peak Hours'!J166*Peak!P167*'Peak Hours'!$Y166)</f>
        <v>1363034.385667321</v>
      </c>
      <c r="K166" s="177">
        <f>IF($A$1="BL",0,'Peak Hours'!K166*Peak!Q167*'Peak Hours'!$Y166)</f>
        <v>0</v>
      </c>
      <c r="L166" s="177">
        <f>IF($A$1="BL",0,'Peak Hours'!L166*Peak!R167*'Peak Hours'!$Y166)</f>
        <v>0</v>
      </c>
      <c r="M166" s="177">
        <f>IF($A$1="BL",0,'Peak Hours'!M166*Peak!S167*'Peak Hours'!$Y166)</f>
        <v>0</v>
      </c>
      <c r="N166" s="177">
        <f>IF($A$1="BL",0,'Peak Hours'!N166*Peak!T167*'Peak Hours'!$Y166)</f>
        <v>0</v>
      </c>
      <c r="O166" s="177">
        <f>IF($A$1="BL",0,'Peak Hours'!O166*Peak!U167*'Peak Hours'!$Y166)</f>
        <v>0</v>
      </c>
      <c r="P166" s="177">
        <f>IF($A$1="BL",0,'Peak Hours'!P166*Peak!V167*'Peak Hours'!$Y166)</f>
        <v>0</v>
      </c>
      <c r="Q166" s="177">
        <f>IF($A$1="BL",0,'Peak Hours'!Q166*Peak!W167*'Peak Hours'!$Y166)</f>
        <v>0</v>
      </c>
      <c r="R166" s="177">
        <f>IF($A$1="BL",0,'Peak Hours'!R166*Peak!X167*'Peak Hours'!$Y166)</f>
        <v>0</v>
      </c>
      <c r="S166" s="177">
        <f>IF($A$1="BL",0,'Peak Hours'!S166*Peak!Y167*'Peak Hours'!$Y166)</f>
        <v>0</v>
      </c>
      <c r="T166" s="177">
        <f>IF($A$1="BL",0,'Peak Hours'!T166*Peak!Z167*'Peak Hours'!$Y166)</f>
        <v>0</v>
      </c>
      <c r="U166" s="177">
        <f>IF($A$1="BL",0,'Peak Hours'!U166*Peak!AA167*'Peak Hours'!$Y166)</f>
        <v>0</v>
      </c>
      <c r="V166" s="207"/>
      <c r="W166" s="203">
        <f>(IF($A$1="BL",0,Peak!C167*'Peak Hours'!V166*'Peak Hours'!$Y166))*-1</f>
        <v>-7164414.0463245204</v>
      </c>
      <c r="X166" s="207"/>
      <c r="Y166" s="203">
        <f>(IF($A$1="bl",0,Peak!D167*'Peak Hours'!V166*'Peak Hours'!$Y166))*-1</f>
        <v>-112086.58808901662</v>
      </c>
      <c r="Z166" s="207"/>
      <c r="AA166" s="203">
        <f>(Peak!E167*'Peak Hours'!V166*'Peak Hours'!$Y166)*-1</f>
        <v>0</v>
      </c>
      <c r="AB166" s="204"/>
      <c r="AC166" s="203">
        <f>(Peak!F167*'Peak Hours'!V166*'Peak Hours'!$Y166)*-1</f>
        <v>0</v>
      </c>
      <c r="AD166" s="204"/>
    </row>
    <row r="167" spans="1:30" x14ac:dyDescent="0.2">
      <c r="A167" s="1">
        <f t="shared" si="2"/>
        <v>41315.469000000201</v>
      </c>
      <c r="B167" s="177">
        <f>IF($A$1="BL",0,'Peak Hours'!B167*Peak!H168*'Peak Hours'!$Y167)</f>
        <v>494556.64728580177</v>
      </c>
      <c r="C167" s="177">
        <f>IF($A$1="BL",0,'Peak Hours'!C167*Peak!I168*'Peak Hours'!$Y167)</f>
        <v>433971.70744707208</v>
      </c>
      <c r="D167" s="177">
        <f>IF($A$1="BL",0,'Peak Hours'!D167*Peak!J168*'Peak Hours'!$Y167)</f>
        <v>626056.08502225333</v>
      </c>
      <c r="E167" s="177">
        <f>IF($A$1="BL",0,'Peak Hours'!E167*Peak!K168*'Peak Hours'!$Y167)</f>
        <v>1051247.2175381698</v>
      </c>
      <c r="F167" s="177">
        <f>IF($A$1="BL",0,'Peak Hours'!F167*Peak!L168*'Peak Hours'!$Y167)</f>
        <v>987290.07905592059</v>
      </c>
      <c r="G167" s="177">
        <f>IF($A$1="BL",0,'Peak Hours'!G167*Peak!M168*'Peak Hours'!$Y167)</f>
        <v>1838741.9361462719</v>
      </c>
      <c r="H167" s="177">
        <f>IF($A$1="BL",0,'Peak Hours'!H167*Peak!N168*'Peak Hours'!$Y167)</f>
        <v>1721690.2420991068</v>
      </c>
      <c r="I167" s="177">
        <f>IF($A$1="BL",0,'Peak Hours'!I167*Peak!O168*'Peak Hours'!$Y167)</f>
        <v>1713051.5288347143</v>
      </c>
      <c r="J167" s="177">
        <f>IF($A$1="BL",0,'Peak Hours'!J167*Peak!P168*'Peak Hours'!$Y167)</f>
        <v>1569661.2212323733</v>
      </c>
      <c r="K167" s="177">
        <f>IF($A$1="BL",0,'Peak Hours'!K167*Peak!Q168*'Peak Hours'!$Y167)</f>
        <v>1220888.5692244396</v>
      </c>
      <c r="L167" s="177">
        <f>IF($A$1="BL",0,'Peak Hours'!L167*Peak!R168*'Peak Hours'!$Y167)</f>
        <v>0</v>
      </c>
      <c r="M167" s="177">
        <f>IF($A$1="BL",0,'Peak Hours'!M167*Peak!S168*'Peak Hours'!$Y167)</f>
        <v>0</v>
      </c>
      <c r="N167" s="177">
        <f>IF($A$1="BL",0,'Peak Hours'!N167*Peak!T168*'Peak Hours'!$Y167)</f>
        <v>0</v>
      </c>
      <c r="O167" s="177">
        <f>IF($A$1="BL",0,'Peak Hours'!O167*Peak!U168*'Peak Hours'!$Y167)</f>
        <v>0</v>
      </c>
      <c r="P167" s="177">
        <f>IF($A$1="BL",0,'Peak Hours'!P167*Peak!V168*'Peak Hours'!$Y167)</f>
        <v>0</v>
      </c>
      <c r="Q167" s="177">
        <f>IF($A$1="BL",0,'Peak Hours'!Q167*Peak!W168*'Peak Hours'!$Y167)</f>
        <v>0</v>
      </c>
      <c r="R167" s="177">
        <f>IF($A$1="BL",0,'Peak Hours'!R167*Peak!X168*'Peak Hours'!$Y167)</f>
        <v>0</v>
      </c>
      <c r="S167" s="177">
        <f>IF($A$1="BL",0,'Peak Hours'!S167*Peak!Y168*'Peak Hours'!$Y167)</f>
        <v>0</v>
      </c>
      <c r="T167" s="177">
        <f>IF($A$1="BL",0,'Peak Hours'!T167*Peak!Z168*'Peak Hours'!$Y167)</f>
        <v>0</v>
      </c>
      <c r="U167" s="177">
        <f>IF($A$1="BL",0,'Peak Hours'!U167*Peak!AA168*'Peak Hours'!$Y167)</f>
        <v>0</v>
      </c>
      <c r="V167" s="207"/>
      <c r="W167" s="203">
        <f>(IF($A$1="BL",0,Peak!C168*'Peak Hours'!V167*'Peak Hours'!$Y167))*-1</f>
        <v>-7588805.1104805926</v>
      </c>
      <c r="X167" s="207"/>
      <c r="Y167" s="203">
        <f>(IF($A$1="bl",0,Peak!D168*'Peak Hours'!V167*'Peak Hours'!$Y167))*-1</f>
        <v>-132686.74435446772</v>
      </c>
      <c r="Z167" s="207"/>
      <c r="AA167" s="203">
        <f>(Peak!E168*'Peak Hours'!V167*'Peak Hours'!$Y167)*-1</f>
        <v>0</v>
      </c>
      <c r="AB167" s="204"/>
      <c r="AC167" s="203">
        <f>(Peak!F168*'Peak Hours'!V167*'Peak Hours'!$Y167)*-1</f>
        <v>0</v>
      </c>
      <c r="AD167" s="204"/>
    </row>
    <row r="168" spans="1:30" x14ac:dyDescent="0.2">
      <c r="A168" s="1">
        <f t="shared" si="2"/>
        <v>41345.886000000202</v>
      </c>
      <c r="B168" s="177">
        <f>IF($A$1="BL",0,'Peak Hours'!B168*Peak!H169*'Peak Hours'!$Y168)</f>
        <v>438434.76608585089</v>
      </c>
      <c r="C168" s="177">
        <f>IF($A$1="BL",0,'Peak Hours'!C168*Peak!I169*'Peak Hours'!$Y168)</f>
        <v>291344.66562673118</v>
      </c>
      <c r="D168" s="177">
        <f>IF($A$1="BL",0,'Peak Hours'!D168*Peak!J169*'Peak Hours'!$Y168)</f>
        <v>531935.39856673451</v>
      </c>
      <c r="E168" s="177">
        <f>IF($A$1="BL",0,'Peak Hours'!E168*Peak!K169*'Peak Hours'!$Y168)</f>
        <v>993425.38237441343</v>
      </c>
      <c r="F168" s="177">
        <f>IF($A$1="BL",0,'Peak Hours'!F168*Peak!L169*'Peak Hours'!$Y168)</f>
        <v>922931.45128287072</v>
      </c>
      <c r="G168" s="177">
        <f>IF($A$1="BL",0,'Peak Hours'!G168*Peak!M169*'Peak Hours'!$Y168)</f>
        <v>1832634.6919799824</v>
      </c>
      <c r="H168" s="177">
        <f>IF($A$1="BL",0,'Peak Hours'!H168*Peak!N169*'Peak Hours'!$Y168)</f>
        <v>1742303.7922839853</v>
      </c>
      <c r="I168" s="177">
        <f>IF($A$1="BL",0,'Peak Hours'!I168*Peak!O169*'Peak Hours'!$Y168)</f>
        <v>1410977.8921602808</v>
      </c>
      <c r="J168" s="177">
        <f>IF($A$1="BL",0,'Peak Hours'!J168*Peak!P169*'Peak Hours'!$Y168)</f>
        <v>1282281.8826760098</v>
      </c>
      <c r="K168" s="177">
        <f>IF($A$1="BL",0,'Peak Hours'!K168*Peak!Q169*'Peak Hours'!$Y168)</f>
        <v>1246438.6802799043</v>
      </c>
      <c r="L168" s="177">
        <f>IF($A$1="BL",0,'Peak Hours'!L168*Peak!R169*'Peak Hours'!$Y168)</f>
        <v>0</v>
      </c>
      <c r="M168" s="177">
        <f>IF($A$1="BL",0,'Peak Hours'!M168*Peak!S169*'Peak Hours'!$Y168)</f>
        <v>0</v>
      </c>
      <c r="N168" s="177">
        <f>IF($A$1="BL",0,'Peak Hours'!N168*Peak!T169*'Peak Hours'!$Y168)</f>
        <v>0</v>
      </c>
      <c r="O168" s="177">
        <f>IF($A$1="BL",0,'Peak Hours'!O168*Peak!U169*'Peak Hours'!$Y168)</f>
        <v>0</v>
      </c>
      <c r="P168" s="177">
        <f>IF($A$1="BL",0,'Peak Hours'!P168*Peak!V169*'Peak Hours'!$Y168)</f>
        <v>0</v>
      </c>
      <c r="Q168" s="177">
        <f>IF($A$1="BL",0,'Peak Hours'!Q168*Peak!W169*'Peak Hours'!$Y168)</f>
        <v>0</v>
      </c>
      <c r="R168" s="177">
        <f>IF($A$1="BL",0,'Peak Hours'!R168*Peak!X169*'Peak Hours'!$Y168)</f>
        <v>0</v>
      </c>
      <c r="S168" s="177">
        <f>IF($A$1="BL",0,'Peak Hours'!S168*Peak!Y169*'Peak Hours'!$Y168)</f>
        <v>0</v>
      </c>
      <c r="T168" s="177">
        <f>IF($A$1="BL",0,'Peak Hours'!T168*Peak!Z169*'Peak Hours'!$Y168)</f>
        <v>0</v>
      </c>
      <c r="U168" s="177">
        <f>IF($A$1="BL",0,'Peak Hours'!U168*Peak!AA169*'Peak Hours'!$Y168)</f>
        <v>0</v>
      </c>
      <c r="V168" s="207"/>
      <c r="W168" s="203">
        <f>(IF($A$1="BL",0,Peak!C169*'Peak Hours'!V168*'Peak Hours'!$Y168))*-1</f>
        <v>-7668850.4190955171</v>
      </c>
      <c r="X168" s="207"/>
      <c r="Y168" s="203">
        <f>(IF($A$1="bl",0,Peak!D169*'Peak Hours'!V168*'Peak Hours'!$Y168))*-1</f>
        <v>-136606.8251816181</v>
      </c>
      <c r="Z168" s="207"/>
      <c r="AA168" s="203">
        <f>(Peak!E169*'Peak Hours'!V168*'Peak Hours'!$Y168)*-1</f>
        <v>0</v>
      </c>
      <c r="AB168" s="204"/>
      <c r="AC168" s="203">
        <f>(Peak!F169*'Peak Hours'!V168*'Peak Hours'!$Y168)*-1</f>
        <v>0</v>
      </c>
      <c r="AD168" s="204"/>
    </row>
    <row r="169" spans="1:30" x14ac:dyDescent="0.2">
      <c r="A169" s="1">
        <f t="shared" si="2"/>
        <v>41376.303000000204</v>
      </c>
      <c r="B169" s="177">
        <f>IF($A$1="BL",0,'Peak Hours'!B169*Peak!H170*'Peak Hours'!$Y169)</f>
        <v>252133.72346875284</v>
      </c>
      <c r="C169" s="177">
        <f>IF($A$1="BL",0,'Peak Hours'!C169*Peak!I170*'Peak Hours'!$Y169)</f>
        <v>236358.9614121725</v>
      </c>
      <c r="D169" s="177">
        <f>IF($A$1="BL",0,'Peak Hours'!D169*Peak!J170*'Peak Hours'!$Y169)</f>
        <v>457514.66878637194</v>
      </c>
      <c r="E169" s="177">
        <f>IF($A$1="BL",0,'Peak Hours'!E169*Peak!K170*'Peak Hours'!$Y169)</f>
        <v>873698.75746291562</v>
      </c>
      <c r="F169" s="177">
        <f>IF($A$1="BL",0,'Peak Hours'!F169*Peak!L170*'Peak Hours'!$Y169)</f>
        <v>822518.80742165376</v>
      </c>
      <c r="G169" s="177">
        <f>IF($A$1="BL",0,'Peak Hours'!G169*Peak!M170*'Peak Hours'!$Y169)</f>
        <v>1570439.3899959463</v>
      </c>
      <c r="H169" s="177">
        <f>IF($A$1="BL",0,'Peak Hours'!H169*Peak!N170*'Peak Hours'!$Y169)</f>
        <v>1563504.8837662118</v>
      </c>
      <c r="I169" s="177">
        <f>IF($A$1="BL",0,'Peak Hours'!I169*Peak!O170*'Peak Hours'!$Y169)</f>
        <v>1437883.8879878558</v>
      </c>
      <c r="J169" s="177">
        <f>IF($A$1="BL",0,'Peak Hours'!J169*Peak!P170*'Peak Hours'!$Y169)</f>
        <v>1221842.2818753631</v>
      </c>
      <c r="K169" s="177">
        <f>IF($A$1="BL",0,'Peak Hours'!K169*Peak!Q170*'Peak Hours'!$Y169)</f>
        <v>0</v>
      </c>
      <c r="L169" s="177">
        <f>IF($A$1="BL",0,'Peak Hours'!L169*Peak!R170*'Peak Hours'!$Y169)</f>
        <v>0</v>
      </c>
      <c r="M169" s="177">
        <f>IF($A$1="BL",0,'Peak Hours'!M169*Peak!S170*'Peak Hours'!$Y169)</f>
        <v>0</v>
      </c>
      <c r="N169" s="177">
        <f>IF($A$1="BL",0,'Peak Hours'!N169*Peak!T170*'Peak Hours'!$Y169)</f>
        <v>0</v>
      </c>
      <c r="O169" s="177">
        <f>IF($A$1="BL",0,'Peak Hours'!O169*Peak!U170*'Peak Hours'!$Y169)</f>
        <v>0</v>
      </c>
      <c r="P169" s="177">
        <f>IF($A$1="BL",0,'Peak Hours'!P169*Peak!V170*'Peak Hours'!$Y169)</f>
        <v>0</v>
      </c>
      <c r="Q169" s="177">
        <f>IF($A$1="BL",0,'Peak Hours'!Q169*Peak!W170*'Peak Hours'!$Y169)</f>
        <v>0</v>
      </c>
      <c r="R169" s="177">
        <f>IF($A$1="BL",0,'Peak Hours'!R169*Peak!X170*'Peak Hours'!$Y169)</f>
        <v>0</v>
      </c>
      <c r="S169" s="177">
        <f>IF($A$1="BL",0,'Peak Hours'!S169*Peak!Y170*'Peak Hours'!$Y169)</f>
        <v>0</v>
      </c>
      <c r="T169" s="177">
        <f>IF($A$1="BL",0,'Peak Hours'!T169*Peak!Z170*'Peak Hours'!$Y169)</f>
        <v>0</v>
      </c>
      <c r="U169" s="177">
        <f>IF($A$1="BL",0,'Peak Hours'!U169*Peak!AA170*'Peak Hours'!$Y169)</f>
        <v>0</v>
      </c>
      <c r="V169" s="207"/>
      <c r="W169" s="203">
        <f>(IF($A$1="BL",0,Peak!C170*'Peak Hours'!V169*'Peak Hours'!$Y169))*-1</f>
        <v>-6169145.6513309004</v>
      </c>
      <c r="X169" s="207"/>
      <c r="Y169" s="203">
        <f>(IF($A$1="bl",0,Peak!D170*'Peak Hours'!V169*'Peak Hours'!$Y169))*-1</f>
        <v>-115783.04118918939</v>
      </c>
      <c r="Z169" s="207"/>
      <c r="AA169" s="203">
        <f>(Peak!E170*'Peak Hours'!V169*'Peak Hours'!$Y169)*-1</f>
        <v>0</v>
      </c>
      <c r="AB169" s="204"/>
      <c r="AC169" s="203">
        <f>(Peak!F170*'Peak Hours'!V169*'Peak Hours'!$Y169)*-1</f>
        <v>0</v>
      </c>
      <c r="AD169" s="204"/>
    </row>
    <row r="170" spans="1:30" x14ac:dyDescent="0.2">
      <c r="A170" s="1">
        <f t="shared" si="2"/>
        <v>41406.720000000205</v>
      </c>
      <c r="B170" s="177">
        <f>IF($A$1="BL",0,'Peak Hours'!B170*Peak!H171*'Peak Hours'!$Y170)</f>
        <v>442980.28752819024</v>
      </c>
      <c r="C170" s="177">
        <f>IF($A$1="BL",0,'Peak Hours'!C170*Peak!I171*'Peak Hours'!$Y170)</f>
        <v>268533.75611839542</v>
      </c>
      <c r="D170" s="177">
        <f>IF($A$1="BL",0,'Peak Hours'!D170*Peak!J171*'Peak Hours'!$Y170)</f>
        <v>446308.0057796216</v>
      </c>
      <c r="E170" s="177">
        <f>IF($A$1="BL",0,'Peak Hours'!E170*Peak!K171*'Peak Hours'!$Y170)</f>
        <v>847630.43136705749</v>
      </c>
      <c r="F170" s="177">
        <f>IF($A$1="BL",0,'Peak Hours'!F170*Peak!L171*'Peak Hours'!$Y170)</f>
        <v>746531.62770942692</v>
      </c>
      <c r="G170" s="177">
        <f>IF($A$1="BL",0,'Peak Hours'!G170*Peak!M171*'Peak Hours'!$Y170)</f>
        <v>1393333.8585704693</v>
      </c>
      <c r="H170" s="177">
        <f>IF($A$1="BL",0,'Peak Hours'!H170*Peak!N171*'Peak Hours'!$Y170)</f>
        <v>1319905.1375259813</v>
      </c>
      <c r="I170" s="177">
        <f>IF($A$1="BL",0,'Peak Hours'!I170*Peak!O171*'Peak Hours'!$Y170)</f>
        <v>1298899.3586080126</v>
      </c>
      <c r="J170" s="177">
        <f>IF($A$1="BL",0,'Peak Hours'!J170*Peak!P171*'Peak Hours'!$Y170)</f>
        <v>1220871.0477196597</v>
      </c>
      <c r="K170" s="177">
        <f>IF($A$1="BL",0,'Peak Hours'!K170*Peak!Q171*'Peak Hours'!$Y170)</f>
        <v>0</v>
      </c>
      <c r="L170" s="177">
        <f>IF($A$1="BL",0,'Peak Hours'!L170*Peak!R171*'Peak Hours'!$Y170)</f>
        <v>0</v>
      </c>
      <c r="M170" s="177">
        <f>IF($A$1="BL",0,'Peak Hours'!M170*Peak!S171*'Peak Hours'!$Y170)</f>
        <v>0</v>
      </c>
      <c r="N170" s="177">
        <f>IF($A$1="BL",0,'Peak Hours'!N170*Peak!T171*'Peak Hours'!$Y170)</f>
        <v>0</v>
      </c>
      <c r="O170" s="177">
        <f>IF($A$1="BL",0,'Peak Hours'!O170*Peak!U171*'Peak Hours'!$Y170)</f>
        <v>0</v>
      </c>
      <c r="P170" s="177">
        <f>IF($A$1="BL",0,'Peak Hours'!P170*Peak!V171*'Peak Hours'!$Y170)</f>
        <v>0</v>
      </c>
      <c r="Q170" s="177">
        <f>IF($A$1="BL",0,'Peak Hours'!Q170*Peak!W171*'Peak Hours'!$Y170)</f>
        <v>0</v>
      </c>
      <c r="R170" s="177">
        <f>IF($A$1="BL",0,'Peak Hours'!R170*Peak!X171*'Peak Hours'!$Y170)</f>
        <v>0</v>
      </c>
      <c r="S170" s="177">
        <f>IF($A$1="BL",0,'Peak Hours'!S170*Peak!Y171*'Peak Hours'!$Y170)</f>
        <v>0</v>
      </c>
      <c r="T170" s="177">
        <f>IF($A$1="BL",0,'Peak Hours'!T170*Peak!Z171*'Peak Hours'!$Y170)</f>
        <v>0</v>
      </c>
      <c r="U170" s="177">
        <f>IF($A$1="BL",0,'Peak Hours'!U170*Peak!AA171*'Peak Hours'!$Y170)</f>
        <v>0</v>
      </c>
      <c r="V170" s="207"/>
      <c r="W170" s="203">
        <f>(IF($A$1="BL",0,Peak!C171*'Peak Hours'!V170*'Peak Hours'!$Y170))*-1</f>
        <v>-6495555.4741526404</v>
      </c>
      <c r="X170" s="207"/>
      <c r="Y170" s="203">
        <f>(IF($A$1="bl",0,Peak!D171*'Peak Hours'!V170*'Peak Hours'!$Y170))*-1</f>
        <v>-115976.0129245047</v>
      </c>
      <c r="Z170" s="207"/>
      <c r="AA170" s="203">
        <f>(Peak!E171*'Peak Hours'!V170*'Peak Hours'!$Y170)*-1</f>
        <v>0</v>
      </c>
      <c r="AB170" s="204"/>
      <c r="AC170" s="203">
        <f>(Peak!F171*'Peak Hours'!V170*'Peak Hours'!$Y170)*-1</f>
        <v>0</v>
      </c>
      <c r="AD170" s="204"/>
    </row>
    <row r="171" spans="1:30" x14ac:dyDescent="0.2">
      <c r="A171" s="1">
        <f t="shared" si="2"/>
        <v>41437.137000000206</v>
      </c>
      <c r="B171" s="177">
        <f>IF($A$1="BL",0,'Peak Hours'!B171*Peak!H172*'Peak Hours'!$Y171)</f>
        <v>572464.22136742983</v>
      </c>
      <c r="C171" s="177">
        <f>IF($A$1="BL",0,'Peak Hours'!C171*Peak!I172*'Peak Hours'!$Y171)</f>
        <v>525321.52165507397</v>
      </c>
      <c r="D171" s="177">
        <f>IF($A$1="BL",0,'Peak Hours'!D171*Peak!J172*'Peak Hours'!$Y171)</f>
        <v>943653.4320956606</v>
      </c>
      <c r="E171" s="177">
        <f>IF($A$1="BL",0,'Peak Hours'!E171*Peak!K172*'Peak Hours'!$Y171)</f>
        <v>1397151.6500041231</v>
      </c>
      <c r="F171" s="177">
        <f>IF($A$1="BL",0,'Peak Hours'!F171*Peak!L172*'Peak Hours'!$Y171)</f>
        <v>1141458.9138244377</v>
      </c>
      <c r="G171" s="177">
        <f>IF($A$1="BL",0,'Peak Hours'!G171*Peak!M172*'Peak Hours'!$Y171)</f>
        <v>2059397.3072894928</v>
      </c>
      <c r="H171" s="177">
        <f>IF($A$1="BL",0,'Peak Hours'!H171*Peak!N172*'Peak Hours'!$Y171)</f>
        <v>1882178.6241907021</v>
      </c>
      <c r="I171" s="177">
        <f>IF($A$1="BL",0,'Peak Hours'!I171*Peak!O172*'Peak Hours'!$Y171)</f>
        <v>1516455.1127464385</v>
      </c>
      <c r="J171" s="177">
        <f>IF($A$1="BL",0,'Peak Hours'!J171*Peak!P172*'Peak Hours'!$Y171)</f>
        <v>1332678.6953701293</v>
      </c>
      <c r="K171" s="177">
        <f>IF($A$1="BL",0,'Peak Hours'!K171*Peak!Q172*'Peak Hours'!$Y171)</f>
        <v>0</v>
      </c>
      <c r="L171" s="177">
        <f>IF($A$1="BL",0,'Peak Hours'!L171*Peak!R172*'Peak Hours'!$Y171)</f>
        <v>0</v>
      </c>
      <c r="M171" s="177">
        <f>IF($A$1="BL",0,'Peak Hours'!M171*Peak!S172*'Peak Hours'!$Y171)</f>
        <v>0</v>
      </c>
      <c r="N171" s="177">
        <f>IF($A$1="BL",0,'Peak Hours'!N171*Peak!T172*'Peak Hours'!$Y171)</f>
        <v>0</v>
      </c>
      <c r="O171" s="177">
        <f>IF($A$1="BL",0,'Peak Hours'!O171*Peak!U172*'Peak Hours'!$Y171)</f>
        <v>0</v>
      </c>
      <c r="P171" s="177">
        <f>IF($A$1="BL",0,'Peak Hours'!P171*Peak!V172*'Peak Hours'!$Y171)</f>
        <v>0</v>
      </c>
      <c r="Q171" s="177">
        <f>IF($A$1="BL",0,'Peak Hours'!Q171*Peak!W172*'Peak Hours'!$Y171)</f>
        <v>0</v>
      </c>
      <c r="R171" s="177">
        <f>IF($A$1="BL",0,'Peak Hours'!R171*Peak!X172*'Peak Hours'!$Y171)</f>
        <v>0</v>
      </c>
      <c r="S171" s="177">
        <f>IF($A$1="BL",0,'Peak Hours'!S171*Peak!Y172*'Peak Hours'!$Y171)</f>
        <v>0</v>
      </c>
      <c r="T171" s="177">
        <f>IF($A$1="BL",0,'Peak Hours'!T171*Peak!Z172*'Peak Hours'!$Y171)</f>
        <v>0</v>
      </c>
      <c r="U171" s="177">
        <f>IF($A$1="BL",0,'Peak Hours'!U171*Peak!AA172*'Peak Hours'!$Y171)</f>
        <v>0</v>
      </c>
      <c r="V171" s="207"/>
      <c r="W171" s="203">
        <f>(IF($A$1="BL",0,Peak!C172*'Peak Hours'!V171*'Peak Hours'!$Y171))*-1</f>
        <v>-6293752.0749697164</v>
      </c>
      <c r="X171" s="207"/>
      <c r="Y171" s="203">
        <f>(IF($A$1="bl",0,Peak!D172*'Peak Hours'!V171*'Peak Hours'!$Y171))*-1</f>
        <v>-118140.68217665773</v>
      </c>
      <c r="Z171" s="207"/>
      <c r="AA171" s="203">
        <f>(Peak!E172*'Peak Hours'!V171*'Peak Hours'!$Y171)*-1</f>
        <v>0</v>
      </c>
      <c r="AB171" s="204"/>
      <c r="AC171" s="203">
        <f>(Peak!F172*'Peak Hours'!V171*'Peak Hours'!$Y171)*-1</f>
        <v>0</v>
      </c>
      <c r="AD171" s="204"/>
    </row>
    <row r="172" spans="1:30" x14ac:dyDescent="0.2">
      <c r="A172" s="1">
        <f t="shared" si="2"/>
        <v>41467.554000000207</v>
      </c>
      <c r="B172" s="177">
        <f>IF($A$1="BL",0,'Peak Hours'!B172*Peak!H173*'Peak Hours'!$Y172)</f>
        <v>1017030.2229570715</v>
      </c>
      <c r="C172" s="177">
        <f>IF($A$1="BL",0,'Peak Hours'!C172*Peak!I173*'Peak Hours'!$Y172)</f>
        <v>808364.0376223647</v>
      </c>
      <c r="D172" s="177">
        <f>IF($A$1="BL",0,'Peak Hours'!D172*Peak!J173*'Peak Hours'!$Y172)</f>
        <v>1474423.1547905821</v>
      </c>
      <c r="E172" s="177">
        <f>IF($A$1="BL",0,'Peak Hours'!E172*Peak!K173*'Peak Hours'!$Y172)</f>
        <v>2628529.2438670667</v>
      </c>
      <c r="F172" s="177">
        <f>IF($A$1="BL",0,'Peak Hours'!F172*Peak!L173*'Peak Hours'!$Y172)</f>
        <v>2363494.7313913465</v>
      </c>
      <c r="G172" s="177">
        <f>IF($A$1="BL",0,'Peak Hours'!G172*Peak!M173*'Peak Hours'!$Y172)</f>
        <v>4249159.6787760425</v>
      </c>
      <c r="H172" s="177">
        <f>IF($A$1="BL",0,'Peak Hours'!H172*Peak!N173*'Peak Hours'!$Y172)</f>
        <v>2885773.680067739</v>
      </c>
      <c r="I172" s="177">
        <f>IF($A$1="BL",0,'Peak Hours'!I172*Peak!O173*'Peak Hours'!$Y172)</f>
        <v>1627588.0617931702</v>
      </c>
      <c r="J172" s="177">
        <f>IF($A$1="BL",0,'Peak Hours'!J172*Peak!P173*'Peak Hours'!$Y172)</f>
        <v>1378614.9662371036</v>
      </c>
      <c r="K172" s="177">
        <f>IF($A$1="BL",0,'Peak Hours'!K172*Peak!Q173*'Peak Hours'!$Y172)</f>
        <v>1290238.6901013122</v>
      </c>
      <c r="L172" s="177">
        <f>IF($A$1="BL",0,'Peak Hours'!L172*Peak!R173*'Peak Hours'!$Y172)</f>
        <v>1196106.2345283991</v>
      </c>
      <c r="M172" s="177">
        <f>IF($A$1="BL",0,'Peak Hours'!M172*Peak!S173*'Peak Hours'!$Y172)</f>
        <v>0</v>
      </c>
      <c r="N172" s="177">
        <f>IF($A$1="BL",0,'Peak Hours'!N172*Peak!T173*'Peak Hours'!$Y172)</f>
        <v>0</v>
      </c>
      <c r="O172" s="177">
        <f>IF($A$1="BL",0,'Peak Hours'!O172*Peak!U173*'Peak Hours'!$Y172)</f>
        <v>0</v>
      </c>
      <c r="P172" s="177">
        <f>IF($A$1="BL",0,'Peak Hours'!P172*Peak!V173*'Peak Hours'!$Y172)</f>
        <v>0</v>
      </c>
      <c r="Q172" s="177">
        <f>IF($A$1="BL",0,'Peak Hours'!Q172*Peak!W173*'Peak Hours'!$Y172)</f>
        <v>0</v>
      </c>
      <c r="R172" s="177">
        <f>IF($A$1="BL",0,'Peak Hours'!R172*Peak!X173*'Peak Hours'!$Y172)</f>
        <v>0</v>
      </c>
      <c r="S172" s="177">
        <f>IF($A$1="BL",0,'Peak Hours'!S172*Peak!Y173*'Peak Hours'!$Y172)</f>
        <v>0</v>
      </c>
      <c r="T172" s="177">
        <f>IF($A$1="BL",0,'Peak Hours'!T172*Peak!Z173*'Peak Hours'!$Y172)</f>
        <v>0</v>
      </c>
      <c r="U172" s="177">
        <f>IF($A$1="BL",0,'Peak Hours'!U172*Peak!AA173*'Peak Hours'!$Y172)</f>
        <v>0</v>
      </c>
      <c r="V172" s="207"/>
      <c r="W172" s="203">
        <f>(IF($A$1="BL",0,Peak!C173*'Peak Hours'!V172*'Peak Hours'!$Y172))*-1</f>
        <v>-8555229.7336685602</v>
      </c>
      <c r="X172" s="207"/>
      <c r="Y172" s="203">
        <f>(IF($A$1="bl",0,Peak!D173*'Peak Hours'!V172*'Peak Hours'!$Y172))*-1</f>
        <v>-161369.43179129841</v>
      </c>
      <c r="Z172" s="207"/>
      <c r="AA172" s="203">
        <f>(Peak!E173*'Peak Hours'!V172*'Peak Hours'!$Y172)*-1</f>
        <v>0</v>
      </c>
      <c r="AB172" s="204"/>
      <c r="AC172" s="203">
        <f>(Peak!F173*'Peak Hours'!V172*'Peak Hours'!$Y172)*-1</f>
        <v>0</v>
      </c>
      <c r="AD172" s="204"/>
    </row>
    <row r="173" spans="1:30" x14ac:dyDescent="0.2">
      <c r="A173" s="1">
        <f t="shared" si="2"/>
        <v>41497.971000000209</v>
      </c>
      <c r="B173" s="177">
        <f>IF($A$1="BL",0,'Peak Hours'!B173*Peak!H174*'Peak Hours'!$Y173)</f>
        <v>1162259.4675358494</v>
      </c>
      <c r="C173" s="177">
        <f>IF($A$1="BL",0,'Peak Hours'!C173*Peak!I174*'Peak Hours'!$Y173)</f>
        <v>821798.33431612956</v>
      </c>
      <c r="D173" s="177">
        <f>IF($A$1="BL",0,'Peak Hours'!D173*Peak!J174*'Peak Hours'!$Y173)</f>
        <v>1469783.144950673</v>
      </c>
      <c r="E173" s="177">
        <f>IF($A$1="BL",0,'Peak Hours'!E173*Peak!K174*'Peak Hours'!$Y173)</f>
        <v>2559599.4613270382</v>
      </c>
      <c r="F173" s="177">
        <f>IF($A$1="BL",0,'Peak Hours'!F173*Peak!L174*'Peak Hours'!$Y173)</f>
        <v>2253674.7301382809</v>
      </c>
      <c r="G173" s="177">
        <f>IF($A$1="BL",0,'Peak Hours'!G173*Peak!M174*'Peak Hours'!$Y173)</f>
        <v>3831989.7011884018</v>
      </c>
      <c r="H173" s="177">
        <f>IF($A$1="BL",0,'Peak Hours'!H173*Peak!N174*'Peak Hours'!$Y173)</f>
        <v>2466925.735660404</v>
      </c>
      <c r="I173" s="177">
        <f>IF($A$1="BL",0,'Peak Hours'!I173*Peak!O174*'Peak Hours'!$Y173)</f>
        <v>2027135.1049086095</v>
      </c>
      <c r="J173" s="177">
        <f>IF($A$1="BL",0,'Peak Hours'!J173*Peak!P174*'Peak Hours'!$Y173)</f>
        <v>1849647.9201755344</v>
      </c>
      <c r="K173" s="177">
        <f>IF($A$1="BL",0,'Peak Hours'!K173*Peak!Q174*'Peak Hours'!$Y173)</f>
        <v>1440513.172728573</v>
      </c>
      <c r="L173" s="177">
        <f>IF($A$1="BL",0,'Peak Hours'!L173*Peak!R174*'Peak Hours'!$Y173)</f>
        <v>1232846.9596144315</v>
      </c>
      <c r="M173" s="177">
        <f>IF($A$1="BL",0,'Peak Hours'!M173*Peak!S174*'Peak Hours'!$Y173)</f>
        <v>0</v>
      </c>
      <c r="N173" s="177">
        <f>IF($A$1="BL",0,'Peak Hours'!N173*Peak!T174*'Peak Hours'!$Y173)</f>
        <v>0</v>
      </c>
      <c r="O173" s="177">
        <f>IF($A$1="BL",0,'Peak Hours'!O173*Peak!U174*'Peak Hours'!$Y173)</f>
        <v>0</v>
      </c>
      <c r="P173" s="177">
        <f>IF($A$1="BL",0,'Peak Hours'!P173*Peak!V174*'Peak Hours'!$Y173)</f>
        <v>0</v>
      </c>
      <c r="Q173" s="177">
        <f>IF($A$1="BL",0,'Peak Hours'!Q173*Peak!W174*'Peak Hours'!$Y173)</f>
        <v>0</v>
      </c>
      <c r="R173" s="177">
        <f>IF($A$1="BL",0,'Peak Hours'!R173*Peak!X174*'Peak Hours'!$Y173)</f>
        <v>0</v>
      </c>
      <c r="S173" s="177">
        <f>IF($A$1="BL",0,'Peak Hours'!S173*Peak!Y174*'Peak Hours'!$Y173)</f>
        <v>0</v>
      </c>
      <c r="T173" s="177">
        <f>IF($A$1="BL",0,'Peak Hours'!T173*Peak!Z174*'Peak Hours'!$Y173)</f>
        <v>0</v>
      </c>
      <c r="U173" s="177">
        <f>IF($A$1="BL",0,'Peak Hours'!U173*Peak!AA174*'Peak Hours'!$Y173)</f>
        <v>0</v>
      </c>
      <c r="V173" s="207"/>
      <c r="W173" s="203">
        <f>(IF($A$1="BL",0,Peak!C174*'Peak Hours'!V173*'Peak Hours'!$Y173))*-1</f>
        <v>-8111625.2289598193</v>
      </c>
      <c r="X173" s="207"/>
      <c r="Y173" s="203">
        <f>(IF($A$1="bl",0,Peak!D174*'Peak Hours'!V173*'Peak Hours'!$Y173))*-1</f>
        <v>-161638.38084428394</v>
      </c>
      <c r="Z173" s="207"/>
      <c r="AA173" s="203">
        <f>(Peak!E174*'Peak Hours'!V173*'Peak Hours'!$Y173)*-1</f>
        <v>0</v>
      </c>
      <c r="AB173" s="204"/>
      <c r="AC173" s="203">
        <f>(Peak!F174*'Peak Hours'!V173*'Peak Hours'!$Y173)*-1</f>
        <v>0</v>
      </c>
      <c r="AD173" s="204"/>
    </row>
    <row r="174" spans="1:30" x14ac:dyDescent="0.2">
      <c r="A174" s="1">
        <f t="shared" si="2"/>
        <v>41528.38800000021</v>
      </c>
      <c r="B174" s="177">
        <f>IF($A$1="BL",0,'Peak Hours'!B174*Peak!H175*'Peak Hours'!$Y174)</f>
        <v>553521.33006419847</v>
      </c>
      <c r="C174" s="177">
        <f>IF($A$1="BL",0,'Peak Hours'!C174*Peak!I175*'Peak Hours'!$Y174)</f>
        <v>511104.91954811197</v>
      </c>
      <c r="D174" s="177">
        <f>IF($A$1="BL",0,'Peak Hours'!D174*Peak!J175*'Peak Hours'!$Y174)</f>
        <v>852404.79881136457</v>
      </c>
      <c r="E174" s="177">
        <f>IF($A$1="BL",0,'Peak Hours'!E174*Peak!K175*'Peak Hours'!$Y174)</f>
        <v>1237350.0086225893</v>
      </c>
      <c r="F174" s="177">
        <f>IF($A$1="BL",0,'Peak Hours'!F174*Peak!L175*'Peak Hours'!$Y174)</f>
        <v>1068103.2356016946</v>
      </c>
      <c r="G174" s="177">
        <f>IF($A$1="BL",0,'Peak Hours'!G174*Peak!M175*'Peak Hours'!$Y174)</f>
        <v>1979687.5358708878</v>
      </c>
      <c r="H174" s="177">
        <f>IF($A$1="BL",0,'Peak Hours'!H174*Peak!N175*'Peak Hours'!$Y174)</f>
        <v>1903506.3852385723</v>
      </c>
      <c r="I174" s="177">
        <f>IF($A$1="BL",0,'Peak Hours'!I174*Peak!O175*'Peak Hours'!$Y174)</f>
        <v>1370264.5432038498</v>
      </c>
      <c r="J174" s="177">
        <f>IF($A$1="BL",0,'Peak Hours'!J174*Peak!P175*'Peak Hours'!$Y174)</f>
        <v>1273789.0684173815</v>
      </c>
      <c r="K174" s="177">
        <f>IF($A$1="BL",0,'Peak Hours'!K174*Peak!Q175*'Peak Hours'!$Y174)</f>
        <v>1142405.6085097659</v>
      </c>
      <c r="L174" s="177">
        <f>IF($A$1="BL",0,'Peak Hours'!L174*Peak!R175*'Peak Hours'!$Y174)</f>
        <v>0</v>
      </c>
      <c r="M174" s="177">
        <f>IF($A$1="BL",0,'Peak Hours'!M174*Peak!S175*'Peak Hours'!$Y174)</f>
        <v>0</v>
      </c>
      <c r="N174" s="177">
        <f>IF($A$1="BL",0,'Peak Hours'!N174*Peak!T175*'Peak Hours'!$Y174)</f>
        <v>0</v>
      </c>
      <c r="O174" s="177">
        <f>IF($A$1="BL",0,'Peak Hours'!O174*Peak!U175*'Peak Hours'!$Y174)</f>
        <v>0</v>
      </c>
      <c r="P174" s="177">
        <f>IF($A$1="BL",0,'Peak Hours'!P174*Peak!V175*'Peak Hours'!$Y174)</f>
        <v>0</v>
      </c>
      <c r="Q174" s="177">
        <f>IF($A$1="BL",0,'Peak Hours'!Q174*Peak!W175*'Peak Hours'!$Y174)</f>
        <v>0</v>
      </c>
      <c r="R174" s="177">
        <f>IF($A$1="BL",0,'Peak Hours'!R174*Peak!X175*'Peak Hours'!$Y174)</f>
        <v>0</v>
      </c>
      <c r="S174" s="177">
        <f>IF($A$1="BL",0,'Peak Hours'!S174*Peak!Y175*'Peak Hours'!$Y174)</f>
        <v>0</v>
      </c>
      <c r="T174" s="177">
        <f>IF($A$1="BL",0,'Peak Hours'!T174*Peak!Z175*'Peak Hours'!$Y174)</f>
        <v>0</v>
      </c>
      <c r="U174" s="177">
        <f>IF($A$1="BL",0,'Peak Hours'!U174*Peak!AA175*'Peak Hours'!$Y174)</f>
        <v>0</v>
      </c>
      <c r="V174" s="207"/>
      <c r="W174" s="203">
        <f>(IF($A$1="BL",0,Peak!C175*'Peak Hours'!V174*'Peak Hours'!$Y174))*-1</f>
        <v>-6889621.1511592502</v>
      </c>
      <c r="X174" s="207"/>
      <c r="Y174" s="203">
        <f>(IF($A$1="bl",0,Peak!D175*'Peak Hours'!V174*'Peak Hours'!$Y174))*-1</f>
        <v>-137978.59804908518</v>
      </c>
      <c r="Z174" s="207"/>
      <c r="AA174" s="203">
        <f>(Peak!E175*'Peak Hours'!V174*'Peak Hours'!$Y174)*-1</f>
        <v>0</v>
      </c>
      <c r="AB174" s="204"/>
      <c r="AC174" s="203">
        <f>(Peak!F175*'Peak Hours'!V174*'Peak Hours'!$Y174)*-1</f>
        <v>0</v>
      </c>
      <c r="AD174" s="204"/>
    </row>
    <row r="175" spans="1:30" x14ac:dyDescent="0.2">
      <c r="A175" s="1">
        <f t="shared" si="2"/>
        <v>41558.805000000211</v>
      </c>
      <c r="B175" s="177">
        <f>IF($A$1="BL",0,'Peak Hours'!B175*Peak!H176*'Peak Hours'!$Y175)</f>
        <v>233433.84767213883</v>
      </c>
      <c r="C175" s="177">
        <f>IF($A$1="BL",0,'Peak Hours'!C175*Peak!I176*'Peak Hours'!$Y175)</f>
        <v>225637.02593518514</v>
      </c>
      <c r="D175" s="177">
        <f>IF($A$1="BL",0,'Peak Hours'!D175*Peak!J176*'Peak Hours'!$Y175)</f>
        <v>450082.74883129849</v>
      </c>
      <c r="E175" s="177">
        <f>IF($A$1="BL",0,'Peak Hours'!E175*Peak!K176*'Peak Hours'!$Y175)</f>
        <v>897697.68213652505</v>
      </c>
      <c r="F175" s="177">
        <f>IF($A$1="BL",0,'Peak Hours'!F175*Peak!L176*'Peak Hours'!$Y175)</f>
        <v>801029.91462102497</v>
      </c>
      <c r="G175" s="177">
        <f>IF($A$1="BL",0,'Peak Hours'!G175*Peak!M176*'Peak Hours'!$Y175)</f>
        <v>1370487.4404681732</v>
      </c>
      <c r="H175" s="177">
        <f>IF($A$1="BL",0,'Peak Hours'!H175*Peak!N176*'Peak Hours'!$Y175)</f>
        <v>1266320.1443977959</v>
      </c>
      <c r="I175" s="177">
        <f>IF($A$1="BL",0,'Peak Hours'!I175*Peak!O176*'Peak Hours'!$Y175)</f>
        <v>1249305.3549863098</v>
      </c>
      <c r="J175" s="177">
        <f>IF($A$1="BL",0,'Peak Hours'!J175*Peak!P176*'Peak Hours'!$Y175)</f>
        <v>1202652.6663205221</v>
      </c>
      <c r="K175" s="177">
        <f>IF($A$1="BL",0,'Peak Hours'!K175*Peak!Q176*'Peak Hours'!$Y175)</f>
        <v>0</v>
      </c>
      <c r="L175" s="177">
        <f>IF($A$1="BL",0,'Peak Hours'!L175*Peak!R176*'Peak Hours'!$Y175)</f>
        <v>0</v>
      </c>
      <c r="M175" s="177">
        <f>IF($A$1="BL",0,'Peak Hours'!M175*Peak!S176*'Peak Hours'!$Y175)</f>
        <v>0</v>
      </c>
      <c r="N175" s="177">
        <f>IF($A$1="BL",0,'Peak Hours'!N175*Peak!T176*'Peak Hours'!$Y175)</f>
        <v>0</v>
      </c>
      <c r="O175" s="177">
        <f>IF($A$1="BL",0,'Peak Hours'!O175*Peak!U176*'Peak Hours'!$Y175)</f>
        <v>0</v>
      </c>
      <c r="P175" s="177">
        <f>IF($A$1="BL",0,'Peak Hours'!P175*Peak!V176*'Peak Hours'!$Y175)</f>
        <v>0</v>
      </c>
      <c r="Q175" s="177">
        <f>IF($A$1="BL",0,'Peak Hours'!Q175*Peak!W176*'Peak Hours'!$Y175)</f>
        <v>0</v>
      </c>
      <c r="R175" s="177">
        <f>IF($A$1="BL",0,'Peak Hours'!R175*Peak!X176*'Peak Hours'!$Y175)</f>
        <v>0</v>
      </c>
      <c r="S175" s="177">
        <f>IF($A$1="BL",0,'Peak Hours'!S175*Peak!Y176*'Peak Hours'!$Y175)</f>
        <v>0</v>
      </c>
      <c r="T175" s="177">
        <f>IF($A$1="BL",0,'Peak Hours'!T175*Peak!Z176*'Peak Hours'!$Y175)</f>
        <v>0</v>
      </c>
      <c r="U175" s="177">
        <f>IF($A$1="BL",0,'Peak Hours'!U175*Peak!AA176*'Peak Hours'!$Y175)</f>
        <v>0</v>
      </c>
      <c r="V175" s="207"/>
      <c r="W175" s="203">
        <f>(IF($A$1="BL",0,Peak!C176*'Peak Hours'!V175*'Peak Hours'!$Y175))*-1</f>
        <v>-6456386.2954140315</v>
      </c>
      <c r="X175" s="207"/>
      <c r="Y175" s="203">
        <f>(IF($A$1="bl",0,Peak!D176*'Peak Hours'!V175*'Peak Hours'!$Y175))*-1</f>
        <v>-116945.70662852591</v>
      </c>
      <c r="Z175" s="207"/>
      <c r="AA175" s="203">
        <f>(Peak!E176*'Peak Hours'!V175*'Peak Hours'!$Y175)*-1</f>
        <v>0</v>
      </c>
      <c r="AB175" s="204"/>
      <c r="AC175" s="203">
        <f>(Peak!F176*'Peak Hours'!V175*'Peak Hours'!$Y175)*-1</f>
        <v>0</v>
      </c>
      <c r="AD175" s="204"/>
    </row>
    <row r="176" spans="1:30" x14ac:dyDescent="0.2">
      <c r="A176" s="1">
        <f t="shared" si="2"/>
        <v>41589.222000000213</v>
      </c>
      <c r="B176" s="177">
        <f>IF($A$1="BL",0,'Peak Hours'!B176*Peak!H177*'Peak Hours'!$Y176)</f>
        <v>550615.60850155808</v>
      </c>
      <c r="C176" s="177">
        <f>IF($A$1="BL",0,'Peak Hours'!C176*Peak!I177*'Peak Hours'!$Y176)</f>
        <v>525101.75593120442</v>
      </c>
      <c r="D176" s="177">
        <f>IF($A$1="BL",0,'Peak Hours'!D176*Peak!J177*'Peak Hours'!$Y176)</f>
        <v>1015413.7648017477</v>
      </c>
      <c r="E176" s="177">
        <f>IF($A$1="BL",0,'Peak Hours'!E176*Peak!K177*'Peak Hours'!$Y176)</f>
        <v>1596043.1214799581</v>
      </c>
      <c r="F176" s="177">
        <f>IF($A$1="BL",0,'Peak Hours'!F176*Peak!L177*'Peak Hours'!$Y176)</f>
        <v>1106810.3417663323</v>
      </c>
      <c r="G176" s="177">
        <f>IF($A$1="BL",0,'Peak Hours'!G176*Peak!M177*'Peak Hours'!$Y176)</f>
        <v>1917071.2525306097</v>
      </c>
      <c r="H176" s="177">
        <f>IF($A$1="BL",0,'Peak Hours'!H176*Peak!N177*'Peak Hours'!$Y176)</f>
        <v>1759560.2044797242</v>
      </c>
      <c r="I176" s="177">
        <f>IF($A$1="BL",0,'Peak Hours'!I176*Peak!O177*'Peak Hours'!$Y176)</f>
        <v>1627892.8301568809</v>
      </c>
      <c r="J176" s="177">
        <f>IF($A$1="BL",0,'Peak Hours'!J176*Peak!P177*'Peak Hours'!$Y176)</f>
        <v>1605220.9685358875</v>
      </c>
      <c r="K176" s="177">
        <f>IF($A$1="BL",0,'Peak Hours'!K176*Peak!Q177*'Peak Hours'!$Y176)</f>
        <v>1536456.3421682164</v>
      </c>
      <c r="L176" s="177">
        <f>IF($A$1="BL",0,'Peak Hours'!L176*Peak!R177*'Peak Hours'!$Y176)</f>
        <v>0</v>
      </c>
      <c r="M176" s="177">
        <f>IF($A$1="BL",0,'Peak Hours'!M176*Peak!S177*'Peak Hours'!$Y176)</f>
        <v>0</v>
      </c>
      <c r="N176" s="177">
        <f>IF($A$1="BL",0,'Peak Hours'!N176*Peak!T177*'Peak Hours'!$Y176)</f>
        <v>0</v>
      </c>
      <c r="O176" s="177">
        <f>IF($A$1="BL",0,'Peak Hours'!O176*Peak!U177*'Peak Hours'!$Y176)</f>
        <v>0</v>
      </c>
      <c r="P176" s="177">
        <f>IF($A$1="BL",0,'Peak Hours'!P176*Peak!V177*'Peak Hours'!$Y176)</f>
        <v>0</v>
      </c>
      <c r="Q176" s="177">
        <f>IF($A$1="BL",0,'Peak Hours'!Q176*Peak!W177*'Peak Hours'!$Y176)</f>
        <v>0</v>
      </c>
      <c r="R176" s="177">
        <f>IF($A$1="BL",0,'Peak Hours'!R176*Peak!X177*'Peak Hours'!$Y176)</f>
        <v>0</v>
      </c>
      <c r="S176" s="177">
        <f>IF($A$1="BL",0,'Peak Hours'!S176*Peak!Y177*'Peak Hours'!$Y176)</f>
        <v>0</v>
      </c>
      <c r="T176" s="177">
        <f>IF($A$1="BL",0,'Peak Hours'!T176*Peak!Z177*'Peak Hours'!$Y176)</f>
        <v>0</v>
      </c>
      <c r="U176" s="177">
        <f>IF($A$1="BL",0,'Peak Hours'!U176*Peak!AA177*'Peak Hours'!$Y176)</f>
        <v>0</v>
      </c>
      <c r="V176" s="207"/>
      <c r="W176" s="203">
        <f>(IF($A$1="BL",0,Peak!C177*'Peak Hours'!V176*'Peak Hours'!$Y176))*-1</f>
        <v>-8355497.991831433</v>
      </c>
      <c r="X176" s="207"/>
      <c r="Y176" s="203">
        <f>(IF($A$1="bl",0,Peak!D177*'Peak Hours'!V176*'Peak Hours'!$Y176))*-1</f>
        <v>-138438.90998313227</v>
      </c>
      <c r="Z176" s="207"/>
      <c r="AA176" s="203">
        <f>(Peak!E177*'Peak Hours'!V176*'Peak Hours'!$Y176)*-1</f>
        <v>0</v>
      </c>
      <c r="AB176" s="204"/>
      <c r="AC176" s="203">
        <f>(Peak!F177*'Peak Hours'!V176*'Peak Hours'!$Y176)*-1</f>
        <v>0</v>
      </c>
      <c r="AD176" s="204"/>
    </row>
    <row r="177" spans="1:30" x14ac:dyDescent="0.2">
      <c r="A177" s="1">
        <f t="shared" si="2"/>
        <v>41619.639000000214</v>
      </c>
      <c r="B177" s="177">
        <f>IF($A$1="BL",0,'Peak Hours'!B177*Peak!H178*'Peak Hours'!$Y177)</f>
        <v>536269.10752061638</v>
      </c>
      <c r="C177" s="177">
        <f>IF($A$1="BL",0,'Peak Hours'!C177*Peak!I178*'Peak Hours'!$Y177)</f>
        <v>512953.72777499654</v>
      </c>
      <c r="D177" s="177">
        <f>IF($A$1="BL",0,'Peak Hours'!D177*Peak!J178*'Peak Hours'!$Y177)</f>
        <v>993048.77309421287</v>
      </c>
      <c r="E177" s="177">
        <f>IF($A$1="BL",0,'Peak Hours'!E177*Peak!K178*'Peak Hours'!$Y177)</f>
        <v>1724773.5075175175</v>
      </c>
      <c r="F177" s="177">
        <f>IF($A$1="BL",0,'Peak Hours'!F177*Peak!L178*'Peak Hours'!$Y177)</f>
        <v>1211633.7373496832</v>
      </c>
      <c r="G177" s="177">
        <f>IF($A$1="BL",0,'Peak Hours'!G177*Peak!M178*'Peak Hours'!$Y177)</f>
        <v>2088003.9011836052</v>
      </c>
      <c r="H177" s="177">
        <f>IF($A$1="BL",0,'Peak Hours'!H177*Peak!N178*'Peak Hours'!$Y177)</f>
        <v>1941254.7589975069</v>
      </c>
      <c r="I177" s="177">
        <f>IF($A$1="BL",0,'Peak Hours'!I177*Peak!O178*'Peak Hours'!$Y177)</f>
        <v>1799612.0819717245</v>
      </c>
      <c r="J177" s="177">
        <f>IF($A$1="BL",0,'Peak Hours'!J177*Peak!P178*'Peak Hours'!$Y177)</f>
        <v>1752073.4466011871</v>
      </c>
      <c r="K177" s="177">
        <f>IF($A$1="BL",0,'Peak Hours'!K177*Peak!Q178*'Peak Hours'!$Y177)</f>
        <v>1734373.4893484875</v>
      </c>
      <c r="L177" s="177">
        <f>IF($A$1="BL",0,'Peak Hours'!L177*Peak!R178*'Peak Hours'!$Y177)</f>
        <v>1487553.1059357047</v>
      </c>
      <c r="M177" s="177">
        <f>IF($A$1="BL",0,'Peak Hours'!M177*Peak!S178*'Peak Hours'!$Y177)</f>
        <v>0</v>
      </c>
      <c r="N177" s="177">
        <f>IF($A$1="BL",0,'Peak Hours'!N177*Peak!T178*'Peak Hours'!$Y177)</f>
        <v>0</v>
      </c>
      <c r="O177" s="177">
        <f>IF($A$1="BL",0,'Peak Hours'!O177*Peak!U178*'Peak Hours'!$Y177)</f>
        <v>0</v>
      </c>
      <c r="P177" s="177">
        <f>IF($A$1="BL",0,'Peak Hours'!P177*Peak!V178*'Peak Hours'!$Y177)</f>
        <v>0</v>
      </c>
      <c r="Q177" s="177">
        <f>IF($A$1="BL",0,'Peak Hours'!Q177*Peak!W178*'Peak Hours'!$Y177)</f>
        <v>0</v>
      </c>
      <c r="R177" s="177">
        <f>IF($A$1="BL",0,'Peak Hours'!R177*Peak!X178*'Peak Hours'!$Y177)</f>
        <v>0</v>
      </c>
      <c r="S177" s="177">
        <f>IF($A$1="BL",0,'Peak Hours'!S177*Peak!Y178*'Peak Hours'!$Y177)</f>
        <v>0</v>
      </c>
      <c r="T177" s="177">
        <f>IF($A$1="BL",0,'Peak Hours'!T177*Peak!Z178*'Peak Hours'!$Y177)</f>
        <v>0</v>
      </c>
      <c r="U177" s="177">
        <f>IF($A$1="BL",0,'Peak Hours'!U177*Peak!AA178*'Peak Hours'!$Y177)</f>
        <v>0</v>
      </c>
      <c r="V177" s="208">
        <f>SUM(B166:U177)</f>
        <v>151331084.27878508</v>
      </c>
      <c r="W177" s="203">
        <f>(IF($A$1="BL",0,Peak!C178*'Peak Hours'!V177*'Peak Hours'!$Y177))*-1</f>
        <v>-10150741.371243156</v>
      </c>
      <c r="X177" s="208">
        <f>SUM(W166:W177)</f>
        <v>-89899624.548630148</v>
      </c>
      <c r="Y177" s="203">
        <f>(IF($A$1="bl",0,Peak!D178*'Peak Hours'!V177*'Peak Hours'!$Y177))*-1</f>
        <v>-155670.98061581937</v>
      </c>
      <c r="Z177" s="208">
        <f>SUM(Y166:Y177)</f>
        <v>-1603321.9018275992</v>
      </c>
      <c r="AA177" s="203">
        <f>(Peak!E178*'Peak Hours'!V177*'Peak Hours'!$Y177)*-1</f>
        <v>0</v>
      </c>
      <c r="AB177" s="205">
        <f>SUM(AA166:AA177)</f>
        <v>0</v>
      </c>
      <c r="AC177" s="203">
        <f>(Peak!F178*'Peak Hours'!V177*'Peak Hours'!$Y177)*-1</f>
        <v>0</v>
      </c>
      <c r="AD177" s="205">
        <f>SUM(AC166:AC177)</f>
        <v>0</v>
      </c>
    </row>
    <row r="178" spans="1:30" x14ac:dyDescent="0.2">
      <c r="A178" s="1">
        <f t="shared" si="2"/>
        <v>41650.056000000215</v>
      </c>
      <c r="B178" s="177">
        <f>IF($A$1="BL",0,'Peak Hours'!B178*Peak!H179*'Peak Hours'!$Y178)</f>
        <v>357821.46200718317</v>
      </c>
      <c r="C178" s="177">
        <f>IF($A$1="BL",0,'Peak Hours'!C178*Peak!I179*'Peak Hours'!$Y178)</f>
        <v>340650.81163205183</v>
      </c>
      <c r="D178" s="177">
        <f>IF($A$1="BL",0,'Peak Hours'!D178*Peak!J179*'Peak Hours'!$Y178)</f>
        <v>648323.38280030305</v>
      </c>
      <c r="E178" s="177">
        <f>IF($A$1="BL",0,'Peak Hours'!E178*Peak!K179*'Peak Hours'!$Y178)</f>
        <v>1212571.2450474161</v>
      </c>
      <c r="F178" s="177">
        <f>IF($A$1="BL",0,'Peak Hours'!F178*Peak!L179*'Peak Hours'!$Y178)</f>
        <v>1181170.7761320814</v>
      </c>
      <c r="G178" s="177">
        <f>IF($A$1="BL",0,'Peak Hours'!G178*Peak!M179*'Peak Hours'!$Y178)</f>
        <v>2314695.8426930346</v>
      </c>
      <c r="H178" s="177">
        <f>IF($A$1="BL",0,'Peak Hours'!H178*Peak!N179*'Peak Hours'!$Y178)</f>
        <v>1844662.0743183487</v>
      </c>
      <c r="I178" s="177">
        <f>IF($A$1="BL",0,'Peak Hours'!I178*Peak!O179*'Peak Hours'!$Y178)</f>
        <v>1568360.8322215162</v>
      </c>
      <c r="J178" s="177">
        <f>IF($A$1="BL",0,'Peak Hours'!J178*Peak!P179*'Peak Hours'!$Y178)</f>
        <v>1338741.8078465965</v>
      </c>
      <c r="K178" s="177">
        <f>IF($A$1="BL",0,'Peak Hours'!K178*Peak!Q179*'Peak Hours'!$Y178)</f>
        <v>0</v>
      </c>
      <c r="L178" s="177">
        <f>IF($A$1="BL",0,'Peak Hours'!L178*Peak!R179*'Peak Hours'!$Y178)</f>
        <v>0</v>
      </c>
      <c r="M178" s="177">
        <f>IF($A$1="BL",0,'Peak Hours'!M178*Peak!S179*'Peak Hours'!$Y178)</f>
        <v>0</v>
      </c>
      <c r="N178" s="177">
        <f>IF($A$1="BL",0,'Peak Hours'!N178*Peak!T179*'Peak Hours'!$Y178)</f>
        <v>0</v>
      </c>
      <c r="O178" s="177">
        <f>IF($A$1="BL",0,'Peak Hours'!O178*Peak!U179*'Peak Hours'!$Y178)</f>
        <v>0</v>
      </c>
      <c r="P178" s="177">
        <f>IF($A$1="BL",0,'Peak Hours'!P178*Peak!V179*'Peak Hours'!$Y178)</f>
        <v>0</v>
      </c>
      <c r="Q178" s="177">
        <f>IF($A$1="BL",0,'Peak Hours'!Q178*Peak!W179*'Peak Hours'!$Y178)</f>
        <v>0</v>
      </c>
      <c r="R178" s="177">
        <f>IF($A$1="BL",0,'Peak Hours'!R178*Peak!X179*'Peak Hours'!$Y178)</f>
        <v>0</v>
      </c>
      <c r="S178" s="177">
        <f>IF($A$1="BL",0,'Peak Hours'!S178*Peak!Y179*'Peak Hours'!$Y178)</f>
        <v>0</v>
      </c>
      <c r="T178" s="177">
        <f>IF($A$1="BL",0,'Peak Hours'!T178*Peak!Z179*'Peak Hours'!$Y178)</f>
        <v>0</v>
      </c>
      <c r="U178" s="177">
        <f>IF($A$1="BL",0,'Peak Hours'!U178*Peak!AA179*'Peak Hours'!$Y178)</f>
        <v>0</v>
      </c>
      <c r="V178" s="207"/>
      <c r="W178" s="203">
        <f>(IF($A$1="BL",0,Peak!C179*'Peak Hours'!V178*'Peak Hours'!$Y178))*-1</f>
        <v>-7205278.9431165736</v>
      </c>
      <c r="X178" s="207"/>
      <c r="Y178" s="203">
        <f>(IF($A$1="bl",0,Peak!D179*'Peak Hours'!V178*'Peak Hours'!$Y178))*-1</f>
        <v>-114348.98365013131</v>
      </c>
      <c r="Z178" s="207"/>
      <c r="AA178" s="203">
        <f>(Peak!E179*'Peak Hours'!V178*'Peak Hours'!$Y178)*-1</f>
        <v>0</v>
      </c>
      <c r="AB178" s="204"/>
      <c r="AC178" s="203">
        <f>(Peak!F179*'Peak Hours'!V178*'Peak Hours'!$Y178)*-1</f>
        <v>0</v>
      </c>
      <c r="AD178" s="204"/>
    </row>
    <row r="179" spans="1:30" x14ac:dyDescent="0.2">
      <c r="A179" s="1">
        <f t="shared" si="2"/>
        <v>41680.473000000216</v>
      </c>
      <c r="B179" s="177">
        <f>IF($A$1="BL",0,'Peak Hours'!B179*Peak!H180*'Peak Hours'!$Y179)</f>
        <v>508181.23502863309</v>
      </c>
      <c r="C179" s="177">
        <f>IF($A$1="BL",0,'Peak Hours'!C179*Peak!I180*'Peak Hours'!$Y179)</f>
        <v>490765.7967519635</v>
      </c>
      <c r="D179" s="177">
        <f>IF($A$1="BL",0,'Peak Hours'!D179*Peak!J180*'Peak Hours'!$Y179)</f>
        <v>955327.08358085994</v>
      </c>
      <c r="E179" s="177">
        <f>IF($A$1="BL",0,'Peak Hours'!E179*Peak!K180*'Peak Hours'!$Y179)</f>
        <v>1508998.526324508</v>
      </c>
      <c r="F179" s="177">
        <f>IF($A$1="BL",0,'Peak Hours'!F179*Peak!L180*'Peak Hours'!$Y179)</f>
        <v>1190061.2244252786</v>
      </c>
      <c r="G179" s="177">
        <f>IF($A$1="BL",0,'Peak Hours'!G179*Peak!M180*'Peak Hours'!$Y179)</f>
        <v>2182744.3096349905</v>
      </c>
      <c r="H179" s="177">
        <f>IF($A$1="BL",0,'Peak Hours'!H179*Peak!N180*'Peak Hours'!$Y179)</f>
        <v>2065644.9213678851</v>
      </c>
      <c r="I179" s="177">
        <f>IF($A$1="BL",0,'Peak Hours'!I179*Peak!O180*'Peak Hours'!$Y179)</f>
        <v>2019742.563792859</v>
      </c>
      <c r="J179" s="177">
        <f>IF($A$1="BL",0,'Peak Hours'!J179*Peak!P180*'Peak Hours'!$Y179)</f>
        <v>1621684.4394264899</v>
      </c>
      <c r="K179" s="177">
        <f>IF($A$1="BL",0,'Peak Hours'!K179*Peak!Q180*'Peak Hours'!$Y179)</f>
        <v>1399497.0367980986</v>
      </c>
      <c r="L179" s="177">
        <f>IF($A$1="BL",0,'Peak Hours'!L179*Peak!R180*'Peak Hours'!$Y179)</f>
        <v>1195503.6030094635</v>
      </c>
      <c r="M179" s="177">
        <f>IF($A$1="BL",0,'Peak Hours'!M179*Peak!S180*'Peak Hours'!$Y179)</f>
        <v>0</v>
      </c>
      <c r="N179" s="177">
        <f>IF($A$1="BL",0,'Peak Hours'!N179*Peak!T180*'Peak Hours'!$Y179)</f>
        <v>0</v>
      </c>
      <c r="O179" s="177">
        <f>IF($A$1="BL",0,'Peak Hours'!O179*Peak!U180*'Peak Hours'!$Y179)</f>
        <v>0</v>
      </c>
      <c r="P179" s="177">
        <f>IF($A$1="BL",0,'Peak Hours'!P179*Peak!V180*'Peak Hours'!$Y179)</f>
        <v>0</v>
      </c>
      <c r="Q179" s="177">
        <f>IF($A$1="BL",0,'Peak Hours'!Q179*Peak!W180*'Peak Hours'!$Y179)</f>
        <v>0</v>
      </c>
      <c r="R179" s="177">
        <f>IF($A$1="BL",0,'Peak Hours'!R179*Peak!X180*'Peak Hours'!$Y179)</f>
        <v>0</v>
      </c>
      <c r="S179" s="177">
        <f>IF($A$1="BL",0,'Peak Hours'!S179*Peak!Y180*'Peak Hours'!$Y179)</f>
        <v>0</v>
      </c>
      <c r="T179" s="177">
        <f>IF($A$1="BL",0,'Peak Hours'!T179*Peak!Z180*'Peak Hours'!$Y179)</f>
        <v>0</v>
      </c>
      <c r="U179" s="177">
        <f>IF($A$1="BL",0,'Peak Hours'!U179*Peak!AA180*'Peak Hours'!$Y179)</f>
        <v>0</v>
      </c>
      <c r="V179" s="207"/>
      <c r="W179" s="203">
        <f>(IF($A$1="BL",0,Peak!C180*'Peak Hours'!V179*'Peak Hours'!$Y179))*-1</f>
        <v>-8806258.4761736654</v>
      </c>
      <c r="X179" s="207"/>
      <c r="Y179" s="203">
        <f>(IF($A$1="bl",0,Peak!D180*'Peak Hours'!V179*'Peak Hours'!$Y179))*-1</f>
        <v>-156190.31630392937</v>
      </c>
      <c r="Z179" s="207"/>
      <c r="AA179" s="203">
        <f>(Peak!E180*'Peak Hours'!V179*'Peak Hours'!$Y179)*-1</f>
        <v>0</v>
      </c>
      <c r="AB179" s="204"/>
      <c r="AC179" s="203">
        <f>(Peak!F180*'Peak Hours'!V179*'Peak Hours'!$Y179)*-1</f>
        <v>0</v>
      </c>
      <c r="AD179" s="204"/>
    </row>
    <row r="180" spans="1:30" x14ac:dyDescent="0.2">
      <c r="A180" s="1">
        <f t="shared" si="2"/>
        <v>41710.890000000218</v>
      </c>
      <c r="B180" s="177">
        <f>IF($A$1="BL",0,'Peak Hours'!B180*Peak!H181*'Peak Hours'!$Y180)</f>
        <v>337498.9857418937</v>
      </c>
      <c r="C180" s="177">
        <f>IF($A$1="BL",0,'Peak Hours'!C180*Peak!I181*'Peak Hours'!$Y180)</f>
        <v>325145.13323105988</v>
      </c>
      <c r="D180" s="177">
        <f>IF($A$1="BL",0,'Peak Hours'!D180*Peak!J181*'Peak Hours'!$Y180)</f>
        <v>601650.84457480384</v>
      </c>
      <c r="E180" s="177">
        <f>IF($A$1="BL",0,'Peak Hours'!E180*Peak!K181*'Peak Hours'!$Y180)</f>
        <v>1076177.3722662011</v>
      </c>
      <c r="F180" s="177">
        <f>IF($A$1="BL",0,'Peak Hours'!F180*Peak!L181*'Peak Hours'!$Y180)</f>
        <v>1029887.8666866305</v>
      </c>
      <c r="G180" s="177">
        <f>IF($A$1="BL",0,'Peak Hours'!G180*Peak!M181*'Peak Hours'!$Y180)</f>
        <v>1939061.7903221338</v>
      </c>
      <c r="H180" s="177">
        <f>IF($A$1="BL",0,'Peak Hours'!H180*Peak!N181*'Peak Hours'!$Y180)</f>
        <v>1893165.8720344373</v>
      </c>
      <c r="I180" s="177">
        <f>IF($A$1="BL",0,'Peak Hours'!I180*Peak!O181*'Peak Hours'!$Y180)</f>
        <v>1865171.4476868259</v>
      </c>
      <c r="J180" s="177">
        <f>IF($A$1="BL",0,'Peak Hours'!J180*Peak!P181*'Peak Hours'!$Y180)</f>
        <v>1424404.1086559216</v>
      </c>
      <c r="K180" s="177">
        <f>IF($A$1="BL",0,'Peak Hours'!K180*Peak!Q181*'Peak Hours'!$Y180)</f>
        <v>1300983.4941921774</v>
      </c>
      <c r="L180" s="177">
        <f>IF($A$1="BL",0,'Peak Hours'!L180*Peak!R181*'Peak Hours'!$Y180)</f>
        <v>1257369.727076649</v>
      </c>
      <c r="M180" s="177">
        <f>IF($A$1="BL",0,'Peak Hours'!M180*Peak!S181*'Peak Hours'!$Y180)</f>
        <v>0</v>
      </c>
      <c r="N180" s="177">
        <f>IF($A$1="BL",0,'Peak Hours'!N180*Peak!T181*'Peak Hours'!$Y180)</f>
        <v>0</v>
      </c>
      <c r="O180" s="177">
        <f>IF($A$1="BL",0,'Peak Hours'!O180*Peak!U181*'Peak Hours'!$Y180)</f>
        <v>0</v>
      </c>
      <c r="P180" s="177">
        <f>IF($A$1="BL",0,'Peak Hours'!P180*Peak!V181*'Peak Hours'!$Y180)</f>
        <v>0</v>
      </c>
      <c r="Q180" s="177">
        <f>IF($A$1="BL",0,'Peak Hours'!Q180*Peak!W181*'Peak Hours'!$Y180)</f>
        <v>0</v>
      </c>
      <c r="R180" s="177">
        <f>IF($A$1="BL",0,'Peak Hours'!R180*Peak!X181*'Peak Hours'!$Y180)</f>
        <v>0</v>
      </c>
      <c r="S180" s="177">
        <f>IF($A$1="BL",0,'Peak Hours'!S180*Peak!Y181*'Peak Hours'!$Y180)</f>
        <v>0</v>
      </c>
      <c r="T180" s="177">
        <f>IF($A$1="BL",0,'Peak Hours'!T180*Peak!Z181*'Peak Hours'!$Y180)</f>
        <v>0</v>
      </c>
      <c r="U180" s="177">
        <f>IF($A$1="BL",0,'Peak Hours'!U180*Peak!AA181*'Peak Hours'!$Y180)</f>
        <v>0</v>
      </c>
      <c r="V180" s="207"/>
      <c r="W180" s="203">
        <f>(IF($A$1="BL",0,Peak!C181*'Peak Hours'!V180*'Peak Hours'!$Y180))*-1</f>
        <v>-8899145.2570576016</v>
      </c>
      <c r="X180" s="207"/>
      <c r="Y180" s="203">
        <f>(IF($A$1="bl",0,Peak!D181*'Peak Hours'!V180*'Peak Hours'!$Y180))*-1</f>
        <v>-160804.78376492835</v>
      </c>
      <c r="Z180" s="207"/>
      <c r="AA180" s="203">
        <f>(Peak!E181*'Peak Hours'!V180*'Peak Hours'!$Y180)*-1</f>
        <v>0</v>
      </c>
      <c r="AB180" s="204"/>
      <c r="AC180" s="203">
        <f>(Peak!F181*'Peak Hours'!V180*'Peak Hours'!$Y180)*-1</f>
        <v>0</v>
      </c>
      <c r="AD180" s="204"/>
    </row>
    <row r="181" spans="1:30" x14ac:dyDescent="0.2">
      <c r="A181" s="1">
        <f t="shared" si="2"/>
        <v>41741.307000000219</v>
      </c>
      <c r="B181" s="177">
        <f>IF($A$1="BL",0,'Peak Hours'!B181*Peak!H182*'Peak Hours'!$Y181)</f>
        <v>475769.0576351608</v>
      </c>
      <c r="C181" s="177">
        <f>IF($A$1="BL",0,'Peak Hours'!C181*Peak!I182*'Peak Hours'!$Y181)</f>
        <v>329386.31741455384</v>
      </c>
      <c r="D181" s="177">
        <f>IF($A$1="BL",0,'Peak Hours'!D181*Peak!J182*'Peak Hours'!$Y181)</f>
        <v>470966.7080154522</v>
      </c>
      <c r="E181" s="177">
        <f>IF($A$1="BL",0,'Peak Hours'!E181*Peak!K182*'Peak Hours'!$Y181)</f>
        <v>872285.66775013134</v>
      </c>
      <c r="F181" s="177">
        <f>IF($A$1="BL",0,'Peak Hours'!F181*Peak!L182*'Peak Hours'!$Y181)</f>
        <v>816230.12285069085</v>
      </c>
      <c r="G181" s="177">
        <f>IF($A$1="BL",0,'Peak Hours'!G181*Peak!M182*'Peak Hours'!$Y181)</f>
        <v>1563571.6417590135</v>
      </c>
      <c r="H181" s="177">
        <f>IF($A$1="BL",0,'Peak Hours'!H181*Peak!N182*'Peak Hours'!$Y181)</f>
        <v>1548640.1728416982</v>
      </c>
      <c r="I181" s="177">
        <f>IF($A$1="BL",0,'Peak Hours'!I181*Peak!O182*'Peak Hours'!$Y181)</f>
        <v>1395805.8919732836</v>
      </c>
      <c r="J181" s="177">
        <f>IF($A$1="BL",0,'Peak Hours'!J181*Peak!P182*'Peak Hours'!$Y181)</f>
        <v>1240551.2821162054</v>
      </c>
      <c r="K181" s="177">
        <f>IF($A$1="BL",0,'Peak Hours'!K181*Peak!Q182*'Peak Hours'!$Y181)</f>
        <v>0</v>
      </c>
      <c r="L181" s="177">
        <f>IF($A$1="BL",0,'Peak Hours'!L181*Peak!R182*'Peak Hours'!$Y181)</f>
        <v>0</v>
      </c>
      <c r="M181" s="177">
        <f>IF($A$1="BL",0,'Peak Hours'!M181*Peak!S182*'Peak Hours'!$Y181)</f>
        <v>0</v>
      </c>
      <c r="N181" s="177">
        <f>IF($A$1="BL",0,'Peak Hours'!N181*Peak!T182*'Peak Hours'!$Y181)</f>
        <v>0</v>
      </c>
      <c r="O181" s="177">
        <f>IF($A$1="BL",0,'Peak Hours'!O181*Peak!U182*'Peak Hours'!$Y181)</f>
        <v>0</v>
      </c>
      <c r="P181" s="177">
        <f>IF($A$1="BL",0,'Peak Hours'!P181*Peak!V182*'Peak Hours'!$Y181)</f>
        <v>0</v>
      </c>
      <c r="Q181" s="177">
        <f>IF($A$1="BL",0,'Peak Hours'!Q181*Peak!W182*'Peak Hours'!$Y181)</f>
        <v>0</v>
      </c>
      <c r="R181" s="177">
        <f>IF($A$1="BL",0,'Peak Hours'!R181*Peak!X182*'Peak Hours'!$Y181)</f>
        <v>0</v>
      </c>
      <c r="S181" s="177">
        <f>IF($A$1="BL",0,'Peak Hours'!S181*Peak!Y182*'Peak Hours'!$Y181)</f>
        <v>0</v>
      </c>
      <c r="T181" s="177">
        <f>IF($A$1="BL",0,'Peak Hours'!T181*Peak!Z182*'Peak Hours'!$Y181)</f>
        <v>0</v>
      </c>
      <c r="U181" s="177">
        <f>IF($A$1="BL",0,'Peak Hours'!U181*Peak!AA182*'Peak Hours'!$Y181)</f>
        <v>0</v>
      </c>
      <c r="V181" s="207"/>
      <c r="W181" s="203">
        <f>(IF($A$1="BL",0,Peak!C182*'Peak Hours'!V181*'Peak Hours'!$Y181))*-1</f>
        <v>-6204333.6651317077</v>
      </c>
      <c r="X181" s="207"/>
      <c r="Y181" s="203">
        <f>(IF($A$1="bl",0,Peak!D182*'Peak Hours'!V181*'Peak Hours'!$Y181))*-1</f>
        <v>-118120.04727443794</v>
      </c>
      <c r="Z181" s="207"/>
      <c r="AA181" s="203">
        <f>(Peak!E182*'Peak Hours'!V181*'Peak Hours'!$Y181)*-1</f>
        <v>0</v>
      </c>
      <c r="AB181" s="204"/>
      <c r="AC181" s="203">
        <f>(Peak!F182*'Peak Hours'!V181*'Peak Hours'!$Y181)*-1</f>
        <v>0</v>
      </c>
      <c r="AD181" s="204"/>
    </row>
    <row r="182" spans="1:30" x14ac:dyDescent="0.2">
      <c r="A182" s="1">
        <f t="shared" si="2"/>
        <v>41771.72400000022</v>
      </c>
      <c r="B182" s="177">
        <f>IF($A$1="BL",0,'Peak Hours'!B182*Peak!H183*'Peak Hours'!$Y182)</f>
        <v>389766.18922269228</v>
      </c>
      <c r="C182" s="177">
        <f>IF($A$1="BL",0,'Peak Hours'!C182*Peak!I183*'Peak Hours'!$Y182)</f>
        <v>296655.01495093346</v>
      </c>
      <c r="D182" s="177">
        <f>IF($A$1="BL",0,'Peak Hours'!D182*Peak!J183*'Peak Hours'!$Y182)</f>
        <v>483459.64391141047</v>
      </c>
      <c r="E182" s="177">
        <f>IF($A$1="BL",0,'Peak Hours'!E182*Peak!K183*'Peak Hours'!$Y182)</f>
        <v>882886.86469649593</v>
      </c>
      <c r="F182" s="177">
        <f>IF($A$1="BL",0,'Peak Hours'!F182*Peak!L183*'Peak Hours'!$Y182)</f>
        <v>810768.37563456967</v>
      </c>
      <c r="G182" s="177">
        <f>IF($A$1="BL",0,'Peak Hours'!G182*Peak!M183*'Peak Hours'!$Y182)</f>
        <v>1595773.9688082719</v>
      </c>
      <c r="H182" s="177">
        <f>IF($A$1="BL",0,'Peak Hours'!H182*Peak!N183*'Peak Hours'!$Y182)</f>
        <v>1407836.4290471312</v>
      </c>
      <c r="I182" s="177">
        <f>IF($A$1="BL",0,'Peak Hours'!I182*Peak!O183*'Peak Hours'!$Y182)</f>
        <v>1246234.068138395</v>
      </c>
      <c r="J182" s="177">
        <f>IF($A$1="BL",0,'Peak Hours'!J182*Peak!P183*'Peak Hours'!$Y182)</f>
        <v>0</v>
      </c>
      <c r="K182" s="177">
        <f>IF($A$1="BL",0,'Peak Hours'!K182*Peak!Q183*'Peak Hours'!$Y182)</f>
        <v>0</v>
      </c>
      <c r="L182" s="177">
        <f>IF($A$1="BL",0,'Peak Hours'!L182*Peak!R183*'Peak Hours'!$Y182)</f>
        <v>0</v>
      </c>
      <c r="M182" s="177">
        <f>IF($A$1="BL",0,'Peak Hours'!M182*Peak!S183*'Peak Hours'!$Y182)</f>
        <v>0</v>
      </c>
      <c r="N182" s="177">
        <f>IF($A$1="BL",0,'Peak Hours'!N182*Peak!T183*'Peak Hours'!$Y182)</f>
        <v>0</v>
      </c>
      <c r="O182" s="177">
        <f>IF($A$1="BL",0,'Peak Hours'!O182*Peak!U183*'Peak Hours'!$Y182)</f>
        <v>0</v>
      </c>
      <c r="P182" s="177">
        <f>IF($A$1="BL",0,'Peak Hours'!P182*Peak!V183*'Peak Hours'!$Y182)</f>
        <v>0</v>
      </c>
      <c r="Q182" s="177">
        <f>IF($A$1="BL",0,'Peak Hours'!Q182*Peak!W183*'Peak Hours'!$Y182)</f>
        <v>0</v>
      </c>
      <c r="R182" s="177">
        <f>IF($A$1="BL",0,'Peak Hours'!R182*Peak!X183*'Peak Hours'!$Y182)</f>
        <v>0</v>
      </c>
      <c r="S182" s="177">
        <f>IF($A$1="BL",0,'Peak Hours'!S182*Peak!Y183*'Peak Hours'!$Y182)</f>
        <v>0</v>
      </c>
      <c r="T182" s="177">
        <f>IF($A$1="BL",0,'Peak Hours'!T182*Peak!Z183*'Peak Hours'!$Y182)</f>
        <v>0</v>
      </c>
      <c r="U182" s="177">
        <f>IF($A$1="BL",0,'Peak Hours'!U182*Peak!AA183*'Peak Hours'!$Y182)</f>
        <v>0</v>
      </c>
      <c r="V182" s="207"/>
      <c r="W182" s="203">
        <f>(IF($A$1="BL",0,Peak!C183*'Peak Hours'!V182*'Peak Hours'!$Y182))*-1</f>
        <v>-5344858.8716935497</v>
      </c>
      <c r="X182" s="207"/>
      <c r="Y182" s="203">
        <f>(IF($A$1="bl",0,Peak!D183*'Peak Hours'!V182*'Peak Hours'!$Y182))*-1</f>
        <v>-96804.747834459835</v>
      </c>
      <c r="Z182" s="207"/>
      <c r="AA182" s="203">
        <f>(Peak!E183*'Peak Hours'!V182*'Peak Hours'!$Y182)*-1</f>
        <v>0</v>
      </c>
      <c r="AB182" s="204"/>
      <c r="AC182" s="203">
        <f>(Peak!F183*'Peak Hours'!V182*'Peak Hours'!$Y182)*-1</f>
        <v>0</v>
      </c>
      <c r="AD182" s="204"/>
    </row>
    <row r="183" spans="1:30" x14ac:dyDescent="0.2">
      <c r="A183" s="1">
        <f t="shared" si="2"/>
        <v>41802.141000000222</v>
      </c>
      <c r="B183" s="177">
        <f>IF($A$1="BL",0,'Peak Hours'!B183*Peak!H184*'Peak Hours'!$Y183)</f>
        <v>702356.40736488439</v>
      </c>
      <c r="C183" s="177">
        <f>IF($A$1="BL",0,'Peak Hours'!C183*Peak!I184*'Peak Hours'!$Y183)</f>
        <v>643172.97383454198</v>
      </c>
      <c r="D183" s="177">
        <f>IF($A$1="BL",0,'Peak Hours'!D183*Peak!J184*'Peak Hours'!$Y183)</f>
        <v>1190867.0661138322</v>
      </c>
      <c r="E183" s="177">
        <f>IF($A$1="BL",0,'Peak Hours'!E183*Peak!K184*'Peak Hours'!$Y183)</f>
        <v>2156601.4828497684</v>
      </c>
      <c r="F183" s="177">
        <f>IF($A$1="BL",0,'Peak Hours'!F183*Peak!L184*'Peak Hours'!$Y183)</f>
        <v>1964138.2792305469</v>
      </c>
      <c r="G183" s="177">
        <f>IF($A$1="BL",0,'Peak Hours'!G183*Peak!M184*'Peak Hours'!$Y183)</f>
        <v>2097927.8721401477</v>
      </c>
      <c r="H183" s="177">
        <f>IF($A$1="BL",0,'Peak Hours'!H183*Peak!N184*'Peak Hours'!$Y183)</f>
        <v>1713092.6156471432</v>
      </c>
      <c r="I183" s="177">
        <f>IF($A$1="BL",0,'Peak Hours'!I183*Peak!O184*'Peak Hours'!$Y183)</f>
        <v>1610994.3573816621</v>
      </c>
      <c r="J183" s="177">
        <f>IF($A$1="BL",0,'Peak Hours'!J183*Peak!P184*'Peak Hours'!$Y183)</f>
        <v>1219827.4615982515</v>
      </c>
      <c r="K183" s="177">
        <f>IF($A$1="BL",0,'Peak Hours'!K183*Peak!Q184*'Peak Hours'!$Y183)</f>
        <v>0</v>
      </c>
      <c r="L183" s="177">
        <f>IF($A$1="BL",0,'Peak Hours'!L183*Peak!R184*'Peak Hours'!$Y183)</f>
        <v>0</v>
      </c>
      <c r="M183" s="177">
        <f>IF($A$1="BL",0,'Peak Hours'!M183*Peak!S184*'Peak Hours'!$Y183)</f>
        <v>0</v>
      </c>
      <c r="N183" s="177">
        <f>IF($A$1="BL",0,'Peak Hours'!N183*Peak!T184*'Peak Hours'!$Y183)</f>
        <v>0</v>
      </c>
      <c r="O183" s="177">
        <f>IF($A$1="BL",0,'Peak Hours'!O183*Peak!U184*'Peak Hours'!$Y183)</f>
        <v>0</v>
      </c>
      <c r="P183" s="177">
        <f>IF($A$1="BL",0,'Peak Hours'!P183*Peak!V184*'Peak Hours'!$Y183)</f>
        <v>0</v>
      </c>
      <c r="Q183" s="177">
        <f>IF($A$1="BL",0,'Peak Hours'!Q183*Peak!W184*'Peak Hours'!$Y183)</f>
        <v>0</v>
      </c>
      <c r="R183" s="177">
        <f>IF($A$1="BL",0,'Peak Hours'!R183*Peak!X184*'Peak Hours'!$Y183)</f>
        <v>0</v>
      </c>
      <c r="S183" s="177">
        <f>IF($A$1="BL",0,'Peak Hours'!S183*Peak!Y184*'Peak Hours'!$Y183)</f>
        <v>0</v>
      </c>
      <c r="T183" s="177">
        <f>IF($A$1="BL",0,'Peak Hours'!T183*Peak!Z184*'Peak Hours'!$Y183)</f>
        <v>0</v>
      </c>
      <c r="U183" s="177">
        <f>IF($A$1="BL",0,'Peak Hours'!U183*Peak!AA184*'Peak Hours'!$Y183)</f>
        <v>0</v>
      </c>
      <c r="V183" s="207"/>
      <c r="W183" s="203">
        <f>(IF($A$1="BL",0,Peak!C184*'Peak Hours'!V183*'Peak Hours'!$Y183))*-1</f>
        <v>-6329650.8277938012</v>
      </c>
      <c r="X183" s="207"/>
      <c r="Y183" s="203">
        <f>(IF($A$1="bl",0,Peak!D184*'Peak Hours'!V183*'Peak Hours'!$Y183))*-1</f>
        <v>-120525.27572616664</v>
      </c>
      <c r="Z183" s="207"/>
      <c r="AA183" s="203">
        <f>(Peak!E184*'Peak Hours'!V183*'Peak Hours'!$Y183)*-1</f>
        <v>0</v>
      </c>
      <c r="AB183" s="204"/>
      <c r="AC183" s="203">
        <f>(Peak!F184*'Peak Hours'!V183*'Peak Hours'!$Y183)*-1</f>
        <v>0</v>
      </c>
      <c r="AD183" s="204"/>
    </row>
    <row r="184" spans="1:30" x14ac:dyDescent="0.2">
      <c r="A184" s="1">
        <f t="shared" si="2"/>
        <v>41832.558000000223</v>
      </c>
      <c r="B184" s="177">
        <f>IF($A$1="BL",0,'Peak Hours'!B184*Peak!H185*'Peak Hours'!$Y184)</f>
        <v>1074502.1128094459</v>
      </c>
      <c r="C184" s="177">
        <f>IF($A$1="BL",0,'Peak Hours'!C184*Peak!I185*'Peak Hours'!$Y184)</f>
        <v>802624.76459838054</v>
      </c>
      <c r="D184" s="177">
        <f>IF($A$1="BL",0,'Peak Hours'!D184*Peak!J185*'Peak Hours'!$Y184)</f>
        <v>1474304.508890192</v>
      </c>
      <c r="E184" s="177">
        <f>IF($A$1="BL",0,'Peak Hours'!E184*Peak!K185*'Peak Hours'!$Y184)</f>
        <v>2656896.029083678</v>
      </c>
      <c r="F184" s="177">
        <f>IF($A$1="BL",0,'Peak Hours'!F184*Peak!L185*'Peak Hours'!$Y184)</f>
        <v>2429485.4610625282</v>
      </c>
      <c r="G184" s="177">
        <f>IF($A$1="BL",0,'Peak Hours'!G184*Peak!M185*'Peak Hours'!$Y184)</f>
        <v>4397150.3895249879</v>
      </c>
      <c r="H184" s="177">
        <f>IF($A$1="BL",0,'Peak Hours'!H184*Peak!N185*'Peak Hours'!$Y184)</f>
        <v>3805567.510698365</v>
      </c>
      <c r="I184" s="177">
        <f>IF($A$1="BL",0,'Peak Hours'!I184*Peak!O185*'Peak Hours'!$Y184)</f>
        <v>1434379.0368392116</v>
      </c>
      <c r="J184" s="177">
        <f>IF($A$1="BL",0,'Peak Hours'!J184*Peak!P185*'Peak Hours'!$Y184)</f>
        <v>1288077.0500564368</v>
      </c>
      <c r="K184" s="177">
        <f>IF($A$1="BL",0,'Peak Hours'!K184*Peak!Q185*'Peak Hours'!$Y184)</f>
        <v>1232886.9070307144</v>
      </c>
      <c r="L184" s="177">
        <f>IF($A$1="BL",0,'Peak Hours'!L184*Peak!R185*'Peak Hours'!$Y184)</f>
        <v>0</v>
      </c>
      <c r="M184" s="177">
        <f>IF($A$1="BL",0,'Peak Hours'!M184*Peak!S185*'Peak Hours'!$Y184)</f>
        <v>0</v>
      </c>
      <c r="N184" s="177">
        <f>IF($A$1="BL",0,'Peak Hours'!N184*Peak!T185*'Peak Hours'!$Y184)</f>
        <v>0</v>
      </c>
      <c r="O184" s="177">
        <f>IF($A$1="BL",0,'Peak Hours'!O184*Peak!U185*'Peak Hours'!$Y184)</f>
        <v>0</v>
      </c>
      <c r="P184" s="177">
        <f>IF($A$1="BL",0,'Peak Hours'!P184*Peak!V185*'Peak Hours'!$Y184)</f>
        <v>0</v>
      </c>
      <c r="Q184" s="177">
        <f>IF($A$1="BL",0,'Peak Hours'!Q184*Peak!W185*'Peak Hours'!$Y184)</f>
        <v>0</v>
      </c>
      <c r="R184" s="177">
        <f>IF($A$1="BL",0,'Peak Hours'!R184*Peak!X185*'Peak Hours'!$Y184)</f>
        <v>0</v>
      </c>
      <c r="S184" s="177">
        <f>IF($A$1="BL",0,'Peak Hours'!S184*Peak!Y185*'Peak Hours'!$Y184)</f>
        <v>0</v>
      </c>
      <c r="T184" s="177">
        <f>IF($A$1="BL",0,'Peak Hours'!T184*Peak!Z185*'Peak Hours'!$Y184)</f>
        <v>0</v>
      </c>
      <c r="U184" s="177">
        <f>IF($A$1="BL",0,'Peak Hours'!U184*Peak!AA185*'Peak Hours'!$Y184)</f>
        <v>0</v>
      </c>
      <c r="V184" s="207"/>
      <c r="W184" s="203">
        <f>(IF($A$1="BL",0,Peak!C185*'Peak Hours'!V184*'Peak Hours'!$Y184))*-1</f>
        <v>-7456823.9757812461</v>
      </c>
      <c r="X184" s="207"/>
      <c r="Y184" s="203">
        <f>(IF($A$1="bl",0,Peak!D185*'Peak Hours'!V184*'Peak Hours'!$Y184))*-1</f>
        <v>-142676.36049220301</v>
      </c>
      <c r="Z184" s="207"/>
      <c r="AA184" s="203">
        <f>(Peak!E185*'Peak Hours'!V184*'Peak Hours'!$Y184)*-1</f>
        <v>0</v>
      </c>
      <c r="AB184" s="204"/>
      <c r="AC184" s="203">
        <f>(Peak!F185*'Peak Hours'!V184*'Peak Hours'!$Y184)*-1</f>
        <v>0</v>
      </c>
      <c r="AD184" s="204"/>
    </row>
    <row r="185" spans="1:30" x14ac:dyDescent="0.2">
      <c r="A185" s="1">
        <f t="shared" si="2"/>
        <v>41862.975000000224</v>
      </c>
      <c r="B185" s="177">
        <f>IF($A$1="BL",0,'Peak Hours'!B185*Peak!H186*'Peak Hours'!$Y185)</f>
        <v>1102593.9987731327</v>
      </c>
      <c r="C185" s="177">
        <f>IF($A$1="BL",0,'Peak Hours'!C185*Peak!I186*'Peak Hours'!$Y185)</f>
        <v>786665.24568537867</v>
      </c>
      <c r="D185" s="177">
        <f>IF($A$1="BL",0,'Peak Hours'!D185*Peak!J186*'Peak Hours'!$Y185)</f>
        <v>1419518.7634770484</v>
      </c>
      <c r="E185" s="177">
        <f>IF($A$1="BL",0,'Peak Hours'!E185*Peak!K186*'Peak Hours'!$Y185)</f>
        <v>2499558.2730162791</v>
      </c>
      <c r="F185" s="177">
        <f>IF($A$1="BL",0,'Peak Hours'!F185*Peak!L186*'Peak Hours'!$Y185)</f>
        <v>2223121.2979125809</v>
      </c>
      <c r="G185" s="177">
        <f>IF($A$1="BL",0,'Peak Hours'!G185*Peak!M186*'Peak Hours'!$Y185)</f>
        <v>3930620.0792972972</v>
      </c>
      <c r="H185" s="177">
        <f>IF($A$1="BL",0,'Peak Hours'!H185*Peak!N186*'Peak Hours'!$Y185)</f>
        <v>2810189.4661089638</v>
      </c>
      <c r="I185" s="177">
        <f>IF($A$1="BL",0,'Peak Hours'!I185*Peak!O186*'Peak Hours'!$Y185)</f>
        <v>2517385.5789393065</v>
      </c>
      <c r="J185" s="177">
        <f>IF($A$1="BL",0,'Peak Hours'!J185*Peak!P186*'Peak Hours'!$Y185)</f>
        <v>2091351.4294364783</v>
      </c>
      <c r="K185" s="177">
        <f>IF($A$1="BL",0,'Peak Hours'!K185*Peak!Q186*'Peak Hours'!$Y185)</f>
        <v>1657694.6543461317</v>
      </c>
      <c r="L185" s="177">
        <f>IF($A$1="BL",0,'Peak Hours'!L185*Peak!R186*'Peak Hours'!$Y185)</f>
        <v>1435683.3826332921</v>
      </c>
      <c r="M185" s="177">
        <f>IF($A$1="BL",0,'Peak Hours'!M185*Peak!S186*'Peak Hours'!$Y185)</f>
        <v>1238532.8169910114</v>
      </c>
      <c r="N185" s="177">
        <f>IF($A$1="BL",0,'Peak Hours'!N185*Peak!T186*'Peak Hours'!$Y185)</f>
        <v>1203297.261718875</v>
      </c>
      <c r="O185" s="177">
        <f>IF($A$1="BL",0,'Peak Hours'!O185*Peak!U186*'Peak Hours'!$Y185)</f>
        <v>1121658.6991297635</v>
      </c>
      <c r="P185" s="177">
        <f>IF($A$1="BL",0,'Peak Hours'!P185*Peak!V186*'Peak Hours'!$Y185)</f>
        <v>0</v>
      </c>
      <c r="Q185" s="177">
        <f>IF($A$1="BL",0,'Peak Hours'!Q185*Peak!W186*'Peak Hours'!$Y185)</f>
        <v>0</v>
      </c>
      <c r="R185" s="177">
        <f>IF($A$1="BL",0,'Peak Hours'!R185*Peak!X186*'Peak Hours'!$Y185)</f>
        <v>0</v>
      </c>
      <c r="S185" s="177">
        <f>IF($A$1="BL",0,'Peak Hours'!S185*Peak!Y186*'Peak Hours'!$Y185)</f>
        <v>0</v>
      </c>
      <c r="T185" s="177">
        <f>IF($A$1="BL",0,'Peak Hours'!T185*Peak!Z186*'Peak Hours'!$Y185)</f>
        <v>0</v>
      </c>
      <c r="U185" s="177">
        <f>IF($A$1="BL",0,'Peak Hours'!U185*Peak!AA186*'Peak Hours'!$Y185)</f>
        <v>0</v>
      </c>
      <c r="V185" s="207"/>
      <c r="W185" s="203">
        <f>(IF($A$1="BL",0,Peak!C186*'Peak Hours'!V185*'Peak Hours'!$Y185))*-1</f>
        <v>-11421050.055213669</v>
      </c>
      <c r="X185" s="207"/>
      <c r="Y185" s="203">
        <f>(IF($A$1="bl",0,Peak!D186*'Peak Hours'!V185*'Peak Hours'!$Y185))*-1</f>
        <v>-230861.32638103771</v>
      </c>
      <c r="Z185" s="207"/>
      <c r="AA185" s="203">
        <f>(Peak!E186*'Peak Hours'!V185*'Peak Hours'!$Y185)*-1</f>
        <v>0</v>
      </c>
      <c r="AB185" s="204"/>
      <c r="AC185" s="203">
        <f>(Peak!F186*'Peak Hours'!V185*'Peak Hours'!$Y185)*-1</f>
        <v>0</v>
      </c>
      <c r="AD185" s="204"/>
    </row>
    <row r="186" spans="1:30" x14ac:dyDescent="0.2">
      <c r="A186" s="1">
        <f t="shared" si="2"/>
        <v>41893.392000000225</v>
      </c>
      <c r="B186" s="177">
        <f>IF($A$1="BL",0,'Peak Hours'!B186*Peak!H187*'Peak Hours'!$Y186)</f>
        <v>668386.46854280133</v>
      </c>
      <c r="C186" s="177">
        <f>IF($A$1="BL",0,'Peak Hours'!C186*Peak!I187*'Peak Hours'!$Y186)</f>
        <v>613855.12153266498</v>
      </c>
      <c r="D186" s="177">
        <f>IF($A$1="BL",0,'Peak Hours'!D186*Peak!J187*'Peak Hours'!$Y186)</f>
        <v>1140547.9642756497</v>
      </c>
      <c r="E186" s="177">
        <f>IF($A$1="BL",0,'Peak Hours'!E186*Peak!K187*'Peak Hours'!$Y186)</f>
        <v>2084225.3294733842</v>
      </c>
      <c r="F186" s="177">
        <f>IF($A$1="BL",0,'Peak Hours'!F186*Peak!L187*'Peak Hours'!$Y186)</f>
        <v>1649222.1764846318</v>
      </c>
      <c r="G186" s="177">
        <f>IF($A$1="BL",0,'Peak Hours'!G186*Peak!M187*'Peak Hours'!$Y186)</f>
        <v>1561536.1840614646</v>
      </c>
      <c r="H186" s="177">
        <f>IF($A$1="BL",0,'Peak Hours'!H186*Peak!N187*'Peak Hours'!$Y186)</f>
        <v>1368942.5665458196</v>
      </c>
      <c r="I186" s="177">
        <f>IF($A$1="BL",0,'Peak Hours'!I186*Peak!O187*'Peak Hours'!$Y186)</f>
        <v>1269220.5303429835</v>
      </c>
      <c r="J186" s="177">
        <f>IF($A$1="BL",0,'Peak Hours'!J186*Peak!P187*'Peak Hours'!$Y186)</f>
        <v>1241180.6066530296</v>
      </c>
      <c r="K186" s="177">
        <f>IF($A$1="BL",0,'Peak Hours'!K186*Peak!Q187*'Peak Hours'!$Y186)</f>
        <v>1127876.3503283926</v>
      </c>
      <c r="L186" s="177">
        <f>IF($A$1="BL",0,'Peak Hours'!L186*Peak!R187*'Peak Hours'!$Y186)</f>
        <v>0</v>
      </c>
      <c r="M186" s="177">
        <f>IF($A$1="BL",0,'Peak Hours'!M186*Peak!S187*'Peak Hours'!$Y186)</f>
        <v>0</v>
      </c>
      <c r="N186" s="177">
        <f>IF($A$1="BL",0,'Peak Hours'!N186*Peak!T187*'Peak Hours'!$Y186)</f>
        <v>0</v>
      </c>
      <c r="O186" s="177">
        <f>IF($A$1="BL",0,'Peak Hours'!O186*Peak!U187*'Peak Hours'!$Y186)</f>
        <v>0</v>
      </c>
      <c r="P186" s="177">
        <f>IF($A$1="BL",0,'Peak Hours'!P186*Peak!V187*'Peak Hours'!$Y186)</f>
        <v>0</v>
      </c>
      <c r="Q186" s="177">
        <f>IF($A$1="BL",0,'Peak Hours'!Q186*Peak!W187*'Peak Hours'!$Y186)</f>
        <v>0</v>
      </c>
      <c r="R186" s="177">
        <f>IF($A$1="BL",0,'Peak Hours'!R186*Peak!X187*'Peak Hours'!$Y186)</f>
        <v>0</v>
      </c>
      <c r="S186" s="177">
        <f>IF($A$1="BL",0,'Peak Hours'!S186*Peak!Y187*'Peak Hours'!$Y186)</f>
        <v>0</v>
      </c>
      <c r="T186" s="177">
        <f>IF($A$1="BL",0,'Peak Hours'!T186*Peak!Z187*'Peak Hours'!$Y186)</f>
        <v>0</v>
      </c>
      <c r="U186" s="177">
        <f>IF($A$1="BL",0,'Peak Hours'!U186*Peak!AA187*'Peak Hours'!$Y186)</f>
        <v>0</v>
      </c>
      <c r="V186" s="207"/>
      <c r="W186" s="203">
        <f>(IF($A$1="BL",0,Peak!C187*'Peak Hours'!V186*'Peak Hours'!$Y186))*-1</f>
        <v>-6928918.664599712</v>
      </c>
      <c r="X186" s="207"/>
      <c r="Y186" s="203">
        <f>(IF($A$1="bl",0,Peak!D187*'Peak Hours'!V186*'Peak Hours'!$Y186))*-1</f>
        <v>-140763.60714854283</v>
      </c>
      <c r="Z186" s="207"/>
      <c r="AA186" s="203">
        <f>(Peak!E187*'Peak Hours'!V186*'Peak Hours'!$Y186)*-1</f>
        <v>0</v>
      </c>
      <c r="AB186" s="204"/>
      <c r="AC186" s="203">
        <f>(Peak!F187*'Peak Hours'!V186*'Peak Hours'!$Y186)*-1</f>
        <v>0</v>
      </c>
      <c r="AD186" s="204"/>
    </row>
    <row r="187" spans="1:30" x14ac:dyDescent="0.2">
      <c r="A187" s="1">
        <f t="shared" si="2"/>
        <v>41923.809000000227</v>
      </c>
      <c r="B187" s="177">
        <f>IF($A$1="BL",0,'Peak Hours'!B187*Peak!H188*'Peak Hours'!$Y187)</f>
        <v>221345.54201258029</v>
      </c>
      <c r="C187" s="177">
        <f>IF($A$1="BL",0,'Peak Hours'!C187*Peak!I188*'Peak Hours'!$Y187)</f>
        <v>215999.47934445072</v>
      </c>
      <c r="D187" s="177">
        <f>IF($A$1="BL",0,'Peak Hours'!D187*Peak!J188*'Peak Hours'!$Y187)</f>
        <v>389961.4746549449</v>
      </c>
      <c r="E187" s="177">
        <f>IF($A$1="BL",0,'Peak Hours'!E187*Peak!K188*'Peak Hours'!$Y187)</f>
        <v>697891.10995040357</v>
      </c>
      <c r="F187" s="177">
        <f>IF($A$1="BL",0,'Peak Hours'!F187*Peak!L188*'Peak Hours'!$Y187)</f>
        <v>681721.02778695058</v>
      </c>
      <c r="G187" s="177">
        <f>IF($A$1="BL",0,'Peak Hours'!G187*Peak!M188*'Peak Hours'!$Y187)</f>
        <v>1347477.7884980538</v>
      </c>
      <c r="H187" s="177">
        <f>IF($A$1="BL",0,'Peak Hours'!H187*Peak!N188*'Peak Hours'!$Y187)</f>
        <v>1327133.3200070104</v>
      </c>
      <c r="I187" s="177">
        <f>IF($A$1="BL",0,'Peak Hours'!I187*Peak!O188*'Peak Hours'!$Y187)</f>
        <v>1313494.384058709</v>
      </c>
      <c r="J187" s="177">
        <f>IF($A$1="BL",0,'Peak Hours'!J187*Peak!P188*'Peak Hours'!$Y187)</f>
        <v>1305686.4563729335</v>
      </c>
      <c r="K187" s="177">
        <f>IF($A$1="BL",0,'Peak Hours'!K187*Peak!Q188*'Peak Hours'!$Y187)</f>
        <v>1294954.4845892028</v>
      </c>
      <c r="L187" s="177">
        <f>IF($A$1="BL",0,'Peak Hours'!L187*Peak!R188*'Peak Hours'!$Y187)</f>
        <v>1281419.6750276582</v>
      </c>
      <c r="M187" s="177">
        <f>IF($A$1="BL",0,'Peak Hours'!M187*Peak!S188*'Peak Hours'!$Y187)</f>
        <v>1261602.0524777521</v>
      </c>
      <c r="N187" s="177">
        <f>IF($A$1="BL",0,'Peak Hours'!N187*Peak!T188*'Peak Hours'!$Y187)</f>
        <v>1242545.4586180304</v>
      </c>
      <c r="O187" s="177">
        <f>IF($A$1="BL",0,'Peak Hours'!O187*Peak!U188*'Peak Hours'!$Y187)</f>
        <v>1237472.4766698314</v>
      </c>
      <c r="P187" s="177">
        <f>IF($A$1="BL",0,'Peak Hours'!P187*Peak!V188*'Peak Hours'!$Y187)</f>
        <v>1217081.0771355745</v>
      </c>
      <c r="Q187" s="177">
        <f>IF($A$1="BL",0,'Peak Hours'!Q187*Peak!W188*'Peak Hours'!$Y187)</f>
        <v>0</v>
      </c>
      <c r="R187" s="177">
        <f>IF($A$1="BL",0,'Peak Hours'!R187*Peak!X188*'Peak Hours'!$Y187)</f>
        <v>0</v>
      </c>
      <c r="S187" s="177">
        <f>IF($A$1="BL",0,'Peak Hours'!S187*Peak!Y188*'Peak Hours'!$Y187)</f>
        <v>0</v>
      </c>
      <c r="T187" s="177">
        <f>IF($A$1="BL",0,'Peak Hours'!T187*Peak!Z188*'Peak Hours'!$Y187)</f>
        <v>0</v>
      </c>
      <c r="U187" s="177">
        <f>IF($A$1="BL",0,'Peak Hours'!U187*Peak!AA188*'Peak Hours'!$Y187)</f>
        <v>0</v>
      </c>
      <c r="V187" s="207"/>
      <c r="W187" s="203">
        <f>(IF($A$1="BL",0,Peak!C188*'Peak Hours'!V187*'Peak Hours'!$Y187))*-1</f>
        <v>-13576717.448845692</v>
      </c>
      <c r="X187" s="207"/>
      <c r="Y187" s="203">
        <f>(IF($A$1="bl",0,Peak!D188*'Peak Hours'!V187*'Peak Hours'!$Y187))*-1</f>
        <v>-249458.37713003941</v>
      </c>
      <c r="Z187" s="207"/>
      <c r="AA187" s="203">
        <f>(Peak!E188*'Peak Hours'!V187*'Peak Hours'!$Y187)*-1</f>
        <v>0</v>
      </c>
      <c r="AB187" s="204"/>
      <c r="AC187" s="203">
        <f>(Peak!F188*'Peak Hours'!V187*'Peak Hours'!$Y187)*-1</f>
        <v>0</v>
      </c>
      <c r="AD187" s="204"/>
    </row>
    <row r="188" spans="1:30" x14ac:dyDescent="0.2">
      <c r="A188" s="1">
        <f t="shared" si="2"/>
        <v>41954.226000000228</v>
      </c>
      <c r="B188" s="177">
        <f>IF($A$1="BL",0,'Peak Hours'!B188*Peak!H189*'Peak Hours'!$Y188)</f>
        <v>498511.08669636806</v>
      </c>
      <c r="C188" s="177">
        <f>IF($A$1="BL",0,'Peak Hours'!C188*Peak!I189*'Peak Hours'!$Y188)</f>
        <v>359690.29686503095</v>
      </c>
      <c r="D188" s="177">
        <f>IF($A$1="BL",0,'Peak Hours'!D188*Peak!J189*'Peak Hours'!$Y188)</f>
        <v>596330.65591402969</v>
      </c>
      <c r="E188" s="177">
        <f>IF($A$1="BL",0,'Peak Hours'!E188*Peak!K189*'Peak Hours'!$Y188)</f>
        <v>1118781.4934533497</v>
      </c>
      <c r="F188" s="177">
        <f>IF($A$1="BL",0,'Peak Hours'!F188*Peak!L189*'Peak Hours'!$Y188)</f>
        <v>1040562.0673500577</v>
      </c>
      <c r="G188" s="177">
        <f>IF($A$1="BL",0,'Peak Hours'!G188*Peak!M189*'Peak Hours'!$Y188)</f>
        <v>2062136.7946020004</v>
      </c>
      <c r="H188" s="177">
        <f>IF($A$1="BL",0,'Peak Hours'!H188*Peak!N189*'Peak Hours'!$Y188)</f>
        <v>1977178.6396856629</v>
      </c>
      <c r="I188" s="177">
        <f>IF($A$1="BL",0,'Peak Hours'!I188*Peak!O189*'Peak Hours'!$Y188)</f>
        <v>1528892.3907972779</v>
      </c>
      <c r="J188" s="177">
        <f>IF($A$1="BL",0,'Peak Hours'!J188*Peak!P189*'Peak Hours'!$Y188)</f>
        <v>1382759.558118799</v>
      </c>
      <c r="K188" s="177">
        <f>IF($A$1="BL",0,'Peak Hours'!K188*Peak!Q189*'Peak Hours'!$Y188)</f>
        <v>0</v>
      </c>
      <c r="L188" s="177">
        <f>IF($A$1="BL",0,'Peak Hours'!L188*Peak!R189*'Peak Hours'!$Y188)</f>
        <v>0</v>
      </c>
      <c r="M188" s="177">
        <f>IF($A$1="BL",0,'Peak Hours'!M188*Peak!S189*'Peak Hours'!$Y188)</f>
        <v>0</v>
      </c>
      <c r="N188" s="177">
        <f>IF($A$1="BL",0,'Peak Hours'!N188*Peak!T189*'Peak Hours'!$Y188)</f>
        <v>0</v>
      </c>
      <c r="O188" s="177">
        <f>IF($A$1="BL",0,'Peak Hours'!O188*Peak!U189*'Peak Hours'!$Y188)</f>
        <v>0</v>
      </c>
      <c r="P188" s="177">
        <f>IF($A$1="BL",0,'Peak Hours'!P188*Peak!V189*'Peak Hours'!$Y188)</f>
        <v>0</v>
      </c>
      <c r="Q188" s="177">
        <f>IF($A$1="BL",0,'Peak Hours'!Q188*Peak!W189*'Peak Hours'!$Y188)</f>
        <v>0</v>
      </c>
      <c r="R188" s="177">
        <f>IF($A$1="BL",0,'Peak Hours'!R188*Peak!X189*'Peak Hours'!$Y188)</f>
        <v>0</v>
      </c>
      <c r="S188" s="177">
        <f>IF($A$1="BL",0,'Peak Hours'!S188*Peak!Y189*'Peak Hours'!$Y188)</f>
        <v>0</v>
      </c>
      <c r="T188" s="177">
        <f>IF($A$1="BL",0,'Peak Hours'!T188*Peak!Z189*'Peak Hours'!$Y188)</f>
        <v>0</v>
      </c>
      <c r="U188" s="177">
        <f>IF($A$1="BL",0,'Peak Hours'!U188*Peak!AA189*'Peak Hours'!$Y188)</f>
        <v>0</v>
      </c>
      <c r="V188" s="207"/>
      <c r="W188" s="203">
        <f>(IF($A$1="BL",0,Peak!C189*'Peak Hours'!V188*'Peak Hours'!$Y188))*-1</f>
        <v>-7110363.3432144327</v>
      </c>
      <c r="X188" s="207"/>
      <c r="Y188" s="203">
        <f>(IF($A$1="bl",0,Peak!D189*'Peak Hours'!V188*'Peak Hours'!$Y188))*-1</f>
        <v>-119505.02400048483</v>
      </c>
      <c r="Z188" s="207"/>
      <c r="AA188" s="203">
        <f>(Peak!E189*'Peak Hours'!V188*'Peak Hours'!$Y188)*-1</f>
        <v>0</v>
      </c>
      <c r="AB188" s="204"/>
      <c r="AC188" s="203">
        <f>(Peak!F189*'Peak Hours'!V188*'Peak Hours'!$Y188)*-1</f>
        <v>0</v>
      </c>
      <c r="AD188" s="204"/>
    </row>
    <row r="189" spans="1:30" x14ac:dyDescent="0.2">
      <c r="A189" s="1">
        <f t="shared" si="2"/>
        <v>41984.643000000229</v>
      </c>
      <c r="B189" s="177">
        <f>IF($A$1="BL",0,'Peak Hours'!B189*Peak!H190*'Peak Hours'!$Y189)</f>
        <v>497256.89494055614</v>
      </c>
      <c r="C189" s="177">
        <f>IF($A$1="BL",0,'Peak Hours'!C189*Peak!I190*'Peak Hours'!$Y189)</f>
        <v>486164.7375678813</v>
      </c>
      <c r="D189" s="177">
        <f>IF($A$1="BL",0,'Peak Hours'!D189*Peak!J190*'Peak Hours'!$Y189)</f>
        <v>875920.83392761089</v>
      </c>
      <c r="E189" s="177">
        <f>IF($A$1="BL",0,'Peak Hours'!E189*Peak!K190*'Peak Hours'!$Y189)</f>
        <v>1326275.923083239</v>
      </c>
      <c r="F189" s="177">
        <f>IF($A$1="BL",0,'Peak Hours'!F189*Peak!L190*'Peak Hours'!$Y189)</f>
        <v>1241212.723683212</v>
      </c>
      <c r="G189" s="177">
        <f>IF($A$1="BL",0,'Peak Hours'!G189*Peak!M190*'Peak Hours'!$Y189)</f>
        <v>2300518.0736661782</v>
      </c>
      <c r="H189" s="177">
        <f>IF($A$1="BL",0,'Peak Hours'!H189*Peak!N190*'Peak Hours'!$Y189)</f>
        <v>2251246.661665407</v>
      </c>
      <c r="I189" s="177">
        <f>IF($A$1="BL",0,'Peak Hours'!I189*Peak!O190*'Peak Hours'!$Y189)</f>
        <v>2082122.6946147608</v>
      </c>
      <c r="J189" s="177">
        <f>IF($A$1="BL",0,'Peak Hours'!J189*Peak!P190*'Peak Hours'!$Y189)</f>
        <v>1576294.9273821546</v>
      </c>
      <c r="K189" s="177">
        <f>IF($A$1="BL",0,'Peak Hours'!K189*Peak!Q190*'Peak Hours'!$Y189)</f>
        <v>0</v>
      </c>
      <c r="L189" s="177">
        <f>IF($A$1="BL",0,'Peak Hours'!L189*Peak!R190*'Peak Hours'!$Y189)</f>
        <v>0</v>
      </c>
      <c r="M189" s="177">
        <f>IF($A$1="BL",0,'Peak Hours'!M189*Peak!S190*'Peak Hours'!$Y189)</f>
        <v>0</v>
      </c>
      <c r="N189" s="177">
        <f>IF($A$1="BL",0,'Peak Hours'!N189*Peak!T190*'Peak Hours'!$Y189)</f>
        <v>0</v>
      </c>
      <c r="O189" s="177">
        <f>IF($A$1="BL",0,'Peak Hours'!O189*Peak!U190*'Peak Hours'!$Y189)</f>
        <v>0</v>
      </c>
      <c r="P189" s="177">
        <f>IF($A$1="BL",0,'Peak Hours'!P189*Peak!V190*'Peak Hours'!$Y189)</f>
        <v>0</v>
      </c>
      <c r="Q189" s="177">
        <f>IF($A$1="BL",0,'Peak Hours'!Q189*Peak!W190*'Peak Hours'!$Y189)</f>
        <v>0</v>
      </c>
      <c r="R189" s="177">
        <f>IF($A$1="BL",0,'Peak Hours'!R189*Peak!X190*'Peak Hours'!$Y189)</f>
        <v>0</v>
      </c>
      <c r="S189" s="177">
        <f>IF($A$1="BL",0,'Peak Hours'!S189*Peak!Y190*'Peak Hours'!$Y189)</f>
        <v>0</v>
      </c>
      <c r="T189" s="177">
        <f>IF($A$1="BL",0,'Peak Hours'!T189*Peak!Z190*'Peak Hours'!$Y189)</f>
        <v>0</v>
      </c>
      <c r="U189" s="177">
        <f>IF($A$1="BL",0,'Peak Hours'!U189*Peak!AA190*'Peak Hours'!$Y189)</f>
        <v>0</v>
      </c>
      <c r="V189" s="208">
        <f>SUM(B178:U189)</f>
        <v>165717611.82775313</v>
      </c>
      <c r="W189" s="203">
        <f>(IF($A$1="BL",0,Peak!C190*'Peak Hours'!V189*'Peak Hours'!$Y189))*-1</f>
        <v>-7486335.9231672194</v>
      </c>
      <c r="X189" s="208">
        <f>SUM(W178:W189)</f>
        <v>-96769735.451788872</v>
      </c>
      <c r="Y189" s="203">
        <f>(IF($A$1="bl",0,Peak!D190*'Peak Hours'!V189*'Peak Hours'!$Y189))*-1</f>
        <v>-116462.93930909527</v>
      </c>
      <c r="Z189" s="208">
        <f>SUM(Y178:Y189)</f>
        <v>-1766521.7890154566</v>
      </c>
      <c r="AA189" s="203">
        <f>(Peak!E190*'Peak Hours'!V189*'Peak Hours'!$Y189)*-1</f>
        <v>0</v>
      </c>
      <c r="AB189" s="205">
        <f>SUM(AA178:AA189)</f>
        <v>0</v>
      </c>
      <c r="AC189" s="203">
        <f>(Peak!F190*'Peak Hours'!V189*'Peak Hours'!$Y189)*-1</f>
        <v>0</v>
      </c>
      <c r="AD189" s="205">
        <f>SUM(AC178:AC189)</f>
        <v>0</v>
      </c>
    </row>
    <row r="190" spans="1:30" x14ac:dyDescent="0.2">
      <c r="A190" s="1">
        <f t="shared" si="2"/>
        <v>42015.060000000231</v>
      </c>
      <c r="B190" s="177">
        <f>IF($A$1="BL",0,'Peak Hours'!B190*Peak!H191*'Peak Hours'!$Y190)</f>
        <v>364683.71306290152</v>
      </c>
      <c r="C190" s="177">
        <f>IF($A$1="BL",0,'Peak Hours'!C190*Peak!I191*'Peak Hours'!$Y190)</f>
        <v>336292.96251604764</v>
      </c>
      <c r="D190" s="177">
        <f>IF($A$1="BL",0,'Peak Hours'!D190*Peak!J191*'Peak Hours'!$Y190)</f>
        <v>642906.84204270807</v>
      </c>
      <c r="E190" s="177">
        <f>IF($A$1="BL",0,'Peak Hours'!E190*Peak!K191*'Peak Hours'!$Y190)</f>
        <v>1191453.607762584</v>
      </c>
      <c r="F190" s="177">
        <f>IF($A$1="BL",0,'Peak Hours'!F190*Peak!L191*'Peak Hours'!$Y190)</f>
        <v>1184793.5544314131</v>
      </c>
      <c r="G190" s="177">
        <f>IF($A$1="BL",0,'Peak Hours'!G190*Peak!M191*'Peak Hours'!$Y190)</f>
        <v>2165841.8486144417</v>
      </c>
      <c r="H190" s="177">
        <f>IF($A$1="BL",0,'Peak Hours'!H190*Peak!N191*'Peak Hours'!$Y190)</f>
        <v>1733513.735190891</v>
      </c>
      <c r="I190" s="177">
        <f>IF($A$1="BL",0,'Peak Hours'!I190*Peak!O191*'Peak Hours'!$Y190)</f>
        <v>1716104.8825663389</v>
      </c>
      <c r="J190" s="177">
        <f>IF($A$1="BL",0,'Peak Hours'!J190*Peak!P191*'Peak Hours'!$Y190)</f>
        <v>1696364.2222342682</v>
      </c>
      <c r="K190" s="177">
        <f>IF($A$1="BL",0,'Peak Hours'!K190*Peak!Q191*'Peak Hours'!$Y190)</f>
        <v>1681426.6645032603</v>
      </c>
      <c r="L190" s="177">
        <f>IF($A$1="BL",0,'Peak Hours'!L190*Peak!R191*'Peak Hours'!$Y190)</f>
        <v>1631540.958210238</v>
      </c>
      <c r="M190" s="177">
        <f>IF($A$1="BL",0,'Peak Hours'!M190*Peak!S191*'Peak Hours'!$Y190)</f>
        <v>0</v>
      </c>
      <c r="N190" s="177">
        <f>IF($A$1="BL",0,'Peak Hours'!N190*Peak!T191*'Peak Hours'!$Y190)</f>
        <v>0</v>
      </c>
      <c r="O190" s="177">
        <f>IF($A$1="BL",0,'Peak Hours'!O190*Peak!U191*'Peak Hours'!$Y190)</f>
        <v>0</v>
      </c>
      <c r="P190" s="177">
        <f>IF($A$1="BL",0,'Peak Hours'!P190*Peak!V191*'Peak Hours'!$Y190)</f>
        <v>0</v>
      </c>
      <c r="Q190" s="177">
        <f>IF($A$1="BL",0,'Peak Hours'!Q190*Peak!W191*'Peak Hours'!$Y190)</f>
        <v>0</v>
      </c>
      <c r="R190" s="177">
        <f>IF($A$1="BL",0,'Peak Hours'!R190*Peak!X191*'Peak Hours'!$Y190)</f>
        <v>0</v>
      </c>
      <c r="S190" s="177">
        <f>IF($A$1="BL",0,'Peak Hours'!S190*Peak!Y191*'Peak Hours'!$Y190)</f>
        <v>0</v>
      </c>
      <c r="T190" s="177">
        <f>IF($A$1="BL",0,'Peak Hours'!T190*Peak!Z191*'Peak Hours'!$Y190)</f>
        <v>0</v>
      </c>
      <c r="U190" s="177">
        <f>IF($A$1="BL",0,'Peak Hours'!U190*Peak!AA191*'Peak Hours'!$Y190)</f>
        <v>0</v>
      </c>
      <c r="V190" s="207"/>
      <c r="W190" s="203">
        <f>(IF($A$1="BL",0,Peak!C191*'Peak Hours'!V190*'Peak Hours'!$Y190))*-1</f>
        <v>-10733241.912995435</v>
      </c>
      <c r="X190" s="207"/>
      <c r="Y190" s="203">
        <f>(IF($A$1="bl",0,Peak!D191*'Peak Hours'!V190*'Peak Hours'!$Y190))*-1</f>
        <v>-159077.78755628699</v>
      </c>
      <c r="Z190" s="207"/>
      <c r="AA190" s="203">
        <f>(Peak!E191*'Peak Hours'!V190*'Peak Hours'!$Y190)*-1</f>
        <v>0</v>
      </c>
      <c r="AB190" s="204"/>
      <c r="AC190" s="203">
        <f>(Peak!F191*'Peak Hours'!V190*'Peak Hours'!$Y190)*-1</f>
        <v>0</v>
      </c>
      <c r="AD190" s="204"/>
    </row>
    <row r="191" spans="1:30" x14ac:dyDescent="0.2">
      <c r="A191" s="1">
        <f t="shared" si="2"/>
        <v>42045.477000000232</v>
      </c>
      <c r="B191" s="177">
        <f>IF($A$1="BL",0,'Peak Hours'!B191*Peak!H192*'Peak Hours'!$Y191)</f>
        <v>489930.96593308332</v>
      </c>
      <c r="C191" s="177">
        <f>IF($A$1="BL",0,'Peak Hours'!C191*Peak!I192*'Peak Hours'!$Y191)</f>
        <v>474170.21620496007</v>
      </c>
      <c r="D191" s="177">
        <f>IF($A$1="BL",0,'Peak Hours'!D191*Peak!J192*'Peak Hours'!$Y191)</f>
        <v>833908.24542053707</v>
      </c>
      <c r="E191" s="177">
        <f>IF($A$1="BL",0,'Peak Hours'!E191*Peak!K192*'Peak Hours'!$Y191)</f>
        <v>1353197.1343582673</v>
      </c>
      <c r="F191" s="177">
        <f>IF($A$1="BL",0,'Peak Hours'!F191*Peak!L192*'Peak Hours'!$Y191)</f>
        <v>1248983.9906049997</v>
      </c>
      <c r="G191" s="177">
        <f>IF($A$1="BL",0,'Peak Hours'!G191*Peak!M192*'Peak Hours'!$Y191)</f>
        <v>2336049.3186472678</v>
      </c>
      <c r="H191" s="177">
        <f>IF($A$1="BL",0,'Peak Hours'!H191*Peak!N192*'Peak Hours'!$Y191)</f>
        <v>2202349.1201075246</v>
      </c>
      <c r="I191" s="177">
        <f>IF($A$1="BL",0,'Peak Hours'!I191*Peak!O192*'Peak Hours'!$Y191)</f>
        <v>1640800.7108712813</v>
      </c>
      <c r="J191" s="177">
        <f>IF($A$1="BL",0,'Peak Hours'!J191*Peak!P192*'Peak Hours'!$Y191)</f>
        <v>1362353.2100186471</v>
      </c>
      <c r="K191" s="177">
        <f>IF($A$1="BL",0,'Peak Hours'!K191*Peak!Q192*'Peak Hours'!$Y191)</f>
        <v>0</v>
      </c>
      <c r="L191" s="177">
        <f>IF($A$1="BL",0,'Peak Hours'!L191*Peak!R192*'Peak Hours'!$Y191)</f>
        <v>0</v>
      </c>
      <c r="M191" s="177">
        <f>IF($A$1="BL",0,'Peak Hours'!M191*Peak!S192*'Peak Hours'!$Y191)</f>
        <v>0</v>
      </c>
      <c r="N191" s="177">
        <f>IF($A$1="BL",0,'Peak Hours'!N191*Peak!T192*'Peak Hours'!$Y191)</f>
        <v>0</v>
      </c>
      <c r="O191" s="177">
        <f>IF($A$1="BL",0,'Peak Hours'!O191*Peak!U192*'Peak Hours'!$Y191)</f>
        <v>0</v>
      </c>
      <c r="P191" s="177">
        <f>IF($A$1="BL",0,'Peak Hours'!P191*Peak!V192*'Peak Hours'!$Y191)</f>
        <v>0</v>
      </c>
      <c r="Q191" s="177">
        <f>IF($A$1="BL",0,'Peak Hours'!Q191*Peak!W192*'Peak Hours'!$Y191)</f>
        <v>0</v>
      </c>
      <c r="R191" s="177">
        <f>IF($A$1="BL",0,'Peak Hours'!R191*Peak!X192*'Peak Hours'!$Y191)</f>
        <v>0</v>
      </c>
      <c r="S191" s="177">
        <f>IF($A$1="BL",0,'Peak Hours'!S191*Peak!Y192*'Peak Hours'!$Y191)</f>
        <v>0</v>
      </c>
      <c r="T191" s="177">
        <f>IF($A$1="BL",0,'Peak Hours'!T191*Peak!Z192*'Peak Hours'!$Y191)</f>
        <v>0</v>
      </c>
      <c r="U191" s="177">
        <f>IF($A$1="BL",0,'Peak Hours'!U191*Peak!AA192*'Peak Hours'!$Y191)</f>
        <v>0</v>
      </c>
      <c r="V191" s="207"/>
      <c r="W191" s="203">
        <f>(IF($A$1="BL",0,Peak!C192*'Peak Hours'!V191*'Peak Hours'!$Y191))*-1</f>
        <v>-7054632.5835946938</v>
      </c>
      <c r="X191" s="207"/>
      <c r="Y191" s="203">
        <f>(IF($A$1="bl",0,Peak!D192*'Peak Hours'!V191*'Peak Hours'!$Y191))*-1</f>
        <v>-116851.47261495702</v>
      </c>
      <c r="Z191" s="207"/>
      <c r="AA191" s="203">
        <f>(Peak!E192*'Peak Hours'!V191*'Peak Hours'!$Y191)*-1</f>
        <v>0</v>
      </c>
      <c r="AB191" s="204"/>
      <c r="AC191" s="203">
        <f>(Peak!F192*'Peak Hours'!V191*'Peak Hours'!$Y191)*-1</f>
        <v>0</v>
      </c>
      <c r="AD191" s="204"/>
    </row>
    <row r="192" spans="1:30" x14ac:dyDescent="0.2">
      <c r="A192" s="1">
        <f t="shared" si="2"/>
        <v>42075.894000000233</v>
      </c>
      <c r="B192" s="177">
        <f>IF($A$1="BL",0,'Peak Hours'!B192*Peak!H193*'Peak Hours'!$Y192)</f>
        <v>335320.79988381732</v>
      </c>
      <c r="C192" s="177">
        <f>IF($A$1="BL",0,'Peak Hours'!C192*Peak!I193*'Peak Hours'!$Y192)</f>
        <v>322807.69477865787</v>
      </c>
      <c r="D192" s="177">
        <f>IF($A$1="BL",0,'Peak Hours'!D192*Peak!J193*'Peak Hours'!$Y192)</f>
        <v>644507.5108795655</v>
      </c>
      <c r="E192" s="177">
        <f>IF($A$1="BL",0,'Peak Hours'!E192*Peak!K193*'Peak Hours'!$Y192)</f>
        <v>1267453.113151134</v>
      </c>
      <c r="F192" s="177">
        <f>IF($A$1="BL",0,'Peak Hours'!F192*Peak!L193*'Peak Hours'!$Y192)</f>
        <v>1109359.9906813898</v>
      </c>
      <c r="G192" s="177">
        <f>IF($A$1="BL",0,'Peak Hours'!G192*Peak!M193*'Peak Hours'!$Y192)</f>
        <v>1760935.5675219407</v>
      </c>
      <c r="H192" s="177">
        <f>IF($A$1="BL",0,'Peak Hours'!H192*Peak!N193*'Peak Hours'!$Y192)</f>
        <v>1531022.8625726921</v>
      </c>
      <c r="I192" s="177">
        <f>IF($A$1="BL",0,'Peak Hours'!I192*Peak!O193*'Peak Hours'!$Y192)</f>
        <v>1437459.3565430732</v>
      </c>
      <c r="J192" s="177">
        <f>IF($A$1="BL",0,'Peak Hours'!J192*Peak!P193*'Peak Hours'!$Y192)</f>
        <v>1420106.1475688545</v>
      </c>
      <c r="K192" s="177">
        <f>IF($A$1="BL",0,'Peak Hours'!K192*Peak!Q193*'Peak Hours'!$Y192)</f>
        <v>1318525.8500501199</v>
      </c>
      <c r="L192" s="177">
        <f>IF($A$1="BL",0,'Peak Hours'!L192*Peak!R193*'Peak Hours'!$Y192)</f>
        <v>0</v>
      </c>
      <c r="M192" s="177">
        <f>IF($A$1="BL",0,'Peak Hours'!M192*Peak!S193*'Peak Hours'!$Y192)</f>
        <v>0</v>
      </c>
      <c r="N192" s="177">
        <f>IF($A$1="BL",0,'Peak Hours'!N192*Peak!T193*'Peak Hours'!$Y192)</f>
        <v>0</v>
      </c>
      <c r="O192" s="177">
        <f>IF($A$1="BL",0,'Peak Hours'!O192*Peak!U193*'Peak Hours'!$Y192)</f>
        <v>0</v>
      </c>
      <c r="P192" s="177">
        <f>IF($A$1="BL",0,'Peak Hours'!P192*Peak!V193*'Peak Hours'!$Y192)</f>
        <v>0</v>
      </c>
      <c r="Q192" s="177">
        <f>IF($A$1="BL",0,'Peak Hours'!Q192*Peak!W193*'Peak Hours'!$Y192)</f>
        <v>0</v>
      </c>
      <c r="R192" s="177">
        <f>IF($A$1="BL",0,'Peak Hours'!R192*Peak!X193*'Peak Hours'!$Y192)</f>
        <v>0</v>
      </c>
      <c r="S192" s="177">
        <f>IF($A$1="BL",0,'Peak Hours'!S192*Peak!Y193*'Peak Hours'!$Y192)</f>
        <v>0</v>
      </c>
      <c r="T192" s="177">
        <f>IF($A$1="BL",0,'Peak Hours'!T192*Peak!Z193*'Peak Hours'!$Y192)</f>
        <v>0</v>
      </c>
      <c r="U192" s="177">
        <f>IF($A$1="BL",0,'Peak Hours'!U192*Peak!AA193*'Peak Hours'!$Y192)</f>
        <v>0</v>
      </c>
      <c r="V192" s="207"/>
      <c r="W192" s="203">
        <f>(IF($A$1="BL",0,Peak!C193*'Peak Hours'!V192*'Peak Hours'!$Y192))*-1</f>
        <v>-8425233.2739341147</v>
      </c>
      <c r="X192" s="207"/>
      <c r="Y192" s="203">
        <f>(IF($A$1="bl",0,Peak!D193*'Peak Hours'!V192*'Peak Hours'!$Y192))*-1</f>
        <v>-142177.12142029643</v>
      </c>
      <c r="Z192" s="207"/>
      <c r="AA192" s="203">
        <f>(Peak!E193*'Peak Hours'!V192*'Peak Hours'!$Y192)*-1</f>
        <v>0</v>
      </c>
      <c r="AB192" s="204"/>
      <c r="AC192" s="203">
        <f>(Peak!F193*'Peak Hours'!V192*'Peak Hours'!$Y192)*-1</f>
        <v>0</v>
      </c>
      <c r="AD192" s="204"/>
    </row>
    <row r="193" spans="1:30" x14ac:dyDescent="0.2">
      <c r="A193" s="1">
        <f t="shared" si="2"/>
        <v>42106.311000000234</v>
      </c>
      <c r="B193" s="177">
        <f>IF($A$1="BL",0,'Peak Hours'!B193*Peak!H194*'Peak Hours'!$Y193)</f>
        <v>258799.23778678683</v>
      </c>
      <c r="C193" s="177">
        <f>IF($A$1="BL",0,'Peak Hours'!C193*Peak!I194*'Peak Hours'!$Y193)</f>
        <v>249330.29371000078</v>
      </c>
      <c r="D193" s="177">
        <f>IF($A$1="BL",0,'Peak Hours'!D193*Peak!J194*'Peak Hours'!$Y193)</f>
        <v>480015.20080599008</v>
      </c>
      <c r="E193" s="177">
        <f>IF($A$1="BL",0,'Peak Hours'!E193*Peak!K194*'Peak Hours'!$Y193)</f>
        <v>915319.15555887145</v>
      </c>
      <c r="F193" s="177">
        <f>IF($A$1="BL",0,'Peak Hours'!F193*Peak!L194*'Peak Hours'!$Y193)</f>
        <v>854613.46106337884</v>
      </c>
      <c r="G193" s="177">
        <f>IF($A$1="BL",0,'Peak Hours'!G193*Peak!M194*'Peak Hours'!$Y193)</f>
        <v>1694643.5849157241</v>
      </c>
      <c r="H193" s="177">
        <f>IF($A$1="BL",0,'Peak Hours'!H193*Peak!N194*'Peak Hours'!$Y193)</f>
        <v>1590541.7072111408</v>
      </c>
      <c r="I193" s="177">
        <f>IF($A$1="BL",0,'Peak Hours'!I193*Peak!O194*'Peak Hours'!$Y193)</f>
        <v>1440635.7463737475</v>
      </c>
      <c r="J193" s="177">
        <f>IF($A$1="BL",0,'Peak Hours'!J193*Peak!P194*'Peak Hours'!$Y193)</f>
        <v>1365768.2180309345</v>
      </c>
      <c r="K193" s="177">
        <f>IF($A$1="BL",0,'Peak Hours'!K193*Peak!Q194*'Peak Hours'!$Y193)</f>
        <v>1324675.4761380812</v>
      </c>
      <c r="L193" s="177">
        <f>IF($A$1="BL",0,'Peak Hours'!L193*Peak!R194*'Peak Hours'!$Y193)</f>
        <v>1288889.3142481721</v>
      </c>
      <c r="M193" s="177">
        <f>IF($A$1="BL",0,'Peak Hours'!M193*Peak!S194*'Peak Hours'!$Y193)</f>
        <v>0</v>
      </c>
      <c r="N193" s="177">
        <f>IF($A$1="BL",0,'Peak Hours'!N193*Peak!T194*'Peak Hours'!$Y193)</f>
        <v>0</v>
      </c>
      <c r="O193" s="177">
        <f>IF($A$1="BL",0,'Peak Hours'!O193*Peak!U194*'Peak Hours'!$Y193)</f>
        <v>0</v>
      </c>
      <c r="P193" s="177">
        <f>IF($A$1="BL",0,'Peak Hours'!P193*Peak!V194*'Peak Hours'!$Y193)</f>
        <v>0</v>
      </c>
      <c r="Q193" s="177">
        <f>IF($A$1="BL",0,'Peak Hours'!Q193*Peak!W194*'Peak Hours'!$Y193)</f>
        <v>0</v>
      </c>
      <c r="R193" s="177">
        <f>IF($A$1="BL",0,'Peak Hours'!R193*Peak!X194*'Peak Hours'!$Y193)</f>
        <v>0</v>
      </c>
      <c r="S193" s="177">
        <f>IF($A$1="BL",0,'Peak Hours'!S193*Peak!Y194*'Peak Hours'!$Y193)</f>
        <v>0</v>
      </c>
      <c r="T193" s="177">
        <f>IF($A$1="BL",0,'Peak Hours'!T193*Peak!Z194*'Peak Hours'!$Y193)</f>
        <v>0</v>
      </c>
      <c r="U193" s="177">
        <f>IF($A$1="BL",0,'Peak Hours'!U193*Peak!AA194*'Peak Hours'!$Y193)</f>
        <v>0</v>
      </c>
      <c r="V193" s="207"/>
      <c r="W193" s="203">
        <f>(IF($A$1="BL",0,Peak!C194*'Peak Hours'!V193*'Peak Hours'!$Y193))*-1</f>
        <v>-9242197.9305073563</v>
      </c>
      <c r="X193" s="207"/>
      <c r="Y193" s="203">
        <f>(IF($A$1="bl",0,Peak!D194*'Peak Hours'!V193*'Peak Hours'!$Y193))*-1</f>
        <v>-164323.94225691954</v>
      </c>
      <c r="Z193" s="207"/>
      <c r="AA193" s="203">
        <f>(Peak!E194*'Peak Hours'!V193*'Peak Hours'!$Y193)*-1</f>
        <v>0</v>
      </c>
      <c r="AB193" s="204"/>
      <c r="AC193" s="203">
        <f>(Peak!F194*'Peak Hours'!V193*'Peak Hours'!$Y193)*-1</f>
        <v>0</v>
      </c>
      <c r="AD193" s="204"/>
    </row>
    <row r="194" spans="1:30" x14ac:dyDescent="0.2">
      <c r="A194" s="1">
        <f t="shared" si="2"/>
        <v>42136.728000000236</v>
      </c>
      <c r="B194" s="177">
        <f>IF($A$1="BL",0,'Peak Hours'!B194*Peak!H195*'Peak Hours'!$Y194)</f>
        <v>556447.08084268868</v>
      </c>
      <c r="C194" s="177">
        <f>IF($A$1="BL",0,'Peak Hours'!C194*Peak!I195*'Peak Hours'!$Y194)</f>
        <v>521379.48370352911</v>
      </c>
      <c r="D194" s="177">
        <f>IF($A$1="BL",0,'Peak Hours'!D194*Peak!J195*'Peak Hours'!$Y194)</f>
        <v>1001630.0546621428</v>
      </c>
      <c r="E194" s="177">
        <f>IF($A$1="BL",0,'Peak Hours'!E194*Peak!K195*'Peak Hours'!$Y194)</f>
        <v>1117681.7183222147</v>
      </c>
      <c r="F194" s="177">
        <f>IF($A$1="BL",0,'Peak Hours'!F194*Peak!L195*'Peak Hours'!$Y194)</f>
        <v>919742.6093745426</v>
      </c>
      <c r="G194" s="177">
        <f>IF($A$1="BL",0,'Peak Hours'!G194*Peak!M195*'Peak Hours'!$Y194)</f>
        <v>1691125.8513764332</v>
      </c>
      <c r="H194" s="177">
        <f>IF($A$1="BL",0,'Peak Hours'!H194*Peak!N195*'Peak Hours'!$Y194)</f>
        <v>1664890.0329290703</v>
      </c>
      <c r="I194" s="177">
        <f>IF($A$1="BL",0,'Peak Hours'!I194*Peak!O195*'Peak Hours'!$Y194)</f>
        <v>1438239.1539121747</v>
      </c>
      <c r="J194" s="177">
        <f>IF($A$1="BL",0,'Peak Hours'!J194*Peak!P195*'Peak Hours'!$Y194)</f>
        <v>0</v>
      </c>
      <c r="K194" s="177">
        <f>IF($A$1="BL",0,'Peak Hours'!K194*Peak!Q195*'Peak Hours'!$Y194)</f>
        <v>0</v>
      </c>
      <c r="L194" s="177">
        <f>IF($A$1="BL",0,'Peak Hours'!L194*Peak!R195*'Peak Hours'!$Y194)</f>
        <v>0</v>
      </c>
      <c r="M194" s="177">
        <f>IF($A$1="BL",0,'Peak Hours'!M194*Peak!S195*'Peak Hours'!$Y194)</f>
        <v>0</v>
      </c>
      <c r="N194" s="177">
        <f>IF($A$1="BL",0,'Peak Hours'!N194*Peak!T195*'Peak Hours'!$Y194)</f>
        <v>0</v>
      </c>
      <c r="O194" s="177">
        <f>IF($A$1="BL",0,'Peak Hours'!O194*Peak!U195*'Peak Hours'!$Y194)</f>
        <v>0</v>
      </c>
      <c r="P194" s="177">
        <f>IF($A$1="BL",0,'Peak Hours'!P194*Peak!V195*'Peak Hours'!$Y194)</f>
        <v>0</v>
      </c>
      <c r="Q194" s="177">
        <f>IF($A$1="BL",0,'Peak Hours'!Q194*Peak!W195*'Peak Hours'!$Y194)</f>
        <v>0</v>
      </c>
      <c r="R194" s="177">
        <f>IF($A$1="BL",0,'Peak Hours'!R194*Peak!X195*'Peak Hours'!$Y194)</f>
        <v>0</v>
      </c>
      <c r="S194" s="177">
        <f>IF($A$1="BL",0,'Peak Hours'!S194*Peak!Y195*'Peak Hours'!$Y194)</f>
        <v>0</v>
      </c>
      <c r="T194" s="177">
        <f>IF($A$1="BL",0,'Peak Hours'!T194*Peak!Z195*'Peak Hours'!$Y194)</f>
        <v>0</v>
      </c>
      <c r="U194" s="177">
        <f>IF($A$1="BL",0,'Peak Hours'!U194*Peak!AA195*'Peak Hours'!$Y194)</f>
        <v>0</v>
      </c>
      <c r="V194" s="207"/>
      <c r="W194" s="203">
        <f>(IF($A$1="BL",0,Peak!C195*'Peak Hours'!V194*'Peak Hours'!$Y194))*-1</f>
        <v>-5838721.8672094103</v>
      </c>
      <c r="X194" s="207"/>
      <c r="Y194" s="203">
        <f>(IF($A$1="bl",0,Peak!D195*'Peak Hours'!V194*'Peak Hours'!$Y194))*-1</f>
        <v>-98758.689296408644</v>
      </c>
      <c r="Z194" s="207"/>
      <c r="AA194" s="203">
        <f>(Peak!E195*'Peak Hours'!V194*'Peak Hours'!$Y194)*-1</f>
        <v>0</v>
      </c>
      <c r="AB194" s="204"/>
      <c r="AC194" s="203">
        <f>(Peak!F195*'Peak Hours'!V194*'Peak Hours'!$Y194)*-1</f>
        <v>0</v>
      </c>
      <c r="AD194" s="204"/>
    </row>
    <row r="195" spans="1:30" x14ac:dyDescent="0.2">
      <c r="A195" s="1">
        <f t="shared" si="2"/>
        <v>42167.145000000237</v>
      </c>
      <c r="B195" s="177">
        <f>IF($A$1="BL",0,'Peak Hours'!B195*Peak!H196*'Peak Hours'!$Y195)</f>
        <v>657379.03442757821</v>
      </c>
      <c r="C195" s="177">
        <f>IF($A$1="BL",0,'Peak Hours'!C195*Peak!I196*'Peak Hours'!$Y195)</f>
        <v>606438.97482421726</v>
      </c>
      <c r="D195" s="177">
        <f>IF($A$1="BL",0,'Peak Hours'!D195*Peak!J196*'Peak Hours'!$Y195)</f>
        <v>1126805.199894795</v>
      </c>
      <c r="E195" s="177">
        <f>IF($A$1="BL",0,'Peak Hours'!E195*Peak!K196*'Peak Hours'!$Y195)</f>
        <v>2074313.7522660184</v>
      </c>
      <c r="F195" s="177">
        <f>IF($A$1="BL",0,'Peak Hours'!F195*Peak!L196*'Peak Hours'!$Y195)</f>
        <v>1666344.9730428627</v>
      </c>
      <c r="G195" s="177">
        <f>IF($A$1="BL",0,'Peak Hours'!G195*Peak!M196*'Peak Hours'!$Y195)</f>
        <v>2426948.7473133598</v>
      </c>
      <c r="H195" s="177">
        <f>IF($A$1="BL",0,'Peak Hours'!H195*Peak!N196*'Peak Hours'!$Y195)</f>
        <v>1864925.3202419064</v>
      </c>
      <c r="I195" s="177">
        <f>IF($A$1="BL",0,'Peak Hours'!I195*Peak!O196*'Peak Hours'!$Y195)</f>
        <v>1682437.2906897967</v>
      </c>
      <c r="J195" s="177">
        <f>IF($A$1="BL",0,'Peak Hours'!J195*Peak!P196*'Peak Hours'!$Y195)</f>
        <v>1631797.4796405397</v>
      </c>
      <c r="K195" s="177">
        <f>IF($A$1="BL",0,'Peak Hours'!K195*Peak!Q196*'Peak Hours'!$Y195)</f>
        <v>1411873.9077461411</v>
      </c>
      <c r="L195" s="177">
        <f>IF($A$1="BL",0,'Peak Hours'!L195*Peak!R196*'Peak Hours'!$Y195)</f>
        <v>1285544.1751004425</v>
      </c>
      <c r="M195" s="177">
        <f>IF($A$1="BL",0,'Peak Hours'!M195*Peak!S196*'Peak Hours'!$Y195)</f>
        <v>0</v>
      </c>
      <c r="N195" s="177">
        <f>IF($A$1="BL",0,'Peak Hours'!N195*Peak!T196*'Peak Hours'!$Y195)</f>
        <v>0</v>
      </c>
      <c r="O195" s="177">
        <f>IF($A$1="BL",0,'Peak Hours'!O195*Peak!U196*'Peak Hours'!$Y195)</f>
        <v>0</v>
      </c>
      <c r="P195" s="177">
        <f>IF($A$1="BL",0,'Peak Hours'!P195*Peak!V196*'Peak Hours'!$Y195)</f>
        <v>0</v>
      </c>
      <c r="Q195" s="177">
        <f>IF($A$1="BL",0,'Peak Hours'!Q195*Peak!W196*'Peak Hours'!$Y195)</f>
        <v>0</v>
      </c>
      <c r="R195" s="177">
        <f>IF($A$1="BL",0,'Peak Hours'!R195*Peak!X196*'Peak Hours'!$Y195)</f>
        <v>0</v>
      </c>
      <c r="S195" s="177">
        <f>IF($A$1="BL",0,'Peak Hours'!S195*Peak!Y196*'Peak Hours'!$Y195)</f>
        <v>0</v>
      </c>
      <c r="T195" s="177">
        <f>IF($A$1="BL",0,'Peak Hours'!T195*Peak!Z196*'Peak Hours'!$Y195)</f>
        <v>0</v>
      </c>
      <c r="U195" s="177">
        <f>IF($A$1="BL",0,'Peak Hours'!U195*Peak!AA196*'Peak Hours'!$Y195)</f>
        <v>0</v>
      </c>
      <c r="V195" s="207"/>
      <c r="W195" s="203">
        <f>(IF($A$1="BL",0,Peak!C196*'Peak Hours'!V195*'Peak Hours'!$Y195))*-1</f>
        <v>-9428874.8701957781</v>
      </c>
      <c r="X195" s="207"/>
      <c r="Y195" s="203">
        <f>(IF($A$1="bl",0,Peak!D196*'Peak Hours'!V195*'Peak Hours'!$Y195))*-1</f>
        <v>-167670.00103641089</v>
      </c>
      <c r="Z195" s="207"/>
      <c r="AA195" s="203">
        <f>(Peak!E196*'Peak Hours'!V195*'Peak Hours'!$Y195)*-1</f>
        <v>0</v>
      </c>
      <c r="AB195" s="204"/>
      <c r="AC195" s="203">
        <f>(Peak!F196*'Peak Hours'!V195*'Peak Hours'!$Y195)*-1</f>
        <v>0</v>
      </c>
      <c r="AD195" s="204"/>
    </row>
    <row r="196" spans="1:30" x14ac:dyDescent="0.2">
      <c r="A196" s="1">
        <f t="shared" si="2"/>
        <v>42197.562000000238</v>
      </c>
      <c r="B196" s="177">
        <f>IF($A$1="BL",0,'Peak Hours'!B196*Peak!H197*'Peak Hours'!$Y196)</f>
        <v>1102377.6926963245</v>
      </c>
      <c r="C196" s="177">
        <f>IF($A$1="BL",0,'Peak Hours'!C196*Peak!I197*'Peak Hours'!$Y196)</f>
        <v>808369.77323126909</v>
      </c>
      <c r="D196" s="177">
        <f>IF($A$1="BL",0,'Peak Hours'!D196*Peak!J197*'Peak Hours'!$Y196)</f>
        <v>1462459.7926430616</v>
      </c>
      <c r="E196" s="177">
        <f>IF($A$1="BL",0,'Peak Hours'!E196*Peak!K197*'Peak Hours'!$Y196)</f>
        <v>2656584.4932002146</v>
      </c>
      <c r="F196" s="177">
        <f>IF($A$1="BL",0,'Peak Hours'!F196*Peak!L197*'Peak Hours'!$Y196)</f>
        <v>2430769.8459479385</v>
      </c>
      <c r="G196" s="177">
        <f>IF($A$1="BL",0,'Peak Hours'!G196*Peak!M197*'Peak Hours'!$Y196)</f>
        <v>4411259.1768419705</v>
      </c>
      <c r="H196" s="177">
        <f>IF($A$1="BL",0,'Peak Hours'!H196*Peak!N197*'Peak Hours'!$Y196)</f>
        <v>4040711.4201969584</v>
      </c>
      <c r="I196" s="177">
        <f>IF($A$1="BL",0,'Peak Hours'!I196*Peak!O197*'Peak Hours'!$Y196)</f>
        <v>2075643.2892647008</v>
      </c>
      <c r="J196" s="177">
        <f>IF($A$1="BL",0,'Peak Hours'!J196*Peak!P197*'Peak Hours'!$Y196)</f>
        <v>1617779.4928692961</v>
      </c>
      <c r="K196" s="177">
        <f>IF($A$1="BL",0,'Peak Hours'!K196*Peak!Q197*'Peak Hours'!$Y196)</f>
        <v>1458496.0163665987</v>
      </c>
      <c r="L196" s="177">
        <f>IF($A$1="BL",0,'Peak Hours'!L196*Peak!R197*'Peak Hours'!$Y196)</f>
        <v>1341733.7549937477</v>
      </c>
      <c r="M196" s="177">
        <f>IF($A$1="BL",0,'Peak Hours'!M196*Peak!S197*'Peak Hours'!$Y196)</f>
        <v>0</v>
      </c>
      <c r="N196" s="177">
        <f>IF($A$1="BL",0,'Peak Hours'!N196*Peak!T197*'Peak Hours'!$Y196)</f>
        <v>0</v>
      </c>
      <c r="O196" s="177">
        <f>IF($A$1="BL",0,'Peak Hours'!O196*Peak!U197*'Peak Hours'!$Y196)</f>
        <v>0</v>
      </c>
      <c r="P196" s="177">
        <f>IF($A$1="BL",0,'Peak Hours'!P196*Peak!V197*'Peak Hours'!$Y196)</f>
        <v>0</v>
      </c>
      <c r="Q196" s="177">
        <f>IF($A$1="BL",0,'Peak Hours'!Q196*Peak!W197*'Peak Hours'!$Y196)</f>
        <v>0</v>
      </c>
      <c r="R196" s="177">
        <f>IF($A$1="BL",0,'Peak Hours'!R196*Peak!X197*'Peak Hours'!$Y196)</f>
        <v>0</v>
      </c>
      <c r="S196" s="177">
        <f>IF($A$1="BL",0,'Peak Hours'!S196*Peak!Y197*'Peak Hours'!$Y196)</f>
        <v>0</v>
      </c>
      <c r="T196" s="177">
        <f>IF($A$1="BL",0,'Peak Hours'!T196*Peak!Z197*'Peak Hours'!$Y196)</f>
        <v>0</v>
      </c>
      <c r="U196" s="177">
        <f>IF($A$1="BL",0,'Peak Hours'!U196*Peak!AA197*'Peak Hours'!$Y196)</f>
        <v>0</v>
      </c>
      <c r="V196" s="207"/>
      <c r="W196" s="203">
        <f>(IF($A$1="BL",0,Peak!C197*'Peak Hours'!V196*'Peak Hours'!$Y196))*-1</f>
        <v>-9399036.6585812345</v>
      </c>
      <c r="X196" s="207"/>
      <c r="Y196" s="203">
        <f>(IF($A$1="bl",0,Peak!D197*'Peak Hours'!V196*'Peak Hours'!$Y196))*-1</f>
        <v>-167949.45103813824</v>
      </c>
      <c r="Z196" s="207"/>
      <c r="AA196" s="203">
        <f>(Peak!E197*'Peak Hours'!V196*'Peak Hours'!$Y196)*-1</f>
        <v>0</v>
      </c>
      <c r="AB196" s="204"/>
      <c r="AC196" s="203">
        <f>(Peak!F197*'Peak Hours'!V196*'Peak Hours'!$Y196)*-1</f>
        <v>0</v>
      </c>
      <c r="AD196" s="204"/>
    </row>
    <row r="197" spans="1:30" x14ac:dyDescent="0.2">
      <c r="A197" s="1">
        <f t="shared" si="2"/>
        <v>42227.979000000239</v>
      </c>
      <c r="B197" s="177">
        <f>IF($A$1="BL",0,'Peak Hours'!B197*Peak!H198*'Peak Hours'!$Y197)</f>
        <v>1121887.9483348776</v>
      </c>
      <c r="C197" s="177">
        <f>IF($A$1="BL",0,'Peak Hours'!C197*Peak!I198*'Peak Hours'!$Y197)</f>
        <v>792707.29855554947</v>
      </c>
      <c r="D197" s="177">
        <f>IF($A$1="BL",0,'Peak Hours'!D197*Peak!J198*'Peak Hours'!$Y197)</f>
        <v>1430711.7688071919</v>
      </c>
      <c r="E197" s="177">
        <f>IF($A$1="BL",0,'Peak Hours'!E197*Peak!K198*'Peak Hours'!$Y197)</f>
        <v>2554755.9006016669</v>
      </c>
      <c r="F197" s="177">
        <f>IF($A$1="BL",0,'Peak Hours'!F197*Peak!L198*'Peak Hours'!$Y197)</f>
        <v>2305421.4973073849</v>
      </c>
      <c r="G197" s="177">
        <f>IF($A$1="BL",0,'Peak Hours'!G197*Peak!M198*'Peak Hours'!$Y197)</f>
        <v>4161416.1421417077</v>
      </c>
      <c r="H197" s="177">
        <f>IF($A$1="BL",0,'Peak Hours'!H197*Peak!N198*'Peak Hours'!$Y197)</f>
        <v>2732373.4750621612</v>
      </c>
      <c r="I197" s="177">
        <f>IF($A$1="BL",0,'Peak Hours'!I197*Peak!O198*'Peak Hours'!$Y197)</f>
        <v>2299872.349096593</v>
      </c>
      <c r="J197" s="177">
        <f>IF($A$1="BL",0,'Peak Hours'!J197*Peak!P198*'Peak Hours'!$Y197)</f>
        <v>1574029.783094174</v>
      </c>
      <c r="K197" s="177">
        <f>IF($A$1="BL",0,'Peak Hours'!K197*Peak!Q198*'Peak Hours'!$Y197)</f>
        <v>1343633.8533744963</v>
      </c>
      <c r="L197" s="177">
        <f>IF($A$1="BL",0,'Peak Hours'!L197*Peak!R198*'Peak Hours'!$Y197)</f>
        <v>1268519.9650129587</v>
      </c>
      <c r="M197" s="177">
        <f>IF($A$1="BL",0,'Peak Hours'!M197*Peak!S198*'Peak Hours'!$Y197)</f>
        <v>0</v>
      </c>
      <c r="N197" s="177">
        <f>IF($A$1="BL",0,'Peak Hours'!N197*Peak!T198*'Peak Hours'!$Y197)</f>
        <v>0</v>
      </c>
      <c r="O197" s="177">
        <f>IF($A$1="BL",0,'Peak Hours'!O197*Peak!U198*'Peak Hours'!$Y197)</f>
        <v>0</v>
      </c>
      <c r="P197" s="177">
        <f>IF($A$1="BL",0,'Peak Hours'!P197*Peak!V198*'Peak Hours'!$Y197)</f>
        <v>0</v>
      </c>
      <c r="Q197" s="177">
        <f>IF($A$1="BL",0,'Peak Hours'!Q197*Peak!W198*'Peak Hours'!$Y197)</f>
        <v>0</v>
      </c>
      <c r="R197" s="177">
        <f>IF($A$1="BL",0,'Peak Hours'!R197*Peak!X198*'Peak Hours'!$Y197)</f>
        <v>0</v>
      </c>
      <c r="S197" s="177">
        <f>IF($A$1="BL",0,'Peak Hours'!S197*Peak!Y198*'Peak Hours'!$Y197)</f>
        <v>0</v>
      </c>
      <c r="T197" s="177">
        <f>IF($A$1="BL",0,'Peak Hours'!T197*Peak!Z198*'Peak Hours'!$Y197)</f>
        <v>0</v>
      </c>
      <c r="U197" s="177">
        <f>IF($A$1="BL",0,'Peak Hours'!U197*Peak!AA198*'Peak Hours'!$Y197)</f>
        <v>0</v>
      </c>
      <c r="V197" s="207"/>
      <c r="W197" s="203">
        <f>(IF($A$1="BL",0,Peak!C198*'Peak Hours'!V197*'Peak Hours'!$Y197))*-1</f>
        <v>-8911679.2022103574</v>
      </c>
      <c r="X197" s="207"/>
      <c r="Y197" s="203">
        <f>(IF($A$1="bl",0,Peak!D198*'Peak Hours'!V197*'Peak Hours'!$Y197))*-1</f>
        <v>-168229.36678986848</v>
      </c>
      <c r="Z197" s="207"/>
      <c r="AA197" s="203">
        <f>(Peak!E198*'Peak Hours'!V197*'Peak Hours'!$Y197)*-1</f>
        <v>0</v>
      </c>
      <c r="AB197" s="204"/>
      <c r="AC197" s="203">
        <f>(Peak!F198*'Peak Hours'!V197*'Peak Hours'!$Y197)*-1</f>
        <v>0</v>
      </c>
      <c r="AD197" s="204"/>
    </row>
    <row r="198" spans="1:30" x14ac:dyDescent="0.2">
      <c r="A198" s="1">
        <f t="shared" si="2"/>
        <v>42258.396000000241</v>
      </c>
      <c r="B198" s="177">
        <f>IF($A$1="BL",0,'Peak Hours'!B198*Peak!H199*'Peak Hours'!$Y198)</f>
        <v>511935.78849831934</v>
      </c>
      <c r="C198" s="177">
        <f>IF($A$1="BL",0,'Peak Hours'!C198*Peak!I199*'Peak Hours'!$Y198)</f>
        <v>450109.90269026213</v>
      </c>
      <c r="D198" s="177">
        <f>IF($A$1="BL",0,'Peak Hours'!D198*Peak!J199*'Peak Hours'!$Y198)</f>
        <v>693294.16575999802</v>
      </c>
      <c r="E198" s="177">
        <f>IF($A$1="BL",0,'Peak Hours'!E198*Peak!K199*'Peak Hours'!$Y198)</f>
        <v>1262706.3693501998</v>
      </c>
      <c r="F198" s="177">
        <f>IF($A$1="BL",0,'Peak Hours'!F198*Peak!L199*'Peak Hours'!$Y198)</f>
        <v>1111495.1449265874</v>
      </c>
      <c r="G198" s="177">
        <f>IF($A$1="BL",0,'Peak Hours'!G198*Peak!M199*'Peak Hours'!$Y198)</f>
        <v>1587747.5701645801</v>
      </c>
      <c r="H198" s="177">
        <f>IF($A$1="BL",0,'Peak Hours'!H198*Peak!N199*'Peak Hours'!$Y198)</f>
        <v>1395866.6614171194</v>
      </c>
      <c r="I198" s="177">
        <f>IF($A$1="BL",0,'Peak Hours'!I198*Peak!O199*'Peak Hours'!$Y198)</f>
        <v>1295282.7826142008</v>
      </c>
      <c r="J198" s="177">
        <f>IF($A$1="BL",0,'Peak Hours'!J198*Peak!P199*'Peak Hours'!$Y198)</f>
        <v>1236295.8854516128</v>
      </c>
      <c r="K198" s="177">
        <f>IF($A$1="BL",0,'Peak Hours'!K198*Peak!Q199*'Peak Hours'!$Y198)</f>
        <v>1226898.9909946683</v>
      </c>
      <c r="L198" s="177">
        <f>IF($A$1="BL",0,'Peak Hours'!L198*Peak!R199*'Peak Hours'!$Y198)</f>
        <v>1217280.263433221</v>
      </c>
      <c r="M198" s="177">
        <f>IF($A$1="BL",0,'Peak Hours'!M198*Peak!S199*'Peak Hours'!$Y198)</f>
        <v>1217280.263433221</v>
      </c>
      <c r="N198" s="177">
        <f>IF($A$1="BL",0,'Peak Hours'!N198*Peak!T199*'Peak Hours'!$Y198)</f>
        <v>1217280.263433221</v>
      </c>
      <c r="O198" s="177">
        <f>IF($A$1="BL",0,'Peak Hours'!O198*Peak!U199*'Peak Hours'!$Y198)</f>
        <v>1216258.7677060484</v>
      </c>
      <c r="P198" s="177">
        <f>IF($A$1="BL",0,'Peak Hours'!P198*Peak!V199*'Peak Hours'!$Y198)</f>
        <v>1201312.3721726562</v>
      </c>
      <c r="Q198" s="177">
        <f>IF($A$1="BL",0,'Peak Hours'!Q198*Peak!W199*'Peak Hours'!$Y198)</f>
        <v>1196902.6349149283</v>
      </c>
      <c r="R198" s="177">
        <f>IF($A$1="BL",0,'Peak Hours'!R198*Peak!X199*'Peak Hours'!$Y198)</f>
        <v>1196902.4889608554</v>
      </c>
      <c r="S198" s="177">
        <f>IF($A$1="BL",0,'Peak Hours'!S198*Peak!Y199*'Peak Hours'!$Y198)</f>
        <v>1196898.7807338259</v>
      </c>
      <c r="T198" s="177">
        <f>IF($A$1="BL",0,'Peak Hours'!T198*Peak!Z199*'Peak Hours'!$Y198)</f>
        <v>1196898.5908790254</v>
      </c>
      <c r="U198" s="177">
        <f>IF($A$1="BL",0,'Peak Hours'!U198*Peak!AA199*'Peak Hours'!$Y198)</f>
        <v>0</v>
      </c>
      <c r="V198" s="207"/>
      <c r="W198" s="203">
        <f>(IF($A$1="BL",0,Peak!C199*'Peak Hours'!V198*'Peak Hours'!$Y198))*-1</f>
        <v>-18049507.252926644</v>
      </c>
      <c r="X198" s="207"/>
      <c r="Y198" s="203">
        <f>(IF($A$1="bl",0,Peak!D199*'Peak Hours'!V198*'Peak Hours'!$Y198))*-1</f>
        <v>-342442.28659457283</v>
      </c>
      <c r="Z198" s="207"/>
      <c r="AA198" s="203">
        <f>(Peak!E199*'Peak Hours'!V198*'Peak Hours'!$Y198)*-1</f>
        <v>0</v>
      </c>
      <c r="AB198" s="204"/>
      <c r="AC198" s="203">
        <f>(Peak!F199*'Peak Hours'!V198*'Peak Hours'!$Y198)*-1</f>
        <v>0</v>
      </c>
      <c r="AD198" s="204"/>
    </row>
    <row r="199" spans="1:30" x14ac:dyDescent="0.2">
      <c r="A199" s="1">
        <f t="shared" si="2"/>
        <v>42288.813000000242</v>
      </c>
      <c r="B199" s="177">
        <f>IF($A$1="BL",0,'Peak Hours'!B199*Peak!H200*'Peak Hours'!$Y199)</f>
        <v>499899.8244479823</v>
      </c>
      <c r="C199" s="177">
        <f>IF($A$1="BL",0,'Peak Hours'!C199*Peak!I200*'Peak Hours'!$Y199)</f>
        <v>479854.93698181643</v>
      </c>
      <c r="D199" s="177">
        <f>IF($A$1="BL",0,'Peak Hours'!D199*Peak!J200*'Peak Hours'!$Y199)</f>
        <v>709658.95369418862</v>
      </c>
      <c r="E199" s="177">
        <f>IF($A$1="BL",0,'Peak Hours'!E199*Peak!K200*'Peak Hours'!$Y199)</f>
        <v>1200719.0756078423</v>
      </c>
      <c r="F199" s="177">
        <f>IF($A$1="BL",0,'Peak Hours'!F199*Peak!L200*'Peak Hours'!$Y199)</f>
        <v>1105906.7235538324</v>
      </c>
      <c r="G199" s="177">
        <f>IF($A$1="BL",0,'Peak Hours'!G199*Peak!M200*'Peak Hours'!$Y199)</f>
        <v>2195955.4768763073</v>
      </c>
      <c r="H199" s="177">
        <f>IF($A$1="BL",0,'Peak Hours'!H199*Peak!N200*'Peak Hours'!$Y199)</f>
        <v>1872988.5900475346</v>
      </c>
      <c r="I199" s="177">
        <f>IF($A$1="BL",0,'Peak Hours'!I199*Peak!O200*'Peak Hours'!$Y199)</f>
        <v>1501951.7525134508</v>
      </c>
      <c r="J199" s="177">
        <f>IF($A$1="BL",0,'Peak Hours'!J199*Peak!P200*'Peak Hours'!$Y199)</f>
        <v>0</v>
      </c>
      <c r="K199" s="177">
        <f>IF($A$1="BL",0,'Peak Hours'!K199*Peak!Q200*'Peak Hours'!$Y199)</f>
        <v>0</v>
      </c>
      <c r="L199" s="177">
        <f>IF($A$1="BL",0,'Peak Hours'!L199*Peak!R200*'Peak Hours'!$Y199)</f>
        <v>0</v>
      </c>
      <c r="M199" s="177">
        <f>IF($A$1="BL",0,'Peak Hours'!M199*Peak!S200*'Peak Hours'!$Y199)</f>
        <v>0</v>
      </c>
      <c r="N199" s="177">
        <f>IF($A$1="BL",0,'Peak Hours'!N199*Peak!T200*'Peak Hours'!$Y199)</f>
        <v>0</v>
      </c>
      <c r="O199" s="177">
        <f>IF($A$1="BL",0,'Peak Hours'!O199*Peak!U200*'Peak Hours'!$Y199)</f>
        <v>0</v>
      </c>
      <c r="P199" s="177">
        <f>IF($A$1="BL",0,'Peak Hours'!P199*Peak!V200*'Peak Hours'!$Y199)</f>
        <v>0</v>
      </c>
      <c r="Q199" s="177">
        <f>IF($A$1="BL",0,'Peak Hours'!Q199*Peak!W200*'Peak Hours'!$Y199)</f>
        <v>0</v>
      </c>
      <c r="R199" s="177">
        <f>IF($A$1="BL",0,'Peak Hours'!R199*Peak!X200*'Peak Hours'!$Y199)</f>
        <v>0</v>
      </c>
      <c r="S199" s="177">
        <f>IF($A$1="BL",0,'Peak Hours'!S199*Peak!Y200*'Peak Hours'!$Y199)</f>
        <v>0</v>
      </c>
      <c r="T199" s="177">
        <f>IF($A$1="BL",0,'Peak Hours'!T199*Peak!Z200*'Peak Hours'!$Y199)</f>
        <v>0</v>
      </c>
      <c r="U199" s="177">
        <f>IF($A$1="BL",0,'Peak Hours'!U199*Peak!AA200*'Peak Hours'!$Y199)</f>
        <v>0</v>
      </c>
      <c r="V199" s="207"/>
      <c r="W199" s="203">
        <f>(IF($A$1="BL",0,Peak!C200*'Peak Hours'!V199*'Peak Hours'!$Y199))*-1</f>
        <v>-5803513.4941408103</v>
      </c>
      <c r="X199" s="207"/>
      <c r="Y199" s="203">
        <f>(IF($A$1="bl",0,Peak!D200*'Peak Hours'!V199*'Peak Hours'!$Y199))*-1</f>
        <v>-99584.42624677658</v>
      </c>
      <c r="Z199" s="207"/>
      <c r="AA199" s="203">
        <f>(Peak!E200*'Peak Hours'!V199*'Peak Hours'!$Y199)*-1</f>
        <v>0</v>
      </c>
      <c r="AB199" s="204"/>
      <c r="AC199" s="203">
        <f>(Peak!F200*'Peak Hours'!V199*'Peak Hours'!$Y199)*-1</f>
        <v>0</v>
      </c>
      <c r="AD199" s="204"/>
    </row>
    <row r="200" spans="1:30" x14ac:dyDescent="0.2">
      <c r="A200" s="1">
        <f t="shared" si="2"/>
        <v>42319.230000000243</v>
      </c>
      <c r="B200" s="177">
        <f>IF($A$1="BL",0,'Peak Hours'!B200*Peak!H201*'Peak Hours'!$Y200)</f>
        <v>354875.07883103099</v>
      </c>
      <c r="C200" s="177">
        <f>IF($A$1="BL",0,'Peak Hours'!C200*Peak!I201*'Peak Hours'!$Y200)</f>
        <v>339457.48257573118</v>
      </c>
      <c r="D200" s="177">
        <f>IF($A$1="BL",0,'Peak Hours'!D200*Peak!J201*'Peak Hours'!$Y200)</f>
        <v>656064.03314081149</v>
      </c>
      <c r="E200" s="177">
        <f>IF($A$1="BL",0,'Peak Hours'!E200*Peak!K201*'Peak Hours'!$Y200)</f>
        <v>1241411.8325968001</v>
      </c>
      <c r="F200" s="177">
        <f>IF($A$1="BL",0,'Peak Hours'!F200*Peak!L201*'Peak Hours'!$Y200)</f>
        <v>1229397.0329604051</v>
      </c>
      <c r="G200" s="177">
        <f>IF($A$1="BL",0,'Peak Hours'!G200*Peak!M201*'Peak Hours'!$Y200)</f>
        <v>2395427.4929241985</v>
      </c>
      <c r="H200" s="177">
        <f>IF($A$1="BL",0,'Peak Hours'!H200*Peak!N201*'Peak Hours'!$Y200)</f>
        <v>1837803.0681963931</v>
      </c>
      <c r="I200" s="177">
        <f>IF($A$1="BL",0,'Peak Hours'!I200*Peak!O201*'Peak Hours'!$Y200)</f>
        <v>1654047.3314117133</v>
      </c>
      <c r="J200" s="177">
        <f>IF($A$1="BL",0,'Peak Hours'!J200*Peak!P201*'Peak Hours'!$Y200)</f>
        <v>1521534.5586821667</v>
      </c>
      <c r="K200" s="177">
        <f>IF($A$1="BL",0,'Peak Hours'!K200*Peak!Q201*'Peak Hours'!$Y200)</f>
        <v>1507567.3784098232</v>
      </c>
      <c r="L200" s="177">
        <f>IF($A$1="BL",0,'Peak Hours'!L200*Peak!R201*'Peak Hours'!$Y200)</f>
        <v>0</v>
      </c>
      <c r="M200" s="177">
        <f>IF($A$1="BL",0,'Peak Hours'!M200*Peak!S201*'Peak Hours'!$Y200)</f>
        <v>0</v>
      </c>
      <c r="N200" s="177">
        <f>IF($A$1="BL",0,'Peak Hours'!N200*Peak!T201*'Peak Hours'!$Y200)</f>
        <v>0</v>
      </c>
      <c r="O200" s="177">
        <f>IF($A$1="BL",0,'Peak Hours'!O200*Peak!U201*'Peak Hours'!$Y200)</f>
        <v>0</v>
      </c>
      <c r="P200" s="177">
        <f>IF($A$1="BL",0,'Peak Hours'!P200*Peak!V201*'Peak Hours'!$Y200)</f>
        <v>0</v>
      </c>
      <c r="Q200" s="177">
        <f>IF($A$1="BL",0,'Peak Hours'!Q200*Peak!W201*'Peak Hours'!$Y200)</f>
        <v>0</v>
      </c>
      <c r="R200" s="177">
        <f>IF($A$1="BL",0,'Peak Hours'!R200*Peak!X201*'Peak Hours'!$Y200)</f>
        <v>0</v>
      </c>
      <c r="S200" s="177">
        <f>IF($A$1="BL",0,'Peak Hours'!S200*Peak!Y201*'Peak Hours'!$Y200)</f>
        <v>0</v>
      </c>
      <c r="T200" s="177">
        <f>IF($A$1="BL",0,'Peak Hours'!T200*Peak!Z201*'Peak Hours'!$Y200)</f>
        <v>0</v>
      </c>
      <c r="U200" s="177">
        <f>IF($A$1="BL",0,'Peak Hours'!U200*Peak!AA201*'Peak Hours'!$Y200)</f>
        <v>0</v>
      </c>
      <c r="V200" s="207"/>
      <c r="W200" s="203">
        <f>(IF($A$1="BL",0,Peak!C201*'Peak Hours'!V200*'Peak Hours'!$Y200))*-1</f>
        <v>-9179605.2672742922</v>
      </c>
      <c r="X200" s="207"/>
      <c r="Y200" s="203">
        <f>(IF($A$1="bl",0,Peak!D201*'Peak Hours'!V200*'Peak Hours'!$Y200))*-1</f>
        <v>-144083.91153075287</v>
      </c>
      <c r="Z200" s="207"/>
      <c r="AA200" s="203">
        <f>(Peak!E201*'Peak Hours'!V200*'Peak Hours'!$Y200)*-1</f>
        <v>0</v>
      </c>
      <c r="AB200" s="204"/>
      <c r="AC200" s="203">
        <f>(Peak!F201*'Peak Hours'!V200*'Peak Hours'!$Y200)*-1</f>
        <v>0</v>
      </c>
      <c r="AD200" s="204"/>
    </row>
    <row r="201" spans="1:30" x14ac:dyDescent="0.2">
      <c r="A201" s="1">
        <f t="shared" si="2"/>
        <v>42349.647000000245</v>
      </c>
      <c r="B201" s="177">
        <f>IF($A$1="BL",0,'Peak Hours'!B201*Peak!H202*'Peak Hours'!$Y201)</f>
        <v>366606.58085572236</v>
      </c>
      <c r="C201" s="177">
        <f>IF($A$1="BL",0,'Peak Hours'!C201*Peak!I202*'Peak Hours'!$Y201)</f>
        <v>344840.40478811064</v>
      </c>
      <c r="D201" s="177">
        <f>IF($A$1="BL",0,'Peak Hours'!D201*Peak!J202*'Peak Hours'!$Y201)</f>
        <v>676010.51850388572</v>
      </c>
      <c r="E201" s="177">
        <f>IF($A$1="BL",0,'Peak Hours'!E201*Peak!K202*'Peak Hours'!$Y201)</f>
        <v>1272904.866918813</v>
      </c>
      <c r="F201" s="177">
        <f>IF($A$1="BL",0,'Peak Hours'!F201*Peak!L202*'Peak Hours'!$Y201)</f>
        <v>1247043.3541847859</v>
      </c>
      <c r="G201" s="177">
        <f>IF($A$1="BL",0,'Peak Hours'!G201*Peak!M202*'Peak Hours'!$Y201)</f>
        <v>2477742.18541128</v>
      </c>
      <c r="H201" s="177">
        <f>IF($A$1="BL",0,'Peak Hours'!H201*Peak!N202*'Peak Hours'!$Y201)</f>
        <v>2057504.0927415187</v>
      </c>
      <c r="I201" s="177">
        <f>IF($A$1="BL",0,'Peak Hours'!I201*Peak!O202*'Peak Hours'!$Y201)</f>
        <v>1701798.4150991843</v>
      </c>
      <c r="J201" s="177">
        <f>IF($A$1="BL",0,'Peak Hours'!J201*Peak!P202*'Peak Hours'!$Y201)</f>
        <v>1600270.4025232345</v>
      </c>
      <c r="K201" s="177">
        <f>IF($A$1="BL",0,'Peak Hours'!K201*Peak!Q202*'Peak Hours'!$Y201)</f>
        <v>1576751.4601715975</v>
      </c>
      <c r="L201" s="177">
        <f>IF($A$1="BL",0,'Peak Hours'!L201*Peak!R202*'Peak Hours'!$Y201)</f>
        <v>0</v>
      </c>
      <c r="M201" s="177">
        <f>IF($A$1="BL",0,'Peak Hours'!M201*Peak!S202*'Peak Hours'!$Y201)</f>
        <v>0</v>
      </c>
      <c r="N201" s="177">
        <f>IF($A$1="BL",0,'Peak Hours'!N201*Peak!T202*'Peak Hours'!$Y201)</f>
        <v>0</v>
      </c>
      <c r="O201" s="177">
        <f>IF($A$1="BL",0,'Peak Hours'!O201*Peak!U202*'Peak Hours'!$Y201)</f>
        <v>0</v>
      </c>
      <c r="P201" s="177">
        <f>IF($A$1="BL",0,'Peak Hours'!P201*Peak!V202*'Peak Hours'!$Y201)</f>
        <v>0</v>
      </c>
      <c r="Q201" s="177">
        <f>IF($A$1="BL",0,'Peak Hours'!Q201*Peak!W202*'Peak Hours'!$Y201)</f>
        <v>0</v>
      </c>
      <c r="R201" s="177">
        <f>IF($A$1="BL",0,'Peak Hours'!R201*Peak!X202*'Peak Hours'!$Y201)</f>
        <v>0</v>
      </c>
      <c r="S201" s="177">
        <f>IF($A$1="BL",0,'Peak Hours'!S201*Peak!Y202*'Peak Hours'!$Y201)</f>
        <v>0</v>
      </c>
      <c r="T201" s="177">
        <f>IF($A$1="BL",0,'Peak Hours'!T201*Peak!Z202*'Peak Hours'!$Y201)</f>
        <v>0</v>
      </c>
      <c r="U201" s="177">
        <f>IF($A$1="BL",0,'Peak Hours'!U201*Peak!AA202*'Peak Hours'!$Y201)</f>
        <v>0</v>
      </c>
      <c r="V201" s="208">
        <f>SUM(B190:U201)</f>
        <v>176489496.35491177</v>
      </c>
      <c r="W201" s="203">
        <f>(IF($A$1="BL",0,Peak!C202*'Peak Hours'!V201*'Peak Hours'!$Y201))*-1</f>
        <v>-9664992.5405672844</v>
      </c>
      <c r="X201" s="208">
        <f>SUM(W190:W201)</f>
        <v>-111731236.85413741</v>
      </c>
      <c r="Y201" s="203">
        <f>(IF($A$1="bl",0,Peak!D202*'Peak Hours'!V201*'Peak Hours'!$Y201))*-1</f>
        <v>-140416.15391797287</v>
      </c>
      <c r="Z201" s="208">
        <f>SUM(Y190:Y201)</f>
        <v>-1911564.6102993614</v>
      </c>
      <c r="AA201" s="203">
        <f>(Peak!E202*'Peak Hours'!V201*'Peak Hours'!$Y201)*-1</f>
        <v>0</v>
      </c>
      <c r="AB201" s="205">
        <f>SUM(AA190:AA201)</f>
        <v>0</v>
      </c>
      <c r="AC201" s="203">
        <f>(Peak!F202*'Peak Hours'!V201*'Peak Hours'!$Y201)*-1</f>
        <v>0</v>
      </c>
      <c r="AD201" s="205">
        <f>SUM(AC190:AC201)</f>
        <v>0</v>
      </c>
    </row>
    <row r="202" spans="1:30" x14ac:dyDescent="0.2">
      <c r="A202" s="1">
        <f t="shared" si="2"/>
        <v>42380.064000000246</v>
      </c>
      <c r="B202" s="177">
        <f>IF($A$1="BL",0,'Peak Hours'!B202*Peak!H203*'Peak Hours'!$Y202)</f>
        <v>370444.66967484209</v>
      </c>
      <c r="C202" s="177">
        <f>IF($A$1="BL",0,'Peak Hours'!C202*Peak!I203*'Peak Hours'!$Y202)</f>
        <v>343394.6713752108</v>
      </c>
      <c r="D202" s="177">
        <f>IF($A$1="BL",0,'Peak Hours'!D202*Peak!J203*'Peak Hours'!$Y202)</f>
        <v>643212.80158914451</v>
      </c>
      <c r="E202" s="177">
        <f>IF($A$1="BL",0,'Peak Hours'!E202*Peak!K203*'Peak Hours'!$Y202)</f>
        <v>1216681.3026047044</v>
      </c>
      <c r="F202" s="177">
        <f>IF($A$1="BL",0,'Peak Hours'!F202*Peak!L203*'Peak Hours'!$Y202)</f>
        <v>1160180.2274618521</v>
      </c>
      <c r="G202" s="177">
        <f>IF($A$1="BL",0,'Peak Hours'!G202*Peak!M203*'Peak Hours'!$Y202)</f>
        <v>2288269.1068471824</v>
      </c>
      <c r="H202" s="177">
        <f>IF($A$1="BL",0,'Peak Hours'!H202*Peak!N203*'Peak Hours'!$Y202)</f>
        <v>1896668.182175718</v>
      </c>
      <c r="I202" s="177">
        <f>IF($A$1="BL",0,'Peak Hours'!I202*Peak!O203*'Peak Hours'!$Y202)</f>
        <v>1589183.9444170075</v>
      </c>
      <c r="J202" s="177">
        <f>IF($A$1="BL",0,'Peak Hours'!J202*Peak!P203*'Peak Hours'!$Y202)</f>
        <v>0</v>
      </c>
      <c r="K202" s="177">
        <f>IF($A$1="BL",0,'Peak Hours'!K202*Peak!Q203*'Peak Hours'!$Y202)</f>
        <v>0</v>
      </c>
      <c r="L202" s="177">
        <f>IF($A$1="BL",0,'Peak Hours'!L202*Peak!R203*'Peak Hours'!$Y202)</f>
        <v>0</v>
      </c>
      <c r="M202" s="177">
        <f>IF($A$1="BL",0,'Peak Hours'!M202*Peak!S203*'Peak Hours'!$Y202)</f>
        <v>0</v>
      </c>
      <c r="N202" s="177">
        <f>IF($A$1="BL",0,'Peak Hours'!N202*Peak!T203*'Peak Hours'!$Y202)</f>
        <v>0</v>
      </c>
      <c r="O202" s="177">
        <f>IF($A$1="BL",0,'Peak Hours'!O202*Peak!U203*'Peak Hours'!$Y202)</f>
        <v>0</v>
      </c>
      <c r="P202" s="177">
        <f>IF($A$1="BL",0,'Peak Hours'!P202*Peak!V203*'Peak Hours'!$Y202)</f>
        <v>0</v>
      </c>
      <c r="Q202" s="177">
        <f>IF($A$1="BL",0,'Peak Hours'!Q202*Peak!W203*'Peak Hours'!$Y202)</f>
        <v>0</v>
      </c>
      <c r="R202" s="177">
        <f>IF($A$1="BL",0,'Peak Hours'!R202*Peak!X203*'Peak Hours'!$Y202)</f>
        <v>0</v>
      </c>
      <c r="S202" s="177">
        <f>IF($A$1="BL",0,'Peak Hours'!S202*Peak!Y203*'Peak Hours'!$Y202)</f>
        <v>0</v>
      </c>
      <c r="T202" s="177">
        <f>IF($A$1="BL",0,'Peak Hours'!T202*Peak!Z203*'Peak Hours'!$Y202)</f>
        <v>0</v>
      </c>
      <c r="U202" s="177">
        <f>IF($A$1="BL",0,'Peak Hours'!U202*Peak!AA203*'Peak Hours'!$Y202)</f>
        <v>0</v>
      </c>
      <c r="V202" s="207"/>
      <c r="W202" s="203">
        <f>(IF($A$1="BL",0,Peak!C203*'Peak Hours'!V202*'Peak Hours'!$Y202))*-1</f>
        <v>-6729877.2737023477</v>
      </c>
      <c r="X202" s="207"/>
      <c r="Y202" s="203">
        <f>(IF($A$1="bl",0,Peak!D203*'Peak Hours'!V202*'Peak Hours'!$Y202))*-1</f>
        <v>-97373.202120809641</v>
      </c>
      <c r="Z202" s="207"/>
      <c r="AA202" s="203">
        <f>(Peak!E203*'Peak Hours'!V202*'Peak Hours'!$Y202)*-1</f>
        <v>0</v>
      </c>
      <c r="AB202" s="204"/>
      <c r="AC202" s="203">
        <f>(Peak!F203*'Peak Hours'!V202*'Peak Hours'!$Y202)*-1</f>
        <v>0</v>
      </c>
      <c r="AD202" s="204"/>
    </row>
    <row r="203" spans="1:30" x14ac:dyDescent="0.2">
      <c r="A203" s="1">
        <f t="shared" si="2"/>
        <v>42410.481000000247</v>
      </c>
      <c r="B203" s="177">
        <f>IF($A$1="BL",0,'Peak Hours'!B203*Peak!H204*'Peak Hours'!$Y203)</f>
        <v>496154.48501682159</v>
      </c>
      <c r="C203" s="177">
        <f>IF($A$1="BL",0,'Peak Hours'!C203*Peak!I204*'Peak Hours'!$Y203)</f>
        <v>482191.96962026798</v>
      </c>
      <c r="D203" s="177">
        <f>IF($A$1="BL",0,'Peak Hours'!D203*Peak!J204*'Peak Hours'!$Y203)</f>
        <v>865842.1454831853</v>
      </c>
      <c r="E203" s="177">
        <f>IF($A$1="BL",0,'Peak Hours'!E203*Peak!K204*'Peak Hours'!$Y203)</f>
        <v>1371108.2864508126</v>
      </c>
      <c r="F203" s="177">
        <f>IF($A$1="BL",0,'Peak Hours'!F203*Peak!L204*'Peak Hours'!$Y203)</f>
        <v>1260747.0415150877</v>
      </c>
      <c r="G203" s="177">
        <f>IF($A$1="BL",0,'Peak Hours'!G203*Peak!M204*'Peak Hours'!$Y203)</f>
        <v>2332782.2129038791</v>
      </c>
      <c r="H203" s="177">
        <f>IF($A$1="BL",0,'Peak Hours'!H203*Peak!N204*'Peak Hours'!$Y203)</f>
        <v>2251771.8473141026</v>
      </c>
      <c r="I203" s="177">
        <f>IF($A$1="BL",0,'Peak Hours'!I203*Peak!O204*'Peak Hours'!$Y203)</f>
        <v>2162635.5529294554</v>
      </c>
      <c r="J203" s="177">
        <f>IF($A$1="BL",0,'Peak Hours'!J203*Peak!P204*'Peak Hours'!$Y203)</f>
        <v>1685934.2758548642</v>
      </c>
      <c r="K203" s="177">
        <f>IF($A$1="BL",0,'Peak Hours'!K203*Peak!Q204*'Peak Hours'!$Y203)</f>
        <v>1455818.3359897186</v>
      </c>
      <c r="L203" s="177">
        <f>IF($A$1="BL",0,'Peak Hours'!L203*Peak!R204*'Peak Hours'!$Y203)</f>
        <v>0</v>
      </c>
      <c r="M203" s="177">
        <f>IF($A$1="BL",0,'Peak Hours'!M203*Peak!S204*'Peak Hours'!$Y203)</f>
        <v>0</v>
      </c>
      <c r="N203" s="177">
        <f>IF($A$1="BL",0,'Peak Hours'!N203*Peak!T204*'Peak Hours'!$Y203)</f>
        <v>0</v>
      </c>
      <c r="O203" s="177">
        <f>IF($A$1="BL",0,'Peak Hours'!O203*Peak!U204*'Peak Hours'!$Y203)</f>
        <v>0</v>
      </c>
      <c r="P203" s="177">
        <f>IF($A$1="BL",0,'Peak Hours'!P203*Peak!V204*'Peak Hours'!$Y203)</f>
        <v>0</v>
      </c>
      <c r="Q203" s="177">
        <f>IF($A$1="BL",0,'Peak Hours'!Q203*Peak!W204*'Peak Hours'!$Y203)</f>
        <v>0</v>
      </c>
      <c r="R203" s="177">
        <f>IF($A$1="BL",0,'Peak Hours'!R203*Peak!X204*'Peak Hours'!$Y203)</f>
        <v>0</v>
      </c>
      <c r="S203" s="177">
        <f>IF($A$1="BL",0,'Peak Hours'!S203*Peak!Y204*'Peak Hours'!$Y203)</f>
        <v>0</v>
      </c>
      <c r="T203" s="177">
        <f>IF($A$1="BL",0,'Peak Hours'!T203*Peak!Z204*'Peak Hours'!$Y203)</f>
        <v>0</v>
      </c>
      <c r="U203" s="177">
        <f>IF($A$1="BL",0,'Peak Hours'!U203*Peak!AA204*'Peak Hours'!$Y203)</f>
        <v>0</v>
      </c>
      <c r="V203" s="207"/>
      <c r="W203" s="203">
        <f>(IF($A$1="BL",0,Peak!C204*'Peak Hours'!V203*'Peak Hours'!$Y203))*-1</f>
        <v>-8712645.4893882927</v>
      </c>
      <c r="X203" s="207"/>
      <c r="Y203" s="203">
        <f>(IF($A$1="bl",0,Peak!D204*'Peak Hours'!V203*'Peak Hours'!$Y203))*-1</f>
        <v>-140884.59780923813</v>
      </c>
      <c r="Z203" s="207"/>
      <c r="AA203" s="203">
        <f>(Peak!E204*'Peak Hours'!V203*'Peak Hours'!$Y203)*-1</f>
        <v>0</v>
      </c>
      <c r="AB203" s="204"/>
      <c r="AC203" s="203">
        <f>(Peak!F204*'Peak Hours'!V203*'Peak Hours'!$Y203)*-1</f>
        <v>0</v>
      </c>
      <c r="AD203" s="204"/>
    </row>
    <row r="204" spans="1:30" x14ac:dyDescent="0.2">
      <c r="A204" s="1">
        <f t="shared" ref="A204:A249" si="3">A203+30.417</f>
        <v>42440.898000000248</v>
      </c>
      <c r="B204" s="177">
        <f>IF($A$1="BL",0,'Peak Hours'!B204*Peak!H205*'Peak Hours'!$Y204)</f>
        <v>316282.81115206052</v>
      </c>
      <c r="C204" s="177">
        <f>IF($A$1="BL",0,'Peak Hours'!C204*Peak!I205*'Peak Hours'!$Y204)</f>
        <v>309269.9366403005</v>
      </c>
      <c r="D204" s="177">
        <f>IF($A$1="BL",0,'Peak Hours'!D204*Peak!J205*'Peak Hours'!$Y204)</f>
        <v>589710.73990607425</v>
      </c>
      <c r="E204" s="177">
        <f>IF($A$1="BL",0,'Peak Hours'!E204*Peak!K205*'Peak Hours'!$Y204)</f>
        <v>1124434.3197832007</v>
      </c>
      <c r="F204" s="177">
        <f>IF($A$1="BL",0,'Peak Hours'!F204*Peak!L205*'Peak Hours'!$Y204)</f>
        <v>1117740.4537778839</v>
      </c>
      <c r="G204" s="177">
        <f>IF($A$1="BL",0,'Peak Hours'!G204*Peak!M205*'Peak Hours'!$Y204)</f>
        <v>2160269.0014204625</v>
      </c>
      <c r="H204" s="177">
        <f>IF($A$1="BL",0,'Peak Hours'!H204*Peak!N205*'Peak Hours'!$Y204)</f>
        <v>1807635.2425206581</v>
      </c>
      <c r="I204" s="177">
        <f>IF($A$1="BL",0,'Peak Hours'!I204*Peak!O205*'Peak Hours'!$Y204)</f>
        <v>1544742.3093250068</v>
      </c>
      <c r="J204" s="177">
        <f>IF($A$1="BL",0,'Peak Hours'!J204*Peak!P205*'Peak Hours'!$Y204)</f>
        <v>1500271.7786913808</v>
      </c>
      <c r="K204" s="177">
        <f>IF($A$1="BL",0,'Peak Hours'!K204*Peak!Q205*'Peak Hours'!$Y204)</f>
        <v>1413787.6019767644</v>
      </c>
      <c r="L204" s="177">
        <f>IF($A$1="BL",0,'Peak Hours'!L204*Peak!R205*'Peak Hours'!$Y204)</f>
        <v>0</v>
      </c>
      <c r="M204" s="177">
        <f>IF($A$1="BL",0,'Peak Hours'!M204*Peak!S205*'Peak Hours'!$Y204)</f>
        <v>0</v>
      </c>
      <c r="N204" s="177">
        <f>IF($A$1="BL",0,'Peak Hours'!N204*Peak!T205*'Peak Hours'!$Y204)</f>
        <v>0</v>
      </c>
      <c r="O204" s="177">
        <f>IF($A$1="BL",0,'Peak Hours'!O204*Peak!U205*'Peak Hours'!$Y204)</f>
        <v>0</v>
      </c>
      <c r="P204" s="177">
        <f>IF($A$1="BL",0,'Peak Hours'!P204*Peak!V205*'Peak Hours'!$Y204)</f>
        <v>0</v>
      </c>
      <c r="Q204" s="177">
        <f>IF($A$1="BL",0,'Peak Hours'!Q204*Peak!W205*'Peak Hours'!$Y204)</f>
        <v>0</v>
      </c>
      <c r="R204" s="177">
        <f>IF($A$1="BL",0,'Peak Hours'!R204*Peak!X205*'Peak Hours'!$Y204)</f>
        <v>0</v>
      </c>
      <c r="S204" s="177">
        <f>IF($A$1="BL",0,'Peak Hours'!S204*Peak!Y205*'Peak Hours'!$Y204)</f>
        <v>0</v>
      </c>
      <c r="T204" s="177">
        <f>IF($A$1="BL",0,'Peak Hours'!T204*Peak!Z205*'Peak Hours'!$Y204)</f>
        <v>0</v>
      </c>
      <c r="U204" s="177">
        <f>IF($A$1="BL",0,'Peak Hours'!U204*Peak!AA205*'Peak Hours'!$Y204)</f>
        <v>0</v>
      </c>
      <c r="V204" s="207"/>
      <c r="W204" s="203">
        <f>(IF($A$1="BL",0,Peak!C205*'Peak Hours'!V204*'Peak Hours'!$Y204))*-1</f>
        <v>-8804544.8578524217</v>
      </c>
      <c r="X204" s="207"/>
      <c r="Y204" s="203">
        <f>(IF($A$1="bl",0,Peak!D205*'Peak Hours'!V204*'Peak Hours'!$Y204))*-1</f>
        <v>-145046.87500881575</v>
      </c>
      <c r="Z204" s="207"/>
      <c r="AA204" s="203">
        <f>(Peak!E205*'Peak Hours'!V204*'Peak Hours'!$Y204)*-1</f>
        <v>0</v>
      </c>
      <c r="AB204" s="204"/>
      <c r="AC204" s="203">
        <f>(Peak!F205*'Peak Hours'!V204*'Peak Hours'!$Y204)*-1</f>
        <v>0</v>
      </c>
      <c r="AD204" s="204"/>
    </row>
    <row r="205" spans="1:30" x14ac:dyDescent="0.2">
      <c r="A205" s="1">
        <f t="shared" si="3"/>
        <v>42471.31500000025</v>
      </c>
      <c r="B205" s="177">
        <f>IF($A$1="BL",0,'Peak Hours'!B205*Peak!H206*'Peak Hours'!$Y205)</f>
        <v>413378.8565844961</v>
      </c>
      <c r="C205" s="177">
        <f>IF($A$1="BL",0,'Peak Hours'!C205*Peak!I206*'Peak Hours'!$Y205)</f>
        <v>321594.52979038248</v>
      </c>
      <c r="D205" s="177">
        <f>IF($A$1="BL",0,'Peak Hours'!D205*Peak!J206*'Peak Hours'!$Y205)</f>
        <v>598699.75226177671</v>
      </c>
      <c r="E205" s="177">
        <f>IF($A$1="BL",0,'Peak Hours'!E205*Peak!K206*'Peak Hours'!$Y205)</f>
        <v>1134705.6619901243</v>
      </c>
      <c r="F205" s="177">
        <f>IF($A$1="BL",0,'Peak Hours'!F205*Peak!L206*'Peak Hours'!$Y205)</f>
        <v>1130724.3876396164</v>
      </c>
      <c r="G205" s="177">
        <f>IF($A$1="BL",0,'Peak Hours'!G205*Peak!M206*'Peak Hours'!$Y205)</f>
        <v>1791983.7679535397</v>
      </c>
      <c r="H205" s="177">
        <f>IF($A$1="BL",0,'Peak Hours'!H205*Peak!N206*'Peak Hours'!$Y205)</f>
        <v>1435494.2857405741</v>
      </c>
      <c r="I205" s="177">
        <f>IF($A$1="BL",0,'Peak Hours'!I205*Peak!O206*'Peak Hours'!$Y205)</f>
        <v>0</v>
      </c>
      <c r="J205" s="177">
        <f>IF($A$1="BL",0,'Peak Hours'!J205*Peak!P206*'Peak Hours'!$Y205)</f>
        <v>0</v>
      </c>
      <c r="K205" s="177">
        <f>IF($A$1="BL",0,'Peak Hours'!K205*Peak!Q206*'Peak Hours'!$Y205)</f>
        <v>0</v>
      </c>
      <c r="L205" s="177">
        <f>IF($A$1="BL",0,'Peak Hours'!L205*Peak!R206*'Peak Hours'!$Y205)</f>
        <v>0</v>
      </c>
      <c r="M205" s="177">
        <f>IF($A$1="BL",0,'Peak Hours'!M205*Peak!S206*'Peak Hours'!$Y205)</f>
        <v>0</v>
      </c>
      <c r="N205" s="177">
        <f>IF($A$1="BL",0,'Peak Hours'!N205*Peak!T206*'Peak Hours'!$Y205)</f>
        <v>0</v>
      </c>
      <c r="O205" s="177">
        <f>IF($A$1="BL",0,'Peak Hours'!O205*Peak!U206*'Peak Hours'!$Y205)</f>
        <v>0</v>
      </c>
      <c r="P205" s="177">
        <f>IF($A$1="BL",0,'Peak Hours'!P205*Peak!V206*'Peak Hours'!$Y205)</f>
        <v>0</v>
      </c>
      <c r="Q205" s="177">
        <f>IF($A$1="BL",0,'Peak Hours'!Q205*Peak!W206*'Peak Hours'!$Y205)</f>
        <v>0</v>
      </c>
      <c r="R205" s="177">
        <f>IF($A$1="BL",0,'Peak Hours'!R205*Peak!X206*'Peak Hours'!$Y205)</f>
        <v>0</v>
      </c>
      <c r="S205" s="177">
        <f>IF($A$1="BL",0,'Peak Hours'!S205*Peak!Y206*'Peak Hours'!$Y205)</f>
        <v>0</v>
      </c>
      <c r="T205" s="177">
        <f>IF($A$1="BL",0,'Peak Hours'!T205*Peak!Z206*'Peak Hours'!$Y205)</f>
        <v>0</v>
      </c>
      <c r="U205" s="177">
        <f>IF($A$1="BL",0,'Peak Hours'!U205*Peak!AA206*'Peak Hours'!$Y205)</f>
        <v>0</v>
      </c>
      <c r="V205" s="207"/>
      <c r="W205" s="203">
        <f>(IF($A$1="BL",0,Peak!C206*'Peak Hours'!V205*'Peak Hours'!$Y205))*-1</f>
        <v>-4507201.9992798148</v>
      </c>
      <c r="X205" s="207"/>
      <c r="Y205" s="203">
        <f>(IF($A$1="bl",0,Peak!D206*'Peak Hours'!V205*'Peak Hours'!$Y205))*-1</f>
        <v>-78232.333738729212</v>
      </c>
      <c r="Z205" s="207"/>
      <c r="AA205" s="203">
        <f>(Peak!E206*'Peak Hours'!V205*'Peak Hours'!$Y205)*-1</f>
        <v>0</v>
      </c>
      <c r="AB205" s="204"/>
      <c r="AC205" s="203">
        <f>(Peak!F206*'Peak Hours'!V205*'Peak Hours'!$Y205)*-1</f>
        <v>0</v>
      </c>
      <c r="AD205" s="204"/>
    </row>
    <row r="206" spans="1:30" x14ac:dyDescent="0.2">
      <c r="A206" s="1">
        <f t="shared" si="3"/>
        <v>42501.732000000251</v>
      </c>
      <c r="B206" s="177">
        <f>IF($A$1="BL",0,'Peak Hours'!B206*Peak!H207*'Peak Hours'!$Y206)</f>
        <v>282859.18417363917</v>
      </c>
      <c r="C206" s="177">
        <f>IF($A$1="BL",0,'Peak Hours'!C206*Peak!I207*'Peak Hours'!$Y206)</f>
        <v>226524.09446409819</v>
      </c>
      <c r="D206" s="177">
        <f>IF($A$1="BL",0,'Peak Hours'!D206*Peak!J207*'Peak Hours'!$Y206)</f>
        <v>411959.72576071299</v>
      </c>
      <c r="E206" s="177">
        <f>IF($A$1="BL",0,'Peak Hours'!E206*Peak!K207*'Peak Hours'!$Y206)</f>
        <v>791237.23198795528</v>
      </c>
      <c r="F206" s="177">
        <f>IF($A$1="BL",0,'Peak Hours'!F206*Peak!L207*'Peak Hours'!$Y206)</f>
        <v>768455.23981578497</v>
      </c>
      <c r="G206" s="177">
        <f>IF($A$1="BL",0,'Peak Hours'!G206*Peak!M207*'Peak Hours'!$Y206)</f>
        <v>1528661.2975631165</v>
      </c>
      <c r="H206" s="177">
        <f>IF($A$1="BL",0,'Peak Hours'!H206*Peak!N207*'Peak Hours'!$Y206)</f>
        <v>1488704.9973489705</v>
      </c>
      <c r="I206" s="177">
        <f>IF($A$1="BL",0,'Peak Hours'!I206*Peak!O207*'Peak Hours'!$Y206)</f>
        <v>1436789.6665999338</v>
      </c>
      <c r="J206" s="177">
        <f>IF($A$1="BL",0,'Peak Hours'!J206*Peak!P207*'Peak Hours'!$Y206)</f>
        <v>1401675.8735427698</v>
      </c>
      <c r="K206" s="177">
        <f>IF($A$1="BL",0,'Peak Hours'!K206*Peak!Q207*'Peak Hours'!$Y206)</f>
        <v>1391151.6672665663</v>
      </c>
      <c r="L206" s="177">
        <f>IF($A$1="BL",0,'Peak Hours'!L206*Peak!R207*'Peak Hours'!$Y206)</f>
        <v>0</v>
      </c>
      <c r="M206" s="177">
        <f>IF($A$1="BL",0,'Peak Hours'!M206*Peak!S207*'Peak Hours'!$Y206)</f>
        <v>0</v>
      </c>
      <c r="N206" s="177">
        <f>IF($A$1="BL",0,'Peak Hours'!N206*Peak!T207*'Peak Hours'!$Y206)</f>
        <v>0</v>
      </c>
      <c r="O206" s="177">
        <f>IF($A$1="BL",0,'Peak Hours'!O206*Peak!U207*'Peak Hours'!$Y206)</f>
        <v>0</v>
      </c>
      <c r="P206" s="177">
        <f>IF($A$1="BL",0,'Peak Hours'!P206*Peak!V207*'Peak Hours'!$Y206)</f>
        <v>0</v>
      </c>
      <c r="Q206" s="177">
        <f>IF($A$1="BL",0,'Peak Hours'!Q206*Peak!W207*'Peak Hours'!$Y206)</f>
        <v>0</v>
      </c>
      <c r="R206" s="177">
        <f>IF($A$1="BL",0,'Peak Hours'!R206*Peak!X207*'Peak Hours'!$Y206)</f>
        <v>0</v>
      </c>
      <c r="S206" s="177">
        <f>IF($A$1="BL",0,'Peak Hours'!S206*Peak!Y207*'Peak Hours'!$Y206)</f>
        <v>0</v>
      </c>
      <c r="T206" s="177">
        <f>IF($A$1="BL",0,'Peak Hours'!T206*Peak!Z207*'Peak Hours'!$Y206)</f>
        <v>0</v>
      </c>
      <c r="U206" s="177">
        <f>IF($A$1="BL",0,'Peak Hours'!U206*Peak!AA207*'Peak Hours'!$Y206)</f>
        <v>0</v>
      </c>
      <c r="V206" s="207"/>
      <c r="W206" s="203">
        <f>(IF($A$1="BL",0,Peak!C207*'Peak Hours'!V206*'Peak Hours'!$Y206))*-1</f>
        <v>-8813402.5488562975</v>
      </c>
      <c r="X206" s="207"/>
      <c r="Y206" s="203">
        <f>(IF($A$1="bl",0,Peak!D207*'Peak Hours'!V206*'Peak Hours'!$Y206))*-1</f>
        <v>-145530.7675001646</v>
      </c>
      <c r="Z206" s="207"/>
      <c r="AA206" s="203">
        <f>(Peak!E207*'Peak Hours'!V206*'Peak Hours'!$Y206)*-1</f>
        <v>0</v>
      </c>
      <c r="AB206" s="204"/>
      <c r="AC206" s="203">
        <f>(Peak!F207*'Peak Hours'!V206*'Peak Hours'!$Y206)*-1</f>
        <v>0</v>
      </c>
      <c r="AD206" s="204"/>
    </row>
    <row r="207" spans="1:30" x14ac:dyDescent="0.2">
      <c r="A207" s="1">
        <f t="shared" si="3"/>
        <v>42532.149000000252</v>
      </c>
      <c r="B207" s="177">
        <f>IF($A$1="BL",0,'Peak Hours'!B207*Peak!H208*'Peak Hours'!$Y207)</f>
        <v>658595.96109388804</v>
      </c>
      <c r="C207" s="177">
        <f>IF($A$1="BL",0,'Peak Hours'!C207*Peak!I208*'Peak Hours'!$Y207)</f>
        <v>612940.63949940039</v>
      </c>
      <c r="D207" s="177">
        <f>IF($A$1="BL",0,'Peak Hours'!D207*Peak!J208*'Peak Hours'!$Y207)</f>
        <v>1147383.6353560262</v>
      </c>
      <c r="E207" s="177">
        <f>IF($A$1="BL",0,'Peak Hours'!E207*Peak!K208*'Peak Hours'!$Y207)</f>
        <v>2115287.8554581264</v>
      </c>
      <c r="F207" s="177">
        <f>IF($A$1="BL",0,'Peak Hours'!F207*Peak!L208*'Peak Hours'!$Y207)</f>
        <v>1999521.312174327</v>
      </c>
      <c r="G207" s="177">
        <f>IF($A$1="BL",0,'Peak Hours'!G207*Peak!M208*'Peak Hours'!$Y207)</f>
        <v>2309372.415715884</v>
      </c>
      <c r="H207" s="177">
        <f>IF($A$1="BL",0,'Peak Hours'!H207*Peak!N208*'Peak Hours'!$Y207)</f>
        <v>2061836.1523417453</v>
      </c>
      <c r="I207" s="177">
        <f>IF($A$1="BL",0,'Peak Hours'!I207*Peak!O208*'Peak Hours'!$Y207)</f>
        <v>1514371.435662315</v>
      </c>
      <c r="J207" s="177">
        <f>IF($A$1="BL",0,'Peak Hours'!J207*Peak!P208*'Peak Hours'!$Y207)</f>
        <v>0</v>
      </c>
      <c r="K207" s="177">
        <f>IF($A$1="BL",0,'Peak Hours'!K207*Peak!Q208*'Peak Hours'!$Y207)</f>
        <v>0</v>
      </c>
      <c r="L207" s="177">
        <f>IF($A$1="BL",0,'Peak Hours'!L207*Peak!R208*'Peak Hours'!$Y207)</f>
        <v>0</v>
      </c>
      <c r="M207" s="177">
        <f>IF($A$1="BL",0,'Peak Hours'!M207*Peak!S208*'Peak Hours'!$Y207)</f>
        <v>0</v>
      </c>
      <c r="N207" s="177">
        <f>IF($A$1="BL",0,'Peak Hours'!N207*Peak!T208*'Peak Hours'!$Y207)</f>
        <v>0</v>
      </c>
      <c r="O207" s="177">
        <f>IF($A$1="BL",0,'Peak Hours'!O207*Peak!U208*'Peak Hours'!$Y207)</f>
        <v>0</v>
      </c>
      <c r="P207" s="177">
        <f>IF($A$1="BL",0,'Peak Hours'!P207*Peak!V208*'Peak Hours'!$Y207)</f>
        <v>0</v>
      </c>
      <c r="Q207" s="177">
        <f>IF($A$1="BL",0,'Peak Hours'!Q207*Peak!W208*'Peak Hours'!$Y207)</f>
        <v>0</v>
      </c>
      <c r="R207" s="177">
        <f>IF($A$1="BL",0,'Peak Hours'!R207*Peak!X208*'Peak Hours'!$Y207)</f>
        <v>0</v>
      </c>
      <c r="S207" s="177">
        <f>IF($A$1="BL",0,'Peak Hours'!S207*Peak!Y208*'Peak Hours'!$Y207)</f>
        <v>0</v>
      </c>
      <c r="T207" s="177">
        <f>IF($A$1="BL",0,'Peak Hours'!T207*Peak!Z208*'Peak Hours'!$Y207)</f>
        <v>0</v>
      </c>
      <c r="U207" s="177">
        <f>IF($A$1="BL",0,'Peak Hours'!U207*Peak!AA208*'Peak Hours'!$Y207)</f>
        <v>0</v>
      </c>
      <c r="V207" s="207"/>
      <c r="W207" s="203">
        <f>(IF($A$1="BL",0,Peak!C208*'Peak Hours'!V207*'Peak Hours'!$Y207))*-1</f>
        <v>-5912022.7811770895</v>
      </c>
      <c r="X207" s="207"/>
      <c r="Y207" s="203">
        <f>(IF($A$1="bl",0,Peak!D208*'Peak Hours'!V207*'Peak Hours'!$Y207))*-1</f>
        <v>-102632.58718466855</v>
      </c>
      <c r="Z207" s="207"/>
      <c r="AA207" s="203">
        <f>(Peak!E208*'Peak Hours'!V207*'Peak Hours'!$Y207)*-1</f>
        <v>0</v>
      </c>
      <c r="AB207" s="204"/>
      <c r="AC207" s="203">
        <f>(Peak!F208*'Peak Hours'!V207*'Peak Hours'!$Y207)*-1</f>
        <v>0</v>
      </c>
      <c r="AD207" s="204"/>
    </row>
    <row r="208" spans="1:30" x14ac:dyDescent="0.2">
      <c r="A208" s="1">
        <f t="shared" si="3"/>
        <v>42562.566000000254</v>
      </c>
      <c r="B208" s="177">
        <f>IF($A$1="BL",0,'Peak Hours'!B208*Peak!H209*'Peak Hours'!$Y208)</f>
        <v>691004.94441507326</v>
      </c>
      <c r="C208" s="177">
        <f>IF($A$1="BL",0,'Peak Hours'!C208*Peak!I209*'Peak Hours'!$Y208)</f>
        <v>633105.86903563607</v>
      </c>
      <c r="D208" s="177">
        <f>IF($A$1="BL",0,'Peak Hours'!D208*Peak!J209*'Peak Hours'!$Y208)</f>
        <v>1181552.5949987986</v>
      </c>
      <c r="E208" s="177">
        <f>IF($A$1="BL",0,'Peak Hours'!E208*Peak!K209*'Peak Hours'!$Y208)</f>
        <v>2163056.8796838331</v>
      </c>
      <c r="F208" s="177">
        <f>IF($A$1="BL",0,'Peak Hours'!F208*Peak!L209*'Peak Hours'!$Y208)</f>
        <v>2033429.9050770607</v>
      </c>
      <c r="G208" s="177">
        <f>IF($A$1="BL",0,'Peak Hours'!G208*Peak!M209*'Peak Hours'!$Y208)</f>
        <v>2919960.815649943</v>
      </c>
      <c r="H208" s="177">
        <f>IF($A$1="BL",0,'Peak Hours'!H208*Peak!N209*'Peak Hours'!$Y208)</f>
        <v>2181346.1770853214</v>
      </c>
      <c r="I208" s="177">
        <f>IF($A$1="BL",0,'Peak Hours'!I208*Peak!O209*'Peak Hours'!$Y208)</f>
        <v>2081176.3477254901</v>
      </c>
      <c r="J208" s="177">
        <f>IF($A$1="BL",0,'Peak Hours'!J208*Peak!P209*'Peak Hours'!$Y208)</f>
        <v>1672105.8711813653</v>
      </c>
      <c r="K208" s="177">
        <f>IF($A$1="BL",0,'Peak Hours'!K208*Peak!Q209*'Peak Hours'!$Y208)</f>
        <v>1571003.3255653854</v>
      </c>
      <c r="L208" s="177">
        <f>IF($A$1="BL",0,'Peak Hours'!L208*Peak!R209*'Peak Hours'!$Y208)</f>
        <v>1529417.8210693109</v>
      </c>
      <c r="M208" s="177">
        <f>IF($A$1="BL",0,'Peak Hours'!M208*Peak!S209*'Peak Hours'!$Y208)</f>
        <v>1516502.7013863828</v>
      </c>
      <c r="N208" s="177">
        <f>IF($A$1="BL",0,'Peak Hours'!N208*Peak!T209*'Peak Hours'!$Y208)</f>
        <v>1495421.9631237665</v>
      </c>
      <c r="O208" s="177">
        <f>IF($A$1="BL",0,'Peak Hours'!O208*Peak!U209*'Peak Hours'!$Y208)</f>
        <v>1479341.0552889681</v>
      </c>
      <c r="P208" s="177">
        <f>IF($A$1="BL",0,'Peak Hours'!P208*Peak!V209*'Peak Hours'!$Y208)</f>
        <v>1465379.9155654651</v>
      </c>
      <c r="Q208" s="177">
        <f>IF($A$1="BL",0,'Peak Hours'!Q208*Peak!W209*'Peak Hours'!$Y208)</f>
        <v>1401728.1688978646</v>
      </c>
      <c r="R208" s="177">
        <f>IF($A$1="BL",0,'Peak Hours'!R208*Peak!X209*'Peak Hours'!$Y208)</f>
        <v>0</v>
      </c>
      <c r="S208" s="177">
        <f>IF($A$1="BL",0,'Peak Hours'!S208*Peak!Y209*'Peak Hours'!$Y208)</f>
        <v>0</v>
      </c>
      <c r="T208" s="177">
        <f>IF($A$1="BL",0,'Peak Hours'!T208*Peak!Z209*'Peak Hours'!$Y208)</f>
        <v>0</v>
      </c>
      <c r="U208" s="177">
        <f>IF($A$1="BL",0,'Peak Hours'!U208*Peak!AA209*'Peak Hours'!$Y208)</f>
        <v>0</v>
      </c>
      <c r="V208" s="207"/>
      <c r="W208" s="203">
        <f>(IF($A$1="BL",0,Peak!C209*'Peak Hours'!V208*'Peak Hours'!$Y208))*-1</f>
        <v>-16370316.245347947</v>
      </c>
      <c r="X208" s="207"/>
      <c r="Y208" s="203">
        <f>(IF($A$1="bl",0,Peak!D209*'Peak Hours'!V208*'Peak Hours'!$Y208))*-1</f>
        <v>-285565.6708240083</v>
      </c>
      <c r="Z208" s="207"/>
      <c r="AA208" s="203">
        <f>(Peak!E209*'Peak Hours'!V208*'Peak Hours'!$Y208)*-1</f>
        <v>0</v>
      </c>
      <c r="AB208" s="204"/>
      <c r="AC208" s="203">
        <f>(Peak!F209*'Peak Hours'!V208*'Peak Hours'!$Y208)*-1</f>
        <v>0</v>
      </c>
      <c r="AD208" s="204"/>
    </row>
    <row r="209" spans="1:30" x14ac:dyDescent="0.2">
      <c r="A209" s="1">
        <f t="shared" si="3"/>
        <v>42592.983000000255</v>
      </c>
      <c r="B209" s="177">
        <f>IF($A$1="BL",0,'Peak Hours'!B209*Peak!H210*'Peak Hours'!$Y209)</f>
        <v>969422.94271779887</v>
      </c>
      <c r="C209" s="177">
        <f>IF($A$1="BL",0,'Peak Hours'!C209*Peak!I210*'Peak Hours'!$Y209)</f>
        <v>729024.40420581365</v>
      </c>
      <c r="D209" s="177">
        <f>IF($A$1="BL",0,'Peak Hours'!D209*Peak!J210*'Peak Hours'!$Y209)</f>
        <v>1338744.1293152282</v>
      </c>
      <c r="E209" s="177">
        <f>IF($A$1="BL",0,'Peak Hours'!E209*Peak!K210*'Peak Hours'!$Y209)</f>
        <v>2414214.5436001392</v>
      </c>
      <c r="F209" s="177">
        <f>IF($A$1="BL",0,'Peak Hours'!F209*Peak!L210*'Peak Hours'!$Y209)</f>
        <v>2203836.9728412037</v>
      </c>
      <c r="G209" s="177">
        <f>IF($A$1="BL",0,'Peak Hours'!G209*Peak!M210*'Peak Hours'!$Y209)</f>
        <v>4026287.8916132725</v>
      </c>
      <c r="H209" s="177">
        <f>IF($A$1="BL",0,'Peak Hours'!H209*Peak!N210*'Peak Hours'!$Y209)</f>
        <v>2889003.8399682501</v>
      </c>
      <c r="I209" s="177">
        <f>IF($A$1="BL",0,'Peak Hours'!I209*Peak!O210*'Peak Hours'!$Y209)</f>
        <v>2441712.799323597</v>
      </c>
      <c r="J209" s="177">
        <f>IF($A$1="BL",0,'Peak Hours'!J209*Peak!P210*'Peak Hours'!$Y209)</f>
        <v>2037170.9495206068</v>
      </c>
      <c r="K209" s="177">
        <f>IF($A$1="BL",0,'Peak Hours'!K209*Peak!Q210*'Peak Hours'!$Y209)</f>
        <v>1440107.1079482136</v>
      </c>
      <c r="L209" s="177">
        <f>IF($A$1="BL",0,'Peak Hours'!L209*Peak!R210*'Peak Hours'!$Y209)</f>
        <v>0</v>
      </c>
      <c r="M209" s="177">
        <f>IF($A$1="BL",0,'Peak Hours'!M209*Peak!S210*'Peak Hours'!$Y209)</f>
        <v>0</v>
      </c>
      <c r="N209" s="177">
        <f>IF($A$1="BL",0,'Peak Hours'!N209*Peak!T210*'Peak Hours'!$Y209)</f>
        <v>0</v>
      </c>
      <c r="O209" s="177">
        <f>IF($A$1="BL",0,'Peak Hours'!O209*Peak!U210*'Peak Hours'!$Y209)</f>
        <v>0</v>
      </c>
      <c r="P209" s="177">
        <f>IF($A$1="BL",0,'Peak Hours'!P209*Peak!V210*'Peak Hours'!$Y209)</f>
        <v>0</v>
      </c>
      <c r="Q209" s="177">
        <f>IF($A$1="BL",0,'Peak Hours'!Q209*Peak!W210*'Peak Hours'!$Y209)</f>
        <v>0</v>
      </c>
      <c r="R209" s="177">
        <f>IF($A$1="BL",0,'Peak Hours'!R209*Peak!X210*'Peak Hours'!$Y209)</f>
        <v>0</v>
      </c>
      <c r="S209" s="177">
        <f>IF($A$1="BL",0,'Peak Hours'!S209*Peak!Y210*'Peak Hours'!$Y209)</f>
        <v>0</v>
      </c>
      <c r="T209" s="177">
        <f>IF($A$1="BL",0,'Peak Hours'!T209*Peak!Z210*'Peak Hours'!$Y209)</f>
        <v>0</v>
      </c>
      <c r="U209" s="177">
        <f>IF($A$1="BL",0,'Peak Hours'!U209*Peak!AA210*'Peak Hours'!$Y209)</f>
        <v>0</v>
      </c>
      <c r="V209" s="207"/>
      <c r="W209" s="203">
        <f>(IF($A$1="BL",0,Peak!C210*'Peak Hours'!V209*'Peak Hours'!$Y209))*-1</f>
        <v>-8071172.2169656269</v>
      </c>
      <c r="X209" s="207"/>
      <c r="Y209" s="203">
        <f>(IF($A$1="bl",0,Peak!D210*'Peak Hours'!V209*'Peak Hours'!$Y209))*-1</f>
        <v>-148741.63907653181</v>
      </c>
      <c r="Z209" s="207"/>
      <c r="AA209" s="203">
        <f>(Peak!E210*'Peak Hours'!V209*'Peak Hours'!$Y209)*-1</f>
        <v>0</v>
      </c>
      <c r="AB209" s="204"/>
      <c r="AC209" s="203">
        <f>(Peak!F210*'Peak Hours'!V209*'Peak Hours'!$Y209)*-1</f>
        <v>0</v>
      </c>
      <c r="AD209" s="204"/>
    </row>
    <row r="210" spans="1:30" x14ac:dyDescent="0.2">
      <c r="A210" s="1">
        <f t="shared" si="3"/>
        <v>42623.400000000256</v>
      </c>
      <c r="B210" s="177">
        <f>IF($A$1="BL",0,'Peak Hours'!B210*Peak!H211*'Peak Hours'!$Y210)</f>
        <v>593211.62035092094</v>
      </c>
      <c r="C210" s="177">
        <f>IF($A$1="BL",0,'Peak Hours'!C210*Peak!I211*'Peak Hours'!$Y210)</f>
        <v>552643.36530671199</v>
      </c>
      <c r="D210" s="177">
        <f>IF($A$1="BL",0,'Peak Hours'!D210*Peak!J211*'Peak Hours'!$Y210)</f>
        <v>1041982.8111984491</v>
      </c>
      <c r="E210" s="177">
        <f>IF($A$1="BL",0,'Peak Hours'!E210*Peak!K211*'Peak Hours'!$Y210)</f>
        <v>1973738.5006302036</v>
      </c>
      <c r="F210" s="177">
        <f>IF($A$1="BL",0,'Peak Hours'!F210*Peak!L211*'Peak Hours'!$Y210)</f>
        <v>1420553.0684434574</v>
      </c>
      <c r="G210" s="177">
        <f>IF($A$1="BL",0,'Peak Hours'!G210*Peak!M211*'Peak Hours'!$Y210)</f>
        <v>1884201.5246533544</v>
      </c>
      <c r="H210" s="177">
        <f>IF($A$1="BL",0,'Peak Hours'!H210*Peak!N211*'Peak Hours'!$Y210)</f>
        <v>1662560.0510472432</v>
      </c>
      <c r="I210" s="177">
        <f>IF($A$1="BL",0,'Peak Hours'!I210*Peak!O211*'Peak Hours'!$Y210)</f>
        <v>1618732.0366681949</v>
      </c>
      <c r="J210" s="177">
        <f>IF($A$1="BL",0,'Peak Hours'!J210*Peak!P211*'Peak Hours'!$Y210)</f>
        <v>1380236.2664761913</v>
      </c>
      <c r="K210" s="177">
        <f>IF($A$1="BL",0,'Peak Hours'!K210*Peak!Q211*'Peak Hours'!$Y210)</f>
        <v>0</v>
      </c>
      <c r="L210" s="177">
        <f>IF($A$1="BL",0,'Peak Hours'!L210*Peak!R211*'Peak Hours'!$Y210)</f>
        <v>0</v>
      </c>
      <c r="M210" s="177">
        <f>IF($A$1="BL",0,'Peak Hours'!M210*Peak!S211*'Peak Hours'!$Y210)</f>
        <v>0</v>
      </c>
      <c r="N210" s="177">
        <f>IF($A$1="BL",0,'Peak Hours'!N210*Peak!T211*'Peak Hours'!$Y210)</f>
        <v>0</v>
      </c>
      <c r="O210" s="177">
        <f>IF($A$1="BL",0,'Peak Hours'!O210*Peak!U211*'Peak Hours'!$Y210)</f>
        <v>0</v>
      </c>
      <c r="P210" s="177">
        <f>IF($A$1="BL",0,'Peak Hours'!P210*Peak!V211*'Peak Hours'!$Y210)</f>
        <v>0</v>
      </c>
      <c r="Q210" s="177">
        <f>IF($A$1="BL",0,'Peak Hours'!Q210*Peak!W211*'Peak Hours'!$Y210)</f>
        <v>0</v>
      </c>
      <c r="R210" s="177">
        <f>IF($A$1="BL",0,'Peak Hours'!R210*Peak!X211*'Peak Hours'!$Y210)</f>
        <v>0</v>
      </c>
      <c r="S210" s="177">
        <f>IF($A$1="BL",0,'Peak Hours'!S210*Peak!Y211*'Peak Hours'!$Y210)</f>
        <v>0</v>
      </c>
      <c r="T210" s="177">
        <f>IF($A$1="BL",0,'Peak Hours'!T210*Peak!Z211*'Peak Hours'!$Y210)</f>
        <v>0</v>
      </c>
      <c r="U210" s="177">
        <f>IF($A$1="BL",0,'Peak Hours'!U210*Peak!AA211*'Peak Hours'!$Y210)</f>
        <v>0</v>
      </c>
      <c r="V210" s="207"/>
      <c r="W210" s="203">
        <f>(IF($A$1="BL",0,Peak!C211*'Peak Hours'!V210*'Peak Hours'!$Y210))*-1</f>
        <v>-6693007.5946977492</v>
      </c>
      <c r="X210" s="207"/>
      <c r="Y210" s="203">
        <f>(IF($A$1="bl",0,Peak!D211*'Peak Hours'!V210*'Peak Hours'!$Y210))*-1</f>
        <v>-123964.41608333641</v>
      </c>
      <c r="Z210" s="207"/>
      <c r="AA210" s="203">
        <f>(Peak!E211*'Peak Hours'!V210*'Peak Hours'!$Y210)*-1</f>
        <v>0</v>
      </c>
      <c r="AB210" s="204"/>
      <c r="AC210" s="203">
        <f>(Peak!F211*'Peak Hours'!V210*'Peak Hours'!$Y210)*-1</f>
        <v>0</v>
      </c>
      <c r="AD210" s="204"/>
    </row>
    <row r="211" spans="1:30" x14ac:dyDescent="0.2">
      <c r="A211" s="1">
        <f t="shared" si="3"/>
        <v>42653.817000000257</v>
      </c>
      <c r="B211" s="177">
        <f>IF($A$1="BL",0,'Peak Hours'!B211*Peak!H212*'Peak Hours'!$Y211)</f>
        <v>301698.2381022597</v>
      </c>
      <c r="C211" s="177">
        <f>IF($A$1="BL",0,'Peak Hours'!C211*Peak!I212*'Peak Hours'!$Y211)</f>
        <v>283821.47684822528</v>
      </c>
      <c r="D211" s="177">
        <f>IF($A$1="BL",0,'Peak Hours'!D211*Peak!J212*'Peak Hours'!$Y211)</f>
        <v>549348.10980673484</v>
      </c>
      <c r="E211" s="177">
        <f>IF($A$1="BL",0,'Peak Hours'!E211*Peak!K212*'Peak Hours'!$Y211)</f>
        <v>1029458.1913773848</v>
      </c>
      <c r="F211" s="177">
        <f>IF($A$1="BL",0,'Peak Hours'!F211*Peak!L212*'Peak Hours'!$Y211)</f>
        <v>997786.28201612574</v>
      </c>
      <c r="G211" s="177">
        <f>IF($A$1="BL",0,'Peak Hours'!G211*Peak!M212*'Peak Hours'!$Y211)</f>
        <v>1984252.2258717881</v>
      </c>
      <c r="H211" s="177">
        <f>IF($A$1="BL",0,'Peak Hours'!H211*Peak!N212*'Peak Hours'!$Y211)</f>
        <v>1738985.2082844109</v>
      </c>
      <c r="I211" s="177">
        <f>IF($A$1="BL",0,'Peak Hours'!I211*Peak!O212*'Peak Hours'!$Y211)</f>
        <v>1408779.0040154841</v>
      </c>
      <c r="J211" s="177">
        <f>IF($A$1="BL",0,'Peak Hours'!J211*Peak!P212*'Peak Hours'!$Y211)</f>
        <v>0</v>
      </c>
      <c r="K211" s="177">
        <f>IF($A$1="BL",0,'Peak Hours'!K211*Peak!Q212*'Peak Hours'!$Y211)</f>
        <v>0</v>
      </c>
      <c r="L211" s="177">
        <f>IF($A$1="BL",0,'Peak Hours'!L211*Peak!R212*'Peak Hours'!$Y211)</f>
        <v>0</v>
      </c>
      <c r="M211" s="177">
        <f>IF($A$1="BL",0,'Peak Hours'!M211*Peak!S212*'Peak Hours'!$Y211)</f>
        <v>0</v>
      </c>
      <c r="N211" s="177">
        <f>IF($A$1="BL",0,'Peak Hours'!N211*Peak!T212*'Peak Hours'!$Y211)</f>
        <v>0</v>
      </c>
      <c r="O211" s="177">
        <f>IF($A$1="BL",0,'Peak Hours'!O211*Peak!U212*'Peak Hours'!$Y211)</f>
        <v>0</v>
      </c>
      <c r="P211" s="177">
        <f>IF($A$1="BL",0,'Peak Hours'!P211*Peak!V212*'Peak Hours'!$Y211)</f>
        <v>0</v>
      </c>
      <c r="Q211" s="177">
        <f>IF($A$1="BL",0,'Peak Hours'!Q211*Peak!W212*'Peak Hours'!$Y211)</f>
        <v>0</v>
      </c>
      <c r="R211" s="177">
        <f>IF($A$1="BL",0,'Peak Hours'!R211*Peak!X212*'Peak Hours'!$Y211)</f>
        <v>0</v>
      </c>
      <c r="S211" s="177">
        <f>IF($A$1="BL",0,'Peak Hours'!S211*Peak!Y212*'Peak Hours'!$Y211)</f>
        <v>0</v>
      </c>
      <c r="T211" s="177">
        <f>IF($A$1="BL",0,'Peak Hours'!T211*Peak!Z212*'Peak Hours'!$Y211)</f>
        <v>0</v>
      </c>
      <c r="U211" s="177">
        <f>IF($A$1="BL",0,'Peak Hours'!U211*Peak!AA212*'Peak Hours'!$Y211)</f>
        <v>0</v>
      </c>
      <c r="V211" s="207"/>
      <c r="W211" s="203">
        <f>(IF($A$1="BL",0,Peak!C212*'Peak Hours'!V211*'Peak Hours'!$Y211))*-1</f>
        <v>-6064792.8942690305</v>
      </c>
      <c r="X211" s="207"/>
      <c r="Y211" s="203">
        <f>(IF($A$1="bl",0,Peak!D212*'Peak Hours'!V211*'Peak Hours'!$Y211))*-1</f>
        <v>-101594.47372647982</v>
      </c>
      <c r="Z211" s="207"/>
      <c r="AA211" s="203">
        <f>(Peak!E212*'Peak Hours'!V211*'Peak Hours'!$Y211)*-1</f>
        <v>0</v>
      </c>
      <c r="AB211" s="204"/>
      <c r="AC211" s="203">
        <f>(Peak!F212*'Peak Hours'!V211*'Peak Hours'!$Y211)*-1</f>
        <v>0</v>
      </c>
      <c r="AD211" s="204"/>
    </row>
    <row r="212" spans="1:30" x14ac:dyDescent="0.2">
      <c r="A212" s="1">
        <f t="shared" si="3"/>
        <v>42684.234000000259</v>
      </c>
      <c r="B212" s="177">
        <f>IF($A$1="BL",0,'Peak Hours'!B212*Peak!H213*'Peak Hours'!$Y212)</f>
        <v>515988.65193811315</v>
      </c>
      <c r="C212" s="177">
        <f>IF($A$1="BL",0,'Peak Hours'!C212*Peak!I213*'Peak Hours'!$Y212)</f>
        <v>503282.15547330934</v>
      </c>
      <c r="D212" s="177">
        <f>IF($A$1="BL",0,'Peak Hours'!D212*Peak!J213*'Peak Hours'!$Y212)</f>
        <v>971936.35311651684</v>
      </c>
      <c r="E212" s="177">
        <f>IF($A$1="BL",0,'Peak Hours'!E212*Peak!K213*'Peak Hours'!$Y212)</f>
        <v>1345492.2678932787</v>
      </c>
      <c r="F212" s="177">
        <f>IF($A$1="BL",0,'Peak Hours'!F212*Peak!L213*'Peak Hours'!$Y212)</f>
        <v>1215139.1456053387</v>
      </c>
      <c r="G212" s="177">
        <f>IF($A$1="BL",0,'Peak Hours'!G212*Peak!M213*'Peak Hours'!$Y212)</f>
        <v>2379700.0762881185</v>
      </c>
      <c r="H212" s="177">
        <f>IF($A$1="BL",0,'Peak Hours'!H212*Peak!N213*'Peak Hours'!$Y212)</f>
        <v>2058993.4431745997</v>
      </c>
      <c r="I212" s="177">
        <f>IF($A$1="BL",0,'Peak Hours'!I212*Peak!O213*'Peak Hours'!$Y212)</f>
        <v>1605737.5939345618</v>
      </c>
      <c r="J212" s="177">
        <f>IF($A$1="BL",0,'Peak Hours'!J212*Peak!P213*'Peak Hours'!$Y212)</f>
        <v>0</v>
      </c>
      <c r="K212" s="177">
        <f>IF($A$1="BL",0,'Peak Hours'!K212*Peak!Q213*'Peak Hours'!$Y212)</f>
        <v>0</v>
      </c>
      <c r="L212" s="177">
        <f>IF($A$1="BL",0,'Peak Hours'!L212*Peak!R213*'Peak Hours'!$Y212)</f>
        <v>0</v>
      </c>
      <c r="M212" s="177">
        <f>IF($A$1="BL",0,'Peak Hours'!M212*Peak!S213*'Peak Hours'!$Y212)</f>
        <v>0</v>
      </c>
      <c r="N212" s="177">
        <f>IF($A$1="BL",0,'Peak Hours'!N212*Peak!T213*'Peak Hours'!$Y212)</f>
        <v>0</v>
      </c>
      <c r="O212" s="177">
        <f>IF($A$1="BL",0,'Peak Hours'!O212*Peak!U213*'Peak Hours'!$Y212)</f>
        <v>0</v>
      </c>
      <c r="P212" s="177">
        <f>IF($A$1="BL",0,'Peak Hours'!P212*Peak!V213*'Peak Hours'!$Y212)</f>
        <v>0</v>
      </c>
      <c r="Q212" s="177">
        <f>IF($A$1="BL",0,'Peak Hours'!Q212*Peak!W213*'Peak Hours'!$Y212)</f>
        <v>0</v>
      </c>
      <c r="R212" s="177">
        <f>IF($A$1="BL",0,'Peak Hours'!R212*Peak!X213*'Peak Hours'!$Y212)</f>
        <v>0</v>
      </c>
      <c r="S212" s="177">
        <f>IF($A$1="BL",0,'Peak Hours'!S212*Peak!Y213*'Peak Hours'!$Y212)</f>
        <v>0</v>
      </c>
      <c r="T212" s="177">
        <f>IF($A$1="BL",0,'Peak Hours'!T212*Peak!Z213*'Peak Hours'!$Y212)</f>
        <v>0</v>
      </c>
      <c r="U212" s="177">
        <f>IF($A$1="BL",0,'Peak Hours'!U212*Peak!AA213*'Peak Hours'!$Y212)</f>
        <v>0</v>
      </c>
      <c r="V212" s="207"/>
      <c r="W212" s="203">
        <f>(IF($A$1="BL",0,Peak!C213*'Peak Hours'!V212*'Peak Hours'!$Y212))*-1</f>
        <v>-6641224.1703673992</v>
      </c>
      <c r="X212" s="207"/>
      <c r="Y212" s="203">
        <f>(IF($A$1="bl",0,Peak!D213*'Peak Hours'!V212*'Peak Hours'!$Y212))*-1</f>
        <v>-101763.79784935727</v>
      </c>
      <c r="Z212" s="207"/>
      <c r="AA212" s="203">
        <f>(Peak!E213*'Peak Hours'!V212*'Peak Hours'!$Y212)*-1</f>
        <v>0</v>
      </c>
      <c r="AB212" s="204"/>
      <c r="AC212" s="203">
        <f>(Peak!F213*'Peak Hours'!V212*'Peak Hours'!$Y212)*-1</f>
        <v>0</v>
      </c>
      <c r="AD212" s="204"/>
    </row>
    <row r="213" spans="1:30" x14ac:dyDescent="0.2">
      <c r="A213" s="1">
        <f t="shared" si="3"/>
        <v>42714.65100000026</v>
      </c>
      <c r="B213" s="177">
        <f>IF($A$1="BL",0,'Peak Hours'!B213*Peak!H214*'Peak Hours'!$Y213)</f>
        <v>403733.87516044965</v>
      </c>
      <c r="C213" s="177">
        <f>IF($A$1="BL",0,'Peak Hours'!C213*Peak!I214*'Peak Hours'!$Y213)</f>
        <v>389301.20440106315</v>
      </c>
      <c r="D213" s="177">
        <f>IF($A$1="BL",0,'Peak Hours'!D213*Peak!J214*'Peak Hours'!$Y213)</f>
        <v>731899.79639675107</v>
      </c>
      <c r="E213" s="177">
        <f>IF($A$1="BL",0,'Peak Hours'!E213*Peak!K214*'Peak Hours'!$Y213)</f>
        <v>1444048.6202619481</v>
      </c>
      <c r="F213" s="177">
        <f>IF($A$1="BL",0,'Peak Hours'!F213*Peak!L214*'Peak Hours'!$Y213)</f>
        <v>1424956.7441904051</v>
      </c>
      <c r="G213" s="177">
        <f>IF($A$1="BL",0,'Peak Hours'!G213*Peak!M214*'Peak Hours'!$Y213)</f>
        <v>2428988.138820576</v>
      </c>
      <c r="H213" s="177">
        <f>IF($A$1="BL",0,'Peak Hours'!H213*Peak!N214*'Peak Hours'!$Y213)</f>
        <v>1915581.0842215416</v>
      </c>
      <c r="I213" s="177">
        <f>IF($A$1="BL",0,'Peak Hours'!I213*Peak!O214*'Peak Hours'!$Y213)</f>
        <v>1602388.5990443034</v>
      </c>
      <c r="J213" s="177">
        <f>IF($A$1="BL",0,'Peak Hours'!J213*Peak!P214*'Peak Hours'!$Y213)</f>
        <v>1576728.0551628289</v>
      </c>
      <c r="K213" s="177">
        <f>IF($A$1="BL",0,'Peak Hours'!K213*Peak!Q214*'Peak Hours'!$Y213)</f>
        <v>0</v>
      </c>
      <c r="L213" s="177">
        <f>IF($A$1="BL",0,'Peak Hours'!L213*Peak!R214*'Peak Hours'!$Y213)</f>
        <v>0</v>
      </c>
      <c r="M213" s="177">
        <f>IF($A$1="BL",0,'Peak Hours'!M213*Peak!S214*'Peak Hours'!$Y213)</f>
        <v>0</v>
      </c>
      <c r="N213" s="177">
        <f>IF($A$1="BL",0,'Peak Hours'!N213*Peak!T214*'Peak Hours'!$Y213)</f>
        <v>0</v>
      </c>
      <c r="O213" s="177">
        <f>IF($A$1="BL",0,'Peak Hours'!O213*Peak!U214*'Peak Hours'!$Y213)</f>
        <v>0</v>
      </c>
      <c r="P213" s="177">
        <f>IF($A$1="BL",0,'Peak Hours'!P213*Peak!V214*'Peak Hours'!$Y213)</f>
        <v>0</v>
      </c>
      <c r="Q213" s="177">
        <f>IF($A$1="BL",0,'Peak Hours'!Q213*Peak!W214*'Peak Hours'!$Y213)</f>
        <v>0</v>
      </c>
      <c r="R213" s="177">
        <f>IF($A$1="BL",0,'Peak Hours'!R213*Peak!X214*'Peak Hours'!$Y213)</f>
        <v>0</v>
      </c>
      <c r="S213" s="177">
        <f>IF($A$1="BL",0,'Peak Hours'!S213*Peak!Y214*'Peak Hours'!$Y213)</f>
        <v>0</v>
      </c>
      <c r="T213" s="177">
        <f>IF($A$1="BL",0,'Peak Hours'!T213*Peak!Z214*'Peak Hours'!$Y213)</f>
        <v>0</v>
      </c>
      <c r="U213" s="177">
        <f>IF($A$1="BL",0,'Peak Hours'!U213*Peak!AA214*'Peak Hours'!$Y213)</f>
        <v>0</v>
      </c>
      <c r="V213" s="208">
        <f>SUM(B202:U213)</f>
        <v>154172018.60518801</v>
      </c>
      <c r="W213" s="203">
        <f>(IF($A$1="BL",0,Peak!C214*'Peak Hours'!V213*'Peak Hours'!$Y213))*-1</f>
        <v>-8546254.7096700817</v>
      </c>
      <c r="X213" s="208">
        <f>SUM(W202:W213)</f>
        <v>-95866462.7815741</v>
      </c>
      <c r="Y213" s="203">
        <f>(IF($A$1="bl",0,Peak!D214*'Peak Hours'!V213*'Peak Hours'!$Y213))*-1</f>
        <v>-121211.84604868456</v>
      </c>
      <c r="Z213" s="208">
        <f>SUM(Y202:Y213)</f>
        <v>-1592542.2069708239</v>
      </c>
      <c r="AA213" s="203">
        <f>(Peak!E214*'Peak Hours'!V213*'Peak Hours'!$Y213)*-1</f>
        <v>0</v>
      </c>
      <c r="AB213" s="205">
        <f>SUM(AA202:AA213)</f>
        <v>0</v>
      </c>
      <c r="AC213" s="203">
        <f>(Peak!F214*'Peak Hours'!V213*'Peak Hours'!$Y213)*-1</f>
        <v>0</v>
      </c>
      <c r="AD213" s="205">
        <f>SUM(AC202:AC213)</f>
        <v>0</v>
      </c>
    </row>
    <row r="214" spans="1:30" x14ac:dyDescent="0.2">
      <c r="A214" s="1">
        <f t="shared" si="3"/>
        <v>42745.068000000261</v>
      </c>
      <c r="B214" s="177">
        <f>IF($A$1="BL",0,'Peak Hours'!B214*Peak!H215*'Peak Hours'!$Y214)</f>
        <v>398801.72071744263</v>
      </c>
      <c r="C214" s="177">
        <f>IF($A$1="BL",0,'Peak Hours'!C214*Peak!I215*'Peak Hours'!$Y214)</f>
        <v>377698.39026739995</v>
      </c>
      <c r="D214" s="177">
        <f>IF($A$1="BL",0,'Peak Hours'!D214*Peak!J215*'Peak Hours'!$Y214)</f>
        <v>727779.29824615445</v>
      </c>
      <c r="E214" s="177">
        <f>IF($A$1="BL",0,'Peak Hours'!E214*Peak!K215*'Peak Hours'!$Y214)</f>
        <v>1360679.2205895158</v>
      </c>
      <c r="F214" s="177">
        <f>IF($A$1="BL",0,'Peak Hours'!F214*Peak!L215*'Peak Hours'!$Y214)</f>
        <v>1354010.2856833977</v>
      </c>
      <c r="G214" s="177">
        <f>IF($A$1="BL",0,'Peak Hours'!G214*Peak!M215*'Peak Hours'!$Y214)</f>
        <v>2502058.0007062806</v>
      </c>
      <c r="H214" s="177">
        <f>IF($A$1="BL",0,'Peak Hours'!H214*Peak!N215*'Peak Hours'!$Y214)</f>
        <v>1850655.258281671</v>
      </c>
      <c r="I214" s="177">
        <f>IF($A$1="BL",0,'Peak Hours'!I214*Peak!O215*'Peak Hours'!$Y214)</f>
        <v>0</v>
      </c>
      <c r="J214" s="177">
        <f>IF($A$1="BL",0,'Peak Hours'!J214*Peak!P215*'Peak Hours'!$Y214)</f>
        <v>0</v>
      </c>
      <c r="K214" s="177">
        <f>IF($A$1="BL",0,'Peak Hours'!K214*Peak!Q215*'Peak Hours'!$Y214)</f>
        <v>0</v>
      </c>
      <c r="L214" s="177">
        <f>IF($A$1="BL",0,'Peak Hours'!L214*Peak!R215*'Peak Hours'!$Y214)</f>
        <v>0</v>
      </c>
      <c r="M214" s="177">
        <f>IF($A$1="BL",0,'Peak Hours'!M214*Peak!S215*'Peak Hours'!$Y214)</f>
        <v>0</v>
      </c>
      <c r="N214" s="177">
        <f>IF($A$1="BL",0,'Peak Hours'!N214*Peak!T215*'Peak Hours'!$Y214)</f>
        <v>0</v>
      </c>
      <c r="O214" s="177">
        <f>IF($A$1="BL",0,'Peak Hours'!O214*Peak!U215*'Peak Hours'!$Y214)</f>
        <v>0</v>
      </c>
      <c r="P214" s="177">
        <f>IF($A$1="BL",0,'Peak Hours'!P214*Peak!V215*'Peak Hours'!$Y214)</f>
        <v>0</v>
      </c>
      <c r="Q214" s="177">
        <f>IF($A$1="BL",0,'Peak Hours'!Q214*Peak!W215*'Peak Hours'!$Y214)</f>
        <v>0</v>
      </c>
      <c r="R214" s="177">
        <f>IF($A$1="BL",0,'Peak Hours'!R214*Peak!X215*'Peak Hours'!$Y214)</f>
        <v>0</v>
      </c>
      <c r="S214" s="177">
        <f>IF($A$1="BL",0,'Peak Hours'!S214*Peak!Y215*'Peak Hours'!$Y214)</f>
        <v>0</v>
      </c>
      <c r="T214" s="177">
        <f>IF($A$1="BL",0,'Peak Hours'!T214*Peak!Z215*'Peak Hours'!$Y214)</f>
        <v>0</v>
      </c>
      <c r="U214" s="177">
        <f>IF($A$1="BL",0,'Peak Hours'!U214*Peak!AA215*'Peak Hours'!$Y214)</f>
        <v>0</v>
      </c>
      <c r="V214" s="207"/>
      <c r="W214" s="203">
        <f>(IF($A$1="BL",0,Peak!C215*'Peak Hours'!V214*'Peak Hours'!$Y214))*-1</f>
        <v>-5406788.7690494284</v>
      </c>
      <c r="X214" s="207"/>
      <c r="Y214" s="203">
        <f>(IF($A$1="bl",0,Peak!D215*'Peak Hours'!V214*'Peak Hours'!$Y214))*-1</f>
        <v>-77263.369140426643</v>
      </c>
      <c r="Z214" s="207"/>
      <c r="AA214" s="203">
        <f>(Peak!E215*'Peak Hours'!V214*'Peak Hours'!$Y214)*-1</f>
        <v>0</v>
      </c>
      <c r="AB214" s="204"/>
      <c r="AC214" s="203">
        <f>(Peak!F215*'Peak Hours'!V214*'Peak Hours'!$Y214)*-1</f>
        <v>0</v>
      </c>
      <c r="AD214" s="204"/>
    </row>
    <row r="215" spans="1:30" x14ac:dyDescent="0.2">
      <c r="A215" s="1">
        <f t="shared" si="3"/>
        <v>42775.485000000263</v>
      </c>
      <c r="B215" s="177">
        <f>IF($A$1="BL",0,'Peak Hours'!B215*Peak!H216*'Peak Hours'!$Y215)</f>
        <v>478431.84045083745</v>
      </c>
      <c r="C215" s="177">
        <f>IF($A$1="BL",0,'Peak Hours'!C215*Peak!I216*'Peak Hours'!$Y215)</f>
        <v>446732.93324801489</v>
      </c>
      <c r="D215" s="177">
        <f>IF($A$1="BL",0,'Peak Hours'!D215*Peak!J216*'Peak Hours'!$Y215)</f>
        <v>781419.48529629374</v>
      </c>
      <c r="E215" s="177">
        <f>IF($A$1="BL",0,'Peak Hours'!E215*Peak!K216*'Peak Hours'!$Y215)</f>
        <v>1402107.6392877682</v>
      </c>
      <c r="F215" s="177">
        <f>IF($A$1="BL",0,'Peak Hours'!F215*Peak!L216*'Peak Hours'!$Y215)</f>
        <v>1308385.8325927788</v>
      </c>
      <c r="G215" s="177">
        <f>IF($A$1="BL",0,'Peak Hours'!G215*Peak!M216*'Peak Hours'!$Y215)</f>
        <v>2591922.708479458</v>
      </c>
      <c r="H215" s="177">
        <f>IF($A$1="BL",0,'Peak Hours'!H215*Peak!N216*'Peak Hours'!$Y215)</f>
        <v>2228486.1674335119</v>
      </c>
      <c r="I215" s="177">
        <f>IF($A$1="BL",0,'Peak Hours'!I215*Peak!O216*'Peak Hours'!$Y215)</f>
        <v>2027371.8523565594</v>
      </c>
      <c r="J215" s="177">
        <f>IF($A$1="BL",0,'Peak Hours'!J215*Peak!P216*'Peak Hours'!$Y215)</f>
        <v>1738631.9403435397</v>
      </c>
      <c r="K215" s="177">
        <f>IF($A$1="BL",0,'Peak Hours'!K215*Peak!Q216*'Peak Hours'!$Y215)</f>
        <v>0</v>
      </c>
      <c r="L215" s="177">
        <f>IF($A$1="BL",0,'Peak Hours'!L215*Peak!R216*'Peak Hours'!$Y215)</f>
        <v>0</v>
      </c>
      <c r="M215" s="177">
        <f>IF($A$1="BL",0,'Peak Hours'!M215*Peak!S216*'Peak Hours'!$Y215)</f>
        <v>0</v>
      </c>
      <c r="N215" s="177">
        <f>IF($A$1="BL",0,'Peak Hours'!N215*Peak!T216*'Peak Hours'!$Y215)</f>
        <v>0</v>
      </c>
      <c r="O215" s="177">
        <f>IF($A$1="BL",0,'Peak Hours'!O215*Peak!U216*'Peak Hours'!$Y215)</f>
        <v>0</v>
      </c>
      <c r="P215" s="177">
        <f>IF($A$1="BL",0,'Peak Hours'!P215*Peak!V216*'Peak Hours'!$Y215)</f>
        <v>0</v>
      </c>
      <c r="Q215" s="177">
        <f>IF($A$1="BL",0,'Peak Hours'!Q215*Peak!W216*'Peak Hours'!$Y215)</f>
        <v>0</v>
      </c>
      <c r="R215" s="177">
        <f>IF($A$1="BL",0,'Peak Hours'!R215*Peak!X216*'Peak Hours'!$Y215)</f>
        <v>0</v>
      </c>
      <c r="S215" s="177">
        <f>IF($A$1="BL",0,'Peak Hours'!S215*Peak!Y216*'Peak Hours'!$Y215)</f>
        <v>0</v>
      </c>
      <c r="T215" s="177">
        <f>IF($A$1="BL",0,'Peak Hours'!T215*Peak!Z216*'Peak Hours'!$Y215)</f>
        <v>0</v>
      </c>
      <c r="U215" s="177">
        <f>IF($A$1="BL",0,'Peak Hours'!U215*Peak!AA216*'Peak Hours'!$Y215)</f>
        <v>0</v>
      </c>
      <c r="V215" s="207"/>
      <c r="W215" s="203">
        <f>(IF($A$1="BL",0,Peak!C216*'Peak Hours'!V215*'Peak Hours'!$Y215))*-1</f>
        <v>-7615108.6500251647</v>
      </c>
      <c r="X215" s="207"/>
      <c r="Y215" s="203">
        <f>(IF($A$1="bl",0,Peak!D216*'Peak Hours'!V215*'Peak Hours'!$Y215))*-1</f>
        <v>-121616.22223508588</v>
      </c>
      <c r="Z215" s="207"/>
      <c r="AA215" s="203">
        <f>(Peak!E216*'Peak Hours'!V215*'Peak Hours'!$Y215)*-1</f>
        <v>0</v>
      </c>
      <c r="AB215" s="204"/>
      <c r="AC215" s="203">
        <f>(Peak!F216*'Peak Hours'!V215*'Peak Hours'!$Y215)*-1</f>
        <v>0</v>
      </c>
      <c r="AD215" s="204"/>
    </row>
    <row r="216" spans="1:30" x14ac:dyDescent="0.2">
      <c r="A216" s="1">
        <f t="shared" si="3"/>
        <v>42805.902000000264</v>
      </c>
      <c r="B216" s="177">
        <f>IF($A$1="BL",0,'Peak Hours'!B216*Peak!H217*'Peak Hours'!$Y216)</f>
        <v>356801.46866765543</v>
      </c>
      <c r="C216" s="177">
        <f>IF($A$1="BL",0,'Peak Hours'!C216*Peak!I217*'Peak Hours'!$Y216)</f>
        <v>331199.63005569135</v>
      </c>
      <c r="D216" s="177">
        <f>IF($A$1="BL",0,'Peak Hours'!D216*Peak!J217*'Peak Hours'!$Y216)</f>
        <v>632958.16030763683</v>
      </c>
      <c r="E216" s="177">
        <f>IF($A$1="BL",0,'Peak Hours'!E216*Peak!K217*'Peak Hours'!$Y216)</f>
        <v>1188469.4967125054</v>
      </c>
      <c r="F216" s="177">
        <f>IF($A$1="BL",0,'Peak Hours'!F216*Peak!L217*'Peak Hours'!$Y216)</f>
        <v>1183583.8285785997</v>
      </c>
      <c r="G216" s="177">
        <f>IF($A$1="BL",0,'Peak Hours'!G216*Peak!M217*'Peak Hours'!$Y216)</f>
        <v>2180027.6619876106</v>
      </c>
      <c r="H216" s="177">
        <f>IF($A$1="BL",0,'Peak Hours'!H216*Peak!N217*'Peak Hours'!$Y216)</f>
        <v>1660628.1377991759</v>
      </c>
      <c r="I216" s="177">
        <f>IF($A$1="BL",0,'Peak Hours'!I216*Peak!O217*'Peak Hours'!$Y216)</f>
        <v>1536541.4421054046</v>
      </c>
      <c r="J216" s="177">
        <f>IF($A$1="BL",0,'Peak Hours'!J216*Peak!P217*'Peak Hours'!$Y216)</f>
        <v>0</v>
      </c>
      <c r="K216" s="177">
        <f>IF($A$1="BL",0,'Peak Hours'!K216*Peak!Q217*'Peak Hours'!$Y216)</f>
        <v>0</v>
      </c>
      <c r="L216" s="177">
        <f>IF($A$1="BL",0,'Peak Hours'!L216*Peak!R217*'Peak Hours'!$Y216)</f>
        <v>0</v>
      </c>
      <c r="M216" s="177">
        <f>IF($A$1="BL",0,'Peak Hours'!M216*Peak!S217*'Peak Hours'!$Y216)</f>
        <v>0</v>
      </c>
      <c r="N216" s="177">
        <f>IF($A$1="BL",0,'Peak Hours'!N216*Peak!T217*'Peak Hours'!$Y216)</f>
        <v>0</v>
      </c>
      <c r="O216" s="177">
        <f>IF($A$1="BL",0,'Peak Hours'!O216*Peak!U217*'Peak Hours'!$Y216)</f>
        <v>0</v>
      </c>
      <c r="P216" s="177">
        <f>IF($A$1="BL",0,'Peak Hours'!P216*Peak!V217*'Peak Hours'!$Y216)</f>
        <v>0</v>
      </c>
      <c r="Q216" s="177">
        <f>IF($A$1="BL",0,'Peak Hours'!Q216*Peak!W217*'Peak Hours'!$Y216)</f>
        <v>0</v>
      </c>
      <c r="R216" s="177">
        <f>IF($A$1="BL",0,'Peak Hours'!R216*Peak!X217*'Peak Hours'!$Y216)</f>
        <v>0</v>
      </c>
      <c r="S216" s="177">
        <f>IF($A$1="BL",0,'Peak Hours'!S216*Peak!Y217*'Peak Hours'!$Y216)</f>
        <v>0</v>
      </c>
      <c r="T216" s="177">
        <f>IF($A$1="BL",0,'Peak Hours'!T216*Peak!Z217*'Peak Hours'!$Y216)</f>
        <v>0</v>
      </c>
      <c r="U216" s="177">
        <f>IF($A$1="BL",0,'Peak Hours'!U216*Peak!AA217*'Peak Hours'!$Y216)</f>
        <v>0</v>
      </c>
      <c r="V216" s="207"/>
      <c r="W216" s="203">
        <f>(IF($A$1="BL",0,Peak!C217*'Peak Hours'!V216*'Peak Hours'!$Y216))*-1</f>
        <v>-6296262.0574058285</v>
      </c>
      <c r="X216" s="207"/>
      <c r="Y216" s="203">
        <f>(IF($A$1="bl",0,Peak!D217*'Peak Hours'!V216*'Peak Hours'!$Y216))*-1</f>
        <v>-102443.92111695049</v>
      </c>
      <c r="Z216" s="207"/>
      <c r="AA216" s="203">
        <f>(Peak!E217*'Peak Hours'!V216*'Peak Hours'!$Y216)*-1</f>
        <v>0</v>
      </c>
      <c r="AB216" s="204"/>
      <c r="AC216" s="203">
        <f>(Peak!F217*'Peak Hours'!V216*'Peak Hours'!$Y216)*-1</f>
        <v>0</v>
      </c>
      <c r="AD216" s="204"/>
    </row>
    <row r="217" spans="1:30" x14ac:dyDescent="0.2">
      <c r="A217" s="1">
        <f t="shared" si="3"/>
        <v>42836.319000000265</v>
      </c>
      <c r="B217" s="177">
        <f>IF($A$1="BL",0,'Peak Hours'!B217*Peak!H218*'Peak Hours'!$Y217)</f>
        <v>357764.12575535703</v>
      </c>
      <c r="C217" s="177">
        <f>IF($A$1="BL",0,'Peak Hours'!C217*Peak!I218*'Peak Hours'!$Y217)</f>
        <v>311653.76643200708</v>
      </c>
      <c r="D217" s="177">
        <f>IF($A$1="BL",0,'Peak Hours'!D217*Peak!J218*'Peak Hours'!$Y217)</f>
        <v>582253.67695799633</v>
      </c>
      <c r="E217" s="177">
        <f>IF($A$1="BL",0,'Peak Hours'!E217*Peak!K218*'Peak Hours'!$Y217)</f>
        <v>1129640.5042476724</v>
      </c>
      <c r="F217" s="177">
        <f>IF($A$1="BL",0,'Peak Hours'!F217*Peak!L218*'Peak Hours'!$Y217)</f>
        <v>1121700.8871103129</v>
      </c>
      <c r="G217" s="177">
        <f>IF($A$1="BL",0,'Peak Hours'!G217*Peak!M218*'Peak Hours'!$Y217)</f>
        <v>1672358.449937704</v>
      </c>
      <c r="H217" s="177">
        <f>IF($A$1="BL",0,'Peak Hours'!H217*Peak!N218*'Peak Hours'!$Y217)</f>
        <v>1354564.7921722555</v>
      </c>
      <c r="I217" s="177">
        <f>IF($A$1="BL",0,'Peak Hours'!I217*Peak!O218*'Peak Hours'!$Y217)</f>
        <v>0</v>
      </c>
      <c r="J217" s="177">
        <f>IF($A$1="BL",0,'Peak Hours'!J217*Peak!P218*'Peak Hours'!$Y217)</f>
        <v>0</v>
      </c>
      <c r="K217" s="177">
        <f>IF($A$1="BL",0,'Peak Hours'!K217*Peak!Q218*'Peak Hours'!$Y217)</f>
        <v>0</v>
      </c>
      <c r="L217" s="177">
        <f>IF($A$1="BL",0,'Peak Hours'!L217*Peak!R218*'Peak Hours'!$Y217)</f>
        <v>0</v>
      </c>
      <c r="M217" s="177">
        <f>IF($A$1="BL",0,'Peak Hours'!M217*Peak!S218*'Peak Hours'!$Y217)</f>
        <v>0</v>
      </c>
      <c r="N217" s="177">
        <f>IF($A$1="BL",0,'Peak Hours'!N217*Peak!T218*'Peak Hours'!$Y217)</f>
        <v>0</v>
      </c>
      <c r="O217" s="177">
        <f>IF($A$1="BL",0,'Peak Hours'!O217*Peak!U218*'Peak Hours'!$Y217)</f>
        <v>0</v>
      </c>
      <c r="P217" s="177">
        <f>IF($A$1="BL",0,'Peak Hours'!P217*Peak!V218*'Peak Hours'!$Y217)</f>
        <v>0</v>
      </c>
      <c r="Q217" s="177">
        <f>IF($A$1="BL",0,'Peak Hours'!Q217*Peak!W218*'Peak Hours'!$Y217)</f>
        <v>0</v>
      </c>
      <c r="R217" s="177">
        <f>IF($A$1="BL",0,'Peak Hours'!R217*Peak!X218*'Peak Hours'!$Y217)</f>
        <v>0</v>
      </c>
      <c r="S217" s="177">
        <f>IF($A$1="BL",0,'Peak Hours'!S217*Peak!Y218*'Peak Hours'!$Y217)</f>
        <v>0</v>
      </c>
      <c r="T217" s="177">
        <f>IF($A$1="BL",0,'Peak Hours'!T217*Peak!Z218*'Peak Hours'!$Y217)</f>
        <v>0</v>
      </c>
      <c r="U217" s="177">
        <f>IF($A$1="BL",0,'Peak Hours'!U217*Peak!AA218*'Peak Hours'!$Y217)</f>
        <v>0</v>
      </c>
      <c r="V217" s="207"/>
      <c r="W217" s="203">
        <f>(IF($A$1="BL",0,Peak!C218*'Peak Hours'!V217*'Peak Hours'!$Y217))*-1</f>
        <v>-4655686.7325888174</v>
      </c>
      <c r="X217" s="207"/>
      <c r="Y217" s="203">
        <f>(IF($A$1="bl",0,Peak!D218*'Peak Hours'!V217*'Peak Hours'!$Y217))*-1</f>
        <v>-79811.402988705682</v>
      </c>
      <c r="Z217" s="207"/>
      <c r="AA217" s="203">
        <f>(Peak!E218*'Peak Hours'!V217*'Peak Hours'!$Y217)*-1</f>
        <v>0</v>
      </c>
      <c r="AB217" s="204"/>
      <c r="AC217" s="203">
        <f>(Peak!F218*'Peak Hours'!V217*'Peak Hours'!$Y217)*-1</f>
        <v>0</v>
      </c>
      <c r="AD217" s="204"/>
    </row>
    <row r="218" spans="1:30" x14ac:dyDescent="0.2">
      <c r="A218" s="1">
        <f t="shared" si="3"/>
        <v>42866.736000000266</v>
      </c>
      <c r="B218" s="177">
        <f>IF($A$1="BL",0,'Peak Hours'!B218*Peak!H219*'Peak Hours'!$Y218)</f>
        <v>480921.10329261364</v>
      </c>
      <c r="C218" s="177">
        <f>IF($A$1="BL",0,'Peak Hours'!C218*Peak!I219*'Peak Hours'!$Y218)</f>
        <v>375445.61449117155</v>
      </c>
      <c r="D218" s="177">
        <f>IF($A$1="BL",0,'Peak Hours'!D218*Peak!J219*'Peak Hours'!$Y218)</f>
        <v>630457.77220647945</v>
      </c>
      <c r="E218" s="177">
        <f>IF($A$1="BL",0,'Peak Hours'!E218*Peak!K219*'Peak Hours'!$Y218)</f>
        <v>1118216.1940613748</v>
      </c>
      <c r="F218" s="177">
        <f>IF($A$1="BL",0,'Peak Hours'!F218*Peak!L219*'Peak Hours'!$Y218)</f>
        <v>1017781.4461041825</v>
      </c>
      <c r="G218" s="177">
        <f>IF($A$1="BL",0,'Peak Hours'!G218*Peak!M219*'Peak Hours'!$Y218)</f>
        <v>1968372.1360706296</v>
      </c>
      <c r="H218" s="177">
        <f>IF($A$1="BL",0,'Peak Hours'!H218*Peak!N219*'Peak Hours'!$Y218)</f>
        <v>1515828.9599772841</v>
      </c>
      <c r="I218" s="177">
        <f>IF($A$1="BL",0,'Peak Hours'!I218*Peak!O219*'Peak Hours'!$Y218)</f>
        <v>0</v>
      </c>
      <c r="J218" s="177">
        <f>IF($A$1="BL",0,'Peak Hours'!J218*Peak!P219*'Peak Hours'!$Y218)</f>
        <v>0</v>
      </c>
      <c r="K218" s="177">
        <f>IF($A$1="BL",0,'Peak Hours'!K218*Peak!Q219*'Peak Hours'!$Y218)</f>
        <v>0</v>
      </c>
      <c r="L218" s="177">
        <f>IF($A$1="BL",0,'Peak Hours'!L218*Peak!R219*'Peak Hours'!$Y218)</f>
        <v>0</v>
      </c>
      <c r="M218" s="177">
        <f>IF($A$1="BL",0,'Peak Hours'!M218*Peak!S219*'Peak Hours'!$Y218)</f>
        <v>0</v>
      </c>
      <c r="N218" s="177">
        <f>IF($A$1="BL",0,'Peak Hours'!N218*Peak!T219*'Peak Hours'!$Y218)</f>
        <v>0</v>
      </c>
      <c r="O218" s="177">
        <f>IF($A$1="BL",0,'Peak Hours'!O218*Peak!U219*'Peak Hours'!$Y218)</f>
        <v>0</v>
      </c>
      <c r="P218" s="177">
        <f>IF($A$1="BL",0,'Peak Hours'!P218*Peak!V219*'Peak Hours'!$Y218)</f>
        <v>0</v>
      </c>
      <c r="Q218" s="177">
        <f>IF($A$1="BL",0,'Peak Hours'!Q218*Peak!W219*'Peak Hours'!$Y218)</f>
        <v>0</v>
      </c>
      <c r="R218" s="177">
        <f>IF($A$1="BL",0,'Peak Hours'!R218*Peak!X219*'Peak Hours'!$Y218)</f>
        <v>0</v>
      </c>
      <c r="S218" s="177">
        <f>IF($A$1="BL",0,'Peak Hours'!S218*Peak!Y219*'Peak Hours'!$Y218)</f>
        <v>0</v>
      </c>
      <c r="T218" s="177">
        <f>IF($A$1="BL",0,'Peak Hours'!T218*Peak!Z219*'Peak Hours'!$Y218)</f>
        <v>0</v>
      </c>
      <c r="U218" s="177">
        <f>IF($A$1="BL",0,'Peak Hours'!U218*Peak!AA219*'Peak Hours'!$Y218)</f>
        <v>0</v>
      </c>
      <c r="V218" s="207"/>
      <c r="W218" s="203">
        <f>(IF($A$1="BL",0,Peak!C219*'Peak Hours'!V218*'Peak Hours'!$Y218))*-1</f>
        <v>-4902019.3639427219</v>
      </c>
      <c r="X218" s="207"/>
      <c r="Y218" s="203">
        <f>(IF($A$1="bl",0,Peak!D219*'Peak Hours'!V218*'Peak Hours'!$Y218))*-1</f>
        <v>-79944.421993686861</v>
      </c>
      <c r="Z218" s="207"/>
      <c r="AA218" s="203">
        <f>(Peak!E219*'Peak Hours'!V218*'Peak Hours'!$Y218)*-1</f>
        <v>0</v>
      </c>
      <c r="AB218" s="204"/>
      <c r="AC218" s="203">
        <f>(Peak!F219*'Peak Hours'!V218*'Peak Hours'!$Y218)*-1</f>
        <v>0</v>
      </c>
      <c r="AD218" s="204"/>
    </row>
    <row r="219" spans="1:30" x14ac:dyDescent="0.2">
      <c r="A219" s="1">
        <f t="shared" si="3"/>
        <v>42897.153000000268</v>
      </c>
      <c r="B219" s="177">
        <f>IF($A$1="BL",0,'Peak Hours'!B219*Peak!H220*'Peak Hours'!$Y219)</f>
        <v>525263.9680074323</v>
      </c>
      <c r="C219" s="177">
        <f>IF($A$1="BL",0,'Peak Hours'!C219*Peak!I220*'Peak Hours'!$Y219)</f>
        <v>505772.65076882514</v>
      </c>
      <c r="D219" s="177">
        <f>IF($A$1="BL",0,'Peak Hours'!D219*Peak!J220*'Peak Hours'!$Y219)</f>
        <v>691121.81376092811</v>
      </c>
      <c r="E219" s="177">
        <f>IF($A$1="BL",0,'Peak Hours'!E219*Peak!K220*'Peak Hours'!$Y219)</f>
        <v>1090806.7338878398</v>
      </c>
      <c r="F219" s="177">
        <f>IF($A$1="BL",0,'Peak Hours'!F219*Peak!L220*'Peak Hours'!$Y219)</f>
        <v>1056833.8666300823</v>
      </c>
      <c r="G219" s="177">
        <f>IF($A$1="BL",0,'Peak Hours'!G219*Peak!M220*'Peak Hours'!$Y219)</f>
        <v>1980652.4118010667</v>
      </c>
      <c r="H219" s="177">
        <f>IF($A$1="BL",0,'Peak Hours'!H219*Peak!N220*'Peak Hours'!$Y219)</f>
        <v>1910494.1667592663</v>
      </c>
      <c r="I219" s="177">
        <f>IF($A$1="BL",0,'Peak Hours'!I219*Peak!O220*'Peak Hours'!$Y219)</f>
        <v>1760318.5050988873</v>
      </c>
      <c r="J219" s="177">
        <f>IF($A$1="BL",0,'Peak Hours'!J219*Peak!P220*'Peak Hours'!$Y219)</f>
        <v>1609163.733238973</v>
      </c>
      <c r="K219" s="177">
        <f>IF($A$1="BL",0,'Peak Hours'!K219*Peak!Q220*'Peak Hours'!$Y219)</f>
        <v>1506858.0505207621</v>
      </c>
      <c r="L219" s="177">
        <f>IF($A$1="BL",0,'Peak Hours'!L219*Peak!R220*'Peak Hours'!$Y219)</f>
        <v>1391965.9759324696</v>
      </c>
      <c r="M219" s="177">
        <f>IF($A$1="BL",0,'Peak Hours'!M219*Peak!S220*'Peak Hours'!$Y219)</f>
        <v>0</v>
      </c>
      <c r="N219" s="177">
        <f>IF($A$1="BL",0,'Peak Hours'!N219*Peak!T220*'Peak Hours'!$Y219)</f>
        <v>0</v>
      </c>
      <c r="O219" s="177">
        <f>IF($A$1="BL",0,'Peak Hours'!O219*Peak!U220*'Peak Hours'!$Y219)</f>
        <v>0</v>
      </c>
      <c r="P219" s="177">
        <f>IF($A$1="BL",0,'Peak Hours'!P219*Peak!V220*'Peak Hours'!$Y219)</f>
        <v>0</v>
      </c>
      <c r="Q219" s="177">
        <f>IF($A$1="BL",0,'Peak Hours'!Q219*Peak!W220*'Peak Hours'!$Y219)</f>
        <v>0</v>
      </c>
      <c r="R219" s="177">
        <f>IF($A$1="BL",0,'Peak Hours'!R219*Peak!X220*'Peak Hours'!$Y219)</f>
        <v>0</v>
      </c>
      <c r="S219" s="177">
        <f>IF($A$1="BL",0,'Peak Hours'!S219*Peak!Y220*'Peak Hours'!$Y219)</f>
        <v>0</v>
      </c>
      <c r="T219" s="177">
        <f>IF($A$1="BL",0,'Peak Hours'!T219*Peak!Z220*'Peak Hours'!$Y219)</f>
        <v>0</v>
      </c>
      <c r="U219" s="177">
        <f>IF($A$1="BL",0,'Peak Hours'!U219*Peak!AA220*'Peak Hours'!$Y219)</f>
        <v>0</v>
      </c>
      <c r="V219" s="207"/>
      <c r="W219" s="203">
        <f>(IF($A$1="BL",0,Peak!C220*'Peak Hours'!V219*'Peak Hours'!$Y219))*-1</f>
        <v>-10177979.608889293</v>
      </c>
      <c r="X219" s="207"/>
      <c r="Y219" s="203">
        <f>(IF($A$1="bl",0,Peak!D220*'Peak Hours'!V219*'Peak Hours'!$Y219))*-1</f>
        <v>-174506.93304819439</v>
      </c>
      <c r="Z219" s="207"/>
      <c r="AA219" s="203">
        <f>(Peak!E220*'Peak Hours'!V219*'Peak Hours'!$Y219)*-1</f>
        <v>0</v>
      </c>
      <c r="AB219" s="204"/>
      <c r="AC219" s="203">
        <f>(Peak!F220*'Peak Hours'!V219*'Peak Hours'!$Y219)*-1</f>
        <v>0</v>
      </c>
      <c r="AD219" s="204"/>
    </row>
    <row r="220" spans="1:30" x14ac:dyDescent="0.2">
      <c r="A220" s="1">
        <f t="shared" si="3"/>
        <v>42927.570000000269</v>
      </c>
      <c r="B220" s="177">
        <f>IF($A$1="BL",0,'Peak Hours'!B220*Peak!H221*'Peak Hours'!$Y220)</f>
        <v>1032590.0443985063</v>
      </c>
      <c r="C220" s="177">
        <f>IF($A$1="BL",0,'Peak Hours'!C220*Peak!I221*'Peak Hours'!$Y220)</f>
        <v>776985.50789513614</v>
      </c>
      <c r="D220" s="177">
        <f>IF($A$1="BL",0,'Peak Hours'!D220*Peak!J221*'Peak Hours'!$Y220)</f>
        <v>1398191.9222290649</v>
      </c>
      <c r="E220" s="177">
        <f>IF($A$1="BL",0,'Peak Hours'!E220*Peak!K221*'Peak Hours'!$Y220)</f>
        <v>2572875.7254966241</v>
      </c>
      <c r="F220" s="177">
        <f>IF($A$1="BL",0,'Peak Hours'!F220*Peak!L221*'Peak Hours'!$Y220)</f>
        <v>2381906.0827755597</v>
      </c>
      <c r="G220" s="177">
        <f>IF($A$1="BL",0,'Peak Hours'!G220*Peak!M221*'Peak Hours'!$Y220)</f>
        <v>4386583.2515213406</v>
      </c>
      <c r="H220" s="177">
        <f>IF($A$1="BL",0,'Peak Hours'!H220*Peak!N221*'Peak Hours'!$Y220)</f>
        <v>4073514.4239421217</v>
      </c>
      <c r="I220" s="177">
        <f>IF($A$1="BL",0,'Peak Hours'!I220*Peak!O221*'Peak Hours'!$Y220)</f>
        <v>2073823.6661472255</v>
      </c>
      <c r="J220" s="177">
        <f>IF($A$1="BL",0,'Peak Hours'!J220*Peak!P221*'Peak Hours'!$Y220)</f>
        <v>0</v>
      </c>
      <c r="K220" s="177">
        <f>IF($A$1="BL",0,'Peak Hours'!K220*Peak!Q221*'Peak Hours'!$Y220)</f>
        <v>0</v>
      </c>
      <c r="L220" s="177">
        <f>IF($A$1="BL",0,'Peak Hours'!L220*Peak!R221*'Peak Hours'!$Y220)</f>
        <v>0</v>
      </c>
      <c r="M220" s="177">
        <f>IF($A$1="BL",0,'Peak Hours'!M220*Peak!S221*'Peak Hours'!$Y220)</f>
        <v>0</v>
      </c>
      <c r="N220" s="177">
        <f>IF($A$1="BL",0,'Peak Hours'!N220*Peak!T221*'Peak Hours'!$Y220)</f>
        <v>0</v>
      </c>
      <c r="O220" s="177">
        <f>IF($A$1="BL",0,'Peak Hours'!O220*Peak!U221*'Peak Hours'!$Y220)</f>
        <v>0</v>
      </c>
      <c r="P220" s="177">
        <f>IF($A$1="BL",0,'Peak Hours'!P220*Peak!V221*'Peak Hours'!$Y220)</f>
        <v>0</v>
      </c>
      <c r="Q220" s="177">
        <f>IF($A$1="BL",0,'Peak Hours'!Q220*Peak!W221*'Peak Hours'!$Y220)</f>
        <v>0</v>
      </c>
      <c r="R220" s="177">
        <f>IF($A$1="BL",0,'Peak Hours'!R220*Peak!X221*'Peak Hours'!$Y220)</f>
        <v>0</v>
      </c>
      <c r="S220" s="177">
        <f>IF($A$1="BL",0,'Peak Hours'!S220*Peak!Y221*'Peak Hours'!$Y220)</f>
        <v>0</v>
      </c>
      <c r="T220" s="177">
        <f>IF($A$1="BL",0,'Peak Hours'!T220*Peak!Z221*'Peak Hours'!$Y220)</f>
        <v>0</v>
      </c>
      <c r="U220" s="177">
        <f>IF($A$1="BL",0,'Peak Hours'!U220*Peak!AA221*'Peak Hours'!$Y220)</f>
        <v>0</v>
      </c>
      <c r="V220" s="207"/>
      <c r="W220" s="203">
        <f>(IF($A$1="BL",0,Peak!C221*'Peak Hours'!V220*'Peak Hours'!$Y220))*-1</f>
        <v>-6087462.4875951791</v>
      </c>
      <c r="X220" s="207"/>
      <c r="Y220" s="203">
        <f>(IF($A$1="bl",0,Peak!D221*'Peak Hours'!V220*'Peak Hours'!$Y220))*-1</f>
        <v>-104878.66676196484</v>
      </c>
      <c r="Z220" s="207"/>
      <c r="AA220" s="203">
        <f>(Peak!E221*'Peak Hours'!V220*'Peak Hours'!$Y220)*-1</f>
        <v>0</v>
      </c>
      <c r="AB220" s="204"/>
      <c r="AC220" s="203">
        <f>(Peak!F221*'Peak Hours'!V220*'Peak Hours'!$Y220)*-1</f>
        <v>0</v>
      </c>
      <c r="AD220" s="204"/>
    </row>
    <row r="221" spans="1:30" x14ac:dyDescent="0.2">
      <c r="A221" s="1">
        <f t="shared" si="3"/>
        <v>42957.98700000027</v>
      </c>
      <c r="B221" s="177">
        <f>IF($A$1="BL",0,'Peak Hours'!B221*Peak!H222*'Peak Hours'!$Y221)</f>
        <v>1277728.8365444569</v>
      </c>
      <c r="C221" s="177">
        <f>IF($A$1="BL",0,'Peak Hours'!C221*Peak!I222*'Peak Hours'!$Y221)</f>
        <v>906799.77148961811</v>
      </c>
      <c r="D221" s="177">
        <f>IF($A$1="BL",0,'Peak Hours'!D221*Peak!J222*'Peak Hours'!$Y221)</f>
        <v>1448241.6630648815</v>
      </c>
      <c r="E221" s="177">
        <f>IF($A$1="BL",0,'Peak Hours'!E221*Peak!K222*'Peak Hours'!$Y221)</f>
        <v>2619375.715745755</v>
      </c>
      <c r="F221" s="177">
        <f>IF($A$1="BL",0,'Peak Hours'!F221*Peak!L222*'Peak Hours'!$Y221)</f>
        <v>2390592.1021469054</v>
      </c>
      <c r="G221" s="177">
        <f>IF($A$1="BL",0,'Peak Hours'!G221*Peak!M222*'Peak Hours'!$Y221)</f>
        <v>4322092.9120000675</v>
      </c>
      <c r="H221" s="177">
        <f>IF($A$1="BL",0,'Peak Hours'!H221*Peak!N222*'Peak Hours'!$Y221)</f>
        <v>3500740.4307779535</v>
      </c>
      <c r="I221" s="177">
        <f>IF($A$1="BL",0,'Peak Hours'!I221*Peak!O222*'Peak Hours'!$Y221)</f>
        <v>2132258.2262790329</v>
      </c>
      <c r="J221" s="177">
        <f>IF($A$1="BL",0,'Peak Hours'!J221*Peak!P222*'Peak Hours'!$Y221)</f>
        <v>1977766.1528446756</v>
      </c>
      <c r="K221" s="177">
        <f>IF($A$1="BL",0,'Peak Hours'!K221*Peak!Q222*'Peak Hours'!$Y221)</f>
        <v>1483874.5072871204</v>
      </c>
      <c r="L221" s="177">
        <f>IF($A$1="BL",0,'Peak Hours'!L221*Peak!R222*'Peak Hours'!$Y221)</f>
        <v>0</v>
      </c>
      <c r="M221" s="177">
        <f>IF($A$1="BL",0,'Peak Hours'!M221*Peak!S222*'Peak Hours'!$Y221)</f>
        <v>0</v>
      </c>
      <c r="N221" s="177">
        <f>IF($A$1="BL",0,'Peak Hours'!N221*Peak!T222*'Peak Hours'!$Y221)</f>
        <v>0</v>
      </c>
      <c r="O221" s="177">
        <f>IF($A$1="BL",0,'Peak Hours'!O221*Peak!U222*'Peak Hours'!$Y221)</f>
        <v>0</v>
      </c>
      <c r="P221" s="177">
        <f>IF($A$1="BL",0,'Peak Hours'!P221*Peak!V222*'Peak Hours'!$Y221)</f>
        <v>0</v>
      </c>
      <c r="Q221" s="177">
        <f>IF($A$1="BL",0,'Peak Hours'!Q221*Peak!W222*'Peak Hours'!$Y221)</f>
        <v>0</v>
      </c>
      <c r="R221" s="177">
        <f>IF($A$1="BL",0,'Peak Hours'!R221*Peak!X222*'Peak Hours'!$Y221)</f>
        <v>0</v>
      </c>
      <c r="S221" s="177">
        <f>IF($A$1="BL",0,'Peak Hours'!S221*Peak!Y222*'Peak Hours'!$Y221)</f>
        <v>0</v>
      </c>
      <c r="T221" s="177">
        <f>IF($A$1="BL",0,'Peak Hours'!T221*Peak!Z222*'Peak Hours'!$Y221)</f>
        <v>0</v>
      </c>
      <c r="U221" s="177">
        <f>IF($A$1="BL",0,'Peak Hours'!U221*Peak!AA222*'Peak Hours'!$Y221)</f>
        <v>0</v>
      </c>
      <c r="V221" s="207"/>
      <c r="W221" s="203">
        <f>(IF($A$1="BL",0,Peak!C222*'Peak Hours'!V221*'Peak Hours'!$Y221))*-1</f>
        <v>-8337067.9665501071</v>
      </c>
      <c r="X221" s="207"/>
      <c r="Y221" s="203">
        <f>(IF($A$1="bl",0,Peak!D222*'Peak Hours'!V221*'Peak Hours'!$Y221))*-1</f>
        <v>-151743.89322430207</v>
      </c>
      <c r="Z221" s="207"/>
      <c r="AA221" s="203">
        <f>(Peak!E222*'Peak Hours'!V221*'Peak Hours'!$Y221)*-1</f>
        <v>0</v>
      </c>
      <c r="AB221" s="204"/>
      <c r="AC221" s="203">
        <f>(Peak!F222*'Peak Hours'!V221*'Peak Hours'!$Y221)*-1</f>
        <v>0</v>
      </c>
      <c r="AD221" s="204"/>
    </row>
    <row r="222" spans="1:30" x14ac:dyDescent="0.2">
      <c r="A222" s="1">
        <f t="shared" si="3"/>
        <v>42988.404000000271</v>
      </c>
      <c r="B222" s="177">
        <f>IF($A$1="BL",0,'Peak Hours'!B222*Peak!H223*'Peak Hours'!$Y222)</f>
        <v>607536.29269030236</v>
      </c>
      <c r="C222" s="177">
        <f>IF($A$1="BL",0,'Peak Hours'!C222*Peak!I223*'Peak Hours'!$Y222)</f>
        <v>570714.80105168442</v>
      </c>
      <c r="D222" s="177">
        <f>IF($A$1="BL",0,'Peak Hours'!D222*Peak!J223*'Peak Hours'!$Y222)</f>
        <v>1076256.950846584</v>
      </c>
      <c r="E222" s="177">
        <f>IF($A$1="BL",0,'Peak Hours'!E222*Peak!K223*'Peak Hours'!$Y222)</f>
        <v>2018048.3347628051</v>
      </c>
      <c r="F222" s="177">
        <f>IF($A$1="BL",0,'Peak Hours'!F222*Peak!L223*'Peak Hours'!$Y222)</f>
        <v>1512665.6525977282</v>
      </c>
      <c r="G222" s="177">
        <f>IF($A$1="BL",0,'Peak Hours'!G222*Peak!M223*'Peak Hours'!$Y222)</f>
        <v>2178615.36003668</v>
      </c>
      <c r="H222" s="177">
        <f>IF($A$1="BL",0,'Peak Hours'!H222*Peak!N223*'Peak Hours'!$Y222)</f>
        <v>2043689.8413916598</v>
      </c>
      <c r="I222" s="177">
        <f>IF($A$1="BL",0,'Peak Hours'!I222*Peak!O223*'Peak Hours'!$Y222)</f>
        <v>1461948.1705343637</v>
      </c>
      <c r="J222" s="177">
        <f>IF($A$1="BL",0,'Peak Hours'!J222*Peak!P223*'Peak Hours'!$Y222)</f>
        <v>0</v>
      </c>
      <c r="K222" s="177">
        <f>IF($A$1="BL",0,'Peak Hours'!K222*Peak!Q223*'Peak Hours'!$Y222)</f>
        <v>0</v>
      </c>
      <c r="L222" s="177">
        <f>IF($A$1="BL",0,'Peak Hours'!L222*Peak!R223*'Peak Hours'!$Y222)</f>
        <v>0</v>
      </c>
      <c r="M222" s="177">
        <f>IF($A$1="BL",0,'Peak Hours'!M222*Peak!S223*'Peak Hours'!$Y222)</f>
        <v>0</v>
      </c>
      <c r="N222" s="177">
        <f>IF($A$1="BL",0,'Peak Hours'!N222*Peak!T223*'Peak Hours'!$Y222)</f>
        <v>0</v>
      </c>
      <c r="O222" s="177">
        <f>IF($A$1="BL",0,'Peak Hours'!O222*Peak!U223*'Peak Hours'!$Y222)</f>
        <v>0</v>
      </c>
      <c r="P222" s="177">
        <f>IF($A$1="BL",0,'Peak Hours'!P222*Peak!V223*'Peak Hours'!$Y222)</f>
        <v>0</v>
      </c>
      <c r="Q222" s="177">
        <f>IF($A$1="BL",0,'Peak Hours'!Q222*Peak!W223*'Peak Hours'!$Y222)</f>
        <v>0</v>
      </c>
      <c r="R222" s="177">
        <f>IF($A$1="BL",0,'Peak Hours'!R222*Peak!X223*'Peak Hours'!$Y222)</f>
        <v>0</v>
      </c>
      <c r="S222" s="177">
        <f>IF($A$1="BL",0,'Peak Hours'!S222*Peak!Y223*'Peak Hours'!$Y222)</f>
        <v>0</v>
      </c>
      <c r="T222" s="177">
        <f>IF($A$1="BL",0,'Peak Hours'!T222*Peak!Z223*'Peak Hours'!$Y222)</f>
        <v>0</v>
      </c>
      <c r="U222" s="177">
        <f>IF($A$1="BL",0,'Peak Hours'!U222*Peak!AA223*'Peak Hours'!$Y222)</f>
        <v>0</v>
      </c>
      <c r="V222" s="207"/>
      <c r="W222" s="203">
        <f>(IF($A$1="BL",0,Peak!C223*'Peak Hours'!V222*'Peak Hours'!$Y222))*-1</f>
        <v>-5656501.023403828</v>
      </c>
      <c r="X222" s="207"/>
      <c r="Y222" s="203">
        <f>(IF($A$1="bl",0,Peak!D223*'Peak Hours'!V222*'Peak Hours'!$Y222))*-1</f>
        <v>-103472.6383222463</v>
      </c>
      <c r="Z222" s="207"/>
      <c r="AA222" s="203">
        <f>(Peak!E223*'Peak Hours'!V222*'Peak Hours'!$Y222)*-1</f>
        <v>0</v>
      </c>
      <c r="AB222" s="204"/>
      <c r="AC222" s="203">
        <f>(Peak!F223*'Peak Hours'!V222*'Peak Hours'!$Y222)*-1</f>
        <v>0</v>
      </c>
      <c r="AD222" s="204"/>
    </row>
    <row r="223" spans="1:30" x14ac:dyDescent="0.2">
      <c r="A223" s="1">
        <f t="shared" si="3"/>
        <v>43018.821000000273</v>
      </c>
      <c r="B223" s="177">
        <f>IF($A$1="BL",0,'Peak Hours'!B223*Peak!H224*'Peak Hours'!$Y223)</f>
        <v>363172.36644648638</v>
      </c>
      <c r="C223" s="177">
        <f>IF($A$1="BL",0,'Peak Hours'!C223*Peak!I224*'Peak Hours'!$Y223)</f>
        <v>290106.0727766421</v>
      </c>
      <c r="D223" s="177">
        <f>IF($A$1="BL",0,'Peak Hours'!D223*Peak!J224*'Peak Hours'!$Y223)</f>
        <v>540232.25423209881</v>
      </c>
      <c r="E223" s="177">
        <f>IF($A$1="BL",0,'Peak Hours'!E223*Peak!K224*'Peak Hours'!$Y223)</f>
        <v>1010479.5846378132</v>
      </c>
      <c r="F223" s="177">
        <f>IF($A$1="BL",0,'Peak Hours'!F223*Peak!L224*'Peak Hours'!$Y223)</f>
        <v>950258.42383307731</v>
      </c>
      <c r="G223" s="177">
        <f>IF($A$1="BL",0,'Peak Hours'!G223*Peak!M224*'Peak Hours'!$Y223)</f>
        <v>1807450.3640165096</v>
      </c>
      <c r="H223" s="177">
        <f>IF($A$1="BL",0,'Peak Hours'!H223*Peak!N224*'Peak Hours'!$Y223)</f>
        <v>1794834.9707463405</v>
      </c>
      <c r="I223" s="177">
        <f>IF($A$1="BL",0,'Peak Hours'!I223*Peak!O224*'Peak Hours'!$Y223)</f>
        <v>1644183.6278016809</v>
      </c>
      <c r="J223" s="177">
        <f>IF($A$1="BL",0,'Peak Hours'!J223*Peak!P224*'Peak Hours'!$Y223)</f>
        <v>1457793.3066650021</v>
      </c>
      <c r="K223" s="177">
        <f>IF($A$1="BL",0,'Peak Hours'!K223*Peak!Q224*'Peak Hours'!$Y223)</f>
        <v>0</v>
      </c>
      <c r="L223" s="177">
        <f>IF($A$1="BL",0,'Peak Hours'!L223*Peak!R224*'Peak Hours'!$Y223)</f>
        <v>0</v>
      </c>
      <c r="M223" s="177">
        <f>IF($A$1="BL",0,'Peak Hours'!M223*Peak!S224*'Peak Hours'!$Y223)</f>
        <v>0</v>
      </c>
      <c r="N223" s="177">
        <f>IF($A$1="BL",0,'Peak Hours'!N223*Peak!T224*'Peak Hours'!$Y223)</f>
        <v>0</v>
      </c>
      <c r="O223" s="177">
        <f>IF($A$1="BL",0,'Peak Hours'!O223*Peak!U224*'Peak Hours'!$Y223)</f>
        <v>0</v>
      </c>
      <c r="P223" s="177">
        <f>IF($A$1="BL",0,'Peak Hours'!P223*Peak!V224*'Peak Hours'!$Y223)</f>
        <v>0</v>
      </c>
      <c r="Q223" s="177">
        <f>IF($A$1="BL",0,'Peak Hours'!Q223*Peak!W224*'Peak Hours'!$Y223)</f>
        <v>0</v>
      </c>
      <c r="R223" s="177">
        <f>IF($A$1="BL",0,'Peak Hours'!R223*Peak!X224*'Peak Hours'!$Y223)</f>
        <v>0</v>
      </c>
      <c r="S223" s="177">
        <f>IF($A$1="BL",0,'Peak Hours'!S223*Peak!Y224*'Peak Hours'!$Y223)</f>
        <v>0</v>
      </c>
      <c r="T223" s="177">
        <f>IF($A$1="BL",0,'Peak Hours'!T223*Peak!Z224*'Peak Hours'!$Y223)</f>
        <v>0</v>
      </c>
      <c r="U223" s="177">
        <f>IF($A$1="BL",0,'Peak Hours'!U223*Peak!AA224*'Peak Hours'!$Y223)</f>
        <v>0</v>
      </c>
      <c r="V223" s="207"/>
      <c r="W223" s="203">
        <f>(IF($A$1="BL",0,Peak!C224*'Peak Hours'!V223*'Peak Hours'!$Y223))*-1</f>
        <v>-7656721.9899975425</v>
      </c>
      <c r="X223" s="207"/>
      <c r="Y223" s="203">
        <f>(IF($A$1="bl",0,Peak!D224*'Peak Hours'!V223*'Peak Hours'!$Y223))*-1</f>
        <v>-126677.33554599449</v>
      </c>
      <c r="Z223" s="207"/>
      <c r="AA223" s="203">
        <f>(Peak!E224*'Peak Hours'!V223*'Peak Hours'!$Y223)*-1</f>
        <v>0</v>
      </c>
      <c r="AB223" s="204"/>
      <c r="AC223" s="203">
        <f>(Peak!F224*'Peak Hours'!V223*'Peak Hours'!$Y223)*-1</f>
        <v>0</v>
      </c>
      <c r="AD223" s="204"/>
    </row>
    <row r="224" spans="1:30" x14ac:dyDescent="0.2">
      <c r="A224" s="1">
        <f t="shared" si="3"/>
        <v>43049.238000000274</v>
      </c>
      <c r="B224" s="177">
        <f>IF($A$1="BL",0,'Peak Hours'!B224*Peak!H225*'Peak Hours'!$Y224)</f>
        <v>512640.46498546767</v>
      </c>
      <c r="C224" s="177">
        <f>IF($A$1="BL",0,'Peak Hours'!C224*Peak!I225*'Peak Hours'!$Y224)</f>
        <v>501260.93145331473</v>
      </c>
      <c r="D224" s="177">
        <f>IF($A$1="BL",0,'Peak Hours'!D224*Peak!J225*'Peak Hours'!$Y224)</f>
        <v>945037.4320739432</v>
      </c>
      <c r="E224" s="177">
        <f>IF($A$1="BL",0,'Peak Hours'!E224*Peak!K225*'Peak Hours'!$Y224)</f>
        <v>1276394.4183017551</v>
      </c>
      <c r="F224" s="177">
        <f>IF($A$1="BL",0,'Peak Hours'!F224*Peak!L225*'Peak Hours'!$Y224)</f>
        <v>1161055.6252064535</v>
      </c>
      <c r="G224" s="177">
        <f>IF($A$1="BL",0,'Peak Hours'!G224*Peak!M225*'Peak Hours'!$Y224)</f>
        <v>2218134.1498187487</v>
      </c>
      <c r="H224" s="177">
        <f>IF($A$1="BL",0,'Peak Hours'!H224*Peak!N225*'Peak Hours'!$Y224)</f>
        <v>2098643.1871586787</v>
      </c>
      <c r="I224" s="177">
        <f>IF($A$1="BL",0,'Peak Hours'!I224*Peak!O225*'Peak Hours'!$Y224)</f>
        <v>1611047.4824770957</v>
      </c>
      <c r="J224" s="177">
        <f>IF($A$1="BL",0,'Peak Hours'!J224*Peak!P225*'Peak Hours'!$Y224)</f>
        <v>0</v>
      </c>
      <c r="K224" s="177">
        <f>IF($A$1="BL",0,'Peak Hours'!K224*Peak!Q225*'Peak Hours'!$Y224)</f>
        <v>0</v>
      </c>
      <c r="L224" s="177">
        <f>IF($A$1="BL",0,'Peak Hours'!L224*Peak!R225*'Peak Hours'!$Y224)</f>
        <v>0</v>
      </c>
      <c r="M224" s="177">
        <f>IF($A$1="BL",0,'Peak Hours'!M224*Peak!S225*'Peak Hours'!$Y224)</f>
        <v>0</v>
      </c>
      <c r="N224" s="177">
        <f>IF($A$1="BL",0,'Peak Hours'!N224*Peak!T225*'Peak Hours'!$Y224)</f>
        <v>0</v>
      </c>
      <c r="O224" s="177">
        <f>IF($A$1="BL",0,'Peak Hours'!O224*Peak!U225*'Peak Hours'!$Y224)</f>
        <v>0</v>
      </c>
      <c r="P224" s="177">
        <f>IF($A$1="BL",0,'Peak Hours'!P224*Peak!V225*'Peak Hours'!$Y224)</f>
        <v>0</v>
      </c>
      <c r="Q224" s="177">
        <f>IF($A$1="BL",0,'Peak Hours'!Q224*Peak!W225*'Peak Hours'!$Y224)</f>
        <v>0</v>
      </c>
      <c r="R224" s="177">
        <f>IF($A$1="BL",0,'Peak Hours'!R224*Peak!X225*'Peak Hours'!$Y224)</f>
        <v>0</v>
      </c>
      <c r="S224" s="177">
        <f>IF($A$1="BL",0,'Peak Hours'!S224*Peak!Y225*'Peak Hours'!$Y224)</f>
        <v>0</v>
      </c>
      <c r="T224" s="177">
        <f>IF($A$1="BL",0,'Peak Hours'!T224*Peak!Z225*'Peak Hours'!$Y224)</f>
        <v>0</v>
      </c>
      <c r="U224" s="177">
        <f>IF($A$1="BL",0,'Peak Hours'!U224*Peak!AA225*'Peak Hours'!$Y224)</f>
        <v>0</v>
      </c>
      <c r="V224" s="207"/>
      <c r="W224" s="203">
        <f>(IF($A$1="BL",0,Peak!C225*'Peak Hours'!V224*'Peak Hours'!$Y224))*-1</f>
        <v>-6860011.8794471947</v>
      </c>
      <c r="X224" s="207"/>
      <c r="Y224" s="203">
        <f>(IF($A$1="bl",0,Peak!D225*'Peak Hours'!V224*'Peak Hours'!$Y224))*-1</f>
        <v>-103817.83454064913</v>
      </c>
      <c r="Z224" s="207"/>
      <c r="AA224" s="203">
        <f>(Peak!E225*'Peak Hours'!V224*'Peak Hours'!$Y224)*-1</f>
        <v>0</v>
      </c>
      <c r="AB224" s="204"/>
      <c r="AC224" s="203">
        <f>(Peak!F225*'Peak Hours'!V224*'Peak Hours'!$Y224)*-1</f>
        <v>0</v>
      </c>
      <c r="AD224" s="204"/>
    </row>
    <row r="225" spans="1:30" x14ac:dyDescent="0.2">
      <c r="A225" s="1">
        <f t="shared" si="3"/>
        <v>43079.655000000275</v>
      </c>
      <c r="B225" s="177">
        <f>IF($A$1="BL",0,'Peak Hours'!B225*Peak!H226*'Peak Hours'!$Y225)</f>
        <v>335612.36291522841</v>
      </c>
      <c r="C225" s="177">
        <f>IF($A$1="BL",0,'Peak Hours'!C225*Peak!I226*'Peak Hours'!$Y225)</f>
        <v>335000.55847074545</v>
      </c>
      <c r="D225" s="177">
        <f>IF($A$1="BL",0,'Peak Hours'!D225*Peak!J226*'Peak Hours'!$Y225)</f>
        <v>604625.304068228</v>
      </c>
      <c r="E225" s="177">
        <f>IF($A$1="BL",0,'Peak Hours'!E225*Peak!K226*'Peak Hours'!$Y225)</f>
        <v>1041131.6673335511</v>
      </c>
      <c r="F225" s="177">
        <f>IF($A$1="BL",0,'Peak Hours'!F225*Peak!L226*'Peak Hours'!$Y225)</f>
        <v>1010895.0889031061</v>
      </c>
      <c r="G225" s="177">
        <f>IF($A$1="BL",0,'Peak Hours'!G225*Peak!M226*'Peak Hours'!$Y225)</f>
        <v>1969022.5349083506</v>
      </c>
      <c r="H225" s="177">
        <f>IF($A$1="BL",0,'Peak Hours'!H225*Peak!N226*'Peak Hours'!$Y225)</f>
        <v>1938433.7264026918</v>
      </c>
      <c r="I225" s="177">
        <f>IF($A$1="BL",0,'Peak Hours'!I225*Peak!O226*'Peak Hours'!$Y225)</f>
        <v>1918197.958629844</v>
      </c>
      <c r="J225" s="177">
        <f>IF($A$1="BL",0,'Peak Hours'!J225*Peak!P226*'Peak Hours'!$Y225)</f>
        <v>1908314.2630659814</v>
      </c>
      <c r="K225" s="177">
        <f>IF($A$1="BL",0,'Peak Hours'!K225*Peak!Q226*'Peak Hours'!$Y225)</f>
        <v>1888900.3735467189</v>
      </c>
      <c r="L225" s="177">
        <f>IF($A$1="BL",0,'Peak Hours'!L225*Peak!R226*'Peak Hours'!$Y225)</f>
        <v>1844741.262150774</v>
      </c>
      <c r="M225" s="177">
        <f>IF($A$1="BL",0,'Peak Hours'!M225*Peak!S226*'Peak Hours'!$Y225)</f>
        <v>1838124.3281621479</v>
      </c>
      <c r="N225" s="177">
        <f>IF($A$1="BL",0,'Peak Hours'!N225*Peak!T226*'Peak Hours'!$Y225)</f>
        <v>1826208.9980587289</v>
      </c>
      <c r="O225" s="177">
        <f>IF($A$1="BL",0,'Peak Hours'!O225*Peak!U226*'Peak Hours'!$Y225)</f>
        <v>1661955.6693666389</v>
      </c>
      <c r="P225" s="177">
        <f>IF($A$1="BL",0,'Peak Hours'!P225*Peak!V226*'Peak Hours'!$Y225)</f>
        <v>0</v>
      </c>
      <c r="Q225" s="177">
        <f>IF($A$1="BL",0,'Peak Hours'!Q225*Peak!W226*'Peak Hours'!$Y225)</f>
        <v>0</v>
      </c>
      <c r="R225" s="177">
        <f>IF($A$1="BL",0,'Peak Hours'!R225*Peak!X226*'Peak Hours'!$Y225)</f>
        <v>0</v>
      </c>
      <c r="S225" s="177">
        <f>IF($A$1="BL",0,'Peak Hours'!S225*Peak!Y226*'Peak Hours'!$Y225)</f>
        <v>0</v>
      </c>
      <c r="T225" s="177">
        <f>IF($A$1="BL",0,'Peak Hours'!T225*Peak!Z226*'Peak Hours'!$Y225)</f>
        <v>0</v>
      </c>
      <c r="U225" s="177">
        <f>IF($A$1="BL",0,'Peak Hours'!U225*Peak!AA226*'Peak Hours'!$Y225)</f>
        <v>0</v>
      </c>
      <c r="V225" s="208">
        <f>SUM(B214:U225)</f>
        <v>150840898.81053019</v>
      </c>
      <c r="W225" s="203">
        <f>(IF($A$1="BL",0,Peak!C226*'Peak Hours'!V225*'Peak Hours'!$Y225))*-1</f>
        <v>-16853075.63118599</v>
      </c>
      <c r="X225" s="208">
        <f>SUM(W214:W225)</f>
        <v>-90504686.160081089</v>
      </c>
      <c r="Y225" s="203">
        <f>(IF($A$1="bl",0,Peak!D226*'Peak Hours'!V225*'Peak Hours'!$Y225))*-1</f>
        <v>-236075.18275499958</v>
      </c>
      <c r="Z225" s="208">
        <f>SUM(Y214:Y225)</f>
        <v>-1462251.8216732061</v>
      </c>
      <c r="AA225" s="203">
        <f>(Peak!E226*'Peak Hours'!V225*'Peak Hours'!$Y225)*-1</f>
        <v>0</v>
      </c>
      <c r="AB225" s="205">
        <f>SUM(AA214:AA225)</f>
        <v>0</v>
      </c>
      <c r="AC225" s="203">
        <f>(Peak!F226*'Peak Hours'!V225*'Peak Hours'!$Y225)*-1</f>
        <v>0</v>
      </c>
      <c r="AD225" s="205">
        <f>SUM(AC214:AC225)</f>
        <v>0</v>
      </c>
    </row>
    <row r="226" spans="1:30" x14ac:dyDescent="0.2">
      <c r="A226" s="1">
        <f t="shared" si="3"/>
        <v>43110.072000000277</v>
      </c>
      <c r="B226" s="177">
        <f>IF($A$1="BL",0,'Peak Hours'!B226*Peak!H227*'Peak Hours'!$Y226)</f>
        <v>424711.46352820389</v>
      </c>
      <c r="C226" s="177">
        <f>IF($A$1="BL",0,'Peak Hours'!C226*Peak!I227*'Peak Hours'!$Y226)</f>
        <v>396028.9091985639</v>
      </c>
      <c r="D226" s="177">
        <f>IF($A$1="BL",0,'Peak Hours'!D226*Peak!J227*'Peak Hours'!$Y226)</f>
        <v>760208.51999980072</v>
      </c>
      <c r="E226" s="177">
        <f>IF($A$1="BL",0,'Peak Hours'!E226*Peak!K227*'Peak Hours'!$Y226)</f>
        <v>1420944.4378747654</v>
      </c>
      <c r="F226" s="177">
        <f>IF($A$1="BL",0,'Peak Hours'!F226*Peak!L227*'Peak Hours'!$Y226)</f>
        <v>1408888.6147249413</v>
      </c>
      <c r="G226" s="177">
        <f>IF($A$1="BL",0,'Peak Hours'!G226*Peak!M227*'Peak Hours'!$Y226)</f>
        <v>2611969.5121834208</v>
      </c>
      <c r="H226" s="177">
        <f>IF($A$1="BL",0,'Peak Hours'!H226*Peak!N227*'Peak Hours'!$Y226)</f>
        <v>1928659.7526658811</v>
      </c>
      <c r="I226" s="177">
        <f>IF($A$1="BL",0,'Peak Hours'!I226*Peak!O227*'Peak Hours'!$Y226)</f>
        <v>0</v>
      </c>
      <c r="J226" s="177">
        <f>IF($A$1="BL",0,'Peak Hours'!J226*Peak!P227*'Peak Hours'!$Y226)</f>
        <v>0</v>
      </c>
      <c r="K226" s="177">
        <f>IF($A$1="BL",0,'Peak Hours'!K226*Peak!Q227*'Peak Hours'!$Y226)</f>
        <v>0</v>
      </c>
      <c r="L226" s="177">
        <f>IF($A$1="BL",0,'Peak Hours'!L226*Peak!R227*'Peak Hours'!$Y226)</f>
        <v>0</v>
      </c>
      <c r="M226" s="177">
        <f>IF($A$1="BL",0,'Peak Hours'!M226*Peak!S227*'Peak Hours'!$Y226)</f>
        <v>0</v>
      </c>
      <c r="N226" s="177">
        <f>IF($A$1="BL",0,'Peak Hours'!N226*Peak!T227*'Peak Hours'!$Y226)</f>
        <v>0</v>
      </c>
      <c r="O226" s="177">
        <f>IF($A$1="BL",0,'Peak Hours'!O226*Peak!U227*'Peak Hours'!$Y226)</f>
        <v>0</v>
      </c>
      <c r="P226" s="177">
        <f>IF($A$1="BL",0,'Peak Hours'!P226*Peak!V227*'Peak Hours'!$Y226)</f>
        <v>0</v>
      </c>
      <c r="Q226" s="177">
        <f>IF($A$1="BL",0,'Peak Hours'!Q226*Peak!W227*'Peak Hours'!$Y226)</f>
        <v>0</v>
      </c>
      <c r="R226" s="177">
        <f>IF($A$1="BL",0,'Peak Hours'!R226*Peak!X227*'Peak Hours'!$Y226)</f>
        <v>0</v>
      </c>
      <c r="S226" s="177">
        <f>IF($A$1="BL",0,'Peak Hours'!S226*Peak!Y227*'Peak Hours'!$Y226)</f>
        <v>0</v>
      </c>
      <c r="T226" s="177">
        <f>IF($A$1="BL",0,'Peak Hours'!T226*Peak!Z227*'Peak Hours'!$Y226)</f>
        <v>0</v>
      </c>
      <c r="U226" s="177">
        <f>IF($A$1="BL",0,'Peak Hours'!U226*Peak!AA227*'Peak Hours'!$Y226)</f>
        <v>0</v>
      </c>
      <c r="V226" s="207"/>
      <c r="W226" s="203">
        <f>(IF($A$1="BL",0,Peak!C227*'Peak Hours'!V226*'Peak Hours'!$Y226))*-1</f>
        <v>-5710626.67715385</v>
      </c>
      <c r="X226" s="207"/>
      <c r="Y226" s="203">
        <f>(IF($A$1="bl",0,Peak!D227*'Peak Hours'!V226*'Peak Hours'!$Y226))*-1</f>
        <v>-78822.880464308182</v>
      </c>
      <c r="Z226" s="207"/>
      <c r="AA226" s="203">
        <f>(Peak!E227*'Peak Hours'!V226*'Peak Hours'!$Y226)*-1</f>
        <v>0</v>
      </c>
      <c r="AB226" s="204"/>
      <c r="AC226" s="203">
        <f>(Peak!F227*'Peak Hours'!V226*'Peak Hours'!$Y226)*-1</f>
        <v>0</v>
      </c>
      <c r="AD226" s="204"/>
    </row>
    <row r="227" spans="1:30" x14ac:dyDescent="0.2">
      <c r="A227" s="1">
        <f t="shared" si="3"/>
        <v>43140.489000000278</v>
      </c>
      <c r="B227" s="177">
        <f>IF($A$1="BL",0,'Peak Hours'!B227*Peak!H228*'Peak Hours'!$Y227)</f>
        <v>470805.93536966696</v>
      </c>
      <c r="C227" s="177">
        <f>IF($A$1="BL",0,'Peak Hours'!C227*Peak!I228*'Peak Hours'!$Y227)</f>
        <v>409205.81585331855</v>
      </c>
      <c r="D227" s="177">
        <f>IF($A$1="BL",0,'Peak Hours'!D227*Peak!J228*'Peak Hours'!$Y227)</f>
        <v>786775.26749133342</v>
      </c>
      <c r="E227" s="177">
        <f>IF($A$1="BL",0,'Peak Hours'!E227*Peak!K228*'Peak Hours'!$Y227)</f>
        <v>1473715.4201373667</v>
      </c>
      <c r="F227" s="177">
        <f>IF($A$1="BL",0,'Peak Hours'!F227*Peak!L228*'Peak Hours'!$Y227)</f>
        <v>1458674.6990562179</v>
      </c>
      <c r="G227" s="177">
        <f>IF($A$1="BL",0,'Peak Hours'!G227*Peak!M228*'Peak Hours'!$Y227)</f>
        <v>2350450.0808577114</v>
      </c>
      <c r="H227" s="177">
        <f>IF($A$1="BL",0,'Peak Hours'!H227*Peak!N228*'Peak Hours'!$Y227)</f>
        <v>2060152.5177821922</v>
      </c>
      <c r="I227" s="177">
        <f>IF($A$1="BL",0,'Peak Hours'!I227*Peak!O228*'Peak Hours'!$Y227)</f>
        <v>1892293.0395193878</v>
      </c>
      <c r="J227" s="177">
        <f>IF($A$1="BL",0,'Peak Hours'!J227*Peak!P228*'Peak Hours'!$Y227)</f>
        <v>1650010.371173929</v>
      </c>
      <c r="K227" s="177">
        <f>IF($A$1="BL",0,'Peak Hours'!K227*Peak!Q228*'Peak Hours'!$Y227)</f>
        <v>1539514.6682133181</v>
      </c>
      <c r="L227" s="177">
        <f>IF($A$1="BL",0,'Peak Hours'!L227*Peak!R228*'Peak Hours'!$Y227)</f>
        <v>0</v>
      </c>
      <c r="M227" s="177">
        <f>IF($A$1="BL",0,'Peak Hours'!M227*Peak!S228*'Peak Hours'!$Y227)</f>
        <v>0</v>
      </c>
      <c r="N227" s="177">
        <f>IF($A$1="BL",0,'Peak Hours'!N227*Peak!T228*'Peak Hours'!$Y227)</f>
        <v>0</v>
      </c>
      <c r="O227" s="177">
        <f>IF($A$1="BL",0,'Peak Hours'!O227*Peak!U228*'Peak Hours'!$Y227)</f>
        <v>0</v>
      </c>
      <c r="P227" s="177">
        <f>IF($A$1="BL",0,'Peak Hours'!P227*Peak!V228*'Peak Hours'!$Y227)</f>
        <v>0</v>
      </c>
      <c r="Q227" s="177">
        <f>IF($A$1="BL",0,'Peak Hours'!Q227*Peak!W228*'Peak Hours'!$Y227)</f>
        <v>0</v>
      </c>
      <c r="R227" s="177">
        <f>IF($A$1="BL",0,'Peak Hours'!R227*Peak!X228*'Peak Hours'!$Y227)</f>
        <v>0</v>
      </c>
      <c r="S227" s="177">
        <f>IF($A$1="BL",0,'Peak Hours'!S227*Peak!Y228*'Peak Hours'!$Y227)</f>
        <v>0</v>
      </c>
      <c r="T227" s="177">
        <f>IF($A$1="BL",0,'Peak Hours'!T227*Peak!Z228*'Peak Hours'!$Y227)</f>
        <v>0</v>
      </c>
      <c r="U227" s="177">
        <f>IF($A$1="BL",0,'Peak Hours'!U227*Peak!AA228*'Peak Hours'!$Y227)</f>
        <v>0</v>
      </c>
      <c r="V227" s="207"/>
      <c r="W227" s="203">
        <f>(IF($A$1="BL",0,Peak!C228*'Peak Hours'!V227*'Peak Hours'!$Y227))*-1</f>
        <v>-9505416.2129981108</v>
      </c>
      <c r="X227" s="207"/>
      <c r="Y227" s="203">
        <f>(IF($A$1="bl",0,Peak!D228*'Peak Hours'!V227*'Peak Hours'!$Y227))*-1</f>
        <v>-146629.32501610473</v>
      </c>
      <c r="Z227" s="207"/>
      <c r="AA227" s="203">
        <f>(Peak!E228*'Peak Hours'!V227*'Peak Hours'!$Y227)*-1</f>
        <v>0</v>
      </c>
      <c r="AB227" s="204"/>
      <c r="AC227" s="203">
        <f>(Peak!F228*'Peak Hours'!V227*'Peak Hours'!$Y227)*-1</f>
        <v>0</v>
      </c>
      <c r="AD227" s="204"/>
    </row>
    <row r="228" spans="1:30" x14ac:dyDescent="0.2">
      <c r="A228" s="1">
        <f t="shared" si="3"/>
        <v>43170.906000000279</v>
      </c>
      <c r="B228" s="177">
        <f>IF($A$1="BL",0,'Peak Hours'!B228*Peak!H229*'Peak Hours'!$Y228)</f>
        <v>430654.9795357791</v>
      </c>
      <c r="C228" s="177">
        <f>IF($A$1="BL",0,'Peak Hours'!C228*Peak!I229*'Peak Hours'!$Y228)</f>
        <v>326932.66604519496</v>
      </c>
      <c r="D228" s="177">
        <f>IF($A$1="BL",0,'Peak Hours'!D228*Peak!J229*'Peak Hours'!$Y228)</f>
        <v>623026.75097808673</v>
      </c>
      <c r="E228" s="177">
        <f>IF($A$1="BL",0,'Peak Hours'!E228*Peak!K229*'Peak Hours'!$Y228)</f>
        <v>1169056.9259219493</v>
      </c>
      <c r="F228" s="177">
        <f>IF($A$1="BL",0,'Peak Hours'!F228*Peak!L229*'Peak Hours'!$Y228)</f>
        <v>1094995.7110893251</v>
      </c>
      <c r="G228" s="177">
        <f>IF($A$1="BL",0,'Peak Hours'!G228*Peak!M229*'Peak Hours'!$Y228)</f>
        <v>2173448.2069580122</v>
      </c>
      <c r="H228" s="177">
        <f>IF($A$1="BL",0,'Peak Hours'!H228*Peak!N229*'Peak Hours'!$Y228)</f>
        <v>1976432.2427905253</v>
      </c>
      <c r="I228" s="177">
        <f>IF($A$1="BL",0,'Peak Hours'!I228*Peak!O229*'Peak Hours'!$Y228)</f>
        <v>1622254.1680379494</v>
      </c>
      <c r="J228" s="177">
        <f>IF($A$1="BL",0,'Peak Hours'!J228*Peak!P229*'Peak Hours'!$Y228)</f>
        <v>1513512.3231096338</v>
      </c>
      <c r="K228" s="177">
        <f>IF($A$1="BL",0,'Peak Hours'!K228*Peak!Q229*'Peak Hours'!$Y228)</f>
        <v>0</v>
      </c>
      <c r="L228" s="177">
        <f>IF($A$1="BL",0,'Peak Hours'!L228*Peak!R229*'Peak Hours'!$Y228)</f>
        <v>0</v>
      </c>
      <c r="M228" s="177">
        <f>IF($A$1="BL",0,'Peak Hours'!M228*Peak!S229*'Peak Hours'!$Y228)</f>
        <v>0</v>
      </c>
      <c r="N228" s="177">
        <f>IF($A$1="BL",0,'Peak Hours'!N228*Peak!T229*'Peak Hours'!$Y228)</f>
        <v>0</v>
      </c>
      <c r="O228" s="177">
        <f>IF($A$1="BL",0,'Peak Hours'!O228*Peak!U229*'Peak Hours'!$Y228)</f>
        <v>0</v>
      </c>
      <c r="P228" s="177">
        <f>IF($A$1="BL",0,'Peak Hours'!P228*Peak!V229*'Peak Hours'!$Y228)</f>
        <v>0</v>
      </c>
      <c r="Q228" s="177">
        <f>IF($A$1="BL",0,'Peak Hours'!Q228*Peak!W229*'Peak Hours'!$Y228)</f>
        <v>0</v>
      </c>
      <c r="R228" s="177">
        <f>IF($A$1="BL",0,'Peak Hours'!R228*Peak!X229*'Peak Hours'!$Y228)</f>
        <v>0</v>
      </c>
      <c r="S228" s="177">
        <f>IF($A$1="BL",0,'Peak Hours'!S228*Peak!Y229*'Peak Hours'!$Y228)</f>
        <v>0</v>
      </c>
      <c r="T228" s="177">
        <f>IF($A$1="BL",0,'Peak Hours'!T228*Peak!Z229*'Peak Hours'!$Y228)</f>
        <v>0</v>
      </c>
      <c r="U228" s="177">
        <f>IF($A$1="BL",0,'Peak Hours'!U228*Peak!AA229*'Peak Hours'!$Y228)</f>
        <v>0</v>
      </c>
      <c r="V228" s="207"/>
      <c r="W228" s="203">
        <f>(IF($A$1="BL",0,Peak!C229*'Peak Hours'!V228*'Peak Hours'!$Y228))*-1</f>
        <v>-8127881.0292302137</v>
      </c>
      <c r="X228" s="207"/>
      <c r="Y228" s="203">
        <f>(IF($A$1="bl",0,Peak!D229*'Peak Hours'!V228*'Peak Hours'!$Y228))*-1</f>
        <v>-127736.50469333443</v>
      </c>
      <c r="Z228" s="207"/>
      <c r="AA228" s="203">
        <f>(Peak!E229*'Peak Hours'!V228*'Peak Hours'!$Y228)*-1</f>
        <v>0</v>
      </c>
      <c r="AB228" s="204"/>
      <c r="AC228" s="203">
        <f>(Peak!F229*'Peak Hours'!V228*'Peak Hours'!$Y228)*-1</f>
        <v>0</v>
      </c>
      <c r="AD228" s="204"/>
    </row>
    <row r="229" spans="1:30" x14ac:dyDescent="0.2">
      <c r="A229" s="1">
        <f t="shared" si="3"/>
        <v>43201.32300000028</v>
      </c>
      <c r="B229" s="177">
        <f>IF($A$1="BL",0,'Peak Hours'!B229*Peak!H230*'Peak Hours'!$Y229)</f>
        <v>328044.33275783918</v>
      </c>
      <c r="C229" s="177">
        <f>IF($A$1="BL",0,'Peak Hours'!C229*Peak!I230*'Peak Hours'!$Y229)</f>
        <v>303219.57178368833</v>
      </c>
      <c r="D229" s="177">
        <f>IF($A$1="BL",0,'Peak Hours'!D229*Peak!J230*'Peak Hours'!$Y229)</f>
        <v>573410.45639840711</v>
      </c>
      <c r="E229" s="177">
        <f>IF($A$1="BL",0,'Peak Hours'!E229*Peak!K230*'Peak Hours'!$Y229)</f>
        <v>1079633.2668753734</v>
      </c>
      <c r="F229" s="177">
        <f>IF($A$1="BL",0,'Peak Hours'!F229*Peak!L230*'Peak Hours'!$Y229)</f>
        <v>1008996.2079468103</v>
      </c>
      <c r="G229" s="177">
        <f>IF($A$1="BL",0,'Peak Hours'!G229*Peak!M230*'Peak Hours'!$Y229)</f>
        <v>2004868.2025759374</v>
      </c>
      <c r="H229" s="177">
        <f>IF($A$1="BL",0,'Peak Hours'!H229*Peak!N230*'Peak Hours'!$Y229)</f>
        <v>1793250.1456979548</v>
      </c>
      <c r="I229" s="177">
        <f>IF($A$1="BL",0,'Peak Hours'!I229*Peak!O230*'Peak Hours'!$Y229)</f>
        <v>0</v>
      </c>
      <c r="J229" s="177">
        <f>IF($A$1="BL",0,'Peak Hours'!J229*Peak!P230*'Peak Hours'!$Y229)</f>
        <v>0</v>
      </c>
      <c r="K229" s="177">
        <f>IF($A$1="BL",0,'Peak Hours'!K229*Peak!Q230*'Peak Hours'!$Y229)</f>
        <v>0</v>
      </c>
      <c r="L229" s="177">
        <f>IF($A$1="BL",0,'Peak Hours'!L229*Peak!R230*'Peak Hours'!$Y229)</f>
        <v>0</v>
      </c>
      <c r="M229" s="177">
        <f>IF($A$1="BL",0,'Peak Hours'!M229*Peak!S230*'Peak Hours'!$Y229)</f>
        <v>0</v>
      </c>
      <c r="N229" s="177">
        <f>IF($A$1="BL",0,'Peak Hours'!N229*Peak!T230*'Peak Hours'!$Y229)</f>
        <v>0</v>
      </c>
      <c r="O229" s="177">
        <f>IF($A$1="BL",0,'Peak Hours'!O229*Peak!U230*'Peak Hours'!$Y229)</f>
        <v>0</v>
      </c>
      <c r="P229" s="177">
        <f>IF($A$1="BL",0,'Peak Hours'!P229*Peak!V230*'Peak Hours'!$Y229)</f>
        <v>0</v>
      </c>
      <c r="Q229" s="177">
        <f>IF($A$1="BL",0,'Peak Hours'!Q229*Peak!W230*'Peak Hours'!$Y229)</f>
        <v>0</v>
      </c>
      <c r="R229" s="177">
        <f>IF($A$1="BL",0,'Peak Hours'!R229*Peak!X230*'Peak Hours'!$Y229)</f>
        <v>0</v>
      </c>
      <c r="S229" s="177">
        <f>IF($A$1="BL",0,'Peak Hours'!S229*Peak!Y230*'Peak Hours'!$Y229)</f>
        <v>0</v>
      </c>
      <c r="T229" s="177">
        <f>IF($A$1="BL",0,'Peak Hours'!T229*Peak!Z230*'Peak Hours'!$Y229)</f>
        <v>0</v>
      </c>
      <c r="U229" s="177">
        <f>IF($A$1="BL",0,'Peak Hours'!U229*Peak!AA230*'Peak Hours'!$Y229)</f>
        <v>0</v>
      </c>
      <c r="V229" s="207"/>
      <c r="W229" s="203">
        <f>(IF($A$1="BL",0,Peak!C230*'Peak Hours'!V229*'Peak Hours'!$Y229))*-1</f>
        <v>-4917315.9875944629</v>
      </c>
      <c r="X229" s="207"/>
      <c r="Y229" s="203">
        <f>(IF($A$1="bl",0,Peak!D230*'Peak Hours'!V229*'Peak Hours'!$Y229))*-1</f>
        <v>-81422.344734069382</v>
      </c>
      <c r="Z229" s="207"/>
      <c r="AA229" s="203">
        <f>(Peak!E230*'Peak Hours'!V229*'Peak Hours'!$Y229)*-1</f>
        <v>0</v>
      </c>
      <c r="AB229" s="204"/>
      <c r="AC229" s="203">
        <f>(Peak!F230*'Peak Hours'!V229*'Peak Hours'!$Y229)*-1</f>
        <v>0</v>
      </c>
      <c r="AD229" s="204"/>
    </row>
    <row r="230" spans="1:30" x14ac:dyDescent="0.2">
      <c r="A230" s="1">
        <f t="shared" si="3"/>
        <v>43231.740000000282</v>
      </c>
      <c r="B230" s="177">
        <f>IF($A$1="BL",0,'Peak Hours'!B230*Peak!H231*'Peak Hours'!$Y230)</f>
        <v>517585.92885719688</v>
      </c>
      <c r="C230" s="177">
        <f>IF($A$1="BL",0,'Peak Hours'!C230*Peak!I231*'Peak Hours'!$Y230)</f>
        <v>499591.94389080483</v>
      </c>
      <c r="D230" s="177">
        <f>IF($A$1="BL",0,'Peak Hours'!D230*Peak!J231*'Peak Hours'!$Y230)</f>
        <v>710174.94185683143</v>
      </c>
      <c r="E230" s="177">
        <f>IF($A$1="BL",0,'Peak Hours'!E230*Peak!K231*'Peak Hours'!$Y230)</f>
        <v>1000551.6284877463</v>
      </c>
      <c r="F230" s="177">
        <f>IF($A$1="BL",0,'Peak Hours'!F230*Peak!L231*'Peak Hours'!$Y230)</f>
        <v>926714.8603904862</v>
      </c>
      <c r="G230" s="177">
        <f>IF($A$1="BL",0,'Peak Hours'!G230*Peak!M231*'Peak Hours'!$Y230)</f>
        <v>1774908.1934988741</v>
      </c>
      <c r="H230" s="177">
        <f>IF($A$1="BL",0,'Peak Hours'!H230*Peak!N231*'Peak Hours'!$Y230)</f>
        <v>0</v>
      </c>
      <c r="I230" s="177">
        <f>IF($A$1="BL",0,'Peak Hours'!I230*Peak!O231*'Peak Hours'!$Y230)</f>
        <v>0</v>
      </c>
      <c r="J230" s="177">
        <f>IF($A$1="BL",0,'Peak Hours'!J230*Peak!P231*'Peak Hours'!$Y230)</f>
        <v>0</v>
      </c>
      <c r="K230" s="177">
        <f>IF($A$1="BL",0,'Peak Hours'!K230*Peak!Q231*'Peak Hours'!$Y230)</f>
        <v>0</v>
      </c>
      <c r="L230" s="177">
        <f>IF($A$1="BL",0,'Peak Hours'!L230*Peak!R231*'Peak Hours'!$Y230)</f>
        <v>0</v>
      </c>
      <c r="M230" s="177">
        <f>IF($A$1="BL",0,'Peak Hours'!M230*Peak!S231*'Peak Hours'!$Y230)</f>
        <v>0</v>
      </c>
      <c r="N230" s="177">
        <f>IF($A$1="BL",0,'Peak Hours'!N230*Peak!T231*'Peak Hours'!$Y230)</f>
        <v>0</v>
      </c>
      <c r="O230" s="177">
        <f>IF($A$1="BL",0,'Peak Hours'!O230*Peak!U231*'Peak Hours'!$Y230)</f>
        <v>0</v>
      </c>
      <c r="P230" s="177">
        <f>IF($A$1="BL",0,'Peak Hours'!P230*Peak!V231*'Peak Hours'!$Y230)</f>
        <v>0</v>
      </c>
      <c r="Q230" s="177">
        <f>IF($A$1="BL",0,'Peak Hours'!Q230*Peak!W231*'Peak Hours'!$Y230)</f>
        <v>0</v>
      </c>
      <c r="R230" s="177">
        <f>IF($A$1="BL",0,'Peak Hours'!R230*Peak!X231*'Peak Hours'!$Y230)</f>
        <v>0</v>
      </c>
      <c r="S230" s="177">
        <f>IF($A$1="BL",0,'Peak Hours'!S230*Peak!Y231*'Peak Hours'!$Y230)</f>
        <v>0</v>
      </c>
      <c r="T230" s="177">
        <f>IF($A$1="BL",0,'Peak Hours'!T230*Peak!Z231*'Peak Hours'!$Y230)</f>
        <v>0</v>
      </c>
      <c r="U230" s="177">
        <f>IF($A$1="BL",0,'Peak Hours'!U230*Peak!AA231*'Peak Hours'!$Y230)</f>
        <v>0</v>
      </c>
      <c r="V230" s="207"/>
      <c r="W230" s="203">
        <f>(IF($A$1="BL",0,Peak!C231*'Peak Hours'!V230*'Peak Hours'!$Y230))*-1</f>
        <v>-3698208.1690525254</v>
      </c>
      <c r="X230" s="207"/>
      <c r="Y230" s="203">
        <f>(IF($A$1="bl",0,Peak!D231*'Peak Hours'!V230*'Peak Hours'!$Y230))*-1</f>
        <v>-58255.749029971077</v>
      </c>
      <c r="Z230" s="207"/>
      <c r="AA230" s="203">
        <f>(Peak!E231*'Peak Hours'!V230*'Peak Hours'!$Y230)*-1</f>
        <v>0</v>
      </c>
      <c r="AB230" s="204"/>
      <c r="AC230" s="203">
        <f>(Peak!F231*'Peak Hours'!V230*'Peak Hours'!$Y230)*-1</f>
        <v>0</v>
      </c>
      <c r="AD230" s="204"/>
    </row>
    <row r="231" spans="1:30" x14ac:dyDescent="0.2">
      <c r="A231" s="1">
        <f t="shared" si="3"/>
        <v>43262.157000000283</v>
      </c>
      <c r="B231" s="177">
        <f>IF($A$1="BL",0,'Peak Hours'!B231*Peak!H232*'Peak Hours'!$Y231)</f>
        <v>648633.08919883438</v>
      </c>
      <c r="C231" s="177">
        <f>IF($A$1="BL",0,'Peak Hours'!C231*Peak!I232*'Peak Hours'!$Y231)</f>
        <v>605637.71028488735</v>
      </c>
      <c r="D231" s="177">
        <f>IF($A$1="BL",0,'Peak Hours'!D231*Peak!J232*'Peak Hours'!$Y231)</f>
        <v>1139120.8453149796</v>
      </c>
      <c r="E231" s="177">
        <f>IF($A$1="BL",0,'Peak Hours'!E231*Peak!K232*'Peak Hours'!$Y231)</f>
        <v>2107412.0542077208</v>
      </c>
      <c r="F231" s="177">
        <f>IF($A$1="BL",0,'Peak Hours'!F231*Peak!L232*'Peak Hours'!$Y231)</f>
        <v>1925801.8082887034</v>
      </c>
      <c r="G231" s="177">
        <f>IF($A$1="BL",0,'Peak Hours'!G231*Peak!M232*'Peak Hours'!$Y231)</f>
        <v>2329319.7331952835</v>
      </c>
      <c r="H231" s="177">
        <f>IF($A$1="BL",0,'Peak Hours'!H231*Peak!N232*'Peak Hours'!$Y231)</f>
        <v>1976280.6306940326</v>
      </c>
      <c r="I231" s="177">
        <f>IF($A$1="BL",0,'Peak Hours'!I231*Peak!O232*'Peak Hours'!$Y231)</f>
        <v>1873945.9547550613</v>
      </c>
      <c r="J231" s="177">
        <f>IF($A$1="BL",0,'Peak Hours'!J231*Peak!P232*'Peak Hours'!$Y231)</f>
        <v>1582760.0873055109</v>
      </c>
      <c r="K231" s="177">
        <f>IF($A$1="BL",0,'Peak Hours'!K231*Peak!Q232*'Peak Hours'!$Y231)</f>
        <v>0</v>
      </c>
      <c r="L231" s="177">
        <f>IF($A$1="BL",0,'Peak Hours'!L231*Peak!R232*'Peak Hours'!$Y231)</f>
        <v>0</v>
      </c>
      <c r="M231" s="177">
        <f>IF($A$1="BL",0,'Peak Hours'!M231*Peak!S232*'Peak Hours'!$Y231)</f>
        <v>0</v>
      </c>
      <c r="N231" s="177">
        <f>IF($A$1="BL",0,'Peak Hours'!N231*Peak!T232*'Peak Hours'!$Y231)</f>
        <v>0</v>
      </c>
      <c r="O231" s="177">
        <f>IF($A$1="BL",0,'Peak Hours'!O231*Peak!U232*'Peak Hours'!$Y231)</f>
        <v>0</v>
      </c>
      <c r="P231" s="177">
        <f>IF($A$1="BL",0,'Peak Hours'!P231*Peak!V232*'Peak Hours'!$Y231)</f>
        <v>0</v>
      </c>
      <c r="Q231" s="177">
        <f>IF($A$1="BL",0,'Peak Hours'!Q231*Peak!W232*'Peak Hours'!$Y231)</f>
        <v>0</v>
      </c>
      <c r="R231" s="177">
        <f>IF($A$1="BL",0,'Peak Hours'!R231*Peak!X232*'Peak Hours'!$Y231)</f>
        <v>0</v>
      </c>
      <c r="S231" s="177">
        <f>IF($A$1="BL",0,'Peak Hours'!S231*Peak!Y232*'Peak Hours'!$Y231)</f>
        <v>0</v>
      </c>
      <c r="T231" s="177">
        <f>IF($A$1="BL",0,'Peak Hours'!T231*Peak!Z232*'Peak Hours'!$Y231)</f>
        <v>0</v>
      </c>
      <c r="U231" s="177">
        <f>IF($A$1="BL",0,'Peak Hours'!U231*Peak!AA232*'Peak Hours'!$Y231)</f>
        <v>0</v>
      </c>
      <c r="V231" s="207"/>
      <c r="W231" s="203">
        <f>(IF($A$1="BL",0,Peak!C232*'Peak Hours'!V231*'Peak Hours'!$Y231))*-1</f>
        <v>-7883287.5720297676</v>
      </c>
      <c r="X231" s="207"/>
      <c r="Y231" s="203">
        <f>(IF($A$1="bl",0,Peak!D232*'Peak Hours'!V231*'Peak Hours'!$Y231))*-1</f>
        <v>-130554.77823939992</v>
      </c>
      <c r="Z231" s="207"/>
      <c r="AA231" s="203">
        <f>(Peak!E232*'Peak Hours'!V231*'Peak Hours'!$Y231)*-1</f>
        <v>0</v>
      </c>
      <c r="AB231" s="204"/>
      <c r="AC231" s="203">
        <f>(Peak!F232*'Peak Hours'!V231*'Peak Hours'!$Y231)*-1</f>
        <v>0</v>
      </c>
      <c r="AD231" s="204"/>
    </row>
    <row r="232" spans="1:30" x14ac:dyDescent="0.2">
      <c r="A232" s="1">
        <f t="shared" si="3"/>
        <v>43292.574000000284</v>
      </c>
      <c r="B232" s="177">
        <f>IF($A$1="BL",0,'Peak Hours'!B232*Peak!H233*'Peak Hours'!$Y232)</f>
        <v>855702.77644347947</v>
      </c>
      <c r="C232" s="177">
        <f>IF($A$1="BL",0,'Peak Hours'!C232*Peak!I233*'Peak Hours'!$Y232)</f>
        <v>712803.63027443015</v>
      </c>
      <c r="D232" s="177">
        <f>IF($A$1="BL",0,'Peak Hours'!D232*Peak!J233*'Peak Hours'!$Y232)</f>
        <v>1337317.9383332159</v>
      </c>
      <c r="E232" s="177">
        <f>IF($A$1="BL",0,'Peak Hours'!E232*Peak!K233*'Peak Hours'!$Y232)</f>
        <v>2461345.6124489866</v>
      </c>
      <c r="F232" s="177">
        <f>IF($A$1="BL",0,'Peak Hours'!F232*Peak!L233*'Peak Hours'!$Y232)</f>
        <v>2283565.3539321036</v>
      </c>
      <c r="G232" s="177">
        <f>IF($A$1="BL",0,'Peak Hours'!G232*Peak!M233*'Peak Hours'!$Y232)</f>
        <v>4218227.4263974214</v>
      </c>
      <c r="H232" s="177">
        <f>IF($A$1="BL",0,'Peak Hours'!H232*Peak!N233*'Peak Hours'!$Y232)</f>
        <v>3519783.9914795356</v>
      </c>
      <c r="I232" s="177">
        <f>IF($A$1="BL",0,'Peak Hours'!I232*Peak!O233*'Peak Hours'!$Y232)</f>
        <v>2333500.1876807418</v>
      </c>
      <c r="J232" s="177">
        <f>IF($A$1="BL",0,'Peak Hours'!J232*Peak!P233*'Peak Hours'!$Y232)</f>
        <v>2216266.9094282463</v>
      </c>
      <c r="K232" s="177">
        <f>IF($A$1="BL",0,'Peak Hours'!K232*Peak!Q233*'Peak Hours'!$Y232)</f>
        <v>1592525.1192252818</v>
      </c>
      <c r="L232" s="177">
        <f>IF($A$1="BL",0,'Peak Hours'!L232*Peak!R233*'Peak Hours'!$Y232)</f>
        <v>0</v>
      </c>
      <c r="M232" s="177">
        <f>IF($A$1="BL",0,'Peak Hours'!M232*Peak!S233*'Peak Hours'!$Y232)</f>
        <v>0</v>
      </c>
      <c r="N232" s="177">
        <f>IF($A$1="BL",0,'Peak Hours'!N232*Peak!T233*'Peak Hours'!$Y232)</f>
        <v>0</v>
      </c>
      <c r="O232" s="177">
        <f>IF($A$1="BL",0,'Peak Hours'!O232*Peak!U233*'Peak Hours'!$Y232)</f>
        <v>0</v>
      </c>
      <c r="P232" s="177">
        <f>IF($A$1="BL",0,'Peak Hours'!P232*Peak!V233*'Peak Hours'!$Y232)</f>
        <v>0</v>
      </c>
      <c r="Q232" s="177">
        <f>IF($A$1="BL",0,'Peak Hours'!Q232*Peak!W233*'Peak Hours'!$Y232)</f>
        <v>0</v>
      </c>
      <c r="R232" s="177">
        <f>IF($A$1="BL",0,'Peak Hours'!R232*Peak!X233*'Peak Hours'!$Y232)</f>
        <v>0</v>
      </c>
      <c r="S232" s="177">
        <f>IF($A$1="BL",0,'Peak Hours'!S232*Peak!Y233*'Peak Hours'!$Y232)</f>
        <v>0</v>
      </c>
      <c r="T232" s="177">
        <f>IF($A$1="BL",0,'Peak Hours'!T232*Peak!Z233*'Peak Hours'!$Y232)</f>
        <v>0</v>
      </c>
      <c r="U232" s="177">
        <f>IF($A$1="BL",0,'Peak Hours'!U232*Peak!AA233*'Peak Hours'!$Y232)</f>
        <v>0</v>
      </c>
      <c r="V232" s="207"/>
      <c r="W232" s="203">
        <f>(IF($A$1="BL",0,Peak!C233*'Peak Hours'!V232*'Peak Hours'!$Y232))*-1</f>
        <v>-9287129.6339073349</v>
      </c>
      <c r="X232" s="207"/>
      <c r="Y232" s="203">
        <f>(IF($A$1="bl",0,Peak!D233*'Peak Hours'!V232*'Peak Hours'!$Y232))*-1</f>
        <v>-154549.16399764115</v>
      </c>
      <c r="Z232" s="207"/>
      <c r="AA232" s="203">
        <f>(Peak!E233*'Peak Hours'!V232*'Peak Hours'!$Y232)*-1</f>
        <v>0</v>
      </c>
      <c r="AB232" s="204"/>
      <c r="AC232" s="203">
        <f>(Peak!F233*'Peak Hours'!V232*'Peak Hours'!$Y232)*-1</f>
        <v>0</v>
      </c>
      <c r="AD232" s="204"/>
    </row>
    <row r="233" spans="1:30" x14ac:dyDescent="0.2">
      <c r="A233" s="1">
        <f t="shared" si="3"/>
        <v>43322.991000000286</v>
      </c>
      <c r="B233" s="177">
        <f>IF($A$1="BL",0,'Peak Hours'!B233*Peak!H234*'Peak Hours'!$Y233)</f>
        <v>1864058.5048633823</v>
      </c>
      <c r="C233" s="177">
        <f>IF($A$1="BL",0,'Peak Hours'!C233*Peak!I234*'Peak Hours'!$Y233)</f>
        <v>1300854.7860059408</v>
      </c>
      <c r="D233" s="177">
        <f>IF($A$1="BL",0,'Peak Hours'!D233*Peak!J234*'Peak Hours'!$Y233)</f>
        <v>1971632.7560371354</v>
      </c>
      <c r="E233" s="177">
        <f>IF($A$1="BL",0,'Peak Hours'!E233*Peak!K234*'Peak Hours'!$Y233)</f>
        <v>2944513.8335838811</v>
      </c>
      <c r="F233" s="177">
        <f>IF($A$1="BL",0,'Peak Hours'!F233*Peak!L234*'Peak Hours'!$Y233)</f>
        <v>2636870.9536131751</v>
      </c>
      <c r="G233" s="177">
        <f>IF($A$1="BL",0,'Peak Hours'!G233*Peak!M234*'Peak Hours'!$Y233)</f>
        <v>4772235.3551468793</v>
      </c>
      <c r="H233" s="177">
        <f>IF($A$1="BL",0,'Peak Hours'!H233*Peak!N234*'Peak Hours'!$Y233)</f>
        <v>4281697.6219045836</v>
      </c>
      <c r="I233" s="177">
        <f>IF($A$1="BL",0,'Peak Hours'!I233*Peak!O234*'Peak Hours'!$Y233)</f>
        <v>3353127.0902639036</v>
      </c>
      <c r="J233" s="177">
        <f>IF($A$1="BL",0,'Peak Hours'!J233*Peak!P234*'Peak Hours'!$Y233)</f>
        <v>0</v>
      </c>
      <c r="K233" s="177">
        <f>IF($A$1="BL",0,'Peak Hours'!K233*Peak!Q234*'Peak Hours'!$Y233)</f>
        <v>0</v>
      </c>
      <c r="L233" s="177">
        <f>IF($A$1="BL",0,'Peak Hours'!L233*Peak!R234*'Peak Hours'!$Y233)</f>
        <v>0</v>
      </c>
      <c r="M233" s="177">
        <f>IF($A$1="BL",0,'Peak Hours'!M233*Peak!S234*'Peak Hours'!$Y233)</f>
        <v>0</v>
      </c>
      <c r="N233" s="177">
        <f>IF($A$1="BL",0,'Peak Hours'!N233*Peak!T234*'Peak Hours'!$Y233)</f>
        <v>0</v>
      </c>
      <c r="O233" s="177">
        <f>IF($A$1="BL",0,'Peak Hours'!O233*Peak!U234*'Peak Hours'!$Y233)</f>
        <v>0</v>
      </c>
      <c r="P233" s="177">
        <f>IF($A$1="BL",0,'Peak Hours'!P233*Peak!V234*'Peak Hours'!$Y233)</f>
        <v>0</v>
      </c>
      <c r="Q233" s="177">
        <f>IF($A$1="BL",0,'Peak Hours'!Q233*Peak!W234*'Peak Hours'!$Y233)</f>
        <v>0</v>
      </c>
      <c r="R233" s="177">
        <f>IF($A$1="BL",0,'Peak Hours'!R233*Peak!X234*'Peak Hours'!$Y233)</f>
        <v>0</v>
      </c>
      <c r="S233" s="177">
        <f>IF($A$1="BL",0,'Peak Hours'!S233*Peak!Y234*'Peak Hours'!$Y233)</f>
        <v>0</v>
      </c>
      <c r="T233" s="177">
        <f>IF($A$1="BL",0,'Peak Hours'!T233*Peak!Z234*'Peak Hours'!$Y233)</f>
        <v>0</v>
      </c>
      <c r="U233" s="177">
        <f>IF($A$1="BL",0,'Peak Hours'!U233*Peak!AA234*'Peak Hours'!$Y233)</f>
        <v>0</v>
      </c>
      <c r="V233" s="207"/>
      <c r="W233" s="203">
        <f>(IF($A$1="BL",0,Peak!C234*'Peak Hours'!V233*'Peak Hours'!$Y233))*-1</f>
        <v>-6096167.144308405</v>
      </c>
      <c r="X233" s="207"/>
      <c r="Y233" s="203">
        <f>(IF($A$1="bl",0,Peak!D234*'Peak Hours'!V233*'Peak Hours'!$Y233))*-1</f>
        <v>-107173.90103374886</v>
      </c>
      <c r="Z233" s="207"/>
      <c r="AA233" s="203">
        <f>(Peak!E234*'Peak Hours'!V233*'Peak Hours'!$Y233)*-1</f>
        <v>0</v>
      </c>
      <c r="AB233" s="204"/>
      <c r="AC233" s="203">
        <f>(Peak!F234*'Peak Hours'!V233*'Peak Hours'!$Y233)*-1</f>
        <v>0</v>
      </c>
      <c r="AD233" s="204"/>
    </row>
    <row r="234" spans="1:30" x14ac:dyDescent="0.2">
      <c r="A234" s="1">
        <f t="shared" si="3"/>
        <v>43353.408000000287</v>
      </c>
      <c r="B234" s="177">
        <f>IF($A$1="BL",0,'Peak Hours'!B234*Peak!H235*'Peak Hours'!$Y234)</f>
        <v>513837.38866931404</v>
      </c>
      <c r="C234" s="177">
        <f>IF($A$1="BL",0,'Peak Hours'!C234*Peak!I235*'Peak Hours'!$Y234)</f>
        <v>483527.84292622528</v>
      </c>
      <c r="D234" s="177">
        <f>IF($A$1="BL",0,'Peak Hours'!D234*Peak!J235*'Peak Hours'!$Y234)</f>
        <v>764624.03289343033</v>
      </c>
      <c r="E234" s="177">
        <f>IF($A$1="BL",0,'Peak Hours'!E234*Peak!K235*'Peak Hours'!$Y234)</f>
        <v>1379965.4660825834</v>
      </c>
      <c r="F234" s="177">
        <f>IF($A$1="BL",0,'Peak Hours'!F234*Peak!L235*'Peak Hours'!$Y234)</f>
        <v>1193675.3251358625</v>
      </c>
      <c r="G234" s="177">
        <f>IF($A$1="BL",0,'Peak Hours'!G234*Peak!M235*'Peak Hours'!$Y234)</f>
        <v>1690981.9843689729</v>
      </c>
      <c r="H234" s="177">
        <f>IF($A$1="BL",0,'Peak Hours'!H234*Peak!N235*'Peak Hours'!$Y234)</f>
        <v>1439788.6413870605</v>
      </c>
      <c r="I234" s="177">
        <f>IF($A$1="BL",0,'Peak Hours'!I234*Peak!O235*'Peak Hours'!$Y234)</f>
        <v>0</v>
      </c>
      <c r="J234" s="177">
        <f>IF($A$1="BL",0,'Peak Hours'!J234*Peak!P235*'Peak Hours'!$Y234)</f>
        <v>0</v>
      </c>
      <c r="K234" s="177">
        <f>IF($A$1="BL",0,'Peak Hours'!K234*Peak!Q235*'Peak Hours'!$Y234)</f>
        <v>0</v>
      </c>
      <c r="L234" s="177">
        <f>IF($A$1="BL",0,'Peak Hours'!L234*Peak!R235*'Peak Hours'!$Y234)</f>
        <v>0</v>
      </c>
      <c r="M234" s="177">
        <f>IF($A$1="BL",0,'Peak Hours'!M234*Peak!S235*'Peak Hours'!$Y234)</f>
        <v>0</v>
      </c>
      <c r="N234" s="177">
        <f>IF($A$1="BL",0,'Peak Hours'!N234*Peak!T235*'Peak Hours'!$Y234)</f>
        <v>0</v>
      </c>
      <c r="O234" s="177">
        <f>IF($A$1="BL",0,'Peak Hours'!O234*Peak!U235*'Peak Hours'!$Y234)</f>
        <v>0</v>
      </c>
      <c r="P234" s="177">
        <f>IF($A$1="BL",0,'Peak Hours'!P234*Peak!V235*'Peak Hours'!$Y234)</f>
        <v>0</v>
      </c>
      <c r="Q234" s="177">
        <f>IF($A$1="BL",0,'Peak Hours'!Q234*Peak!W235*'Peak Hours'!$Y234)</f>
        <v>0</v>
      </c>
      <c r="R234" s="177">
        <f>IF($A$1="BL",0,'Peak Hours'!R234*Peak!X235*'Peak Hours'!$Y234)</f>
        <v>0</v>
      </c>
      <c r="S234" s="177">
        <f>IF($A$1="BL",0,'Peak Hours'!S234*Peak!Y235*'Peak Hours'!$Y234)</f>
        <v>0</v>
      </c>
      <c r="T234" s="177">
        <f>IF($A$1="BL",0,'Peak Hours'!T234*Peak!Z235*'Peak Hours'!$Y234)</f>
        <v>0</v>
      </c>
      <c r="U234" s="177">
        <f>IF($A$1="BL",0,'Peak Hours'!U234*Peak!AA235*'Peak Hours'!$Y234)</f>
        <v>0</v>
      </c>
      <c r="V234" s="207"/>
      <c r="W234" s="203">
        <f>(IF($A$1="BL",0,Peak!C235*'Peak Hours'!V234*'Peak Hours'!$Y234))*-1</f>
        <v>-4646733.5205522282</v>
      </c>
      <c r="X234" s="207"/>
      <c r="Y234" s="203">
        <f>(IF($A$1="bl",0,Peak!D235*'Peak Hours'!V234*'Peak Hours'!$Y234))*-1</f>
        <v>-82103.129778013506</v>
      </c>
      <c r="Z234" s="207"/>
      <c r="AA234" s="203">
        <f>(Peak!E235*'Peak Hours'!V234*'Peak Hours'!$Y234)*-1</f>
        <v>0</v>
      </c>
      <c r="AB234" s="204"/>
      <c r="AC234" s="203">
        <f>(Peak!F235*'Peak Hours'!V234*'Peak Hours'!$Y234)*-1</f>
        <v>0</v>
      </c>
      <c r="AD234" s="204"/>
    </row>
    <row r="235" spans="1:30" x14ac:dyDescent="0.2">
      <c r="A235" s="1">
        <f t="shared" si="3"/>
        <v>43383.825000000288</v>
      </c>
      <c r="B235" s="177">
        <f>IF($A$1="BL",0,'Peak Hours'!B235*Peak!H236*'Peak Hours'!$Y235)</f>
        <v>319795.19564994576</v>
      </c>
      <c r="C235" s="177">
        <f>IF($A$1="BL",0,'Peak Hours'!C235*Peak!I236*'Peak Hours'!$Y235)</f>
        <v>309857.54000666604</v>
      </c>
      <c r="D235" s="177">
        <f>IF($A$1="BL",0,'Peak Hours'!D235*Peak!J236*'Peak Hours'!$Y235)</f>
        <v>593988.93959513819</v>
      </c>
      <c r="E235" s="177">
        <f>IF($A$1="BL",0,'Peak Hours'!E235*Peak!K236*'Peak Hours'!$Y235)</f>
        <v>1114165.461201177</v>
      </c>
      <c r="F235" s="177">
        <f>IF($A$1="BL",0,'Peak Hours'!F235*Peak!L236*'Peak Hours'!$Y235)</f>
        <v>1061979.2010938947</v>
      </c>
      <c r="G235" s="177">
        <f>IF($A$1="BL",0,'Peak Hours'!G235*Peak!M236*'Peak Hours'!$Y235)</f>
        <v>2108263.4322212795</v>
      </c>
      <c r="H235" s="177">
        <f>IF($A$1="BL",0,'Peak Hours'!H235*Peak!N236*'Peak Hours'!$Y235)</f>
        <v>1810246.7729541915</v>
      </c>
      <c r="I235" s="177">
        <f>IF($A$1="BL",0,'Peak Hours'!I235*Peak!O236*'Peak Hours'!$Y235)</f>
        <v>0</v>
      </c>
      <c r="J235" s="177">
        <f>IF($A$1="BL",0,'Peak Hours'!J235*Peak!P236*'Peak Hours'!$Y235)</f>
        <v>0</v>
      </c>
      <c r="K235" s="177">
        <f>IF($A$1="BL",0,'Peak Hours'!K235*Peak!Q236*'Peak Hours'!$Y235)</f>
        <v>0</v>
      </c>
      <c r="L235" s="177">
        <f>IF($A$1="BL",0,'Peak Hours'!L235*Peak!R236*'Peak Hours'!$Y235)</f>
        <v>0</v>
      </c>
      <c r="M235" s="177">
        <f>IF($A$1="BL",0,'Peak Hours'!M235*Peak!S236*'Peak Hours'!$Y235)</f>
        <v>0</v>
      </c>
      <c r="N235" s="177">
        <f>IF($A$1="BL",0,'Peak Hours'!N235*Peak!T236*'Peak Hours'!$Y235)</f>
        <v>0</v>
      </c>
      <c r="O235" s="177">
        <f>IF($A$1="BL",0,'Peak Hours'!O235*Peak!U236*'Peak Hours'!$Y235)</f>
        <v>0</v>
      </c>
      <c r="P235" s="177">
        <f>IF($A$1="BL",0,'Peak Hours'!P235*Peak!V236*'Peak Hours'!$Y235)</f>
        <v>0</v>
      </c>
      <c r="Q235" s="177">
        <f>IF($A$1="BL",0,'Peak Hours'!Q235*Peak!W236*'Peak Hours'!$Y235)</f>
        <v>0</v>
      </c>
      <c r="R235" s="177">
        <f>IF($A$1="BL",0,'Peak Hours'!R235*Peak!X236*'Peak Hours'!$Y235)</f>
        <v>0</v>
      </c>
      <c r="S235" s="177">
        <f>IF($A$1="BL",0,'Peak Hours'!S235*Peak!Y236*'Peak Hours'!$Y235)</f>
        <v>0</v>
      </c>
      <c r="T235" s="177">
        <f>IF($A$1="BL",0,'Peak Hours'!T235*Peak!Z236*'Peak Hours'!$Y235)</f>
        <v>0</v>
      </c>
      <c r="U235" s="177">
        <f>IF($A$1="BL",0,'Peak Hours'!U235*Peak!AA236*'Peak Hours'!$Y235)</f>
        <v>0</v>
      </c>
      <c r="V235" s="207"/>
      <c r="W235" s="203">
        <f>(IF($A$1="BL",0,Peak!C236*'Peak Hours'!V235*'Peak Hours'!$Y235))*-1</f>
        <v>-5146270.3827840472</v>
      </c>
      <c r="X235" s="207"/>
      <c r="Y235" s="203">
        <f>(IF($A$1="bl",0,Peak!D236*'Peak Hours'!V235*'Peak Hours'!$Y235))*-1</f>
        <v>-82239.968327643524</v>
      </c>
      <c r="Z235" s="207"/>
      <c r="AA235" s="203">
        <f>(Peak!E236*'Peak Hours'!V235*'Peak Hours'!$Y235)*-1</f>
        <v>0</v>
      </c>
      <c r="AB235" s="204"/>
      <c r="AC235" s="203">
        <f>(Peak!F236*'Peak Hours'!V235*'Peak Hours'!$Y235)*-1</f>
        <v>0</v>
      </c>
      <c r="AD235" s="204"/>
    </row>
    <row r="236" spans="1:30" x14ac:dyDescent="0.2">
      <c r="A236" s="1">
        <f t="shared" si="3"/>
        <v>43414.242000000289</v>
      </c>
      <c r="B236" s="177">
        <f>IF($A$1="BL",0,'Peak Hours'!B236*Peak!H237*'Peak Hours'!$Y236)</f>
        <v>556685.5287320338</v>
      </c>
      <c r="C236" s="177">
        <f>IF($A$1="BL",0,'Peak Hours'!C236*Peak!I237*'Peak Hours'!$Y236)</f>
        <v>537673.46786505333</v>
      </c>
      <c r="D236" s="177">
        <f>IF($A$1="BL",0,'Peak Hours'!D236*Peak!J237*'Peak Hours'!$Y236)</f>
        <v>1034639.9304325467</v>
      </c>
      <c r="E236" s="177">
        <f>IF($A$1="BL",0,'Peak Hours'!E236*Peak!K237*'Peak Hours'!$Y236)</f>
        <v>2001234.0656400183</v>
      </c>
      <c r="F236" s="177">
        <f>IF($A$1="BL",0,'Peak Hours'!F236*Peak!L237*'Peak Hours'!$Y236)</f>
        <v>1619339.0530629007</v>
      </c>
      <c r="G236" s="177">
        <f>IF($A$1="BL",0,'Peak Hours'!G236*Peak!M237*'Peak Hours'!$Y236)</f>
        <v>2238155.5177148432</v>
      </c>
      <c r="H236" s="177">
        <f>IF($A$1="BL",0,'Peak Hours'!H236*Peak!N237*'Peak Hours'!$Y236)</f>
        <v>2086644.0838202629</v>
      </c>
      <c r="I236" s="177">
        <f>IF($A$1="BL",0,'Peak Hours'!I236*Peak!O237*'Peak Hours'!$Y236)</f>
        <v>1889646.8365834772</v>
      </c>
      <c r="J236" s="177">
        <f>IF($A$1="BL",0,'Peak Hours'!J236*Peak!P237*'Peak Hours'!$Y236)</f>
        <v>1759816.079678447</v>
      </c>
      <c r="K236" s="177">
        <f>IF($A$1="BL",0,'Peak Hours'!K236*Peak!Q237*'Peak Hours'!$Y236)</f>
        <v>1715455.8563336055</v>
      </c>
      <c r="L236" s="177">
        <f>IF($A$1="BL",0,'Peak Hours'!L236*Peak!R237*'Peak Hours'!$Y236)</f>
        <v>1672468.9346909374</v>
      </c>
      <c r="M236" s="177">
        <f>IF($A$1="BL",0,'Peak Hours'!M236*Peak!S237*'Peak Hours'!$Y236)</f>
        <v>0</v>
      </c>
      <c r="N236" s="177">
        <f>IF($A$1="BL",0,'Peak Hours'!N236*Peak!T237*'Peak Hours'!$Y236)</f>
        <v>0</v>
      </c>
      <c r="O236" s="177">
        <f>IF($A$1="BL",0,'Peak Hours'!O236*Peak!U237*'Peak Hours'!$Y236)</f>
        <v>0</v>
      </c>
      <c r="P236" s="177">
        <f>IF($A$1="BL",0,'Peak Hours'!P236*Peak!V237*'Peak Hours'!$Y236)</f>
        <v>0</v>
      </c>
      <c r="Q236" s="177">
        <f>IF($A$1="BL",0,'Peak Hours'!Q236*Peak!W237*'Peak Hours'!$Y236)</f>
        <v>0</v>
      </c>
      <c r="R236" s="177">
        <f>IF($A$1="BL",0,'Peak Hours'!R236*Peak!X237*'Peak Hours'!$Y236)</f>
        <v>0</v>
      </c>
      <c r="S236" s="177">
        <f>IF($A$1="BL",0,'Peak Hours'!S236*Peak!Y237*'Peak Hours'!$Y236)</f>
        <v>0</v>
      </c>
      <c r="T236" s="177">
        <f>IF($A$1="BL",0,'Peak Hours'!T236*Peak!Z237*'Peak Hours'!$Y236)</f>
        <v>0</v>
      </c>
      <c r="U236" s="177">
        <f>IF($A$1="BL",0,'Peak Hours'!U236*Peak!AA237*'Peak Hours'!$Y236)</f>
        <v>0</v>
      </c>
      <c r="V236" s="207"/>
      <c r="W236" s="203">
        <f>(IF($A$1="BL",0,Peak!C237*'Peak Hours'!V236*'Peak Hours'!$Y236))*-1</f>
        <v>-12075857.629398648</v>
      </c>
      <c r="X236" s="207"/>
      <c r="Y236" s="203">
        <f>(IF($A$1="bl",0,Peak!D237*'Peak Hours'!V236*'Peak Hours'!$Y236))*-1</f>
        <v>-176522.21773183485</v>
      </c>
      <c r="Z236" s="207"/>
      <c r="AA236" s="203">
        <f>(Peak!E237*'Peak Hours'!V236*'Peak Hours'!$Y236)*-1</f>
        <v>0</v>
      </c>
      <c r="AB236" s="204"/>
      <c r="AC236" s="203">
        <f>(Peak!F237*'Peak Hours'!V236*'Peak Hours'!$Y236)*-1</f>
        <v>0</v>
      </c>
      <c r="AD236" s="204"/>
    </row>
    <row r="237" spans="1:30" x14ac:dyDescent="0.2">
      <c r="A237" s="1">
        <f t="shared" si="3"/>
        <v>43444.659000000291</v>
      </c>
      <c r="B237" s="177">
        <f>IF($A$1="BL",0,'Peak Hours'!B237*Peak!H238*'Peak Hours'!$Y237)</f>
        <v>492111.68686899089</v>
      </c>
      <c r="C237" s="177">
        <f>IF($A$1="BL",0,'Peak Hours'!C237*Peak!I238*'Peak Hours'!$Y237)</f>
        <v>484089.02309849806</v>
      </c>
      <c r="D237" s="177">
        <f>IF($A$1="BL",0,'Peak Hours'!D237*Peak!J238*'Peak Hours'!$Y237)</f>
        <v>940110.43417287944</v>
      </c>
      <c r="E237" s="177">
        <f>IF($A$1="BL",0,'Peak Hours'!E237*Peak!K238*'Peak Hours'!$Y237)</f>
        <v>1575763.2674885932</v>
      </c>
      <c r="F237" s="177">
        <f>IF($A$1="BL",0,'Peak Hours'!F237*Peak!L238*'Peak Hours'!$Y237)</f>
        <v>1448271.9536543693</v>
      </c>
      <c r="G237" s="177">
        <f>IF($A$1="BL",0,'Peak Hours'!G237*Peak!M238*'Peak Hours'!$Y237)</f>
        <v>2665963.3591562756</v>
      </c>
      <c r="H237" s="177">
        <f>IF($A$1="BL",0,'Peak Hours'!H237*Peak!N238*'Peak Hours'!$Y237)</f>
        <v>2619649.0319548021</v>
      </c>
      <c r="I237" s="177">
        <f>IF($A$1="BL",0,'Peak Hours'!I237*Peak!O238*'Peak Hours'!$Y237)</f>
        <v>2407166.9752046121</v>
      </c>
      <c r="J237" s="177">
        <f>IF($A$1="BL",0,'Peak Hours'!J237*Peak!P238*'Peak Hours'!$Y237)</f>
        <v>1816054.5493747545</v>
      </c>
      <c r="K237" s="177">
        <f>IF($A$1="BL",0,'Peak Hours'!K237*Peak!Q238*'Peak Hours'!$Y237)</f>
        <v>0</v>
      </c>
      <c r="L237" s="177">
        <f>IF($A$1="BL",0,'Peak Hours'!L237*Peak!R238*'Peak Hours'!$Y237)</f>
        <v>0</v>
      </c>
      <c r="M237" s="177">
        <f>IF($A$1="BL",0,'Peak Hours'!M237*Peak!S238*'Peak Hours'!$Y237)</f>
        <v>0</v>
      </c>
      <c r="N237" s="177">
        <f>IF($A$1="BL",0,'Peak Hours'!N237*Peak!T238*'Peak Hours'!$Y237)</f>
        <v>0</v>
      </c>
      <c r="O237" s="177">
        <f>IF($A$1="BL",0,'Peak Hours'!O237*Peak!U238*'Peak Hours'!$Y237)</f>
        <v>0</v>
      </c>
      <c r="P237" s="177">
        <f>IF($A$1="BL",0,'Peak Hours'!P237*Peak!V238*'Peak Hours'!$Y237)</f>
        <v>0</v>
      </c>
      <c r="Q237" s="177">
        <f>IF($A$1="BL",0,'Peak Hours'!Q237*Peak!W238*'Peak Hours'!$Y237)</f>
        <v>0</v>
      </c>
      <c r="R237" s="177">
        <f>IF($A$1="BL",0,'Peak Hours'!R237*Peak!X238*'Peak Hours'!$Y237)</f>
        <v>0</v>
      </c>
      <c r="S237" s="177">
        <f>IF($A$1="BL",0,'Peak Hours'!S237*Peak!Y238*'Peak Hours'!$Y237)</f>
        <v>0</v>
      </c>
      <c r="T237" s="177">
        <f>IF($A$1="BL",0,'Peak Hours'!T237*Peak!Z238*'Peak Hours'!$Y237)</f>
        <v>0</v>
      </c>
      <c r="U237" s="177">
        <f>IF($A$1="BL",0,'Peak Hours'!U237*Peak!AA238*'Peak Hours'!$Y237)</f>
        <v>0</v>
      </c>
      <c r="V237" s="208">
        <f>SUM(B226:U237)</f>
        <v>151684851.30113536</v>
      </c>
      <c r="W237" s="203">
        <f>(IF($A$1="BL",0,Peak!C238*'Peak Hours'!V237*'Peak Hours'!$Y237))*-1</f>
        <v>-9323885.4004391413</v>
      </c>
      <c r="X237" s="208">
        <f>SUM(W226:W237)</f>
        <v>-86418779.359448731</v>
      </c>
      <c r="Y237" s="203">
        <f>(IF($A$1="bl",0,Peak!D238*'Peak Hours'!V237*'Peak Hours'!$Y237))*-1</f>
        <v>-126154.3947773487</v>
      </c>
      <c r="Z237" s="208">
        <f>SUM(Y226:Y237)</f>
        <v>-1352164.3578234185</v>
      </c>
      <c r="AA237" s="203">
        <f>(Peak!E238*'Peak Hours'!V237*'Peak Hours'!$Y237)*-1</f>
        <v>0</v>
      </c>
      <c r="AB237" s="205">
        <f>SUM(AA226:AA237)</f>
        <v>0</v>
      </c>
      <c r="AC237" s="203">
        <f>(Peak!F238*'Peak Hours'!V237*'Peak Hours'!$Y237)*-1</f>
        <v>0</v>
      </c>
      <c r="AD237" s="205">
        <f>SUM(AC226:AC237)</f>
        <v>0</v>
      </c>
    </row>
    <row r="238" spans="1:30" x14ac:dyDescent="0.2">
      <c r="A238" s="1">
        <f t="shared" si="3"/>
        <v>43475.076000000292</v>
      </c>
      <c r="B238" s="177">
        <f>IF($A$1="BL",0,'Peak Hours'!B238*Peak!H239*'Peak Hours'!$Y238)</f>
        <v>447920.40658527479</v>
      </c>
      <c r="C238" s="177">
        <f>IF($A$1="BL",0,'Peak Hours'!C238*Peak!I239*'Peak Hours'!$Y238)</f>
        <v>425674.7820661079</v>
      </c>
      <c r="D238" s="177">
        <f>IF($A$1="BL",0,'Peak Hours'!D238*Peak!J239*'Peak Hours'!$Y238)</f>
        <v>811352.42902451521</v>
      </c>
      <c r="E238" s="177">
        <f>IF($A$1="BL",0,'Peak Hours'!E238*Peak!K239*'Peak Hours'!$Y238)</f>
        <v>1513597.5235658672</v>
      </c>
      <c r="F238" s="177">
        <f>IF($A$1="BL",0,'Peak Hours'!F238*Peak!L239*'Peak Hours'!$Y238)</f>
        <v>1497717.4982615989</v>
      </c>
      <c r="G238" s="177">
        <f>IF($A$1="BL",0,'Peak Hours'!G238*Peak!M239*'Peak Hours'!$Y238)</f>
        <v>2737680.6168886931</v>
      </c>
      <c r="H238" s="177">
        <f>IF($A$1="BL",0,'Peak Hours'!H238*Peak!N239*'Peak Hours'!$Y238)</f>
        <v>1994561.1856213235</v>
      </c>
      <c r="I238" s="177">
        <f>IF($A$1="BL",0,'Peak Hours'!I238*Peak!O239*'Peak Hours'!$Y238)</f>
        <v>0</v>
      </c>
      <c r="J238" s="177">
        <f>IF($A$1="BL",0,'Peak Hours'!J238*Peak!P239*'Peak Hours'!$Y238)</f>
        <v>0</v>
      </c>
      <c r="K238" s="177">
        <f>IF($A$1="BL",0,'Peak Hours'!K238*Peak!Q239*'Peak Hours'!$Y238)</f>
        <v>0</v>
      </c>
      <c r="L238" s="177">
        <f>IF($A$1="BL",0,'Peak Hours'!L238*Peak!R239*'Peak Hours'!$Y238)</f>
        <v>0</v>
      </c>
      <c r="M238" s="177">
        <f>IF($A$1="BL",0,'Peak Hours'!M238*Peak!S239*'Peak Hours'!$Y238)</f>
        <v>0</v>
      </c>
      <c r="N238" s="177">
        <f>IF($A$1="BL",0,'Peak Hours'!N238*Peak!T239*'Peak Hours'!$Y238)</f>
        <v>0</v>
      </c>
      <c r="O238" s="177">
        <f>IF($A$1="BL",0,'Peak Hours'!O238*Peak!U239*'Peak Hours'!$Y238)</f>
        <v>0</v>
      </c>
      <c r="P238" s="177">
        <f>IF($A$1="BL",0,'Peak Hours'!P238*Peak!V239*'Peak Hours'!$Y238)</f>
        <v>0</v>
      </c>
      <c r="Q238" s="177">
        <f>IF($A$1="BL",0,'Peak Hours'!Q238*Peak!W239*'Peak Hours'!$Y238)</f>
        <v>0</v>
      </c>
      <c r="R238" s="177">
        <f>IF($A$1="BL",0,'Peak Hours'!R238*Peak!X239*'Peak Hours'!$Y238)</f>
        <v>0</v>
      </c>
      <c r="S238" s="177">
        <f>IF($A$1="BL",0,'Peak Hours'!S238*Peak!Y239*'Peak Hours'!$Y238)</f>
        <v>0</v>
      </c>
      <c r="T238" s="177">
        <f>IF($A$1="BL",0,'Peak Hours'!T238*Peak!Z239*'Peak Hours'!$Y238)</f>
        <v>0</v>
      </c>
      <c r="U238" s="177">
        <f>IF($A$1="BL",0,'Peak Hours'!U238*Peak!AA239*'Peak Hours'!$Y238)</f>
        <v>0</v>
      </c>
      <c r="V238" s="207"/>
      <c r="W238" s="203">
        <f>(IF($A$1="BL",0,Peak!C239*'Peak Hours'!V238*'Peak Hours'!$Y238))*-1</f>
        <v>-5762811.5938358223</v>
      </c>
      <c r="X238" s="207"/>
      <c r="Y238" s="203">
        <f>(IF($A$1="bl",0,Peak!D239*'Peak Hours'!V238*'Peak Hours'!$Y238))*-1</f>
        <v>-80413.869519440297</v>
      </c>
      <c r="Z238" s="207"/>
      <c r="AA238" s="203">
        <f>(Peak!E239*'Peak Hours'!V238*'Peak Hours'!$Y238)*-1</f>
        <v>0</v>
      </c>
      <c r="AB238" s="204"/>
      <c r="AC238" s="203">
        <f>(Peak!F239*'Peak Hours'!V238*'Peak Hours'!$Y238)*-1</f>
        <v>0</v>
      </c>
      <c r="AD238" s="204"/>
    </row>
    <row r="239" spans="1:30" x14ac:dyDescent="0.2">
      <c r="A239" s="1">
        <f t="shared" si="3"/>
        <v>43505.493000000293</v>
      </c>
      <c r="B239" s="177">
        <f>IF($A$1="BL",0,'Peak Hours'!B239*Peak!H240*'Peak Hours'!$Y239)</f>
        <v>508677.81886131363</v>
      </c>
      <c r="C239" s="177">
        <f>IF($A$1="BL",0,'Peak Hours'!C239*Peak!I240*'Peak Hours'!$Y239)</f>
        <v>491813.15260916034</v>
      </c>
      <c r="D239" s="177">
        <f>IF($A$1="BL",0,'Peak Hours'!D239*Peak!J240*'Peak Hours'!$Y239)</f>
        <v>961381.92640804825</v>
      </c>
      <c r="E239" s="177">
        <f>IF($A$1="BL",0,'Peak Hours'!E239*Peak!K240*'Peak Hours'!$Y239)</f>
        <v>1595188.8152914669</v>
      </c>
      <c r="F239" s="177">
        <f>IF($A$1="BL",0,'Peak Hours'!F239*Peak!L240*'Peak Hours'!$Y239)</f>
        <v>1462131.3954574957</v>
      </c>
      <c r="G239" s="177">
        <f>IF($A$1="BL",0,'Peak Hours'!G239*Peak!M240*'Peak Hours'!$Y239)</f>
        <v>2748718.4498062115</v>
      </c>
      <c r="H239" s="177">
        <f>IF($A$1="BL",0,'Peak Hours'!H239*Peak!N240*'Peak Hours'!$Y239)</f>
        <v>2647740.3199191047</v>
      </c>
      <c r="I239" s="177">
        <f>IF($A$1="BL",0,'Peak Hours'!I239*Peak!O240*'Peak Hours'!$Y239)</f>
        <v>2044258.5699934848</v>
      </c>
      <c r="J239" s="177">
        <f>IF($A$1="BL",0,'Peak Hours'!J239*Peak!P240*'Peak Hours'!$Y239)</f>
        <v>1705806.2999606491</v>
      </c>
      <c r="K239" s="177">
        <f>IF($A$1="BL",0,'Peak Hours'!K239*Peak!Q240*'Peak Hours'!$Y239)</f>
        <v>1525600.7452887846</v>
      </c>
      <c r="L239" s="177">
        <f>IF($A$1="BL",0,'Peak Hours'!L239*Peak!R240*'Peak Hours'!$Y239)</f>
        <v>0</v>
      </c>
      <c r="M239" s="177">
        <f>IF($A$1="BL",0,'Peak Hours'!M239*Peak!S240*'Peak Hours'!$Y239)</f>
        <v>0</v>
      </c>
      <c r="N239" s="177">
        <f>IF($A$1="BL",0,'Peak Hours'!N239*Peak!T240*'Peak Hours'!$Y239)</f>
        <v>0</v>
      </c>
      <c r="O239" s="177">
        <f>IF($A$1="BL",0,'Peak Hours'!O239*Peak!U240*'Peak Hours'!$Y239)</f>
        <v>0</v>
      </c>
      <c r="P239" s="177">
        <f>IF($A$1="BL",0,'Peak Hours'!P239*Peak!V240*'Peak Hours'!$Y239)</f>
        <v>0</v>
      </c>
      <c r="Q239" s="177">
        <f>IF($A$1="BL",0,'Peak Hours'!Q239*Peak!W240*'Peak Hours'!$Y239)</f>
        <v>0</v>
      </c>
      <c r="R239" s="177">
        <f>IF($A$1="BL",0,'Peak Hours'!R239*Peak!X240*'Peak Hours'!$Y239)</f>
        <v>0</v>
      </c>
      <c r="S239" s="177">
        <f>IF($A$1="BL",0,'Peak Hours'!S239*Peak!Y240*'Peak Hours'!$Y239)</f>
        <v>0</v>
      </c>
      <c r="T239" s="177">
        <f>IF($A$1="BL",0,'Peak Hours'!T239*Peak!Z240*'Peak Hours'!$Y239)</f>
        <v>0</v>
      </c>
      <c r="U239" s="177">
        <f>IF($A$1="BL",0,'Peak Hours'!U239*Peak!AA240*'Peak Hours'!$Y239)</f>
        <v>0</v>
      </c>
      <c r="V239" s="207"/>
      <c r="W239" s="203">
        <f>(IF($A$1="BL",0,Peak!C240*'Peak Hours'!V239*'Peak Hours'!$Y239))*-1</f>
        <v>-9592278.7205907069</v>
      </c>
      <c r="X239" s="207"/>
      <c r="Y239" s="203">
        <f>(IF($A$1="bl",0,Peak!D240*'Peak Hours'!V239*'Peak Hours'!$Y239))*-1</f>
        <v>-149588.94346556836</v>
      </c>
      <c r="Z239" s="207"/>
      <c r="AA239" s="203">
        <f>(Peak!E240*'Peak Hours'!V239*'Peak Hours'!$Y239)*-1</f>
        <v>0</v>
      </c>
      <c r="AB239" s="204"/>
      <c r="AC239" s="203">
        <f>(Peak!F240*'Peak Hours'!V239*'Peak Hours'!$Y239)*-1</f>
        <v>0</v>
      </c>
      <c r="AD239" s="204"/>
    </row>
    <row r="240" spans="1:30" x14ac:dyDescent="0.2">
      <c r="A240" s="1">
        <f t="shared" si="3"/>
        <v>43535.910000000295</v>
      </c>
      <c r="B240" s="177">
        <f>IF($A$1="BL",0,'Peak Hours'!B240*Peak!H241*'Peak Hours'!$Y240)</f>
        <v>321497.23765035492</v>
      </c>
      <c r="C240" s="177">
        <f>IF($A$1="BL",0,'Peak Hours'!C240*Peak!I241*'Peak Hours'!$Y240)</f>
        <v>311317.2583448338</v>
      </c>
      <c r="D240" s="177">
        <f>IF($A$1="BL",0,'Peak Hours'!D240*Peak!J241*'Peak Hours'!$Y240)</f>
        <v>622290.76692313724</v>
      </c>
      <c r="E240" s="177">
        <f>IF($A$1="BL",0,'Peak Hours'!E240*Peak!K241*'Peak Hours'!$Y240)</f>
        <v>1237388.0382467757</v>
      </c>
      <c r="F240" s="177">
        <f>IF($A$1="BL",0,'Peak Hours'!F240*Peak!L241*'Peak Hours'!$Y240)</f>
        <v>1234421.917209991</v>
      </c>
      <c r="G240" s="177">
        <f>IF($A$1="BL",0,'Peak Hours'!G240*Peak!M241*'Peak Hours'!$Y240)</f>
        <v>2230870.8663817202</v>
      </c>
      <c r="H240" s="177">
        <f>IF($A$1="BL",0,'Peak Hours'!H240*Peak!N241*'Peak Hours'!$Y240)</f>
        <v>1984799.2942441327</v>
      </c>
      <c r="I240" s="177">
        <f>IF($A$1="BL",0,'Peak Hours'!I240*Peak!O241*'Peak Hours'!$Y240)</f>
        <v>1869981.0872538546</v>
      </c>
      <c r="J240" s="177">
        <f>IF($A$1="BL",0,'Peak Hours'!J240*Peak!P241*'Peak Hours'!$Y240)</f>
        <v>1773298.9584364314</v>
      </c>
      <c r="K240" s="177">
        <f>IF($A$1="BL",0,'Peak Hours'!K240*Peak!Q241*'Peak Hours'!$Y240)</f>
        <v>1708983.0856916194</v>
      </c>
      <c r="L240" s="177">
        <f>IF($A$1="BL",0,'Peak Hours'!L240*Peak!R241*'Peak Hours'!$Y240)</f>
        <v>1627750.0855012573</v>
      </c>
      <c r="M240" s="177">
        <f>IF($A$1="BL",0,'Peak Hours'!M240*Peak!S241*'Peak Hours'!$Y240)</f>
        <v>0</v>
      </c>
      <c r="N240" s="177">
        <f>IF($A$1="BL",0,'Peak Hours'!N240*Peak!T241*'Peak Hours'!$Y240)</f>
        <v>0</v>
      </c>
      <c r="O240" s="177">
        <f>IF($A$1="BL",0,'Peak Hours'!O240*Peak!U241*'Peak Hours'!$Y240)</f>
        <v>0</v>
      </c>
      <c r="P240" s="177">
        <f>IF($A$1="BL",0,'Peak Hours'!P240*Peak!V241*'Peak Hours'!$Y240)</f>
        <v>0</v>
      </c>
      <c r="Q240" s="177">
        <f>IF($A$1="BL",0,'Peak Hours'!Q240*Peak!W241*'Peak Hours'!$Y240)</f>
        <v>0</v>
      </c>
      <c r="R240" s="177">
        <f>IF($A$1="BL",0,'Peak Hours'!R240*Peak!X241*'Peak Hours'!$Y240)</f>
        <v>0</v>
      </c>
      <c r="S240" s="177">
        <f>IF($A$1="BL",0,'Peak Hours'!S240*Peak!Y241*'Peak Hours'!$Y240)</f>
        <v>0</v>
      </c>
      <c r="T240" s="177">
        <f>IF($A$1="BL",0,'Peak Hours'!T240*Peak!Z241*'Peak Hours'!$Y240)</f>
        <v>0</v>
      </c>
      <c r="U240" s="177">
        <f>IF($A$1="BL",0,'Peak Hours'!U240*Peak!AA241*'Peak Hours'!$Y240)</f>
        <v>0</v>
      </c>
      <c r="V240" s="207"/>
      <c r="W240" s="203">
        <f>(IF($A$1="BL",0,Peak!C241*'Peak Hours'!V240*'Peak Hours'!$Y240))*-1</f>
        <v>-11184757.266010856</v>
      </c>
      <c r="X240" s="207"/>
      <c r="Y240" s="203">
        <f>(IF($A$1="bl",0,Peak!D241*'Peak Hours'!V240*'Peak Hours'!$Y240))*-1</f>
        <v>-177701.97782396802</v>
      </c>
      <c r="Z240" s="207"/>
      <c r="AA240" s="203">
        <f>(Peak!E241*'Peak Hours'!V240*'Peak Hours'!$Y240)*-1</f>
        <v>0</v>
      </c>
      <c r="AB240" s="204"/>
      <c r="AC240" s="203">
        <f>(Peak!F241*'Peak Hours'!V240*'Peak Hours'!$Y240)*-1</f>
        <v>0</v>
      </c>
      <c r="AD240" s="204"/>
    </row>
    <row r="241" spans="1:30" x14ac:dyDescent="0.2">
      <c r="A241" s="1">
        <f t="shared" si="3"/>
        <v>43566.327000000296</v>
      </c>
      <c r="B241" s="177">
        <f>IF($A$1="BL",0,'Peak Hours'!B241*Peak!H242*'Peak Hours'!$Y241)</f>
        <v>511191.7588982085</v>
      </c>
      <c r="C241" s="177">
        <f>IF($A$1="BL",0,'Peak Hours'!C241*Peak!I242*'Peak Hours'!$Y241)</f>
        <v>500086.62746713083</v>
      </c>
      <c r="D241" s="177">
        <f>IF($A$1="BL",0,'Peak Hours'!D241*Peak!J242*'Peak Hours'!$Y241)</f>
        <v>891638.70848535269</v>
      </c>
      <c r="E241" s="177">
        <f>IF($A$1="BL",0,'Peak Hours'!E241*Peak!K242*'Peak Hours'!$Y241)</f>
        <v>1470820.5083882015</v>
      </c>
      <c r="F241" s="177">
        <f>IF($A$1="BL",0,'Peak Hours'!F241*Peak!L242*'Peak Hours'!$Y241)</f>
        <v>1185584.9879877465</v>
      </c>
      <c r="G241" s="177">
        <f>IF($A$1="BL",0,'Peak Hours'!G241*Peak!M242*'Peak Hours'!$Y241)</f>
        <v>1797447.8110630142</v>
      </c>
      <c r="H241" s="177">
        <f>IF($A$1="BL",0,'Peak Hours'!H241*Peak!N242*'Peak Hours'!$Y241)</f>
        <v>1668817.8563098393</v>
      </c>
      <c r="I241" s="177">
        <f>IF($A$1="BL",0,'Peak Hours'!I241*Peak!O242*'Peak Hours'!$Y241)</f>
        <v>1596096.0357674516</v>
      </c>
      <c r="J241" s="177">
        <f>IF($A$1="BL",0,'Peak Hours'!J241*Peak!P242*'Peak Hours'!$Y241)</f>
        <v>1588989.0058269696</v>
      </c>
      <c r="K241" s="177">
        <f>IF($A$1="BL",0,'Peak Hours'!K241*Peak!Q242*'Peak Hours'!$Y241)</f>
        <v>1448056.6184506039</v>
      </c>
      <c r="L241" s="177">
        <f>IF($A$1="BL",0,'Peak Hours'!L241*Peak!R242*'Peak Hours'!$Y241)</f>
        <v>0</v>
      </c>
      <c r="M241" s="177">
        <f>IF($A$1="BL",0,'Peak Hours'!M241*Peak!S242*'Peak Hours'!$Y241)</f>
        <v>0</v>
      </c>
      <c r="N241" s="177">
        <f>IF($A$1="BL",0,'Peak Hours'!N241*Peak!T242*'Peak Hours'!$Y241)</f>
        <v>0</v>
      </c>
      <c r="O241" s="177">
        <f>IF($A$1="BL",0,'Peak Hours'!O241*Peak!U242*'Peak Hours'!$Y241)</f>
        <v>0</v>
      </c>
      <c r="P241" s="177">
        <f>IF($A$1="BL",0,'Peak Hours'!P241*Peak!V242*'Peak Hours'!$Y241)</f>
        <v>0</v>
      </c>
      <c r="Q241" s="177">
        <f>IF($A$1="BL",0,'Peak Hours'!Q241*Peak!W242*'Peak Hours'!$Y241)</f>
        <v>0</v>
      </c>
      <c r="R241" s="177">
        <f>IF($A$1="BL",0,'Peak Hours'!R241*Peak!X242*'Peak Hours'!$Y241)</f>
        <v>0</v>
      </c>
      <c r="S241" s="177">
        <f>IF($A$1="BL",0,'Peak Hours'!S241*Peak!Y242*'Peak Hours'!$Y241)</f>
        <v>0</v>
      </c>
      <c r="T241" s="177">
        <f>IF($A$1="BL",0,'Peak Hours'!T241*Peak!Z242*'Peak Hours'!$Y241)</f>
        <v>0</v>
      </c>
      <c r="U241" s="177">
        <f>IF($A$1="BL",0,'Peak Hours'!U241*Peak!AA242*'Peak Hours'!$Y241)</f>
        <v>0</v>
      </c>
      <c r="V241" s="207"/>
      <c r="W241" s="203">
        <f>(IF($A$1="BL",0,Peak!C242*'Peak Hours'!V241*'Peak Hours'!$Y241))*-1</f>
        <v>-9215609.8600230291</v>
      </c>
      <c r="X241" s="207"/>
      <c r="Y241" s="203">
        <f>(IF($A$1="bl",0,Peak!D242*'Peak Hours'!V241*'Peak Hours'!$Y241))*-1</f>
        <v>-154265.0614154069</v>
      </c>
      <c r="Z241" s="207"/>
      <c r="AA241" s="203">
        <f>(Peak!E242*'Peak Hours'!V241*'Peak Hours'!$Y241)*-1</f>
        <v>0</v>
      </c>
      <c r="AB241" s="204"/>
      <c r="AC241" s="203">
        <f>(Peak!F242*'Peak Hours'!V241*'Peak Hours'!$Y241)*-1</f>
        <v>0</v>
      </c>
      <c r="AD241" s="204"/>
    </row>
    <row r="242" spans="1:30" x14ac:dyDescent="0.2">
      <c r="A242" s="1">
        <f t="shared" si="3"/>
        <v>43596.744000000297</v>
      </c>
      <c r="B242" s="177">
        <f>IF($A$1="BL",0,'Peak Hours'!B242*Peak!H243*'Peak Hours'!$Y242)</f>
        <v>300459.4718745799</v>
      </c>
      <c r="C242" s="177">
        <f>IF($A$1="BL",0,'Peak Hours'!C242*Peak!I243*'Peak Hours'!$Y242)</f>
        <v>279465.11530467001</v>
      </c>
      <c r="D242" s="177">
        <f>IF($A$1="BL",0,'Peak Hours'!D242*Peak!J243*'Peak Hours'!$Y242)</f>
        <v>553876.62672576425</v>
      </c>
      <c r="E242" s="177">
        <f>IF($A$1="BL",0,'Peak Hours'!E242*Peak!K243*'Peak Hours'!$Y242)</f>
        <v>1046069.0063356338</v>
      </c>
      <c r="F242" s="177">
        <f>IF($A$1="BL",0,'Peak Hours'!F242*Peak!L243*'Peak Hours'!$Y242)</f>
        <v>897979.0274453013</v>
      </c>
      <c r="G242" s="177">
        <f>IF($A$1="BL",0,'Peak Hours'!G242*Peak!M243*'Peak Hours'!$Y242)</f>
        <v>1601432.0372219724</v>
      </c>
      <c r="H242" s="177">
        <f>IF($A$1="BL",0,'Peak Hours'!H242*Peak!N243*'Peak Hours'!$Y242)</f>
        <v>1533033.2609887291</v>
      </c>
      <c r="I242" s="177">
        <f>IF($A$1="BL",0,'Peak Hours'!I242*Peak!O243*'Peak Hours'!$Y242)</f>
        <v>0</v>
      </c>
      <c r="J242" s="177">
        <f>IF($A$1="BL",0,'Peak Hours'!J242*Peak!P243*'Peak Hours'!$Y242)</f>
        <v>0</v>
      </c>
      <c r="K242" s="177">
        <f>IF($A$1="BL",0,'Peak Hours'!K242*Peak!Q243*'Peak Hours'!$Y242)</f>
        <v>0</v>
      </c>
      <c r="L242" s="177">
        <f>IF($A$1="BL",0,'Peak Hours'!L242*Peak!R243*'Peak Hours'!$Y242)</f>
        <v>0</v>
      </c>
      <c r="M242" s="177">
        <f>IF($A$1="BL",0,'Peak Hours'!M242*Peak!S243*'Peak Hours'!$Y242)</f>
        <v>0</v>
      </c>
      <c r="N242" s="177">
        <f>IF($A$1="BL",0,'Peak Hours'!N242*Peak!T243*'Peak Hours'!$Y242)</f>
        <v>0</v>
      </c>
      <c r="O242" s="177">
        <f>IF($A$1="BL",0,'Peak Hours'!O242*Peak!U243*'Peak Hours'!$Y242)</f>
        <v>0</v>
      </c>
      <c r="P242" s="177">
        <f>IF($A$1="BL",0,'Peak Hours'!P242*Peak!V243*'Peak Hours'!$Y242)</f>
        <v>0</v>
      </c>
      <c r="Q242" s="177">
        <f>IF($A$1="BL",0,'Peak Hours'!Q242*Peak!W243*'Peak Hours'!$Y242)</f>
        <v>0</v>
      </c>
      <c r="R242" s="177">
        <f>IF($A$1="BL",0,'Peak Hours'!R242*Peak!X243*'Peak Hours'!$Y242)</f>
        <v>0</v>
      </c>
      <c r="S242" s="177">
        <f>IF($A$1="BL",0,'Peak Hours'!S242*Peak!Y243*'Peak Hours'!$Y242)</f>
        <v>0</v>
      </c>
      <c r="T242" s="177">
        <f>IF($A$1="BL",0,'Peak Hours'!T242*Peak!Z243*'Peak Hours'!$Y242)</f>
        <v>0</v>
      </c>
      <c r="U242" s="177">
        <f>IF($A$1="BL",0,'Peak Hours'!U242*Peak!AA243*'Peak Hours'!$Y242)</f>
        <v>0</v>
      </c>
      <c r="V242" s="207"/>
      <c r="W242" s="203">
        <f>(IF($A$1="BL",0,Peak!C243*'Peak Hours'!V242*'Peak Hours'!$Y242))*-1</f>
        <v>-5224804.4505543672</v>
      </c>
      <c r="X242" s="207"/>
      <c r="Y242" s="203">
        <f>(IF($A$1="bl",0,Peak!D243*'Peak Hours'!V242*'Peak Hours'!$Y242))*-1</f>
        <v>-83204.245304438053</v>
      </c>
      <c r="Z242" s="207"/>
      <c r="AA242" s="203">
        <f>(Peak!E243*'Peak Hours'!V242*'Peak Hours'!$Y242)*-1</f>
        <v>0</v>
      </c>
      <c r="AB242" s="204"/>
      <c r="AC242" s="203">
        <f>(Peak!F243*'Peak Hours'!V242*'Peak Hours'!$Y242)*-1</f>
        <v>0</v>
      </c>
      <c r="AD242" s="204"/>
    </row>
    <row r="243" spans="1:30" x14ac:dyDescent="0.2">
      <c r="A243" s="1">
        <f t="shared" si="3"/>
        <v>43627.161000000298</v>
      </c>
      <c r="B243" s="177">
        <f>IF($A$1="BL",0,'Peak Hours'!B243*Peak!H244*'Peak Hours'!$Y243)</f>
        <v>604222.71539832058</v>
      </c>
      <c r="C243" s="177">
        <f>IF($A$1="BL",0,'Peak Hours'!C243*Peak!I244*'Peak Hours'!$Y243)</f>
        <v>565138.44446045009</v>
      </c>
      <c r="D243" s="177">
        <f>IF($A$1="BL",0,'Peak Hours'!D243*Peak!J244*'Peak Hours'!$Y243)</f>
        <v>1063872.5021472042</v>
      </c>
      <c r="E243" s="177">
        <f>IF($A$1="BL",0,'Peak Hours'!E243*Peak!K244*'Peak Hours'!$Y243)</f>
        <v>1929108.9021035864</v>
      </c>
      <c r="F243" s="177">
        <f>IF($A$1="BL",0,'Peak Hours'!F243*Peak!L244*'Peak Hours'!$Y243)</f>
        <v>1215704.5576518252</v>
      </c>
      <c r="G243" s="177">
        <f>IF($A$1="BL",0,'Peak Hours'!G243*Peak!M244*'Peak Hours'!$Y243)</f>
        <v>2292687.6303459103</v>
      </c>
      <c r="H243" s="177">
        <f>IF($A$1="BL",0,'Peak Hours'!H243*Peak!N244*'Peak Hours'!$Y243)</f>
        <v>2105086.869562279</v>
      </c>
      <c r="I243" s="177">
        <f>IF($A$1="BL",0,'Peak Hours'!I243*Peak!O244*'Peak Hours'!$Y243)</f>
        <v>1998258.0577320352</v>
      </c>
      <c r="J243" s="177">
        <f>IF($A$1="BL",0,'Peak Hours'!J243*Peak!P244*'Peak Hours'!$Y243)</f>
        <v>1836761.0722758227</v>
      </c>
      <c r="K243" s="177">
        <f>IF($A$1="BL",0,'Peak Hours'!K243*Peak!Q244*'Peak Hours'!$Y243)</f>
        <v>1635389.1111446025</v>
      </c>
      <c r="L243" s="177">
        <f>IF($A$1="BL",0,'Peak Hours'!L243*Peak!R244*'Peak Hours'!$Y243)</f>
        <v>0</v>
      </c>
      <c r="M243" s="177">
        <f>IF($A$1="BL",0,'Peak Hours'!M243*Peak!S244*'Peak Hours'!$Y243)</f>
        <v>0</v>
      </c>
      <c r="N243" s="177">
        <f>IF($A$1="BL",0,'Peak Hours'!N243*Peak!T244*'Peak Hours'!$Y243)</f>
        <v>0</v>
      </c>
      <c r="O243" s="177">
        <f>IF($A$1="BL",0,'Peak Hours'!O243*Peak!U244*'Peak Hours'!$Y243)</f>
        <v>0</v>
      </c>
      <c r="P243" s="177">
        <f>IF($A$1="BL",0,'Peak Hours'!P243*Peak!V244*'Peak Hours'!$Y243)</f>
        <v>0</v>
      </c>
      <c r="Q243" s="177">
        <f>IF($A$1="BL",0,'Peak Hours'!Q243*Peak!W244*'Peak Hours'!$Y243)</f>
        <v>0</v>
      </c>
      <c r="R243" s="177">
        <f>IF($A$1="BL",0,'Peak Hours'!R243*Peak!X244*'Peak Hours'!$Y243)</f>
        <v>0</v>
      </c>
      <c r="S243" s="177">
        <f>IF($A$1="BL",0,'Peak Hours'!S243*Peak!Y244*'Peak Hours'!$Y243)</f>
        <v>0</v>
      </c>
      <c r="T243" s="177">
        <f>IF($A$1="BL",0,'Peak Hours'!T243*Peak!Z244*'Peak Hours'!$Y243)</f>
        <v>0</v>
      </c>
      <c r="U243" s="177">
        <f>IF($A$1="BL",0,'Peak Hours'!U243*Peak!AA244*'Peak Hours'!$Y243)</f>
        <v>0</v>
      </c>
      <c r="V243" s="207"/>
      <c r="W243" s="203">
        <f>(IF($A$1="BL",0,Peak!C244*'Peak Hours'!V243*'Peak Hours'!$Y243))*-1</f>
        <v>-9401749.7651588991</v>
      </c>
      <c r="X243" s="207"/>
      <c r="Y243" s="203">
        <f>(IF($A$1="bl",0,Peak!D244*'Peak Hours'!V243*'Peak Hours'!$Y243))*-1</f>
        <v>-157406.29546826787</v>
      </c>
      <c r="Z243" s="207"/>
      <c r="AA243" s="203">
        <f>(Peak!E244*'Peak Hours'!V243*'Peak Hours'!$Y243)*-1</f>
        <v>0</v>
      </c>
      <c r="AB243" s="204"/>
      <c r="AC243" s="203">
        <f>(Peak!F244*'Peak Hours'!V243*'Peak Hours'!$Y243)*-1</f>
        <v>0</v>
      </c>
      <c r="AD243" s="204"/>
    </row>
    <row r="244" spans="1:30" x14ac:dyDescent="0.2">
      <c r="A244" s="1">
        <f t="shared" si="3"/>
        <v>43657.5780000003</v>
      </c>
      <c r="B244" s="177">
        <f>IF($A$1="BL",0,'Peak Hours'!B244*Peak!H245*'Peak Hours'!$Y244)</f>
        <v>991732.03521385964</v>
      </c>
      <c r="C244" s="177">
        <f>IF($A$1="BL",0,'Peak Hours'!C244*Peak!I245*'Peak Hours'!$Y244)</f>
        <v>746224.68657904246</v>
      </c>
      <c r="D244" s="177">
        <f>IF($A$1="BL",0,'Peak Hours'!D244*Peak!J245*'Peak Hours'!$Y244)</f>
        <v>1379607.2339308346</v>
      </c>
      <c r="E244" s="177">
        <f>IF($A$1="BL",0,'Peak Hours'!E244*Peak!K245*'Peak Hours'!$Y244)</f>
        <v>2539969.2688198751</v>
      </c>
      <c r="F244" s="177">
        <f>IF($A$1="BL",0,'Peak Hours'!F244*Peak!L245*'Peak Hours'!$Y244)</f>
        <v>2352988.0665329224</v>
      </c>
      <c r="G244" s="177">
        <f>IF($A$1="BL",0,'Peak Hours'!G244*Peak!M245*'Peak Hours'!$Y244)</f>
        <v>4330472.9332992928</v>
      </c>
      <c r="H244" s="177">
        <f>IF($A$1="BL",0,'Peak Hours'!H244*Peak!N245*'Peak Hours'!$Y244)</f>
        <v>4003507.3929110211</v>
      </c>
      <c r="I244" s="177">
        <f>IF($A$1="BL",0,'Peak Hours'!I244*Peak!O245*'Peak Hours'!$Y244)</f>
        <v>2590892.7819049964</v>
      </c>
      <c r="J244" s="177">
        <f>IF($A$1="BL",0,'Peak Hours'!J244*Peak!P245*'Peak Hours'!$Y244)</f>
        <v>2209052.843980215</v>
      </c>
      <c r="K244" s="177">
        <f>IF($A$1="BL",0,'Peak Hours'!K244*Peak!Q245*'Peak Hours'!$Y244)</f>
        <v>1993880.1485194219</v>
      </c>
      <c r="L244" s="177">
        <f>IF($A$1="BL",0,'Peak Hours'!L244*Peak!R245*'Peak Hours'!$Y244)</f>
        <v>1758389.7428837866</v>
      </c>
      <c r="M244" s="177">
        <f>IF($A$1="BL",0,'Peak Hours'!M244*Peak!S245*'Peak Hours'!$Y244)</f>
        <v>0</v>
      </c>
      <c r="N244" s="177">
        <f>IF($A$1="BL",0,'Peak Hours'!N244*Peak!T245*'Peak Hours'!$Y244)</f>
        <v>0</v>
      </c>
      <c r="O244" s="177">
        <f>IF($A$1="BL",0,'Peak Hours'!O244*Peak!U245*'Peak Hours'!$Y244)</f>
        <v>0</v>
      </c>
      <c r="P244" s="177">
        <f>IF($A$1="BL",0,'Peak Hours'!P244*Peak!V245*'Peak Hours'!$Y244)</f>
        <v>0</v>
      </c>
      <c r="Q244" s="177">
        <f>IF($A$1="BL",0,'Peak Hours'!Q244*Peak!W245*'Peak Hours'!$Y244)</f>
        <v>0</v>
      </c>
      <c r="R244" s="177">
        <f>IF($A$1="BL",0,'Peak Hours'!R244*Peak!X245*'Peak Hours'!$Y244)</f>
        <v>0</v>
      </c>
      <c r="S244" s="177">
        <f>IF($A$1="BL",0,'Peak Hours'!S244*Peak!Y245*'Peak Hours'!$Y244)</f>
        <v>0</v>
      </c>
      <c r="T244" s="177">
        <f>IF($A$1="BL",0,'Peak Hours'!T244*Peak!Z245*'Peak Hours'!$Y244)</f>
        <v>0</v>
      </c>
      <c r="U244" s="177">
        <f>IF($A$1="BL",0,'Peak Hours'!U244*Peak!AA245*'Peak Hours'!$Y244)</f>
        <v>0</v>
      </c>
      <c r="V244" s="207"/>
      <c r="W244" s="203">
        <f>(IF($A$1="BL",0,Peak!C245*'Peak Hours'!V244*'Peak Hours'!$Y244))*-1</f>
        <v>-10813843.145174243</v>
      </c>
      <c r="X244" s="207"/>
      <c r="Y244" s="203">
        <f>(IF($A$1="bl",0,Peak!D245*'Peak Hours'!V244*'Peak Hours'!$Y244))*-1</f>
        <v>-181925.35303159422</v>
      </c>
      <c r="Z244" s="207"/>
      <c r="AA244" s="203">
        <f>(Peak!E245*'Peak Hours'!V244*'Peak Hours'!$Y244)*-1</f>
        <v>0</v>
      </c>
      <c r="AB244" s="204"/>
      <c r="AC244" s="203">
        <f>(Peak!F245*'Peak Hours'!V244*'Peak Hours'!$Y244)*-1</f>
        <v>0</v>
      </c>
      <c r="AD244" s="204"/>
    </row>
    <row r="245" spans="1:30" x14ac:dyDescent="0.2">
      <c r="A245" s="1">
        <f t="shared" si="3"/>
        <v>43687.995000000301</v>
      </c>
      <c r="B245" s="177">
        <f>IF($A$1="BL",0,'Peak Hours'!B245*Peak!H246*'Peak Hours'!$Y245)</f>
        <v>989467.78198806255</v>
      </c>
      <c r="C245" s="177">
        <f>IF($A$1="BL",0,'Peak Hours'!C245*Peak!I246*'Peak Hours'!$Y245)</f>
        <v>720968.4843383535</v>
      </c>
      <c r="D245" s="177">
        <f>IF($A$1="BL",0,'Peak Hours'!D245*Peak!J246*'Peak Hours'!$Y245)</f>
        <v>1330956.7133809743</v>
      </c>
      <c r="E245" s="177">
        <f>IF($A$1="BL",0,'Peak Hours'!E245*Peak!K246*'Peak Hours'!$Y245)</f>
        <v>2410344.0700323563</v>
      </c>
      <c r="F245" s="177">
        <f>IF($A$1="BL",0,'Peak Hours'!F245*Peak!L246*'Peak Hours'!$Y245)</f>
        <v>2212024.0488741919</v>
      </c>
      <c r="G245" s="177">
        <f>IF($A$1="BL",0,'Peak Hours'!G245*Peak!M246*'Peak Hours'!$Y245)</f>
        <v>4080024.4664929621</v>
      </c>
      <c r="H245" s="177">
        <f>IF($A$1="BL",0,'Peak Hours'!H245*Peak!N246*'Peak Hours'!$Y245)</f>
        <v>3166533.0594535586</v>
      </c>
      <c r="I245" s="177">
        <f>IF($A$1="BL",0,'Peak Hours'!I245*Peak!O246*'Peak Hours'!$Y245)</f>
        <v>2735846.6511513786</v>
      </c>
      <c r="J245" s="177">
        <f>IF($A$1="BL",0,'Peak Hours'!J245*Peak!P246*'Peak Hours'!$Y245)</f>
        <v>2434477.6415923606</v>
      </c>
      <c r="K245" s="177">
        <f>IF($A$1="BL",0,'Peak Hours'!K245*Peak!Q246*'Peak Hours'!$Y245)</f>
        <v>1759237.4201045134</v>
      </c>
      <c r="L245" s="177">
        <f>IF($A$1="BL",0,'Peak Hours'!L245*Peak!R246*'Peak Hours'!$Y245)</f>
        <v>1502875.0582201991</v>
      </c>
      <c r="M245" s="177">
        <f>IF($A$1="BL",0,'Peak Hours'!M245*Peak!S246*'Peak Hours'!$Y245)</f>
        <v>1395166.3765460439</v>
      </c>
      <c r="N245" s="177">
        <f>IF($A$1="BL",0,'Peak Hours'!N245*Peak!T246*'Peak Hours'!$Y245)</f>
        <v>0</v>
      </c>
      <c r="O245" s="177">
        <f>IF($A$1="BL",0,'Peak Hours'!O245*Peak!U246*'Peak Hours'!$Y245)</f>
        <v>0</v>
      </c>
      <c r="P245" s="177">
        <f>IF($A$1="BL",0,'Peak Hours'!P245*Peak!V246*'Peak Hours'!$Y245)</f>
        <v>0</v>
      </c>
      <c r="Q245" s="177">
        <f>IF($A$1="BL",0,'Peak Hours'!Q245*Peak!W246*'Peak Hours'!$Y245)</f>
        <v>0</v>
      </c>
      <c r="R245" s="177">
        <f>IF($A$1="BL",0,'Peak Hours'!R245*Peak!X246*'Peak Hours'!$Y245)</f>
        <v>0</v>
      </c>
      <c r="S245" s="177">
        <f>IF($A$1="BL",0,'Peak Hours'!S245*Peak!Y246*'Peak Hours'!$Y245)</f>
        <v>0</v>
      </c>
      <c r="T245" s="177">
        <f>IF($A$1="BL",0,'Peak Hours'!T245*Peak!Z246*'Peak Hours'!$Y245)</f>
        <v>0</v>
      </c>
      <c r="U245" s="177">
        <f>IF($A$1="BL",0,'Peak Hours'!U245*Peak!AA246*'Peak Hours'!$Y245)</f>
        <v>0</v>
      </c>
      <c r="V245" s="207"/>
      <c r="W245" s="203">
        <f>(IF($A$1="BL",0,Peak!C246*'Peak Hours'!V245*'Peak Hours'!$Y245))*-1</f>
        <v>-11620208.732789705</v>
      </c>
      <c r="X245" s="207"/>
      <c r="Y245" s="203">
        <f>(IF($A$1="bl",0,Peak!D246*'Peak Hours'!V245*'Peak Hours'!$Y245))*-1</f>
        <v>-206525.70354708869</v>
      </c>
      <c r="Z245" s="207"/>
      <c r="AA245" s="203">
        <f>(Peak!E246*'Peak Hours'!V245*'Peak Hours'!$Y245)*-1</f>
        <v>0</v>
      </c>
      <c r="AB245" s="204"/>
      <c r="AC245" s="203">
        <f>(Peak!F246*'Peak Hours'!V245*'Peak Hours'!$Y245)*-1</f>
        <v>0</v>
      </c>
      <c r="AD245" s="204"/>
    </row>
    <row r="246" spans="1:30" x14ac:dyDescent="0.2">
      <c r="A246" s="1">
        <f t="shared" si="3"/>
        <v>43718.412000000302</v>
      </c>
      <c r="B246" s="177">
        <f>IF($A$1="BL",0,'Peak Hours'!B246*Peak!H247*'Peak Hours'!$Y246)</f>
        <v>553060.46485863789</v>
      </c>
      <c r="C246" s="177">
        <f>IF($A$1="BL",0,'Peak Hours'!C246*Peak!I247*'Peak Hours'!$Y246)</f>
        <v>517379.38811627019</v>
      </c>
      <c r="D246" s="177">
        <f>IF($A$1="BL",0,'Peak Hours'!D246*Peak!J247*'Peak Hours'!$Y246)</f>
        <v>995497.26708956819</v>
      </c>
      <c r="E246" s="177">
        <f>IF($A$1="BL",0,'Peak Hours'!E246*Peak!K247*'Peak Hours'!$Y246)</f>
        <v>1551168.261768312</v>
      </c>
      <c r="F246" s="177">
        <f>IF($A$1="BL",0,'Peak Hours'!F246*Peak!L247*'Peak Hours'!$Y246)</f>
        <v>1279378.3566118062</v>
      </c>
      <c r="G246" s="177">
        <f>IF($A$1="BL",0,'Peak Hours'!G246*Peak!M247*'Peak Hours'!$Y246)</f>
        <v>2360550.0670117289</v>
      </c>
      <c r="H246" s="177">
        <f>IF($A$1="BL",0,'Peak Hours'!H246*Peak!N247*'Peak Hours'!$Y246)</f>
        <v>2018585.3364502422</v>
      </c>
      <c r="I246" s="177">
        <f>IF($A$1="BL",0,'Peak Hours'!I246*Peak!O247*'Peak Hours'!$Y246)</f>
        <v>1555517.1419587862</v>
      </c>
      <c r="J246" s="177">
        <f>IF($A$1="BL",0,'Peak Hours'!J246*Peak!P247*'Peak Hours'!$Y246)</f>
        <v>1436708.1063760559</v>
      </c>
      <c r="K246" s="177">
        <f>IF($A$1="BL",0,'Peak Hours'!K246*Peak!Q247*'Peak Hours'!$Y246)</f>
        <v>0</v>
      </c>
      <c r="L246" s="177">
        <f>IF($A$1="BL",0,'Peak Hours'!L246*Peak!R247*'Peak Hours'!$Y246)</f>
        <v>0</v>
      </c>
      <c r="M246" s="177">
        <f>IF($A$1="BL",0,'Peak Hours'!M246*Peak!S247*'Peak Hours'!$Y246)</f>
        <v>0</v>
      </c>
      <c r="N246" s="177">
        <f>IF($A$1="BL",0,'Peak Hours'!N246*Peak!T247*'Peak Hours'!$Y246)</f>
        <v>0</v>
      </c>
      <c r="O246" s="177">
        <f>IF($A$1="BL",0,'Peak Hours'!O246*Peak!U247*'Peak Hours'!$Y246)</f>
        <v>0</v>
      </c>
      <c r="P246" s="177">
        <f>IF($A$1="BL",0,'Peak Hours'!P246*Peak!V247*'Peak Hours'!$Y246)</f>
        <v>0</v>
      </c>
      <c r="Q246" s="177">
        <f>IF($A$1="BL",0,'Peak Hours'!Q246*Peak!W247*'Peak Hours'!$Y246)</f>
        <v>0</v>
      </c>
      <c r="R246" s="177">
        <f>IF($A$1="BL",0,'Peak Hours'!R246*Peak!X247*'Peak Hours'!$Y246)</f>
        <v>0</v>
      </c>
      <c r="S246" s="177">
        <f>IF($A$1="BL",0,'Peak Hours'!S246*Peak!Y247*'Peak Hours'!$Y246)</f>
        <v>0</v>
      </c>
      <c r="T246" s="177">
        <f>IF($A$1="BL",0,'Peak Hours'!T246*Peak!Z247*'Peak Hours'!$Y246)</f>
        <v>0</v>
      </c>
      <c r="U246" s="177">
        <f>IF($A$1="BL",0,'Peak Hours'!U246*Peak!AA247*'Peak Hours'!$Y246)</f>
        <v>0</v>
      </c>
      <c r="V246" s="207"/>
      <c r="W246" s="203">
        <f>(IF($A$1="BL",0,Peak!C247*'Peak Hours'!V246*'Peak Hours'!$Y246))*-1</f>
        <v>-7368737.131054638</v>
      </c>
      <c r="X246" s="207"/>
      <c r="Y246" s="203">
        <f>(IF($A$1="bl",0,Peak!D247*'Peak Hours'!V246*'Peak Hours'!$Y246))*-1</f>
        <v>-131623.37343888453</v>
      </c>
      <c r="Z246" s="207"/>
      <c r="AA246" s="203">
        <f>(Peak!E247*'Peak Hours'!V246*'Peak Hours'!$Y246)*-1</f>
        <v>0</v>
      </c>
      <c r="AB246" s="204"/>
      <c r="AC246" s="203">
        <f>(Peak!F247*'Peak Hours'!V246*'Peak Hours'!$Y246)*-1</f>
        <v>0</v>
      </c>
      <c r="AD246" s="204"/>
    </row>
    <row r="247" spans="1:30" x14ac:dyDescent="0.2">
      <c r="A247" s="1">
        <f t="shared" si="3"/>
        <v>43748.829000000303</v>
      </c>
      <c r="B247" s="177">
        <f>IF($A$1="BL",0,'Peak Hours'!B247*Peak!H248*'Peak Hours'!$Y247)</f>
        <v>432084.36745075573</v>
      </c>
      <c r="C247" s="177">
        <f>IF($A$1="BL",0,'Peak Hours'!C247*Peak!I248*'Peak Hours'!$Y247)</f>
        <v>355932.21546688693</v>
      </c>
      <c r="D247" s="177">
        <f>IF($A$1="BL",0,'Peak Hours'!D247*Peak!J248*'Peak Hours'!$Y247)</f>
        <v>671856.56770987622</v>
      </c>
      <c r="E247" s="177">
        <f>IF($A$1="BL",0,'Peak Hours'!E247*Peak!K248*'Peak Hours'!$Y247)</f>
        <v>1250395.5921178407</v>
      </c>
      <c r="F247" s="177">
        <f>IF($A$1="BL",0,'Peak Hours'!F247*Peak!L248*'Peak Hours'!$Y247)</f>
        <v>1200619.7469131253</v>
      </c>
      <c r="G247" s="177">
        <f>IF($A$1="BL",0,'Peak Hours'!G247*Peak!M248*'Peak Hours'!$Y247)</f>
        <v>2393261.0400380548</v>
      </c>
      <c r="H247" s="177">
        <f>IF($A$1="BL",0,'Peak Hours'!H247*Peak!N248*'Peak Hours'!$Y247)</f>
        <v>1897686.5028675196</v>
      </c>
      <c r="I247" s="177">
        <f>IF($A$1="BL",0,'Peak Hours'!I247*Peak!O248*'Peak Hours'!$Y247)</f>
        <v>1626978.6298914079</v>
      </c>
      <c r="J247" s="177">
        <f>IF($A$1="BL",0,'Peak Hours'!J247*Peak!P248*'Peak Hours'!$Y247)</f>
        <v>0</v>
      </c>
      <c r="K247" s="177">
        <f>IF($A$1="BL",0,'Peak Hours'!K247*Peak!Q248*'Peak Hours'!$Y247)</f>
        <v>0</v>
      </c>
      <c r="L247" s="177">
        <f>IF($A$1="BL",0,'Peak Hours'!L247*Peak!R248*'Peak Hours'!$Y247)</f>
        <v>0</v>
      </c>
      <c r="M247" s="177">
        <f>IF($A$1="BL",0,'Peak Hours'!M247*Peak!S248*'Peak Hours'!$Y247)</f>
        <v>0</v>
      </c>
      <c r="N247" s="177">
        <f>IF($A$1="BL",0,'Peak Hours'!N247*Peak!T248*'Peak Hours'!$Y247)</f>
        <v>0</v>
      </c>
      <c r="O247" s="177">
        <f>IF($A$1="BL",0,'Peak Hours'!O247*Peak!U248*'Peak Hours'!$Y247)</f>
        <v>0</v>
      </c>
      <c r="P247" s="177">
        <f>IF($A$1="BL",0,'Peak Hours'!P247*Peak!V248*'Peak Hours'!$Y247)</f>
        <v>0</v>
      </c>
      <c r="Q247" s="177">
        <f>IF($A$1="BL",0,'Peak Hours'!Q247*Peak!W248*'Peak Hours'!$Y247)</f>
        <v>0</v>
      </c>
      <c r="R247" s="177">
        <f>IF($A$1="BL",0,'Peak Hours'!R247*Peak!X248*'Peak Hours'!$Y247)</f>
        <v>0</v>
      </c>
      <c r="S247" s="177">
        <f>IF($A$1="BL",0,'Peak Hours'!S247*Peak!Y248*'Peak Hours'!$Y247)</f>
        <v>0</v>
      </c>
      <c r="T247" s="177">
        <f>IF($A$1="BL",0,'Peak Hours'!T247*Peak!Z248*'Peak Hours'!$Y247)</f>
        <v>0</v>
      </c>
      <c r="U247" s="177">
        <f>IF($A$1="BL",0,'Peak Hours'!U247*Peak!AA248*'Peak Hours'!$Y247)</f>
        <v>0</v>
      </c>
      <c r="V247" s="207"/>
      <c r="W247" s="203">
        <f>(IF($A$1="BL",0,Peak!C248*'Peak Hours'!V247*'Peak Hours'!$Y247))*-1</f>
        <v>-6677097.5469324375</v>
      </c>
      <c r="X247" s="207"/>
      <c r="Y247" s="203">
        <f>(IF($A$1="bl",0,Peak!D248*'Peak Hours'!V247*'Peak Hours'!$Y247))*-1</f>
        <v>-107871.33741377674</v>
      </c>
      <c r="Z247" s="207"/>
      <c r="AA247" s="203">
        <f>(Peak!E248*'Peak Hours'!V247*'Peak Hours'!$Y247)*-1</f>
        <v>0</v>
      </c>
      <c r="AB247" s="204"/>
      <c r="AC247" s="203">
        <f>(Peak!F248*'Peak Hours'!V247*'Peak Hours'!$Y247)*-1</f>
        <v>0</v>
      </c>
      <c r="AD247" s="204"/>
    </row>
    <row r="248" spans="1:30" x14ac:dyDescent="0.2">
      <c r="A248" s="1">
        <f t="shared" si="3"/>
        <v>43779.246000000305</v>
      </c>
      <c r="B248" s="177">
        <f>IF($A$1="BL",0,'Peak Hours'!B248*Peak!H249*'Peak Hours'!$Y248)</f>
        <v>411800.41020548256</v>
      </c>
      <c r="C248" s="177">
        <f>IF($A$1="BL",0,'Peak Hours'!C248*Peak!I249*'Peak Hours'!$Y248)</f>
        <v>362419.82935845252</v>
      </c>
      <c r="D248" s="177">
        <f>IF($A$1="BL",0,'Peak Hours'!D248*Peak!J249*'Peak Hours'!$Y248)</f>
        <v>699344.10192874714</v>
      </c>
      <c r="E248" s="177">
        <f>IF($A$1="BL",0,'Peak Hours'!E248*Peak!K249*'Peak Hours'!$Y248)</f>
        <v>1309849.6189507234</v>
      </c>
      <c r="F248" s="177">
        <f>IF($A$1="BL",0,'Peak Hours'!F248*Peak!L249*'Peak Hours'!$Y248)</f>
        <v>1301117.5481928897</v>
      </c>
      <c r="G248" s="177">
        <f>IF($A$1="BL",0,'Peak Hours'!G248*Peak!M249*'Peak Hours'!$Y248)</f>
        <v>2323600.0458395751</v>
      </c>
      <c r="H248" s="177">
        <f>IF($A$1="BL",0,'Peak Hours'!H248*Peak!N249*'Peak Hours'!$Y248)</f>
        <v>1909383.6330705038</v>
      </c>
      <c r="I248" s="177">
        <f>IF($A$1="BL",0,'Peak Hours'!I248*Peak!O249*'Peak Hours'!$Y248)</f>
        <v>1800360.4192349711</v>
      </c>
      <c r="J248" s="177">
        <f>IF($A$1="BL",0,'Peak Hours'!J248*Peak!P249*'Peak Hours'!$Y248)</f>
        <v>0</v>
      </c>
      <c r="K248" s="177">
        <f>IF($A$1="BL",0,'Peak Hours'!K248*Peak!Q249*'Peak Hours'!$Y248)</f>
        <v>0</v>
      </c>
      <c r="L248" s="177">
        <f>IF($A$1="BL",0,'Peak Hours'!L248*Peak!R249*'Peak Hours'!$Y248)</f>
        <v>0</v>
      </c>
      <c r="M248" s="177">
        <f>IF($A$1="BL",0,'Peak Hours'!M248*Peak!S249*'Peak Hours'!$Y248)</f>
        <v>0</v>
      </c>
      <c r="N248" s="177">
        <f>IF($A$1="BL",0,'Peak Hours'!N248*Peak!T249*'Peak Hours'!$Y248)</f>
        <v>0</v>
      </c>
      <c r="O248" s="177">
        <f>IF($A$1="BL",0,'Peak Hours'!O248*Peak!U249*'Peak Hours'!$Y248)</f>
        <v>0</v>
      </c>
      <c r="P248" s="177">
        <f>IF($A$1="BL",0,'Peak Hours'!P248*Peak!V249*'Peak Hours'!$Y248)</f>
        <v>0</v>
      </c>
      <c r="Q248" s="177">
        <f>IF($A$1="BL",0,'Peak Hours'!Q248*Peak!W249*'Peak Hours'!$Y248)</f>
        <v>0</v>
      </c>
      <c r="R248" s="177">
        <f>IF($A$1="BL",0,'Peak Hours'!R248*Peak!X249*'Peak Hours'!$Y248)</f>
        <v>0</v>
      </c>
      <c r="S248" s="177">
        <f>IF($A$1="BL",0,'Peak Hours'!S248*Peak!Y249*'Peak Hours'!$Y248)</f>
        <v>0</v>
      </c>
      <c r="T248" s="177">
        <f>IF($A$1="BL",0,'Peak Hours'!T248*Peak!Z249*'Peak Hours'!$Y248)</f>
        <v>0</v>
      </c>
      <c r="U248" s="177">
        <f>IF($A$1="BL",0,'Peak Hours'!U248*Peak!AA249*'Peak Hours'!$Y248)</f>
        <v>0</v>
      </c>
      <c r="V248" s="207"/>
      <c r="W248" s="203">
        <f>(IF($A$1="BL",0,Peak!C249*'Peak Hours'!V248*'Peak Hours'!$Y248))*-1</f>
        <v>-7311725.6252050847</v>
      </c>
      <c r="X248" s="207"/>
      <c r="Y248" s="203">
        <f>(IF($A$1="bl",0,Peak!D249*'Peak Hours'!V248*'Peak Hours'!$Y248))*-1</f>
        <v>-108051.12297613305</v>
      </c>
      <c r="Z248" s="207"/>
      <c r="AA248" s="203">
        <f>(Peak!E249*'Peak Hours'!V248*'Peak Hours'!$Y248)*-1</f>
        <v>0</v>
      </c>
      <c r="AB248" s="204"/>
      <c r="AC248" s="203">
        <f>(Peak!F249*'Peak Hours'!V248*'Peak Hours'!$Y248)*-1</f>
        <v>0</v>
      </c>
      <c r="AD248" s="204"/>
    </row>
    <row r="249" spans="1:30" x14ac:dyDescent="0.2">
      <c r="A249" s="1">
        <f t="shared" si="3"/>
        <v>43809.663000000306</v>
      </c>
      <c r="B249" s="177">
        <f>IF($A$1="BL",0,'Peak Hours'!B249*Peak!H250*'Peak Hours'!$Y249)</f>
        <v>452341.5221593731</v>
      </c>
      <c r="C249" s="177">
        <f>IF($A$1="BL",0,'Peak Hours'!C249*Peak!I250*'Peak Hours'!$Y249)</f>
        <v>406488.27257133333</v>
      </c>
      <c r="D249" s="177">
        <f>IF($A$1="BL",0,'Peak Hours'!D249*Peak!J250*'Peak Hours'!$Y249)</f>
        <v>789229.76976051228</v>
      </c>
      <c r="E249" s="177">
        <f>IF($A$1="BL",0,'Peak Hours'!E249*Peak!K250*'Peak Hours'!$Y249)</f>
        <v>1472556.5949978838</v>
      </c>
      <c r="F249" s="177">
        <f>IF($A$1="BL",0,'Peak Hours'!F249*Peak!L250*'Peak Hours'!$Y249)</f>
        <v>1459440.656763033</v>
      </c>
      <c r="G249" s="177">
        <f>IF($A$1="BL",0,'Peak Hours'!G249*Peak!M250*'Peak Hours'!$Y249)</f>
        <v>2742826.8107281807</v>
      </c>
      <c r="H249" s="177">
        <f>IF($A$1="BL",0,'Peak Hours'!H249*Peak!N250*'Peak Hours'!$Y249)</f>
        <v>1976817.3559177478</v>
      </c>
      <c r="I249" s="177">
        <f>IF($A$1="BL",0,'Peak Hours'!I249*Peak!O250*'Peak Hours'!$Y249)</f>
        <v>1825927.6427919222</v>
      </c>
      <c r="J249" s="177">
        <f>IF($A$1="BL",0,'Peak Hours'!J249*Peak!P250*'Peak Hours'!$Y249)</f>
        <v>1773809.9823633558</v>
      </c>
      <c r="K249" s="177">
        <f>IF($A$1="BL",0,'Peak Hours'!K249*Peak!Q250*'Peak Hours'!$Y249)</f>
        <v>0</v>
      </c>
      <c r="L249" s="177">
        <f>IF($A$1="BL",0,'Peak Hours'!L249*Peak!R250*'Peak Hours'!$Y249)</f>
        <v>0</v>
      </c>
      <c r="M249" s="177">
        <f>IF($A$1="BL",0,'Peak Hours'!M249*Peak!S250*'Peak Hours'!$Y249)</f>
        <v>0</v>
      </c>
      <c r="N249" s="177">
        <f>IF($A$1="BL",0,'Peak Hours'!N249*Peak!T250*'Peak Hours'!$Y249)</f>
        <v>0</v>
      </c>
      <c r="O249" s="177">
        <f>IF($A$1="BL",0,'Peak Hours'!O249*Peak!U250*'Peak Hours'!$Y249)</f>
        <v>0</v>
      </c>
      <c r="P249" s="177">
        <f>IF($A$1="BL",0,'Peak Hours'!P249*Peak!V250*'Peak Hours'!$Y249)</f>
        <v>0</v>
      </c>
      <c r="Q249" s="177">
        <f>IF($A$1="BL",0,'Peak Hours'!Q249*Peak!W250*'Peak Hours'!$Y249)</f>
        <v>0</v>
      </c>
      <c r="R249" s="177">
        <f>IF($A$1="BL",0,'Peak Hours'!R249*Peak!X250*'Peak Hours'!$Y249)</f>
        <v>0</v>
      </c>
      <c r="S249" s="177">
        <f>IF($A$1="BL",0,'Peak Hours'!S249*Peak!Y250*'Peak Hours'!$Y249)</f>
        <v>0</v>
      </c>
      <c r="T249" s="177">
        <f>IF($A$1="BL",0,'Peak Hours'!T249*Peak!Z250*'Peak Hours'!$Y249)</f>
        <v>0</v>
      </c>
      <c r="U249" s="177">
        <f>IF($A$1="BL",0,'Peak Hours'!U249*Peak!AA250*'Peak Hours'!$Y249)</f>
        <v>0</v>
      </c>
      <c r="V249" s="208">
        <f>SUM(B238:U249)</f>
        <v>168908307.03313816</v>
      </c>
      <c r="W249" s="203">
        <f>(IF($A$1="BL",0,Peak!C250*'Peak Hours'!V249*'Peak Hours'!$Y249))*-1</f>
        <v>-9409089.04099942</v>
      </c>
      <c r="X249" s="208">
        <f>SUM(W238:W249)</f>
        <v>-103582712.87832922</v>
      </c>
      <c r="Y249" s="203">
        <f>(IF($A$1="bl",0,Peak!D250*'Peak Hours'!V249*'Peak Hours'!$Y249))*-1</f>
        <v>-128700.73995231932</v>
      </c>
      <c r="Z249" s="208">
        <f>SUM(Y238:Y249)</f>
        <v>-1667278.0233568859</v>
      </c>
      <c r="AA249" s="203">
        <f>(Peak!E250*'Peak Hours'!V249*'Peak Hours'!$Y249)*-1</f>
        <v>0</v>
      </c>
      <c r="AB249" s="205">
        <f>SUM(AA238:AA249)</f>
        <v>0</v>
      </c>
      <c r="AC249" s="203">
        <f>(Peak!F250*'Peak Hours'!V249*'Peak Hours'!$Y249)*-1</f>
        <v>0</v>
      </c>
      <c r="AD249" s="205">
        <f>SUM(AC238:AC249)</f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49"/>
  <sheetViews>
    <sheetView topLeftCell="U1" workbookViewId="0">
      <selection activeCell="Z10" sqref="Z10"/>
    </sheetView>
  </sheetViews>
  <sheetFormatPr defaultRowHeight="12.75" x14ac:dyDescent="0.2"/>
  <cols>
    <col min="22" max="22" width="8.42578125" bestFit="1" customWidth="1"/>
    <col min="23" max="23" width="8.140625" bestFit="1" customWidth="1"/>
    <col min="24" max="25" width="7.28515625" bestFit="1" customWidth="1"/>
  </cols>
  <sheetData>
    <row r="1" spans="1:27" x14ac:dyDescent="0.2">
      <c r="A1" s="13" t="str">
        <f>IS!C2</f>
        <v>Peak</v>
      </c>
    </row>
    <row r="2" spans="1:27" x14ac:dyDescent="0.2">
      <c r="A2" s="13"/>
    </row>
    <row r="3" spans="1:27" x14ac:dyDescent="0.2">
      <c r="A3" s="13"/>
    </row>
    <row r="4" spans="1:27" x14ac:dyDescent="0.2">
      <c r="A4" s="13"/>
    </row>
    <row r="5" spans="1:27" x14ac:dyDescent="0.2">
      <c r="A5" s="13"/>
      <c r="V5" s="12" t="s">
        <v>171</v>
      </c>
      <c r="W5" s="12" t="s">
        <v>171</v>
      </c>
      <c r="X5" s="12"/>
    </row>
    <row r="6" spans="1:27" x14ac:dyDescent="0.2">
      <c r="V6" s="32" t="s">
        <v>135</v>
      </c>
      <c r="W6" s="32" t="s">
        <v>135</v>
      </c>
      <c r="X6" s="32" t="s">
        <v>171</v>
      </c>
      <c r="Y6" s="12" t="s">
        <v>295</v>
      </c>
      <c r="Z6" s="165" t="s">
        <v>306</v>
      </c>
      <c r="AA6" s="165" t="s">
        <v>306</v>
      </c>
    </row>
    <row r="7" spans="1:27" x14ac:dyDescent="0.2">
      <c r="B7" s="165" t="s">
        <v>0</v>
      </c>
      <c r="C7" s="165" t="s">
        <v>1</v>
      </c>
      <c r="D7" s="165" t="s">
        <v>2</v>
      </c>
      <c r="E7" s="165" t="s">
        <v>3</v>
      </c>
      <c r="F7" s="165" t="s">
        <v>4</v>
      </c>
      <c r="G7" s="165" t="s">
        <v>5</v>
      </c>
      <c r="H7" s="165" t="s">
        <v>6</v>
      </c>
      <c r="I7" s="165" t="s">
        <v>7</v>
      </c>
      <c r="J7" s="165" t="s">
        <v>8</v>
      </c>
      <c r="K7" s="165" t="s">
        <v>9</v>
      </c>
      <c r="L7" s="165" t="s">
        <v>10</v>
      </c>
      <c r="M7" s="165" t="s">
        <v>11</v>
      </c>
      <c r="N7" s="165" t="s">
        <v>12</v>
      </c>
      <c r="O7" s="165" t="s">
        <v>13</v>
      </c>
      <c r="P7" s="165" t="s">
        <v>14</v>
      </c>
      <c r="Q7" s="165" t="s">
        <v>15</v>
      </c>
      <c r="R7" s="165" t="s">
        <v>16</v>
      </c>
      <c r="S7" s="165" t="s">
        <v>17</v>
      </c>
      <c r="T7" s="165" t="s">
        <v>18</v>
      </c>
      <c r="U7" s="165" t="s">
        <v>19</v>
      </c>
      <c r="V7" s="12" t="s">
        <v>293</v>
      </c>
      <c r="W7" s="12" t="s">
        <v>294</v>
      </c>
      <c r="X7" s="12" t="s">
        <v>135</v>
      </c>
      <c r="Y7" s="165" t="s">
        <v>135</v>
      </c>
      <c r="Z7" s="165" t="s">
        <v>45</v>
      </c>
      <c r="AA7" s="165" t="s">
        <v>26</v>
      </c>
    </row>
    <row r="8" spans="1:27" x14ac:dyDescent="0.2">
      <c r="B8" s="167">
        <v>5</v>
      </c>
      <c r="C8" s="167">
        <v>5</v>
      </c>
      <c r="D8" s="167">
        <v>10</v>
      </c>
      <c r="E8" s="167">
        <v>20</v>
      </c>
      <c r="F8" s="167">
        <v>20</v>
      </c>
      <c r="G8" s="167">
        <v>40</v>
      </c>
      <c r="H8" s="167">
        <v>40</v>
      </c>
      <c r="I8" s="167">
        <v>40</v>
      </c>
      <c r="J8" s="167">
        <v>40</v>
      </c>
      <c r="K8" s="167">
        <v>40</v>
      </c>
      <c r="L8" s="167">
        <v>40</v>
      </c>
      <c r="M8" s="167">
        <v>40</v>
      </c>
      <c r="N8" s="167">
        <v>40</v>
      </c>
      <c r="O8" s="167">
        <v>40</v>
      </c>
      <c r="P8" s="167">
        <v>40</v>
      </c>
      <c r="Q8" s="167">
        <v>40</v>
      </c>
      <c r="R8" s="167">
        <v>40</v>
      </c>
      <c r="S8" s="167">
        <v>40</v>
      </c>
      <c r="T8" s="167">
        <v>40</v>
      </c>
      <c r="U8" s="167">
        <v>110</v>
      </c>
      <c r="V8" s="167">
        <f>SUM(B8:U8)</f>
        <v>730</v>
      </c>
      <c r="W8" s="167"/>
      <c r="X8" s="167"/>
      <c r="Y8" s="167"/>
      <c r="Z8" s="167"/>
      <c r="AA8" s="167"/>
    </row>
    <row r="9" spans="1:27" x14ac:dyDescent="0.2"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</row>
    <row r="10" spans="1:27" x14ac:dyDescent="0.2">
      <c r="A10" s="1">
        <v>36540</v>
      </c>
      <c r="B10" s="237" t="str">
        <f>IF($A$1="Peak","-",IF(BaseLoad!H9&gt;BaseLoad!$G9,B$8*$Z10,0))</f>
        <v>-</v>
      </c>
      <c r="C10" s="237" t="str">
        <f>IF($A$1="Peak","-",IF(BaseLoad!I9&gt;BaseLoad!$G9,C$8*$Z10,0))</f>
        <v>-</v>
      </c>
      <c r="D10" s="237" t="str">
        <f>IF($A$1="Peak","-",IF(BaseLoad!J9&gt;BaseLoad!$G9,D$8*$Z10,0))</f>
        <v>-</v>
      </c>
      <c r="E10" s="237" t="str">
        <f>IF($A$1="Peak","-",IF(BaseLoad!K9&gt;BaseLoad!$G9,E$8*$Z10,0))</f>
        <v>-</v>
      </c>
      <c r="F10" s="237" t="str">
        <f>IF($A$1="Peak","-",IF(BaseLoad!L9&gt;BaseLoad!$G9,F$8*$Z10,0))</f>
        <v>-</v>
      </c>
      <c r="G10" s="237" t="str">
        <f>IF($A$1="Peak","-",IF(BaseLoad!M9&gt;BaseLoad!$G9,G$8*$Z10,0))</f>
        <v>-</v>
      </c>
      <c r="H10" s="237" t="str">
        <f>IF($A$1="Peak","-",IF(BaseLoad!N9&gt;BaseLoad!$G9,H$8*$Z10,0))</f>
        <v>-</v>
      </c>
      <c r="I10" s="237" t="str">
        <f>IF($A$1="Peak","-",IF(BaseLoad!O9&gt;BaseLoad!$G9,I$8*$Z10,0))</f>
        <v>-</v>
      </c>
      <c r="J10" s="237" t="str">
        <f>IF($A$1="Peak","-",IF(BaseLoad!P9&gt;BaseLoad!$G9,J$8*$Z10,0))</f>
        <v>-</v>
      </c>
      <c r="K10" s="237" t="str">
        <f>IF($A$1="Peak","-",IF(BaseLoad!Q9&gt;BaseLoad!$G9,K$8*$Z10,0))</f>
        <v>-</v>
      </c>
      <c r="L10" s="237" t="str">
        <f>IF($A$1="Peak","-",IF(BaseLoad!R9&gt;BaseLoad!$G9,L$8*$Z10,0))</f>
        <v>-</v>
      </c>
      <c r="M10" s="237" t="str">
        <f>IF($A$1="Peak","-",IF(BaseLoad!S9&gt;BaseLoad!$G9,M$8*$Z10,0))</f>
        <v>-</v>
      </c>
      <c r="N10" s="237" t="str">
        <f>IF($A$1="Peak","-",IF(BaseLoad!T9&gt;BaseLoad!$G9,N$8*$Z10,0))</f>
        <v>-</v>
      </c>
      <c r="O10" s="237" t="str">
        <f>IF($A$1="Peak","-",IF(BaseLoad!U9&gt;BaseLoad!$G9,O$8*$Z10,0))</f>
        <v>-</v>
      </c>
      <c r="P10" s="237" t="str">
        <f>IF($A$1="Peak","-",IF(BaseLoad!V9&gt;BaseLoad!$G9,P$8*$Z10,0))</f>
        <v>-</v>
      </c>
      <c r="Q10" s="237" t="str">
        <f>IF($A$1="Peak","-",IF(BaseLoad!W9&gt;BaseLoad!$G9,Q$8*$Z10,0))</f>
        <v>-</v>
      </c>
      <c r="R10" s="237" t="str">
        <f>IF($A$1="Peak","-",IF(BaseLoad!X9&gt;BaseLoad!$G9,R$8*$Z10,0))</f>
        <v>-</v>
      </c>
      <c r="S10" s="237" t="str">
        <f>IF($A$1="Peak","-",IF(BaseLoad!Y9&gt;BaseLoad!$G9,S$8*$Z10,0))</f>
        <v>-</v>
      </c>
      <c r="T10" s="237" t="str">
        <f>IF($A$1="Peak","-",IF(BaseLoad!Z9&gt;BaseLoad!$G9,T$8*$Z10,0))</f>
        <v>-</v>
      </c>
      <c r="U10" s="237" t="str">
        <f>IF($A$1="Peak","-",IF(BaseLoad!AA9&gt;BaseLoad!$G9,U$8*$Z10,0))</f>
        <v>-</v>
      </c>
      <c r="V10" s="237">
        <f>SUM(B10:U10)</f>
        <v>0</v>
      </c>
      <c r="W10" s="237">
        <v>0</v>
      </c>
      <c r="X10" s="237">
        <f>SUM(V10:W10)</f>
        <v>0</v>
      </c>
      <c r="Y10" s="237"/>
      <c r="Z10" s="237">
        <f>CHOOSE(QUOTIENT(MONTH($A10),3)+1,BaseLoad!$AM$9,BaseLoad!$AN$9,BaseLoad!$AL$9,BaseLoad!$AO$9,BaseLoad!$AM$9)</f>
        <v>0.92427661878611755</v>
      </c>
      <c r="AA10" s="237">
        <f>CHOOSE(QUOTIENT(MONTH($A10),3)+1,BaseLoad!$AM$15,BaseLoad!$AN$15,BaseLoad!$AL$15,BaseLoad!$AO$15,BaseLoad!$AM$15)</f>
        <v>705</v>
      </c>
    </row>
    <row r="11" spans="1:27" x14ac:dyDescent="0.2">
      <c r="A11" s="1">
        <f>A10+30.417</f>
        <v>36570.417000000001</v>
      </c>
      <c r="B11" s="237" t="str">
        <f>IF($A$1="Peak","-",IF(BaseLoad!H10&gt;BaseLoad!$G10,B$8*$Z11,0))</f>
        <v>-</v>
      </c>
      <c r="C11" s="237" t="str">
        <f>IF($A$1="Peak","-",IF(BaseLoad!I10&gt;BaseLoad!$G10,C$8*$Z11,0))</f>
        <v>-</v>
      </c>
      <c r="D11" s="237" t="str">
        <f>IF($A$1="Peak","-",IF(BaseLoad!J10&gt;BaseLoad!$G10,D$8*$Z11,0))</f>
        <v>-</v>
      </c>
      <c r="E11" s="237" t="str">
        <f>IF($A$1="Peak","-",IF(BaseLoad!K10&gt;BaseLoad!$G10,E$8*$Z11,0))</f>
        <v>-</v>
      </c>
      <c r="F11" s="237" t="str">
        <f>IF($A$1="Peak","-",IF(BaseLoad!L10&gt;BaseLoad!$G10,F$8*$Z11,0))</f>
        <v>-</v>
      </c>
      <c r="G11" s="237" t="str">
        <f>IF($A$1="Peak","-",IF(BaseLoad!M10&gt;BaseLoad!$G10,G$8*$Z11,0))</f>
        <v>-</v>
      </c>
      <c r="H11" s="237" t="str">
        <f>IF($A$1="Peak","-",IF(BaseLoad!N10&gt;BaseLoad!$G10,H$8*$Z11,0))</f>
        <v>-</v>
      </c>
      <c r="I11" s="237" t="str">
        <f>IF($A$1="Peak","-",IF(BaseLoad!O10&gt;BaseLoad!$G10,I$8*$Z11,0))</f>
        <v>-</v>
      </c>
      <c r="J11" s="237" t="str">
        <f>IF($A$1="Peak","-",IF(BaseLoad!P10&gt;BaseLoad!$G10,J$8*$Z11,0))</f>
        <v>-</v>
      </c>
      <c r="K11" s="237" t="str">
        <f>IF($A$1="Peak","-",IF(BaseLoad!Q10&gt;BaseLoad!$G10,K$8*$Z11,0))</f>
        <v>-</v>
      </c>
      <c r="L11" s="237" t="str">
        <f>IF($A$1="Peak","-",IF(BaseLoad!R10&gt;BaseLoad!$G10,L$8*$Z11,0))</f>
        <v>-</v>
      </c>
      <c r="M11" s="237" t="str">
        <f>IF($A$1="Peak","-",IF(BaseLoad!S10&gt;BaseLoad!$G10,M$8*$Z11,0))</f>
        <v>-</v>
      </c>
      <c r="N11" s="237" t="str">
        <f>IF($A$1="Peak","-",IF(BaseLoad!T10&gt;BaseLoad!$G10,N$8*$Z11,0))</f>
        <v>-</v>
      </c>
      <c r="O11" s="237" t="str">
        <f>IF($A$1="Peak","-",IF(BaseLoad!U10&gt;BaseLoad!$G10,O$8*$Z11,0))</f>
        <v>-</v>
      </c>
      <c r="P11" s="237" t="str">
        <f>IF($A$1="Peak","-",IF(BaseLoad!V10&gt;BaseLoad!$G10,P$8*$Z11,0))</f>
        <v>-</v>
      </c>
      <c r="Q11" s="237" t="str">
        <f>IF($A$1="Peak","-",IF(BaseLoad!W10&gt;BaseLoad!$G10,Q$8*$Z11,0))</f>
        <v>-</v>
      </c>
      <c r="R11" s="237" t="str">
        <f>IF($A$1="Peak","-",IF(BaseLoad!X10&gt;BaseLoad!$G10,R$8*$Z11,0))</f>
        <v>-</v>
      </c>
      <c r="S11" s="237" t="str">
        <f>IF($A$1="Peak","-",IF(BaseLoad!Y10&gt;BaseLoad!$G10,S$8*$Z11,0))</f>
        <v>-</v>
      </c>
      <c r="T11" s="237" t="str">
        <f>IF($A$1="Peak","-",IF(BaseLoad!Z10&gt;BaseLoad!$G10,T$8*$Z11,0))</f>
        <v>-</v>
      </c>
      <c r="U11" s="237" t="str">
        <f>IF($A$1="Peak","-",IF(BaseLoad!AA10&gt;BaseLoad!$G10,U$8*$Z11,0))</f>
        <v>-</v>
      </c>
      <c r="V11" s="237">
        <f t="shared" ref="V11:V74" si="0">SUM(B11:U11)</f>
        <v>0</v>
      </c>
      <c r="W11" s="237">
        <v>0</v>
      </c>
      <c r="X11" s="237">
        <f t="shared" ref="X11:X74" si="1">SUM(V11:W11)</f>
        <v>0</v>
      </c>
      <c r="Y11" s="237"/>
      <c r="Z11" s="237">
        <f>CHOOSE(QUOTIENT(MONTH($A11),3)+1,BaseLoad!$AM$9,BaseLoad!$AN$9,BaseLoad!$AL$9,BaseLoad!$AO$9,BaseLoad!$AM$9)</f>
        <v>0.92427661878611755</v>
      </c>
      <c r="AA11" s="237">
        <f>CHOOSE(QUOTIENT(MONTH($A11),3)+1,BaseLoad!$AM$15,BaseLoad!$AN$15,BaseLoad!$AL$15,BaseLoad!$AO$15,BaseLoad!$AM$15)</f>
        <v>705</v>
      </c>
    </row>
    <row r="12" spans="1:27" x14ac:dyDescent="0.2">
      <c r="A12" s="1">
        <f t="shared" ref="A12:A75" si="2">A11+30.417</f>
        <v>36600.834000000003</v>
      </c>
      <c r="B12" s="237" t="str">
        <f>IF($A$1="Peak","-",IF(BaseLoad!H11&gt;BaseLoad!$G11,B$8*$Z12,0))</f>
        <v>-</v>
      </c>
      <c r="C12" s="237" t="str">
        <f>IF($A$1="Peak","-",IF(BaseLoad!I11&gt;BaseLoad!$G11,C$8*$Z12,0))</f>
        <v>-</v>
      </c>
      <c r="D12" s="237" t="str">
        <f>IF($A$1="Peak","-",IF(BaseLoad!J11&gt;BaseLoad!$G11,D$8*$Z12,0))</f>
        <v>-</v>
      </c>
      <c r="E12" s="237" t="str">
        <f>IF($A$1="Peak","-",IF(BaseLoad!K11&gt;BaseLoad!$G11,E$8*$Z12,0))</f>
        <v>-</v>
      </c>
      <c r="F12" s="237" t="str">
        <f>IF($A$1="Peak","-",IF(BaseLoad!L11&gt;BaseLoad!$G11,F$8*$Z12,0))</f>
        <v>-</v>
      </c>
      <c r="G12" s="237" t="str">
        <f>IF($A$1="Peak","-",IF(BaseLoad!M11&gt;BaseLoad!$G11,G$8*$Z12,0))</f>
        <v>-</v>
      </c>
      <c r="H12" s="237" t="str">
        <f>IF($A$1="Peak","-",IF(BaseLoad!N11&gt;BaseLoad!$G11,H$8*$Z12,0))</f>
        <v>-</v>
      </c>
      <c r="I12" s="237" t="str">
        <f>IF($A$1="Peak","-",IF(BaseLoad!O11&gt;BaseLoad!$G11,I$8*$Z12,0))</f>
        <v>-</v>
      </c>
      <c r="J12" s="237" t="str">
        <f>IF($A$1="Peak","-",IF(BaseLoad!P11&gt;BaseLoad!$G11,J$8*$Z12,0))</f>
        <v>-</v>
      </c>
      <c r="K12" s="237" t="str">
        <f>IF($A$1="Peak","-",IF(BaseLoad!Q11&gt;BaseLoad!$G11,K$8*$Z12,0))</f>
        <v>-</v>
      </c>
      <c r="L12" s="237" t="str">
        <f>IF($A$1="Peak","-",IF(BaseLoad!R11&gt;BaseLoad!$G11,L$8*$Z12,0))</f>
        <v>-</v>
      </c>
      <c r="M12" s="237" t="str">
        <f>IF($A$1="Peak","-",IF(BaseLoad!S11&gt;BaseLoad!$G11,M$8*$Z12,0))</f>
        <v>-</v>
      </c>
      <c r="N12" s="237" t="str">
        <f>IF($A$1="Peak","-",IF(BaseLoad!T11&gt;BaseLoad!$G11,N$8*$Z12,0))</f>
        <v>-</v>
      </c>
      <c r="O12" s="237" t="str">
        <f>IF($A$1="Peak","-",IF(BaseLoad!U11&gt;BaseLoad!$G11,O$8*$Z12,0))</f>
        <v>-</v>
      </c>
      <c r="P12" s="237" t="str">
        <f>IF($A$1="Peak","-",IF(BaseLoad!V11&gt;BaseLoad!$G11,P$8*$Z12,0))</f>
        <v>-</v>
      </c>
      <c r="Q12" s="237" t="str">
        <f>IF($A$1="Peak","-",IF(BaseLoad!W11&gt;BaseLoad!$G11,Q$8*$Z12,0))</f>
        <v>-</v>
      </c>
      <c r="R12" s="237" t="str">
        <f>IF($A$1="Peak","-",IF(BaseLoad!X11&gt;BaseLoad!$G11,R$8*$Z12,0))</f>
        <v>-</v>
      </c>
      <c r="S12" s="237" t="str">
        <f>IF($A$1="Peak","-",IF(BaseLoad!Y11&gt;BaseLoad!$G11,S$8*$Z12,0))</f>
        <v>-</v>
      </c>
      <c r="T12" s="237" t="str">
        <f>IF($A$1="Peak","-",IF(BaseLoad!Z11&gt;BaseLoad!$G11,T$8*$Z12,0))</f>
        <v>-</v>
      </c>
      <c r="U12" s="237" t="str">
        <f>IF($A$1="Peak","-",IF(BaseLoad!AA11&gt;BaseLoad!$G11,U$8*$Z12,0))</f>
        <v>-</v>
      </c>
      <c r="V12" s="237">
        <f t="shared" si="0"/>
        <v>0</v>
      </c>
      <c r="W12" s="237">
        <v>0</v>
      </c>
      <c r="X12" s="237">
        <f t="shared" si="1"/>
        <v>0</v>
      </c>
      <c r="Y12" s="237"/>
      <c r="Z12" s="237">
        <f>CHOOSE(QUOTIENT(MONTH($A12),3)+1,BaseLoad!$AM$9,BaseLoad!$AN$9,BaseLoad!$AL$9,BaseLoad!$AO$9,BaseLoad!$AM$9)</f>
        <v>0.95</v>
      </c>
      <c r="AA12" s="237">
        <f>CHOOSE(QUOTIENT(MONTH($A12),3)+1,BaseLoad!$AM$15,BaseLoad!$AN$15,BaseLoad!$AL$15,BaseLoad!$AO$15,BaseLoad!$AM$15)</f>
        <v>705</v>
      </c>
    </row>
    <row r="13" spans="1:27" x14ac:dyDescent="0.2">
      <c r="A13" s="1">
        <f t="shared" si="2"/>
        <v>36631.251000000004</v>
      </c>
      <c r="B13" s="237" t="str">
        <f>IF($A$1="Peak","-",IF(BaseLoad!H12&gt;BaseLoad!$G12,B$8*$Z13,0))</f>
        <v>-</v>
      </c>
      <c r="C13" s="237" t="str">
        <f>IF($A$1="Peak","-",IF(BaseLoad!I12&gt;BaseLoad!$G12,C$8*$Z13,0))</f>
        <v>-</v>
      </c>
      <c r="D13" s="237" t="str">
        <f>IF($A$1="Peak","-",IF(BaseLoad!J12&gt;BaseLoad!$G12,D$8*$Z13,0))</f>
        <v>-</v>
      </c>
      <c r="E13" s="237" t="str">
        <f>IF($A$1="Peak","-",IF(BaseLoad!K12&gt;BaseLoad!$G12,E$8*$Z13,0))</f>
        <v>-</v>
      </c>
      <c r="F13" s="237" t="str">
        <f>IF($A$1="Peak","-",IF(BaseLoad!L12&gt;BaseLoad!$G12,F$8*$Z13,0))</f>
        <v>-</v>
      </c>
      <c r="G13" s="237" t="str">
        <f>IF($A$1="Peak","-",IF(BaseLoad!M12&gt;BaseLoad!$G12,G$8*$Z13,0))</f>
        <v>-</v>
      </c>
      <c r="H13" s="237" t="str">
        <f>IF($A$1="Peak","-",IF(BaseLoad!N12&gt;BaseLoad!$G12,H$8*$Z13,0))</f>
        <v>-</v>
      </c>
      <c r="I13" s="237" t="str">
        <f>IF($A$1="Peak","-",IF(BaseLoad!O12&gt;BaseLoad!$G12,I$8*$Z13,0))</f>
        <v>-</v>
      </c>
      <c r="J13" s="237" t="str">
        <f>IF($A$1="Peak","-",IF(BaseLoad!P12&gt;BaseLoad!$G12,J$8*$Z13,0))</f>
        <v>-</v>
      </c>
      <c r="K13" s="237" t="str">
        <f>IF($A$1="Peak","-",IF(BaseLoad!Q12&gt;BaseLoad!$G12,K$8*$Z13,0))</f>
        <v>-</v>
      </c>
      <c r="L13" s="237" t="str">
        <f>IF($A$1="Peak","-",IF(BaseLoad!R12&gt;BaseLoad!$G12,L$8*$Z13,0))</f>
        <v>-</v>
      </c>
      <c r="M13" s="237" t="str">
        <f>IF($A$1="Peak","-",IF(BaseLoad!S12&gt;BaseLoad!$G12,M$8*$Z13,0))</f>
        <v>-</v>
      </c>
      <c r="N13" s="237" t="str">
        <f>IF($A$1="Peak","-",IF(BaseLoad!T12&gt;BaseLoad!$G12,N$8*$Z13,0))</f>
        <v>-</v>
      </c>
      <c r="O13" s="237" t="str">
        <f>IF($A$1="Peak","-",IF(BaseLoad!U12&gt;BaseLoad!$G12,O$8*$Z13,0))</f>
        <v>-</v>
      </c>
      <c r="P13" s="237" t="str">
        <f>IF($A$1="Peak","-",IF(BaseLoad!V12&gt;BaseLoad!$G12,P$8*$Z13,0))</f>
        <v>-</v>
      </c>
      <c r="Q13" s="237" t="str">
        <f>IF($A$1="Peak","-",IF(BaseLoad!W12&gt;BaseLoad!$G12,Q$8*$Z13,0))</f>
        <v>-</v>
      </c>
      <c r="R13" s="237" t="str">
        <f>IF($A$1="Peak","-",IF(BaseLoad!X12&gt;BaseLoad!$G12,R$8*$Z13,0))</f>
        <v>-</v>
      </c>
      <c r="S13" s="237" t="str">
        <f>IF($A$1="Peak","-",IF(BaseLoad!Y12&gt;BaseLoad!$G12,S$8*$Z13,0))</f>
        <v>-</v>
      </c>
      <c r="T13" s="237" t="str">
        <f>IF($A$1="Peak","-",IF(BaseLoad!Z12&gt;BaseLoad!$G12,T$8*$Z13,0))</f>
        <v>-</v>
      </c>
      <c r="U13" s="237" t="str">
        <f>IF($A$1="Peak","-",IF(BaseLoad!AA12&gt;BaseLoad!$G12,U$8*$Z13,0))</f>
        <v>-</v>
      </c>
      <c r="V13" s="237">
        <f t="shared" si="0"/>
        <v>0</v>
      </c>
      <c r="W13" s="237">
        <v>0</v>
      </c>
      <c r="X13" s="237">
        <f t="shared" si="1"/>
        <v>0</v>
      </c>
      <c r="Y13" s="237"/>
      <c r="Z13" s="237">
        <f>CHOOSE(QUOTIENT(MONTH($A13),3)+1,BaseLoad!$AM$9,BaseLoad!$AN$9,BaseLoad!$AL$9,BaseLoad!$AO$9,BaseLoad!$AM$9)</f>
        <v>0.95</v>
      </c>
      <c r="AA13" s="237">
        <f>CHOOSE(QUOTIENT(MONTH($A13),3)+1,BaseLoad!$AM$15,BaseLoad!$AN$15,BaseLoad!$AL$15,BaseLoad!$AO$15,BaseLoad!$AM$15)</f>
        <v>705</v>
      </c>
    </row>
    <row r="14" spans="1:27" x14ac:dyDescent="0.2">
      <c r="A14" s="1">
        <f t="shared" si="2"/>
        <v>36661.668000000005</v>
      </c>
      <c r="B14" s="237" t="str">
        <f>IF($A$1="Peak","-",IF(BaseLoad!H13&gt;BaseLoad!$G13,B$8*$Z14,0))</f>
        <v>-</v>
      </c>
      <c r="C14" s="237" t="str">
        <f>IF($A$1="Peak","-",IF(BaseLoad!I13&gt;BaseLoad!$G13,C$8*$Z14,0))</f>
        <v>-</v>
      </c>
      <c r="D14" s="237" t="str">
        <f>IF($A$1="Peak","-",IF(BaseLoad!J13&gt;BaseLoad!$G13,D$8*$Z14,0))</f>
        <v>-</v>
      </c>
      <c r="E14" s="237" t="str">
        <f>IF($A$1="Peak","-",IF(BaseLoad!K13&gt;BaseLoad!$G13,E$8*$Z14,0))</f>
        <v>-</v>
      </c>
      <c r="F14" s="237" t="str">
        <f>IF($A$1="Peak","-",IF(BaseLoad!L13&gt;BaseLoad!$G13,F$8*$Z14,0))</f>
        <v>-</v>
      </c>
      <c r="G14" s="237" t="str">
        <f>IF($A$1="Peak","-",IF(BaseLoad!M13&gt;BaseLoad!$G13,G$8*$Z14,0))</f>
        <v>-</v>
      </c>
      <c r="H14" s="237" t="str">
        <f>IF($A$1="Peak","-",IF(BaseLoad!N13&gt;BaseLoad!$G13,H$8*$Z14,0))</f>
        <v>-</v>
      </c>
      <c r="I14" s="237" t="str">
        <f>IF($A$1="Peak","-",IF(BaseLoad!O13&gt;BaseLoad!$G13,I$8*$Z14,0))</f>
        <v>-</v>
      </c>
      <c r="J14" s="237" t="str">
        <f>IF($A$1="Peak","-",IF(BaseLoad!P13&gt;BaseLoad!$G13,J$8*$Z14,0))</f>
        <v>-</v>
      </c>
      <c r="K14" s="237" t="str">
        <f>IF($A$1="Peak","-",IF(BaseLoad!Q13&gt;BaseLoad!$G13,K$8*$Z14,0))</f>
        <v>-</v>
      </c>
      <c r="L14" s="237" t="str">
        <f>IF($A$1="Peak","-",IF(BaseLoad!R13&gt;BaseLoad!$G13,L$8*$Z14,0))</f>
        <v>-</v>
      </c>
      <c r="M14" s="237" t="str">
        <f>IF($A$1="Peak","-",IF(BaseLoad!S13&gt;BaseLoad!$G13,M$8*$Z14,0))</f>
        <v>-</v>
      </c>
      <c r="N14" s="237" t="str">
        <f>IF($A$1="Peak","-",IF(BaseLoad!T13&gt;BaseLoad!$G13,N$8*$Z14,0))</f>
        <v>-</v>
      </c>
      <c r="O14" s="237" t="str">
        <f>IF($A$1="Peak","-",IF(BaseLoad!U13&gt;BaseLoad!$G13,O$8*$Z14,0))</f>
        <v>-</v>
      </c>
      <c r="P14" s="237" t="str">
        <f>IF($A$1="Peak","-",IF(BaseLoad!V13&gt;BaseLoad!$G13,P$8*$Z14,0))</f>
        <v>-</v>
      </c>
      <c r="Q14" s="237" t="str">
        <f>IF($A$1="Peak","-",IF(BaseLoad!W13&gt;BaseLoad!$G13,Q$8*$Z14,0))</f>
        <v>-</v>
      </c>
      <c r="R14" s="237" t="str">
        <f>IF($A$1="Peak","-",IF(BaseLoad!X13&gt;BaseLoad!$G13,R$8*$Z14,0))</f>
        <v>-</v>
      </c>
      <c r="S14" s="237" t="str">
        <f>IF($A$1="Peak","-",IF(BaseLoad!Y13&gt;BaseLoad!$G13,S$8*$Z14,0))</f>
        <v>-</v>
      </c>
      <c r="T14" s="237" t="str">
        <f>IF($A$1="Peak","-",IF(BaseLoad!Z13&gt;BaseLoad!$G13,T$8*$Z14,0))</f>
        <v>-</v>
      </c>
      <c r="U14" s="237" t="str">
        <f>IF($A$1="Peak","-",IF(BaseLoad!AA13&gt;BaseLoad!$G13,U$8*$Z14,0))</f>
        <v>-</v>
      </c>
      <c r="V14" s="237">
        <f t="shared" si="0"/>
        <v>0</v>
      </c>
      <c r="W14" s="237">
        <v>0</v>
      </c>
      <c r="X14" s="237">
        <f t="shared" si="1"/>
        <v>0</v>
      </c>
      <c r="Y14" s="237"/>
      <c r="Z14" s="237">
        <f>CHOOSE(QUOTIENT(MONTH($A14),3)+1,BaseLoad!$AM$9,BaseLoad!$AN$9,BaseLoad!$AL$9,BaseLoad!$AO$9,BaseLoad!$AM$9)</f>
        <v>0.95</v>
      </c>
      <c r="AA14" s="237">
        <f>CHOOSE(QUOTIENT(MONTH($A14),3)+1,BaseLoad!$AM$15,BaseLoad!$AN$15,BaseLoad!$AL$15,BaseLoad!$AO$15,BaseLoad!$AM$15)</f>
        <v>705</v>
      </c>
    </row>
    <row r="15" spans="1:27" x14ac:dyDescent="0.2">
      <c r="A15" s="1">
        <f t="shared" si="2"/>
        <v>36692.085000000006</v>
      </c>
      <c r="B15" s="237" t="str">
        <f>IF($A$1="Peak","-",IF(BaseLoad!H14&gt;BaseLoad!$G14,B$8*$Z15,0))</f>
        <v>-</v>
      </c>
      <c r="C15" s="237" t="str">
        <f>IF($A$1="Peak","-",IF(BaseLoad!I14&gt;BaseLoad!$G14,C$8*$Z15,0))</f>
        <v>-</v>
      </c>
      <c r="D15" s="237" t="str">
        <f>IF($A$1="Peak","-",IF(BaseLoad!J14&gt;BaseLoad!$G14,D$8*$Z15,0))</f>
        <v>-</v>
      </c>
      <c r="E15" s="237" t="str">
        <f>IF($A$1="Peak","-",IF(BaseLoad!K14&gt;BaseLoad!$G14,E$8*$Z15,0))</f>
        <v>-</v>
      </c>
      <c r="F15" s="237" t="str">
        <f>IF($A$1="Peak","-",IF(BaseLoad!L14&gt;BaseLoad!$G14,F$8*$Z15,0))</f>
        <v>-</v>
      </c>
      <c r="G15" s="237" t="str">
        <f>IF($A$1="Peak","-",IF(BaseLoad!M14&gt;BaseLoad!$G14,G$8*$Z15,0))</f>
        <v>-</v>
      </c>
      <c r="H15" s="237" t="str">
        <f>IF($A$1="Peak","-",IF(BaseLoad!N14&gt;BaseLoad!$G14,H$8*$Z15,0))</f>
        <v>-</v>
      </c>
      <c r="I15" s="237" t="str">
        <f>IF($A$1="Peak","-",IF(BaseLoad!O14&gt;BaseLoad!$G14,I$8*$Z15,0))</f>
        <v>-</v>
      </c>
      <c r="J15" s="237" t="str">
        <f>IF($A$1="Peak","-",IF(BaseLoad!P14&gt;BaseLoad!$G14,J$8*$Z15,0))</f>
        <v>-</v>
      </c>
      <c r="K15" s="237" t="str">
        <f>IF($A$1="Peak","-",IF(BaseLoad!Q14&gt;BaseLoad!$G14,K$8*$Z15,0))</f>
        <v>-</v>
      </c>
      <c r="L15" s="237" t="str">
        <f>IF($A$1="Peak","-",IF(BaseLoad!R14&gt;BaseLoad!$G14,L$8*$Z15,0))</f>
        <v>-</v>
      </c>
      <c r="M15" s="237" t="str">
        <f>IF($A$1="Peak","-",IF(BaseLoad!S14&gt;BaseLoad!$G14,M$8*$Z15,0))</f>
        <v>-</v>
      </c>
      <c r="N15" s="237" t="str">
        <f>IF($A$1="Peak","-",IF(BaseLoad!T14&gt;BaseLoad!$G14,N$8*$Z15,0))</f>
        <v>-</v>
      </c>
      <c r="O15" s="237" t="str">
        <f>IF($A$1="Peak","-",IF(BaseLoad!U14&gt;BaseLoad!$G14,O$8*$Z15,0))</f>
        <v>-</v>
      </c>
      <c r="P15" s="237" t="str">
        <f>IF($A$1="Peak","-",IF(BaseLoad!V14&gt;BaseLoad!$G14,P$8*$Z15,0))</f>
        <v>-</v>
      </c>
      <c r="Q15" s="237" t="str">
        <f>IF($A$1="Peak","-",IF(BaseLoad!W14&gt;BaseLoad!$G14,Q$8*$Z15,0))</f>
        <v>-</v>
      </c>
      <c r="R15" s="237" t="str">
        <f>IF($A$1="Peak","-",IF(BaseLoad!X14&gt;BaseLoad!$G14,R$8*$Z15,0))</f>
        <v>-</v>
      </c>
      <c r="S15" s="237" t="str">
        <f>IF($A$1="Peak","-",IF(BaseLoad!Y14&gt;BaseLoad!$G14,S$8*$Z15,0))</f>
        <v>-</v>
      </c>
      <c r="T15" s="237" t="str">
        <f>IF($A$1="Peak","-",IF(BaseLoad!Z14&gt;BaseLoad!$G14,T$8*$Z15,0))</f>
        <v>-</v>
      </c>
      <c r="U15" s="237" t="str">
        <f>IF($A$1="Peak","-",IF(BaseLoad!AA14&gt;BaseLoad!$G14,U$8*$Z15,0))</f>
        <v>-</v>
      </c>
      <c r="V15" s="237">
        <f t="shared" si="0"/>
        <v>0</v>
      </c>
      <c r="W15" s="237">
        <v>0</v>
      </c>
      <c r="X15" s="237">
        <f t="shared" si="1"/>
        <v>0</v>
      </c>
      <c r="Y15" s="237"/>
      <c r="Z15" s="237">
        <f>CHOOSE(QUOTIENT(MONTH($A15),3)+1,BaseLoad!$AM$9,BaseLoad!$AN$9,BaseLoad!$AL$9,BaseLoad!$AO$9,BaseLoad!$AM$9)</f>
        <v>0.96612135909558572</v>
      </c>
      <c r="AA15" s="237">
        <f>CHOOSE(QUOTIENT(MONTH($A15),3)+1,BaseLoad!$AM$15,BaseLoad!$AN$15,BaseLoad!$AL$15,BaseLoad!$AO$15,BaseLoad!$AM$15)</f>
        <v>705</v>
      </c>
    </row>
    <row r="16" spans="1:27" x14ac:dyDescent="0.2">
      <c r="A16" s="1">
        <f t="shared" si="2"/>
        <v>36722.502000000008</v>
      </c>
      <c r="B16" s="237" t="str">
        <f>IF($A$1="Peak","-",IF(BaseLoad!H15&gt;BaseLoad!$G15,B$8*$Z16,0))</f>
        <v>-</v>
      </c>
      <c r="C16" s="237" t="str">
        <f>IF($A$1="Peak","-",IF(BaseLoad!I15&gt;BaseLoad!$G15,C$8*$Z16,0))</f>
        <v>-</v>
      </c>
      <c r="D16" s="237" t="str">
        <f>IF($A$1="Peak","-",IF(BaseLoad!J15&gt;BaseLoad!$G15,D$8*$Z16,0))</f>
        <v>-</v>
      </c>
      <c r="E16" s="237" t="str">
        <f>IF($A$1="Peak","-",IF(BaseLoad!K15&gt;BaseLoad!$G15,E$8*$Z16,0))</f>
        <v>-</v>
      </c>
      <c r="F16" s="237" t="str">
        <f>IF($A$1="Peak","-",IF(BaseLoad!L15&gt;BaseLoad!$G15,F$8*$Z16,0))</f>
        <v>-</v>
      </c>
      <c r="G16" s="237" t="str">
        <f>IF($A$1="Peak","-",IF(BaseLoad!M15&gt;BaseLoad!$G15,G$8*$Z16,0))</f>
        <v>-</v>
      </c>
      <c r="H16" s="237" t="str">
        <f>IF($A$1="Peak","-",IF(BaseLoad!N15&gt;BaseLoad!$G15,H$8*$Z16,0))</f>
        <v>-</v>
      </c>
      <c r="I16" s="237" t="str">
        <f>IF($A$1="Peak","-",IF(BaseLoad!O15&gt;BaseLoad!$G15,I$8*$Z16,0))</f>
        <v>-</v>
      </c>
      <c r="J16" s="237" t="str">
        <f>IF($A$1="Peak","-",IF(BaseLoad!P15&gt;BaseLoad!$G15,J$8*$Z16,0))</f>
        <v>-</v>
      </c>
      <c r="K16" s="237" t="str">
        <f>IF($A$1="Peak","-",IF(BaseLoad!Q15&gt;BaseLoad!$G15,K$8*$Z16,0))</f>
        <v>-</v>
      </c>
      <c r="L16" s="237" t="str">
        <f>IF($A$1="Peak","-",IF(BaseLoad!R15&gt;BaseLoad!$G15,L$8*$Z16,0))</f>
        <v>-</v>
      </c>
      <c r="M16" s="237" t="str">
        <f>IF($A$1="Peak","-",IF(BaseLoad!S15&gt;BaseLoad!$G15,M$8*$Z16,0))</f>
        <v>-</v>
      </c>
      <c r="N16" s="237" t="str">
        <f>IF($A$1="Peak","-",IF(BaseLoad!T15&gt;BaseLoad!$G15,N$8*$Z16,0))</f>
        <v>-</v>
      </c>
      <c r="O16" s="237" t="str">
        <f>IF($A$1="Peak","-",IF(BaseLoad!U15&gt;BaseLoad!$G15,O$8*$Z16,0))</f>
        <v>-</v>
      </c>
      <c r="P16" s="237" t="str">
        <f>IF($A$1="Peak","-",IF(BaseLoad!V15&gt;BaseLoad!$G15,P$8*$Z16,0))</f>
        <v>-</v>
      </c>
      <c r="Q16" s="237" t="str">
        <f>IF($A$1="Peak","-",IF(BaseLoad!W15&gt;BaseLoad!$G15,Q$8*$Z16,0))</f>
        <v>-</v>
      </c>
      <c r="R16" s="237" t="str">
        <f>IF($A$1="Peak","-",IF(BaseLoad!X15&gt;BaseLoad!$G15,R$8*$Z16,0))</f>
        <v>-</v>
      </c>
      <c r="S16" s="237" t="str">
        <f>IF($A$1="Peak","-",IF(BaseLoad!Y15&gt;BaseLoad!$G15,S$8*$Z16,0))</f>
        <v>-</v>
      </c>
      <c r="T16" s="237" t="str">
        <f>IF($A$1="Peak","-",IF(BaseLoad!Z15&gt;BaseLoad!$G15,T$8*$Z16,0))</f>
        <v>-</v>
      </c>
      <c r="U16" s="237" t="str">
        <f>IF($A$1="Peak","-",IF(BaseLoad!AA15&gt;BaseLoad!$G15,U$8*$Z16,0))</f>
        <v>-</v>
      </c>
      <c r="V16" s="237">
        <f t="shared" si="0"/>
        <v>0</v>
      </c>
      <c r="W16" s="237">
        <v>0</v>
      </c>
      <c r="X16" s="237">
        <f t="shared" si="1"/>
        <v>0</v>
      </c>
      <c r="Y16" s="237"/>
      <c r="Z16" s="237">
        <f>CHOOSE(QUOTIENT(MONTH($A16),3)+1,BaseLoad!$AM$9,BaseLoad!$AN$9,BaseLoad!$AL$9,BaseLoad!$AO$9,BaseLoad!$AM$9)</f>
        <v>0.96612135909558572</v>
      </c>
      <c r="AA16" s="237">
        <f>CHOOSE(QUOTIENT(MONTH($A16),3)+1,BaseLoad!$AM$15,BaseLoad!$AN$15,BaseLoad!$AL$15,BaseLoad!$AO$15,BaseLoad!$AM$15)</f>
        <v>705</v>
      </c>
    </row>
    <row r="17" spans="1:30" x14ac:dyDescent="0.2">
      <c r="A17" s="1">
        <f t="shared" si="2"/>
        <v>36752.919000000009</v>
      </c>
      <c r="B17" s="237" t="str">
        <f>IF($A$1="Peak","-",IF(BaseLoad!H16&gt;BaseLoad!$G16,B$8*$Z17,0))</f>
        <v>-</v>
      </c>
      <c r="C17" s="237" t="str">
        <f>IF($A$1="Peak","-",IF(BaseLoad!I16&gt;BaseLoad!$G16,C$8*$Z17,0))</f>
        <v>-</v>
      </c>
      <c r="D17" s="237" t="str">
        <f>IF($A$1="Peak","-",IF(BaseLoad!J16&gt;BaseLoad!$G16,D$8*$Z17,0))</f>
        <v>-</v>
      </c>
      <c r="E17" s="237" t="str">
        <f>IF($A$1="Peak","-",IF(BaseLoad!K16&gt;BaseLoad!$G16,E$8*$Z17,0))</f>
        <v>-</v>
      </c>
      <c r="F17" s="237" t="str">
        <f>IF($A$1="Peak","-",IF(BaseLoad!L16&gt;BaseLoad!$G16,F$8*$Z17,0))</f>
        <v>-</v>
      </c>
      <c r="G17" s="237" t="str">
        <f>IF($A$1="Peak","-",IF(BaseLoad!M16&gt;BaseLoad!$G16,G$8*$Z17,0))</f>
        <v>-</v>
      </c>
      <c r="H17" s="237" t="str">
        <f>IF($A$1="Peak","-",IF(BaseLoad!N16&gt;BaseLoad!$G16,H$8*$Z17,0))</f>
        <v>-</v>
      </c>
      <c r="I17" s="237" t="str">
        <f>IF($A$1="Peak","-",IF(BaseLoad!O16&gt;BaseLoad!$G16,I$8*$Z17,0))</f>
        <v>-</v>
      </c>
      <c r="J17" s="237" t="str">
        <f>IF($A$1="Peak","-",IF(BaseLoad!P16&gt;BaseLoad!$G16,J$8*$Z17,0))</f>
        <v>-</v>
      </c>
      <c r="K17" s="237" t="str">
        <f>IF($A$1="Peak","-",IF(BaseLoad!Q16&gt;BaseLoad!$G16,K$8*$Z17,0))</f>
        <v>-</v>
      </c>
      <c r="L17" s="237" t="str">
        <f>IF($A$1="Peak","-",IF(BaseLoad!R16&gt;BaseLoad!$G16,L$8*$Z17,0))</f>
        <v>-</v>
      </c>
      <c r="M17" s="237" t="str">
        <f>IF($A$1="Peak","-",IF(BaseLoad!S16&gt;BaseLoad!$G16,M$8*$Z17,0))</f>
        <v>-</v>
      </c>
      <c r="N17" s="237" t="str">
        <f>IF($A$1="Peak","-",IF(BaseLoad!T16&gt;BaseLoad!$G16,N$8*$Z17,0))</f>
        <v>-</v>
      </c>
      <c r="O17" s="237" t="str">
        <f>IF($A$1="Peak","-",IF(BaseLoad!U16&gt;BaseLoad!$G16,O$8*$Z17,0))</f>
        <v>-</v>
      </c>
      <c r="P17" s="237" t="str">
        <f>IF($A$1="Peak","-",IF(BaseLoad!V16&gt;BaseLoad!$G16,P$8*$Z17,0))</f>
        <v>-</v>
      </c>
      <c r="Q17" s="237" t="str">
        <f>IF($A$1="Peak","-",IF(BaseLoad!W16&gt;BaseLoad!$G16,Q$8*$Z17,0))</f>
        <v>-</v>
      </c>
      <c r="R17" s="237" t="str">
        <f>IF($A$1="Peak","-",IF(BaseLoad!X16&gt;BaseLoad!$G16,R$8*$Z17,0))</f>
        <v>-</v>
      </c>
      <c r="S17" s="237" t="str">
        <f>IF($A$1="Peak","-",IF(BaseLoad!Y16&gt;BaseLoad!$G16,S$8*$Z17,0))</f>
        <v>-</v>
      </c>
      <c r="T17" s="237" t="str">
        <f>IF($A$1="Peak","-",IF(BaseLoad!Z16&gt;BaseLoad!$G16,T$8*$Z17,0))</f>
        <v>-</v>
      </c>
      <c r="U17" s="237" t="str">
        <f>IF($A$1="Peak","-",IF(BaseLoad!AA16&gt;BaseLoad!$G16,U$8*$Z17,0))</f>
        <v>-</v>
      </c>
      <c r="V17" s="237">
        <f t="shared" si="0"/>
        <v>0</v>
      </c>
      <c r="W17" s="237">
        <v>0</v>
      </c>
      <c r="X17" s="237">
        <f t="shared" si="1"/>
        <v>0</v>
      </c>
      <c r="Y17" s="237"/>
      <c r="Z17" s="237">
        <f>CHOOSE(QUOTIENT(MONTH($A17),3)+1,BaseLoad!$AM$9,BaseLoad!$AN$9,BaseLoad!$AL$9,BaseLoad!$AO$9,BaseLoad!$AM$9)</f>
        <v>0.96612135909558572</v>
      </c>
      <c r="AA17" s="237">
        <f>CHOOSE(QUOTIENT(MONTH($A17),3)+1,BaseLoad!$AM$15,BaseLoad!$AN$15,BaseLoad!$AL$15,BaseLoad!$AO$15,BaseLoad!$AM$15)</f>
        <v>705</v>
      </c>
    </row>
    <row r="18" spans="1:30" x14ac:dyDescent="0.2">
      <c r="A18" s="1">
        <f t="shared" si="2"/>
        <v>36783.33600000001</v>
      </c>
      <c r="B18" s="237" t="str">
        <f>IF($A$1="Peak","-",IF(BaseLoad!H17&gt;BaseLoad!$G17,B$8*$Z18,0))</f>
        <v>-</v>
      </c>
      <c r="C18" s="237" t="str">
        <f>IF($A$1="Peak","-",IF(BaseLoad!I17&gt;BaseLoad!$G17,C$8*$Z18,0))</f>
        <v>-</v>
      </c>
      <c r="D18" s="237" t="str">
        <f>IF($A$1="Peak","-",IF(BaseLoad!J17&gt;BaseLoad!$G17,D$8*$Z18,0))</f>
        <v>-</v>
      </c>
      <c r="E18" s="237" t="str">
        <f>IF($A$1="Peak","-",IF(BaseLoad!K17&gt;BaseLoad!$G17,E$8*$Z18,0))</f>
        <v>-</v>
      </c>
      <c r="F18" s="237" t="str">
        <f>IF($A$1="Peak","-",IF(BaseLoad!L17&gt;BaseLoad!$G17,F$8*$Z18,0))</f>
        <v>-</v>
      </c>
      <c r="G18" s="237" t="str">
        <f>IF($A$1="Peak","-",IF(BaseLoad!M17&gt;BaseLoad!$G17,G$8*$Z18,0))</f>
        <v>-</v>
      </c>
      <c r="H18" s="237" t="str">
        <f>IF($A$1="Peak","-",IF(BaseLoad!N17&gt;BaseLoad!$G17,H$8*$Z18,0))</f>
        <v>-</v>
      </c>
      <c r="I18" s="237" t="str">
        <f>IF($A$1="Peak","-",IF(BaseLoad!O17&gt;BaseLoad!$G17,I$8*$Z18,0))</f>
        <v>-</v>
      </c>
      <c r="J18" s="237" t="str">
        <f>IF($A$1="Peak","-",IF(BaseLoad!P17&gt;BaseLoad!$G17,J$8*$Z18,0))</f>
        <v>-</v>
      </c>
      <c r="K18" s="237" t="str">
        <f>IF($A$1="Peak","-",IF(BaseLoad!Q17&gt;BaseLoad!$G17,K$8*$Z18,0))</f>
        <v>-</v>
      </c>
      <c r="L18" s="237" t="str">
        <f>IF($A$1="Peak","-",IF(BaseLoad!R17&gt;BaseLoad!$G17,L$8*$Z18,0))</f>
        <v>-</v>
      </c>
      <c r="M18" s="237" t="str">
        <f>IF($A$1="Peak","-",IF(BaseLoad!S17&gt;BaseLoad!$G17,M$8*$Z18,0))</f>
        <v>-</v>
      </c>
      <c r="N18" s="237" t="str">
        <f>IF($A$1="Peak","-",IF(BaseLoad!T17&gt;BaseLoad!$G17,N$8*$Z18,0))</f>
        <v>-</v>
      </c>
      <c r="O18" s="237" t="str">
        <f>IF($A$1="Peak","-",IF(BaseLoad!U17&gt;BaseLoad!$G17,O$8*$Z18,0))</f>
        <v>-</v>
      </c>
      <c r="P18" s="237" t="str">
        <f>IF($A$1="Peak","-",IF(BaseLoad!V17&gt;BaseLoad!$G17,P$8*$Z18,0))</f>
        <v>-</v>
      </c>
      <c r="Q18" s="237" t="str">
        <f>IF($A$1="Peak","-",IF(BaseLoad!W17&gt;BaseLoad!$G17,Q$8*$Z18,0))</f>
        <v>-</v>
      </c>
      <c r="R18" s="237" t="str">
        <f>IF($A$1="Peak","-",IF(BaseLoad!X17&gt;BaseLoad!$G17,R$8*$Z18,0))</f>
        <v>-</v>
      </c>
      <c r="S18" s="237" t="str">
        <f>IF($A$1="Peak","-",IF(BaseLoad!Y17&gt;BaseLoad!$G17,S$8*$Z18,0))</f>
        <v>-</v>
      </c>
      <c r="T18" s="237" t="str">
        <f>IF($A$1="Peak","-",IF(BaseLoad!Z17&gt;BaseLoad!$G17,T$8*$Z18,0))</f>
        <v>-</v>
      </c>
      <c r="U18" s="237" t="str">
        <f>IF($A$1="Peak","-",IF(BaseLoad!AA17&gt;BaseLoad!$G17,U$8*$Z18,0))</f>
        <v>-</v>
      </c>
      <c r="V18" s="237">
        <f t="shared" si="0"/>
        <v>0</v>
      </c>
      <c r="W18" s="237">
        <v>0</v>
      </c>
      <c r="X18" s="237">
        <f t="shared" si="1"/>
        <v>0</v>
      </c>
      <c r="Y18" s="237"/>
      <c r="Z18" s="237">
        <f>CHOOSE(QUOTIENT(MONTH($A18),3)+1,BaseLoad!$AM$9,BaseLoad!$AN$9,BaseLoad!$AL$9,BaseLoad!$AO$9,BaseLoad!$AM$9)</f>
        <v>0.95</v>
      </c>
      <c r="AA18" s="237">
        <f>CHOOSE(QUOTIENT(MONTH($A18),3)+1,BaseLoad!$AM$15,BaseLoad!$AN$15,BaseLoad!$AL$15,BaseLoad!$AO$15,BaseLoad!$AM$15)</f>
        <v>705</v>
      </c>
    </row>
    <row r="19" spans="1:30" x14ac:dyDescent="0.2">
      <c r="A19" s="1">
        <f t="shared" si="2"/>
        <v>36813.753000000012</v>
      </c>
      <c r="B19" s="237" t="str">
        <f>IF($A$1="Peak","-",IF(BaseLoad!H18&gt;BaseLoad!$G18,B$8*$Z19,0))</f>
        <v>-</v>
      </c>
      <c r="C19" s="237" t="str">
        <f>IF($A$1="Peak","-",IF(BaseLoad!I18&gt;BaseLoad!$G18,C$8*$Z19,0))</f>
        <v>-</v>
      </c>
      <c r="D19" s="237" t="str">
        <f>IF($A$1="Peak","-",IF(BaseLoad!J18&gt;BaseLoad!$G18,D$8*$Z19,0))</f>
        <v>-</v>
      </c>
      <c r="E19" s="237" t="str">
        <f>IF($A$1="Peak","-",IF(BaseLoad!K18&gt;BaseLoad!$G18,E$8*$Z19,0))</f>
        <v>-</v>
      </c>
      <c r="F19" s="237" t="str">
        <f>IF($A$1="Peak","-",IF(BaseLoad!L18&gt;BaseLoad!$G18,F$8*$Z19,0))</f>
        <v>-</v>
      </c>
      <c r="G19" s="237" t="str">
        <f>IF($A$1="Peak","-",IF(BaseLoad!M18&gt;BaseLoad!$G18,G$8*$Z19,0))</f>
        <v>-</v>
      </c>
      <c r="H19" s="237" t="str">
        <f>IF($A$1="Peak","-",IF(BaseLoad!N18&gt;BaseLoad!$G18,H$8*$Z19,0))</f>
        <v>-</v>
      </c>
      <c r="I19" s="237" t="str">
        <f>IF($A$1="Peak","-",IF(BaseLoad!O18&gt;BaseLoad!$G18,I$8*$Z19,0))</f>
        <v>-</v>
      </c>
      <c r="J19" s="237" t="str">
        <f>IF($A$1="Peak","-",IF(BaseLoad!P18&gt;BaseLoad!$G18,J$8*$Z19,0))</f>
        <v>-</v>
      </c>
      <c r="K19" s="237" t="str">
        <f>IF($A$1="Peak","-",IF(BaseLoad!Q18&gt;BaseLoad!$G18,K$8*$Z19,0))</f>
        <v>-</v>
      </c>
      <c r="L19" s="237" t="str">
        <f>IF($A$1="Peak","-",IF(BaseLoad!R18&gt;BaseLoad!$G18,L$8*$Z19,0))</f>
        <v>-</v>
      </c>
      <c r="M19" s="237" t="str">
        <f>IF($A$1="Peak","-",IF(BaseLoad!S18&gt;BaseLoad!$G18,M$8*$Z19,0))</f>
        <v>-</v>
      </c>
      <c r="N19" s="237" t="str">
        <f>IF($A$1="Peak","-",IF(BaseLoad!T18&gt;BaseLoad!$G18,N$8*$Z19,0))</f>
        <v>-</v>
      </c>
      <c r="O19" s="237" t="str">
        <f>IF($A$1="Peak","-",IF(BaseLoad!U18&gt;BaseLoad!$G18,O$8*$Z19,0))</f>
        <v>-</v>
      </c>
      <c r="P19" s="237" t="str">
        <f>IF($A$1="Peak","-",IF(BaseLoad!V18&gt;BaseLoad!$G18,P$8*$Z19,0))</f>
        <v>-</v>
      </c>
      <c r="Q19" s="237" t="str">
        <f>IF($A$1="Peak","-",IF(BaseLoad!W18&gt;BaseLoad!$G18,Q$8*$Z19,0))</f>
        <v>-</v>
      </c>
      <c r="R19" s="237" t="str">
        <f>IF($A$1="Peak","-",IF(BaseLoad!X18&gt;BaseLoad!$G18,R$8*$Z19,0))</f>
        <v>-</v>
      </c>
      <c r="S19" s="237" t="str">
        <f>IF($A$1="Peak","-",IF(BaseLoad!Y18&gt;BaseLoad!$G18,S$8*$Z19,0))</f>
        <v>-</v>
      </c>
      <c r="T19" s="237" t="str">
        <f>IF($A$1="Peak","-",IF(BaseLoad!Z18&gt;BaseLoad!$G18,T$8*$Z19,0))</f>
        <v>-</v>
      </c>
      <c r="U19" s="237" t="str">
        <f>IF($A$1="Peak","-",IF(BaseLoad!AA18&gt;BaseLoad!$G18,U$8*$Z19,0))</f>
        <v>-</v>
      </c>
      <c r="V19" s="237">
        <f t="shared" si="0"/>
        <v>0</v>
      </c>
      <c r="W19" s="237">
        <v>0</v>
      </c>
      <c r="X19" s="237">
        <f t="shared" si="1"/>
        <v>0</v>
      </c>
      <c r="Y19" s="237"/>
      <c r="Z19" s="237">
        <f>CHOOSE(QUOTIENT(MONTH($A19),3)+1,BaseLoad!$AM$9,BaseLoad!$AN$9,BaseLoad!$AL$9,BaseLoad!$AO$9,BaseLoad!$AM$9)</f>
        <v>0.95</v>
      </c>
      <c r="AA19" s="237">
        <f>CHOOSE(QUOTIENT(MONTH($A19),3)+1,BaseLoad!$AM$15,BaseLoad!$AN$15,BaseLoad!$AL$15,BaseLoad!$AO$15,BaseLoad!$AM$15)</f>
        <v>705</v>
      </c>
    </row>
    <row r="20" spans="1:30" x14ac:dyDescent="0.2">
      <c r="A20" s="1">
        <f t="shared" si="2"/>
        <v>36844.170000000013</v>
      </c>
      <c r="B20" s="237" t="str">
        <f>IF($A$1="Peak","-",IF(BaseLoad!H19&gt;BaseLoad!$G19,B$8*$Z20,0))</f>
        <v>-</v>
      </c>
      <c r="C20" s="237" t="str">
        <f>IF($A$1="Peak","-",IF(BaseLoad!I19&gt;BaseLoad!$G19,C$8*$Z20,0))</f>
        <v>-</v>
      </c>
      <c r="D20" s="237" t="str">
        <f>IF($A$1="Peak","-",IF(BaseLoad!J19&gt;BaseLoad!$G19,D$8*$Z20,0))</f>
        <v>-</v>
      </c>
      <c r="E20" s="237" t="str">
        <f>IF($A$1="Peak","-",IF(BaseLoad!K19&gt;BaseLoad!$G19,E$8*$Z20,0))</f>
        <v>-</v>
      </c>
      <c r="F20" s="237" t="str">
        <f>IF($A$1="Peak","-",IF(BaseLoad!L19&gt;BaseLoad!$G19,F$8*$Z20,0))</f>
        <v>-</v>
      </c>
      <c r="G20" s="237" t="str">
        <f>IF($A$1="Peak","-",IF(BaseLoad!M19&gt;BaseLoad!$G19,G$8*$Z20,0))</f>
        <v>-</v>
      </c>
      <c r="H20" s="237" t="str">
        <f>IF($A$1="Peak","-",IF(BaseLoad!N19&gt;BaseLoad!$G19,H$8*$Z20,0))</f>
        <v>-</v>
      </c>
      <c r="I20" s="237" t="str">
        <f>IF($A$1="Peak","-",IF(BaseLoad!O19&gt;BaseLoad!$G19,I$8*$Z20,0))</f>
        <v>-</v>
      </c>
      <c r="J20" s="237" t="str">
        <f>IF($A$1="Peak","-",IF(BaseLoad!P19&gt;BaseLoad!$G19,J$8*$Z20,0))</f>
        <v>-</v>
      </c>
      <c r="K20" s="237" t="str">
        <f>IF($A$1="Peak","-",IF(BaseLoad!Q19&gt;BaseLoad!$G19,K$8*$Z20,0))</f>
        <v>-</v>
      </c>
      <c r="L20" s="237" t="str">
        <f>IF($A$1="Peak","-",IF(BaseLoad!R19&gt;BaseLoad!$G19,L$8*$Z20,0))</f>
        <v>-</v>
      </c>
      <c r="M20" s="237" t="str">
        <f>IF($A$1="Peak","-",IF(BaseLoad!S19&gt;BaseLoad!$G19,M$8*$Z20,0))</f>
        <v>-</v>
      </c>
      <c r="N20" s="237" t="str">
        <f>IF($A$1="Peak","-",IF(BaseLoad!T19&gt;BaseLoad!$G19,N$8*$Z20,0))</f>
        <v>-</v>
      </c>
      <c r="O20" s="237" t="str">
        <f>IF($A$1="Peak","-",IF(BaseLoad!U19&gt;BaseLoad!$G19,O$8*$Z20,0))</f>
        <v>-</v>
      </c>
      <c r="P20" s="237" t="str">
        <f>IF($A$1="Peak","-",IF(BaseLoad!V19&gt;BaseLoad!$G19,P$8*$Z20,0))</f>
        <v>-</v>
      </c>
      <c r="Q20" s="237" t="str">
        <f>IF($A$1="Peak","-",IF(BaseLoad!W19&gt;BaseLoad!$G19,Q$8*$Z20,0))</f>
        <v>-</v>
      </c>
      <c r="R20" s="237" t="str">
        <f>IF($A$1="Peak","-",IF(BaseLoad!X19&gt;BaseLoad!$G19,R$8*$Z20,0))</f>
        <v>-</v>
      </c>
      <c r="S20" s="237" t="str">
        <f>IF($A$1="Peak","-",IF(BaseLoad!Y19&gt;BaseLoad!$G19,S$8*$Z20,0))</f>
        <v>-</v>
      </c>
      <c r="T20" s="237" t="str">
        <f>IF($A$1="Peak","-",IF(BaseLoad!Z19&gt;BaseLoad!$G19,T$8*$Z20,0))</f>
        <v>-</v>
      </c>
      <c r="U20" s="237" t="str">
        <f>IF($A$1="Peak","-",IF(BaseLoad!AA19&gt;BaseLoad!$G19,U$8*$Z20,0))</f>
        <v>-</v>
      </c>
      <c r="V20" s="237">
        <f t="shared" si="0"/>
        <v>0</v>
      </c>
      <c r="W20" s="237">
        <v>0</v>
      </c>
      <c r="X20" s="237">
        <f t="shared" si="1"/>
        <v>0</v>
      </c>
      <c r="Y20" s="237"/>
      <c r="Z20" s="237">
        <f>CHOOSE(QUOTIENT(MONTH($A20),3)+1,BaseLoad!$AM$9,BaseLoad!$AN$9,BaseLoad!$AL$9,BaseLoad!$AO$9,BaseLoad!$AM$9)</f>
        <v>0.95</v>
      </c>
      <c r="AA20" s="237">
        <f>CHOOSE(QUOTIENT(MONTH($A20),3)+1,BaseLoad!$AM$15,BaseLoad!$AN$15,BaseLoad!$AL$15,BaseLoad!$AO$15,BaseLoad!$AM$15)</f>
        <v>705</v>
      </c>
    </row>
    <row r="21" spans="1:30" x14ac:dyDescent="0.2">
      <c r="A21" s="1">
        <f t="shared" si="2"/>
        <v>36874.587000000014</v>
      </c>
      <c r="B21" s="237" t="str">
        <f>IF($A$1="Peak","-",IF(BaseLoad!H20&gt;BaseLoad!$G20,B$8*$Z21,0))</f>
        <v>-</v>
      </c>
      <c r="C21" s="237" t="str">
        <f>IF($A$1="Peak","-",IF(BaseLoad!I20&gt;BaseLoad!$G20,C$8*$Z21,0))</f>
        <v>-</v>
      </c>
      <c r="D21" s="237" t="str">
        <f>IF($A$1="Peak","-",IF(BaseLoad!J20&gt;BaseLoad!$G20,D$8*$Z21,0))</f>
        <v>-</v>
      </c>
      <c r="E21" s="237" t="str">
        <f>IF($A$1="Peak","-",IF(BaseLoad!K20&gt;BaseLoad!$G20,E$8*$Z21,0))</f>
        <v>-</v>
      </c>
      <c r="F21" s="237" t="str">
        <f>IF($A$1="Peak","-",IF(BaseLoad!L20&gt;BaseLoad!$G20,F$8*$Z21,0))</f>
        <v>-</v>
      </c>
      <c r="G21" s="237" t="str">
        <f>IF($A$1="Peak","-",IF(BaseLoad!M20&gt;BaseLoad!$G20,G$8*$Z21,0))</f>
        <v>-</v>
      </c>
      <c r="H21" s="237" t="str">
        <f>IF($A$1="Peak","-",IF(BaseLoad!N20&gt;BaseLoad!$G20,H$8*$Z21,0))</f>
        <v>-</v>
      </c>
      <c r="I21" s="237" t="str">
        <f>IF($A$1="Peak","-",IF(BaseLoad!O20&gt;BaseLoad!$G20,I$8*$Z21,0))</f>
        <v>-</v>
      </c>
      <c r="J21" s="237" t="str">
        <f>IF($A$1="Peak","-",IF(BaseLoad!P20&gt;BaseLoad!$G20,J$8*$Z21,0))</f>
        <v>-</v>
      </c>
      <c r="K21" s="237" t="str">
        <f>IF($A$1="Peak","-",IF(BaseLoad!Q20&gt;BaseLoad!$G20,K$8*$Z21,0))</f>
        <v>-</v>
      </c>
      <c r="L21" s="237" t="str">
        <f>IF($A$1="Peak","-",IF(BaseLoad!R20&gt;BaseLoad!$G20,L$8*$Z21,0))</f>
        <v>-</v>
      </c>
      <c r="M21" s="237" t="str">
        <f>IF($A$1="Peak","-",IF(BaseLoad!S20&gt;BaseLoad!$G20,M$8*$Z21,0))</f>
        <v>-</v>
      </c>
      <c r="N21" s="237" t="str">
        <f>IF($A$1="Peak","-",IF(BaseLoad!T20&gt;BaseLoad!$G20,N$8*$Z21,0))</f>
        <v>-</v>
      </c>
      <c r="O21" s="237" t="str">
        <f>IF($A$1="Peak","-",IF(BaseLoad!U20&gt;BaseLoad!$G20,O$8*$Z21,0))</f>
        <v>-</v>
      </c>
      <c r="P21" s="237" t="str">
        <f>IF($A$1="Peak","-",IF(BaseLoad!V20&gt;BaseLoad!$G20,P$8*$Z21,0))</f>
        <v>-</v>
      </c>
      <c r="Q21" s="237" t="str">
        <f>IF($A$1="Peak","-",IF(BaseLoad!W20&gt;BaseLoad!$G20,Q$8*$Z21,0))</f>
        <v>-</v>
      </c>
      <c r="R21" s="237" t="str">
        <f>IF($A$1="Peak","-",IF(BaseLoad!X20&gt;BaseLoad!$G20,R$8*$Z21,0))</f>
        <v>-</v>
      </c>
      <c r="S21" s="237" t="str">
        <f>IF($A$1="Peak","-",IF(BaseLoad!Y20&gt;BaseLoad!$G20,S$8*$Z21,0))</f>
        <v>-</v>
      </c>
      <c r="T21" s="237" t="str">
        <f>IF($A$1="Peak","-",IF(BaseLoad!Z20&gt;BaseLoad!$G20,T$8*$Z21,0))</f>
        <v>-</v>
      </c>
      <c r="U21" s="237" t="str">
        <f>IF($A$1="Peak","-",IF(BaseLoad!AA20&gt;BaseLoad!$G20,U$8*$Z21,0))</f>
        <v>-</v>
      </c>
      <c r="V21" s="237">
        <f t="shared" si="0"/>
        <v>0</v>
      </c>
      <c r="W21" s="237">
        <v>0</v>
      </c>
      <c r="X21" s="237">
        <f t="shared" si="1"/>
        <v>0</v>
      </c>
      <c r="Y21" s="237">
        <f>SUM(V10:V21)</f>
        <v>0</v>
      </c>
      <c r="Z21" s="237">
        <f>CHOOSE(QUOTIENT(MONTH($A21),3)+1,BaseLoad!$AM$9,BaseLoad!$AN$9,BaseLoad!$AL$9,BaseLoad!$AO$9,BaseLoad!$AM$9)</f>
        <v>0.92427661878611755</v>
      </c>
      <c r="AA21" s="237">
        <f>CHOOSE(QUOTIENT(MONTH($A21),3)+1,BaseLoad!$AM$15,BaseLoad!$AN$15,BaseLoad!$AL$15,BaseLoad!$AO$15,BaseLoad!$AM$15)</f>
        <v>705</v>
      </c>
    </row>
    <row r="22" spans="1:30" x14ac:dyDescent="0.2">
      <c r="A22" s="1">
        <f t="shared" si="2"/>
        <v>36905.004000000015</v>
      </c>
      <c r="B22" s="237" t="str">
        <f>IF($A$1="Peak","-",IF(BaseLoad!H21&gt;BaseLoad!$G21,B$8*PPA!$G$5*$Z22,0))</f>
        <v>-</v>
      </c>
      <c r="C22" s="237" t="str">
        <f>IF($A$1="Peak","-",IF(BaseLoad!I21&gt;BaseLoad!$G21,C$8*PPA!$G$5*$Z22,0))</f>
        <v>-</v>
      </c>
      <c r="D22" s="237" t="str">
        <f>IF($A$1="Peak","-",IF(BaseLoad!J21&gt;BaseLoad!$G21,D$8*PPA!$G$5*$Z22,0))</f>
        <v>-</v>
      </c>
      <c r="E22" s="237" t="str">
        <f>IF($A$1="Peak","-",IF(BaseLoad!K21&gt;BaseLoad!$G21,E$8*PPA!$G$5*$Z22,0))</f>
        <v>-</v>
      </c>
      <c r="F22" s="237" t="str">
        <f>IF($A$1="Peak","-",IF(BaseLoad!L21&gt;BaseLoad!$G21,F$8*PPA!$G$5*$Z22,0))</f>
        <v>-</v>
      </c>
      <c r="G22" s="237" t="str">
        <f>IF($A$1="Peak","-",IF(BaseLoad!M21&gt;BaseLoad!$G21,G$8*PPA!$G$5*$Z22,0))</f>
        <v>-</v>
      </c>
      <c r="H22" s="237" t="str">
        <f>IF($A$1="Peak","-",IF(BaseLoad!N21&gt;BaseLoad!$G21,H$8*PPA!$G$5*$Z22,0))</f>
        <v>-</v>
      </c>
      <c r="I22" s="237" t="str">
        <f>IF($A$1="Peak","-",IF(BaseLoad!O21&gt;BaseLoad!$G21,I$8*PPA!$G$5*$Z22,0))</f>
        <v>-</v>
      </c>
      <c r="J22" s="237" t="str">
        <f>IF($A$1="Peak","-",IF(BaseLoad!P21&gt;BaseLoad!$G21,J$8*PPA!$G$5*$Z22,0))</f>
        <v>-</v>
      </c>
      <c r="K22" s="237" t="str">
        <f>IF($A$1="Peak","-",IF(BaseLoad!Q21&gt;BaseLoad!$G21,K$8*PPA!$G$5*$Z22,0))</f>
        <v>-</v>
      </c>
      <c r="L22" s="237" t="str">
        <f>IF($A$1="Peak","-",IF(BaseLoad!R21&gt;BaseLoad!$G21,L$8*PPA!$G$5*$Z22,0))</f>
        <v>-</v>
      </c>
      <c r="M22" s="237" t="str">
        <f>IF($A$1="Peak","-",IF(BaseLoad!S21&gt;BaseLoad!$G21,M$8*PPA!$G$5*$Z22,0))</f>
        <v>-</v>
      </c>
      <c r="N22" s="237" t="str">
        <f>IF($A$1="Peak","-",IF(BaseLoad!T21&gt;BaseLoad!$G21,N$8*PPA!$G$5*$Z22,0))</f>
        <v>-</v>
      </c>
      <c r="O22" s="237" t="str">
        <f>IF($A$1="Peak","-",IF(BaseLoad!U21&gt;BaseLoad!$G21,O$8*PPA!$G$5*$Z22,0))</f>
        <v>-</v>
      </c>
      <c r="P22" s="237" t="str">
        <f>IF($A$1="Peak","-",IF(BaseLoad!V21&gt;BaseLoad!$G21,P$8*PPA!$G$5*$Z22,0))</f>
        <v>-</v>
      </c>
      <c r="Q22" s="237" t="str">
        <f>IF($A$1="Peak","-",IF(BaseLoad!W21&gt;BaseLoad!$G21,Q$8*PPA!$G$5*$Z22,0))</f>
        <v>-</v>
      </c>
      <c r="R22" s="237" t="str">
        <f>IF($A$1="Peak","-",IF(BaseLoad!X21&gt;BaseLoad!$G21,R$8*PPA!$G$5*$Z22,0))</f>
        <v>-</v>
      </c>
      <c r="S22" s="237" t="str">
        <f>IF($A$1="Peak","-",IF(BaseLoad!Y21&gt;BaseLoad!$G21,S$8*PPA!$G$5*$Z22,0))</f>
        <v>-</v>
      </c>
      <c r="T22" s="237" t="str">
        <f>IF($A$1="Peak","-",IF(BaseLoad!Z21&gt;BaseLoad!$G21,T$8*PPA!$G$5*$Z22,0))</f>
        <v>-</v>
      </c>
      <c r="U22" s="237" t="str">
        <f>IF($A$1="Peak","-",IF(BaseLoad!AA21&gt;BaseLoad!$G21,U$8*PPA!$G$5*$Z22,0))</f>
        <v>-</v>
      </c>
      <c r="V22" s="237">
        <f t="shared" si="0"/>
        <v>0</v>
      </c>
      <c r="W22" s="237" t="str">
        <f>IF($A$1="Peak","-",(730*PPA!$G$4*$Z22))</f>
        <v>-</v>
      </c>
      <c r="X22" s="237">
        <f t="shared" si="1"/>
        <v>0</v>
      </c>
      <c r="Y22" s="237"/>
      <c r="Z22" s="237">
        <f>CHOOSE(QUOTIENT(MONTH($A22),3)+1,BaseLoad!$AM$9,BaseLoad!$AN$9,BaseLoad!$AL$9,BaseLoad!$AO$9,BaseLoad!$AM$9)</f>
        <v>0.92427661878611755</v>
      </c>
      <c r="AA22" s="237">
        <f>CHOOSE(QUOTIENT(MONTH($A22),3)+1,BaseLoad!$AM$15,BaseLoad!$AN$15,BaseLoad!$AL$15,BaseLoad!$AO$15,BaseLoad!$AM$15)</f>
        <v>705</v>
      </c>
      <c r="AB22" s="471"/>
      <c r="AD22" s="471"/>
    </row>
    <row r="23" spans="1:30" x14ac:dyDescent="0.2">
      <c r="A23" s="1">
        <f t="shared" si="2"/>
        <v>36935.421000000017</v>
      </c>
      <c r="B23" s="237" t="str">
        <f>IF($A$1="Peak","-",IF(BaseLoad!H22&gt;BaseLoad!$G22,B$8*PPA!$G$5*$Z23,0))</f>
        <v>-</v>
      </c>
      <c r="C23" s="237" t="str">
        <f>IF($A$1="Peak","-",IF(BaseLoad!I22&gt;BaseLoad!$G22,C$8*PPA!$G$5*$Z23,0))</f>
        <v>-</v>
      </c>
      <c r="D23" s="237" t="str">
        <f>IF($A$1="Peak","-",IF(BaseLoad!J22&gt;BaseLoad!$G22,D$8*PPA!$G$5*$Z23,0))</f>
        <v>-</v>
      </c>
      <c r="E23" s="237" t="str">
        <f>IF($A$1="Peak","-",IF(BaseLoad!K22&gt;BaseLoad!$G22,E$8*PPA!$G$5*$Z23,0))</f>
        <v>-</v>
      </c>
      <c r="F23" s="237" t="str">
        <f>IF($A$1="Peak","-",IF(BaseLoad!L22&gt;BaseLoad!$G22,F$8*PPA!$G$5*$Z23,0))</f>
        <v>-</v>
      </c>
      <c r="G23" s="237" t="str">
        <f>IF($A$1="Peak","-",IF(BaseLoad!M22&gt;BaseLoad!$G22,G$8*PPA!$G$5*$Z23,0))</f>
        <v>-</v>
      </c>
      <c r="H23" s="237" t="str">
        <f>IF($A$1="Peak","-",IF(BaseLoad!N22&gt;BaseLoad!$G22,H$8*PPA!$G$5*$Z23,0))</f>
        <v>-</v>
      </c>
      <c r="I23" s="237" t="str">
        <f>IF($A$1="Peak","-",IF(BaseLoad!O22&gt;BaseLoad!$G22,I$8*PPA!$G$5*$Z23,0))</f>
        <v>-</v>
      </c>
      <c r="J23" s="237" t="str">
        <f>IF($A$1="Peak","-",IF(BaseLoad!P22&gt;BaseLoad!$G22,J$8*PPA!$G$5*$Z23,0))</f>
        <v>-</v>
      </c>
      <c r="K23" s="237" t="str">
        <f>IF($A$1="Peak","-",IF(BaseLoad!Q22&gt;BaseLoad!$G22,K$8*PPA!$G$5*$Z23,0))</f>
        <v>-</v>
      </c>
      <c r="L23" s="237" t="str">
        <f>IF($A$1="Peak","-",IF(BaseLoad!R22&gt;BaseLoad!$G22,L$8*PPA!$G$5*$Z23,0))</f>
        <v>-</v>
      </c>
      <c r="M23" s="237" t="str">
        <f>IF($A$1="Peak","-",IF(BaseLoad!S22&gt;BaseLoad!$G22,M$8*PPA!$G$5*$Z23,0))</f>
        <v>-</v>
      </c>
      <c r="N23" s="237" t="str">
        <f>IF($A$1="Peak","-",IF(BaseLoad!T22&gt;BaseLoad!$G22,N$8*PPA!$G$5*$Z23,0))</f>
        <v>-</v>
      </c>
      <c r="O23" s="237" t="str">
        <f>IF($A$1="Peak","-",IF(BaseLoad!U22&gt;BaseLoad!$G22,O$8*PPA!$G$5*$Z23,0))</f>
        <v>-</v>
      </c>
      <c r="P23" s="237" t="str">
        <f>IF($A$1="Peak","-",IF(BaseLoad!V22&gt;BaseLoad!$G22,P$8*PPA!$G$5*$Z23,0))</f>
        <v>-</v>
      </c>
      <c r="Q23" s="237" t="str">
        <f>IF($A$1="Peak","-",IF(BaseLoad!W22&gt;BaseLoad!$G22,Q$8*PPA!$G$5*$Z23,0))</f>
        <v>-</v>
      </c>
      <c r="R23" s="237" t="str">
        <f>IF($A$1="Peak","-",IF(BaseLoad!X22&gt;BaseLoad!$G22,R$8*PPA!$G$5*$Z23,0))</f>
        <v>-</v>
      </c>
      <c r="S23" s="237" t="str">
        <f>IF($A$1="Peak","-",IF(BaseLoad!Y22&gt;BaseLoad!$G22,S$8*PPA!$G$5*$Z23,0))</f>
        <v>-</v>
      </c>
      <c r="T23" s="237" t="str">
        <f>IF($A$1="Peak","-",IF(BaseLoad!Z22&gt;BaseLoad!$G22,T$8*PPA!$G$5*$Z23,0))</f>
        <v>-</v>
      </c>
      <c r="U23" s="237" t="str">
        <f>IF($A$1="Peak","-",IF(BaseLoad!AA22&gt;BaseLoad!$G22,U$8*PPA!$G$5*$Z23,0))</f>
        <v>-</v>
      </c>
      <c r="V23" s="237">
        <f t="shared" si="0"/>
        <v>0</v>
      </c>
      <c r="W23" s="237" t="str">
        <f>IF($A$1="Peak","-",(730*PPA!$G$4*$Z23))</f>
        <v>-</v>
      </c>
      <c r="X23" s="237">
        <f t="shared" si="1"/>
        <v>0</v>
      </c>
      <c r="Y23" s="237"/>
      <c r="Z23" s="237">
        <f>CHOOSE(QUOTIENT(MONTH($A23),3)+1,BaseLoad!$AM$9,BaseLoad!$AN$9,BaseLoad!$AL$9,BaseLoad!$AO$9,BaseLoad!$AM$9)</f>
        <v>0.92427661878611755</v>
      </c>
      <c r="AA23" s="237">
        <f>CHOOSE(QUOTIENT(MONTH($A23),3)+1,BaseLoad!$AM$15,BaseLoad!$AN$15,BaseLoad!$AL$15,BaseLoad!$AO$15,BaseLoad!$AM$15)</f>
        <v>705</v>
      </c>
      <c r="AB23" s="471"/>
      <c r="AD23" s="471"/>
    </row>
    <row r="24" spans="1:30" x14ac:dyDescent="0.2">
      <c r="A24" s="1">
        <f t="shared" si="2"/>
        <v>36965.838000000018</v>
      </c>
      <c r="B24" s="237" t="str">
        <f>IF($A$1="Peak","-",IF(BaseLoad!H23&gt;BaseLoad!$G23,B$8*PPA!$G$5*$Z24,0))</f>
        <v>-</v>
      </c>
      <c r="C24" s="237" t="str">
        <f>IF($A$1="Peak","-",IF(BaseLoad!I23&gt;BaseLoad!$G23,C$8*PPA!$G$5*$Z24,0))</f>
        <v>-</v>
      </c>
      <c r="D24" s="237" t="str">
        <f>IF($A$1="Peak","-",IF(BaseLoad!J23&gt;BaseLoad!$G23,D$8*PPA!$G$5*$Z24,0))</f>
        <v>-</v>
      </c>
      <c r="E24" s="237" t="str">
        <f>IF($A$1="Peak","-",IF(BaseLoad!K23&gt;BaseLoad!$G23,E$8*PPA!$G$5*$Z24,0))</f>
        <v>-</v>
      </c>
      <c r="F24" s="237" t="str">
        <f>IF($A$1="Peak","-",IF(BaseLoad!L23&gt;BaseLoad!$G23,F$8*PPA!$G$5*$Z24,0))</f>
        <v>-</v>
      </c>
      <c r="G24" s="237" t="str">
        <f>IF($A$1="Peak","-",IF(BaseLoad!M23&gt;BaseLoad!$G23,G$8*PPA!$G$5*$Z24,0))</f>
        <v>-</v>
      </c>
      <c r="H24" s="237" t="str">
        <f>IF($A$1="Peak","-",IF(BaseLoad!N23&gt;BaseLoad!$G23,H$8*PPA!$G$5*$Z24,0))</f>
        <v>-</v>
      </c>
      <c r="I24" s="237" t="str">
        <f>IF($A$1="Peak","-",IF(BaseLoad!O23&gt;BaseLoad!$G23,I$8*PPA!$G$5*$Z24,0))</f>
        <v>-</v>
      </c>
      <c r="J24" s="237" t="str">
        <f>IF($A$1="Peak","-",IF(BaseLoad!P23&gt;BaseLoad!$G23,J$8*PPA!$G$5*$Z24,0))</f>
        <v>-</v>
      </c>
      <c r="K24" s="237" t="str">
        <f>IF($A$1="Peak","-",IF(BaseLoad!Q23&gt;BaseLoad!$G23,K$8*PPA!$G$5*$Z24,0))</f>
        <v>-</v>
      </c>
      <c r="L24" s="237" t="str">
        <f>IF($A$1="Peak","-",IF(BaseLoad!R23&gt;BaseLoad!$G23,L$8*PPA!$G$5*$Z24,0))</f>
        <v>-</v>
      </c>
      <c r="M24" s="237" t="str">
        <f>IF($A$1="Peak","-",IF(BaseLoad!S23&gt;BaseLoad!$G23,M$8*PPA!$G$5*$Z24,0))</f>
        <v>-</v>
      </c>
      <c r="N24" s="237" t="str">
        <f>IF($A$1="Peak","-",IF(BaseLoad!T23&gt;BaseLoad!$G23,N$8*PPA!$G$5*$Z24,0))</f>
        <v>-</v>
      </c>
      <c r="O24" s="237" t="str">
        <f>IF($A$1="Peak","-",IF(BaseLoad!U23&gt;BaseLoad!$G23,O$8*PPA!$G$5*$Z24,0))</f>
        <v>-</v>
      </c>
      <c r="P24" s="237" t="str">
        <f>IF($A$1="Peak","-",IF(BaseLoad!V23&gt;BaseLoad!$G23,P$8*PPA!$G$5*$Z24,0))</f>
        <v>-</v>
      </c>
      <c r="Q24" s="237" t="str">
        <f>IF($A$1="Peak","-",IF(BaseLoad!W23&gt;BaseLoad!$G23,Q$8*PPA!$G$5*$Z24,0))</f>
        <v>-</v>
      </c>
      <c r="R24" s="237" t="str">
        <f>IF($A$1="Peak","-",IF(BaseLoad!X23&gt;BaseLoad!$G23,R$8*PPA!$G$5*$Z24,0))</f>
        <v>-</v>
      </c>
      <c r="S24" s="237" t="str">
        <f>IF($A$1="Peak","-",IF(BaseLoad!Y23&gt;BaseLoad!$G23,S$8*PPA!$G$5*$Z24,0))</f>
        <v>-</v>
      </c>
      <c r="T24" s="237" t="str">
        <f>IF($A$1="Peak","-",IF(BaseLoad!Z23&gt;BaseLoad!$G23,T$8*PPA!$G$5*$Z24,0))</f>
        <v>-</v>
      </c>
      <c r="U24" s="237" t="str">
        <f>IF($A$1="Peak","-",IF(BaseLoad!AA23&gt;BaseLoad!$G23,U$8*PPA!$G$5*$Z24,0))</f>
        <v>-</v>
      </c>
      <c r="V24" s="237">
        <f t="shared" si="0"/>
        <v>0</v>
      </c>
      <c r="W24" s="237" t="str">
        <f>IF($A$1="Peak","-",(730*PPA!$G$4*$Z24))</f>
        <v>-</v>
      </c>
      <c r="X24" s="237">
        <f t="shared" si="1"/>
        <v>0</v>
      </c>
      <c r="Y24" s="237"/>
      <c r="Z24" s="237">
        <f>CHOOSE(QUOTIENT(MONTH($A24),3)+1,BaseLoad!$AM$9,BaseLoad!$AN$9,BaseLoad!$AL$9,BaseLoad!$AO$9,BaseLoad!$AM$9)</f>
        <v>0.95</v>
      </c>
      <c r="AA24" s="237">
        <f>CHOOSE(QUOTIENT(MONTH($A24),3)+1,BaseLoad!$AM$15,BaseLoad!$AN$15,BaseLoad!$AL$15,BaseLoad!$AO$15,BaseLoad!$AM$15)</f>
        <v>705</v>
      </c>
      <c r="AB24" s="471"/>
      <c r="AD24" s="471"/>
    </row>
    <row r="25" spans="1:30" x14ac:dyDescent="0.2">
      <c r="A25" s="1">
        <f t="shared" si="2"/>
        <v>36996.255000000019</v>
      </c>
      <c r="B25" s="237" t="str">
        <f>IF($A$1="Peak","-",IF(BaseLoad!H24&gt;BaseLoad!$G24,B$8*PPA!$G$5*$Z25,0))</f>
        <v>-</v>
      </c>
      <c r="C25" s="237" t="str">
        <f>IF($A$1="Peak","-",IF(BaseLoad!I24&gt;BaseLoad!$G24,C$8*PPA!$G$5*$Z25,0))</f>
        <v>-</v>
      </c>
      <c r="D25" s="237" t="str">
        <f>IF($A$1="Peak","-",IF(BaseLoad!J24&gt;BaseLoad!$G24,D$8*PPA!$G$5*$Z25,0))</f>
        <v>-</v>
      </c>
      <c r="E25" s="237" t="str">
        <f>IF($A$1="Peak","-",IF(BaseLoad!K24&gt;BaseLoad!$G24,E$8*PPA!$G$5*$Z25,0))</f>
        <v>-</v>
      </c>
      <c r="F25" s="237" t="str">
        <f>IF($A$1="Peak","-",IF(BaseLoad!L24&gt;BaseLoad!$G24,F$8*PPA!$G$5*$Z25,0))</f>
        <v>-</v>
      </c>
      <c r="G25" s="237" t="str">
        <f>IF($A$1="Peak","-",IF(BaseLoad!M24&gt;BaseLoad!$G24,G$8*PPA!$G$5*$Z25,0))</f>
        <v>-</v>
      </c>
      <c r="H25" s="237" t="str">
        <f>IF($A$1="Peak","-",IF(BaseLoad!N24&gt;BaseLoad!$G24,H$8*PPA!$G$5*$Z25,0))</f>
        <v>-</v>
      </c>
      <c r="I25" s="237" t="str">
        <f>IF($A$1="Peak","-",IF(BaseLoad!O24&gt;BaseLoad!$G24,I$8*PPA!$G$5*$Z25,0))</f>
        <v>-</v>
      </c>
      <c r="J25" s="237" t="str">
        <f>IF($A$1="Peak","-",IF(BaseLoad!P24&gt;BaseLoad!$G24,J$8*PPA!$G$5*$Z25,0))</f>
        <v>-</v>
      </c>
      <c r="K25" s="237" t="str">
        <f>IF($A$1="Peak","-",IF(BaseLoad!Q24&gt;BaseLoad!$G24,K$8*PPA!$G$5*$Z25,0))</f>
        <v>-</v>
      </c>
      <c r="L25" s="237" t="str">
        <f>IF($A$1="Peak","-",IF(BaseLoad!R24&gt;BaseLoad!$G24,L$8*PPA!$G$5*$Z25,0))</f>
        <v>-</v>
      </c>
      <c r="M25" s="237" t="str">
        <f>IF($A$1="Peak","-",IF(BaseLoad!S24&gt;BaseLoad!$G24,M$8*PPA!$G$5*$Z25,0))</f>
        <v>-</v>
      </c>
      <c r="N25" s="237" t="str">
        <f>IF($A$1="Peak","-",IF(BaseLoad!T24&gt;BaseLoad!$G24,N$8*PPA!$G$5*$Z25,0))</f>
        <v>-</v>
      </c>
      <c r="O25" s="237" t="str">
        <f>IF($A$1="Peak","-",IF(BaseLoad!U24&gt;BaseLoad!$G24,O$8*PPA!$G$5*$Z25,0))</f>
        <v>-</v>
      </c>
      <c r="P25" s="237" t="str">
        <f>IF($A$1="Peak","-",IF(BaseLoad!V24&gt;BaseLoad!$G24,P$8*PPA!$G$5*$Z25,0))</f>
        <v>-</v>
      </c>
      <c r="Q25" s="237" t="str">
        <f>IF($A$1="Peak","-",IF(BaseLoad!W24&gt;BaseLoad!$G24,Q$8*PPA!$G$5*$Z25,0))</f>
        <v>-</v>
      </c>
      <c r="R25" s="237" t="str">
        <f>IF($A$1="Peak","-",IF(BaseLoad!X24&gt;BaseLoad!$G24,R$8*PPA!$G$5*$Z25,0))</f>
        <v>-</v>
      </c>
      <c r="S25" s="237" t="str">
        <f>IF($A$1="Peak","-",IF(BaseLoad!Y24&gt;BaseLoad!$G24,S$8*PPA!$G$5*$Z25,0))</f>
        <v>-</v>
      </c>
      <c r="T25" s="237" t="str">
        <f>IF($A$1="Peak","-",IF(BaseLoad!Z24&gt;BaseLoad!$G24,T$8*PPA!$G$5*$Z25,0))</f>
        <v>-</v>
      </c>
      <c r="U25" s="237" t="str">
        <f>IF($A$1="Peak","-",IF(BaseLoad!AA24&gt;BaseLoad!$G24,U$8*PPA!$G$5*$Z25,0))</f>
        <v>-</v>
      </c>
      <c r="V25" s="237">
        <f t="shared" si="0"/>
        <v>0</v>
      </c>
      <c r="W25" s="237" t="str">
        <f>IF($A$1="Peak","-",(730*PPA!$G$4*$Z25))</f>
        <v>-</v>
      </c>
      <c r="X25" s="237">
        <f t="shared" si="1"/>
        <v>0</v>
      </c>
      <c r="Y25" s="237"/>
      <c r="Z25" s="237">
        <f>CHOOSE(QUOTIENT(MONTH($A25),3)+1,BaseLoad!$AM$9,BaseLoad!$AN$9,BaseLoad!$AL$9,BaseLoad!$AO$9,BaseLoad!$AM$9)</f>
        <v>0.95</v>
      </c>
      <c r="AA25" s="237">
        <f>CHOOSE(QUOTIENT(MONTH($A25),3)+1,BaseLoad!$AM$15,BaseLoad!$AN$15,BaseLoad!$AL$15,BaseLoad!$AO$15,BaseLoad!$AM$15)</f>
        <v>705</v>
      </c>
      <c r="AB25" s="471"/>
      <c r="AD25" s="471"/>
    </row>
    <row r="26" spans="1:30" x14ac:dyDescent="0.2">
      <c r="A26" s="1">
        <f t="shared" si="2"/>
        <v>37026.67200000002</v>
      </c>
      <c r="B26" s="237" t="str">
        <f>IF($A$1="Peak","-",IF(BaseLoad!H25&gt;BaseLoad!$G25,B$8*PPA!$G$5*$Z26,0))</f>
        <v>-</v>
      </c>
      <c r="C26" s="237" t="str">
        <f>IF($A$1="Peak","-",IF(BaseLoad!I25&gt;BaseLoad!$G25,C$8*PPA!$G$5*$Z26,0))</f>
        <v>-</v>
      </c>
      <c r="D26" s="237" t="str">
        <f>IF($A$1="Peak","-",IF(BaseLoad!J25&gt;BaseLoad!$G25,D$8*PPA!$G$5*$Z26,0))</f>
        <v>-</v>
      </c>
      <c r="E26" s="237" t="str">
        <f>IF($A$1="Peak","-",IF(BaseLoad!K25&gt;BaseLoad!$G25,E$8*PPA!$G$5*$Z26,0))</f>
        <v>-</v>
      </c>
      <c r="F26" s="237" t="str">
        <f>IF($A$1="Peak","-",IF(BaseLoad!L25&gt;BaseLoad!$G25,F$8*PPA!$G$5*$Z26,0))</f>
        <v>-</v>
      </c>
      <c r="G26" s="237" t="str">
        <f>IF($A$1="Peak","-",IF(BaseLoad!M25&gt;BaseLoad!$G25,G$8*PPA!$G$5*$Z26,0))</f>
        <v>-</v>
      </c>
      <c r="H26" s="237" t="str">
        <f>IF($A$1="Peak","-",IF(BaseLoad!N25&gt;BaseLoad!$G25,H$8*PPA!$G$5*$Z26,0))</f>
        <v>-</v>
      </c>
      <c r="I26" s="237" t="str">
        <f>IF($A$1="Peak","-",IF(BaseLoad!O25&gt;BaseLoad!$G25,I$8*PPA!$G$5*$Z26,0))</f>
        <v>-</v>
      </c>
      <c r="J26" s="237" t="str">
        <f>IF($A$1="Peak","-",IF(BaseLoad!P25&gt;BaseLoad!$G25,J$8*PPA!$G$5*$Z26,0))</f>
        <v>-</v>
      </c>
      <c r="K26" s="237" t="str">
        <f>IF($A$1="Peak","-",IF(BaseLoad!Q25&gt;BaseLoad!$G25,K$8*PPA!$G$5*$Z26,0))</f>
        <v>-</v>
      </c>
      <c r="L26" s="237" t="str">
        <f>IF($A$1="Peak","-",IF(BaseLoad!R25&gt;BaseLoad!$G25,L$8*PPA!$G$5*$Z26,0))</f>
        <v>-</v>
      </c>
      <c r="M26" s="237" t="str">
        <f>IF($A$1="Peak","-",IF(BaseLoad!S25&gt;BaseLoad!$G25,M$8*PPA!$G$5*$Z26,0))</f>
        <v>-</v>
      </c>
      <c r="N26" s="237" t="str">
        <f>IF($A$1="Peak","-",IF(BaseLoad!T25&gt;BaseLoad!$G25,N$8*PPA!$G$5*$Z26,0))</f>
        <v>-</v>
      </c>
      <c r="O26" s="237" t="str">
        <f>IF($A$1="Peak","-",IF(BaseLoad!U25&gt;BaseLoad!$G25,O$8*PPA!$G$5*$Z26,0))</f>
        <v>-</v>
      </c>
      <c r="P26" s="237" t="str">
        <f>IF($A$1="Peak","-",IF(BaseLoad!V25&gt;BaseLoad!$G25,P$8*PPA!$G$5*$Z26,0))</f>
        <v>-</v>
      </c>
      <c r="Q26" s="237" t="str">
        <f>IF($A$1="Peak","-",IF(BaseLoad!W25&gt;BaseLoad!$G25,Q$8*PPA!$G$5*$Z26,0))</f>
        <v>-</v>
      </c>
      <c r="R26" s="237" t="str">
        <f>IF($A$1="Peak","-",IF(BaseLoad!X25&gt;BaseLoad!$G25,R$8*PPA!$G$5*$Z26,0))</f>
        <v>-</v>
      </c>
      <c r="S26" s="237" t="str">
        <f>IF($A$1="Peak","-",IF(BaseLoad!Y25&gt;BaseLoad!$G25,S$8*PPA!$G$5*$Z26,0))</f>
        <v>-</v>
      </c>
      <c r="T26" s="237" t="str">
        <f>IF($A$1="Peak","-",IF(BaseLoad!Z25&gt;BaseLoad!$G25,T$8*PPA!$G$5*$Z26,0))</f>
        <v>-</v>
      </c>
      <c r="U26" s="237" t="str">
        <f>IF($A$1="Peak","-",IF(BaseLoad!AA25&gt;BaseLoad!$G25,U$8*PPA!$G$5*$Z26,0))</f>
        <v>-</v>
      </c>
      <c r="V26" s="237">
        <f t="shared" si="0"/>
        <v>0</v>
      </c>
      <c r="W26" s="237" t="str">
        <f>IF($A$1="Peak","-",(730*PPA!$G$4*$Z26))</f>
        <v>-</v>
      </c>
      <c r="X26" s="237">
        <f t="shared" si="1"/>
        <v>0</v>
      </c>
      <c r="Y26" s="237"/>
      <c r="Z26" s="237">
        <f>CHOOSE(QUOTIENT(MONTH($A26),3)+1,BaseLoad!$AM$9,BaseLoad!$AN$9,BaseLoad!$AL$9,BaseLoad!$AO$9,BaseLoad!$AM$9)</f>
        <v>0.95</v>
      </c>
      <c r="AA26" s="237">
        <f>CHOOSE(QUOTIENT(MONTH($A26),3)+1,BaseLoad!$AM$15,BaseLoad!$AN$15,BaseLoad!$AL$15,BaseLoad!$AO$15,BaseLoad!$AM$15)</f>
        <v>705</v>
      </c>
      <c r="AB26" s="471"/>
      <c r="AD26" s="471"/>
    </row>
    <row r="27" spans="1:30" x14ac:dyDescent="0.2">
      <c r="A27" s="1">
        <f t="shared" si="2"/>
        <v>37057.089000000022</v>
      </c>
      <c r="B27" s="237" t="str">
        <f>IF($A$1="Peak","-",IF(BaseLoad!H26&gt;BaseLoad!$G26,B$8*PPA!$G$5*$Z27,0))</f>
        <v>-</v>
      </c>
      <c r="C27" s="237" t="str">
        <f>IF($A$1="Peak","-",IF(BaseLoad!I26&gt;BaseLoad!$G26,C$8*PPA!$G$5*$Z27,0))</f>
        <v>-</v>
      </c>
      <c r="D27" s="237" t="str">
        <f>IF($A$1="Peak","-",IF(BaseLoad!J26&gt;BaseLoad!$G26,D$8*PPA!$G$5*$Z27,0))</f>
        <v>-</v>
      </c>
      <c r="E27" s="237" t="str">
        <f>IF($A$1="Peak","-",IF(BaseLoad!K26&gt;BaseLoad!$G26,E$8*PPA!$G$5*$Z27,0))</f>
        <v>-</v>
      </c>
      <c r="F27" s="237" t="str">
        <f>IF($A$1="Peak","-",IF(BaseLoad!L26&gt;BaseLoad!$G26,F$8*PPA!$G$5*$Z27,0))</f>
        <v>-</v>
      </c>
      <c r="G27" s="237" t="str">
        <f>IF($A$1="Peak","-",IF(BaseLoad!M26&gt;BaseLoad!$G26,G$8*PPA!$G$5*$Z27,0))</f>
        <v>-</v>
      </c>
      <c r="H27" s="237" t="str">
        <f>IF($A$1="Peak","-",IF(BaseLoad!N26&gt;BaseLoad!$G26,H$8*PPA!$G$5*$Z27,0))</f>
        <v>-</v>
      </c>
      <c r="I27" s="237" t="str">
        <f>IF($A$1="Peak","-",IF(BaseLoad!O26&gt;BaseLoad!$G26,I$8*PPA!$G$5*$Z27,0))</f>
        <v>-</v>
      </c>
      <c r="J27" s="237" t="str">
        <f>IF($A$1="Peak","-",IF(BaseLoad!P26&gt;BaseLoad!$G26,J$8*PPA!$G$5*$Z27,0))</f>
        <v>-</v>
      </c>
      <c r="K27" s="237" t="str">
        <f>IF($A$1="Peak","-",IF(BaseLoad!Q26&gt;BaseLoad!$G26,K$8*PPA!$G$5*$Z27,0))</f>
        <v>-</v>
      </c>
      <c r="L27" s="237" t="str">
        <f>IF($A$1="Peak","-",IF(BaseLoad!R26&gt;BaseLoad!$G26,L$8*PPA!$G$5*$Z27,0))</f>
        <v>-</v>
      </c>
      <c r="M27" s="237" t="str">
        <f>IF($A$1="Peak","-",IF(BaseLoad!S26&gt;BaseLoad!$G26,M$8*PPA!$G$5*$Z27,0))</f>
        <v>-</v>
      </c>
      <c r="N27" s="237" t="str">
        <f>IF($A$1="Peak","-",IF(BaseLoad!T26&gt;BaseLoad!$G26,N$8*PPA!$G$5*$Z27,0))</f>
        <v>-</v>
      </c>
      <c r="O27" s="237" t="str">
        <f>IF($A$1="Peak","-",IF(BaseLoad!U26&gt;BaseLoad!$G26,O$8*PPA!$G$5*$Z27,0))</f>
        <v>-</v>
      </c>
      <c r="P27" s="237" t="str">
        <f>IF($A$1="Peak","-",IF(BaseLoad!V26&gt;BaseLoad!$G26,P$8*PPA!$G$5*$Z27,0))</f>
        <v>-</v>
      </c>
      <c r="Q27" s="237" t="str">
        <f>IF($A$1="Peak","-",IF(BaseLoad!W26&gt;BaseLoad!$G26,Q$8*PPA!$G$5*$Z27,0))</f>
        <v>-</v>
      </c>
      <c r="R27" s="237" t="str">
        <f>IF($A$1="Peak","-",IF(BaseLoad!X26&gt;BaseLoad!$G26,R$8*PPA!$G$5*$Z27,0))</f>
        <v>-</v>
      </c>
      <c r="S27" s="237" t="str">
        <f>IF($A$1="Peak","-",IF(BaseLoad!Y26&gt;BaseLoad!$G26,S$8*PPA!$G$5*$Z27,0))</f>
        <v>-</v>
      </c>
      <c r="T27" s="237" t="str">
        <f>IF($A$1="Peak","-",IF(BaseLoad!Z26&gt;BaseLoad!$G26,T$8*PPA!$G$5*$Z27,0))</f>
        <v>-</v>
      </c>
      <c r="U27" s="237" t="str">
        <f>IF($A$1="Peak","-",IF(BaseLoad!AA26&gt;BaseLoad!$G26,U$8*PPA!$G$5*$Z27,0))</f>
        <v>-</v>
      </c>
      <c r="V27" s="237">
        <f t="shared" si="0"/>
        <v>0</v>
      </c>
      <c r="W27" s="237" t="str">
        <f>IF($A$1="Peak","-",(730*PPA!$G$4*$Z27))</f>
        <v>-</v>
      </c>
      <c r="X27" s="237">
        <f t="shared" si="1"/>
        <v>0</v>
      </c>
      <c r="Y27" s="237"/>
      <c r="Z27" s="237">
        <f>CHOOSE(QUOTIENT(MONTH($A27),3)+1,BaseLoad!$AM$9,BaseLoad!$AN$9,BaseLoad!$AL$9,BaseLoad!$AO$9,BaseLoad!$AM$9)</f>
        <v>0.96612135909558572</v>
      </c>
      <c r="AA27" s="237">
        <f>CHOOSE(QUOTIENT(MONTH($A27),3)+1,BaseLoad!$AM$15,BaseLoad!$AN$15,BaseLoad!$AL$15,BaseLoad!$AO$15,BaseLoad!$AM$15)</f>
        <v>705</v>
      </c>
      <c r="AB27" s="471"/>
      <c r="AD27" s="471"/>
    </row>
    <row r="28" spans="1:30" x14ac:dyDescent="0.2">
      <c r="A28" s="1">
        <f t="shared" si="2"/>
        <v>37087.506000000023</v>
      </c>
      <c r="B28" s="237" t="str">
        <f>IF($A$1="Peak","-",IF(BaseLoad!H27&gt;BaseLoad!$G27,B$8*PPA!$G$5*$Z28,0))</f>
        <v>-</v>
      </c>
      <c r="C28" s="237" t="str">
        <f>IF($A$1="Peak","-",IF(BaseLoad!I27&gt;BaseLoad!$G27,C$8*PPA!$G$5*$Z28,0))</f>
        <v>-</v>
      </c>
      <c r="D28" s="237" t="str">
        <f>IF($A$1="Peak","-",IF(BaseLoad!J27&gt;BaseLoad!$G27,D$8*PPA!$G$5*$Z28,0))</f>
        <v>-</v>
      </c>
      <c r="E28" s="237" t="str">
        <f>IF($A$1="Peak","-",IF(BaseLoad!K27&gt;BaseLoad!$G27,E$8*PPA!$G$5*$Z28,0))</f>
        <v>-</v>
      </c>
      <c r="F28" s="237" t="str">
        <f>IF($A$1="Peak","-",IF(BaseLoad!L27&gt;BaseLoad!$G27,F$8*PPA!$G$5*$Z28,0))</f>
        <v>-</v>
      </c>
      <c r="G28" s="237" t="str">
        <f>IF($A$1="Peak","-",IF(BaseLoad!M27&gt;BaseLoad!$G27,G$8*PPA!$G$5*$Z28,0))</f>
        <v>-</v>
      </c>
      <c r="H28" s="237" t="str">
        <f>IF($A$1="Peak","-",IF(BaseLoad!N27&gt;BaseLoad!$G27,H$8*PPA!$G$5*$Z28,0))</f>
        <v>-</v>
      </c>
      <c r="I28" s="237" t="str">
        <f>IF($A$1="Peak","-",IF(BaseLoad!O27&gt;BaseLoad!$G27,I$8*PPA!$G$5*$Z28,0))</f>
        <v>-</v>
      </c>
      <c r="J28" s="237" t="str">
        <f>IF($A$1="Peak","-",IF(BaseLoad!P27&gt;BaseLoad!$G27,J$8*PPA!$G$5*$Z28,0))</f>
        <v>-</v>
      </c>
      <c r="K28" s="237" t="str">
        <f>IF($A$1="Peak","-",IF(BaseLoad!Q27&gt;BaseLoad!$G27,K$8*PPA!$G$5*$Z28,0))</f>
        <v>-</v>
      </c>
      <c r="L28" s="237" t="str">
        <f>IF($A$1="Peak","-",IF(BaseLoad!R27&gt;BaseLoad!$G27,L$8*PPA!$G$5*$Z28,0))</f>
        <v>-</v>
      </c>
      <c r="M28" s="237" t="str">
        <f>IF($A$1="Peak","-",IF(BaseLoad!S27&gt;BaseLoad!$G27,M$8*PPA!$G$5*$Z28,0))</f>
        <v>-</v>
      </c>
      <c r="N28" s="237" t="str">
        <f>IF($A$1="Peak","-",IF(BaseLoad!T27&gt;BaseLoad!$G27,N$8*PPA!$G$5*$Z28,0))</f>
        <v>-</v>
      </c>
      <c r="O28" s="237" t="str">
        <f>IF($A$1="Peak","-",IF(BaseLoad!U27&gt;BaseLoad!$G27,O$8*PPA!$G$5*$Z28,0))</f>
        <v>-</v>
      </c>
      <c r="P28" s="237" t="str">
        <f>IF($A$1="Peak","-",IF(BaseLoad!V27&gt;BaseLoad!$G27,P$8*PPA!$G$5*$Z28,0))</f>
        <v>-</v>
      </c>
      <c r="Q28" s="237" t="str">
        <f>IF($A$1="Peak","-",IF(BaseLoad!W27&gt;BaseLoad!$G27,Q$8*PPA!$G$5*$Z28,0))</f>
        <v>-</v>
      </c>
      <c r="R28" s="237" t="str">
        <f>IF($A$1="Peak","-",IF(BaseLoad!X27&gt;BaseLoad!$G27,R$8*PPA!$G$5*$Z28,0))</f>
        <v>-</v>
      </c>
      <c r="S28" s="237" t="str">
        <f>IF($A$1="Peak","-",IF(BaseLoad!Y27&gt;BaseLoad!$G27,S$8*PPA!$G$5*$Z28,0))</f>
        <v>-</v>
      </c>
      <c r="T28" s="237" t="str">
        <f>IF($A$1="Peak","-",IF(BaseLoad!Z27&gt;BaseLoad!$G27,T$8*PPA!$G$5*$Z28,0))</f>
        <v>-</v>
      </c>
      <c r="U28" s="237" t="str">
        <f>IF($A$1="Peak","-",IF(BaseLoad!AA27&gt;BaseLoad!$G27,U$8*PPA!$G$5*$Z28,0))</f>
        <v>-</v>
      </c>
      <c r="V28" s="237">
        <f t="shared" si="0"/>
        <v>0</v>
      </c>
      <c r="W28" s="237" t="str">
        <f>IF($A$1="Peak","-",(730*PPA!$G$4*$Z28))</f>
        <v>-</v>
      </c>
      <c r="X28" s="237">
        <f t="shared" si="1"/>
        <v>0</v>
      </c>
      <c r="Y28" s="237"/>
      <c r="Z28" s="237">
        <f>CHOOSE(QUOTIENT(MONTH($A28),3)+1,BaseLoad!$AM$9,BaseLoad!$AN$9,BaseLoad!$AL$9,BaseLoad!$AO$9,BaseLoad!$AM$9)</f>
        <v>0.96612135909558572</v>
      </c>
      <c r="AA28" s="237">
        <f>CHOOSE(QUOTIENT(MONTH($A28),3)+1,BaseLoad!$AM$15,BaseLoad!$AN$15,BaseLoad!$AL$15,BaseLoad!$AO$15,BaseLoad!$AM$15)</f>
        <v>705</v>
      </c>
      <c r="AB28" s="471"/>
      <c r="AD28" s="471"/>
    </row>
    <row r="29" spans="1:30" x14ac:dyDescent="0.2">
      <c r="A29" s="1">
        <f t="shared" si="2"/>
        <v>37117.923000000024</v>
      </c>
      <c r="B29" s="237" t="str">
        <f>IF($A$1="Peak","-",IF(BaseLoad!H28&gt;BaseLoad!$G28,B$8*PPA!$G$5*$Z29,0))</f>
        <v>-</v>
      </c>
      <c r="C29" s="237" t="str">
        <f>IF($A$1="Peak","-",IF(BaseLoad!I28&gt;BaseLoad!$G28,C$8*PPA!$G$5*$Z29,0))</f>
        <v>-</v>
      </c>
      <c r="D29" s="237" t="str">
        <f>IF($A$1="Peak","-",IF(BaseLoad!J28&gt;BaseLoad!$G28,D$8*PPA!$G$5*$Z29,0))</f>
        <v>-</v>
      </c>
      <c r="E29" s="237" t="str">
        <f>IF($A$1="Peak","-",IF(BaseLoad!K28&gt;BaseLoad!$G28,E$8*PPA!$G$5*$Z29,0))</f>
        <v>-</v>
      </c>
      <c r="F29" s="237" t="str">
        <f>IF($A$1="Peak","-",IF(BaseLoad!L28&gt;BaseLoad!$G28,F$8*PPA!$G$5*$Z29,0))</f>
        <v>-</v>
      </c>
      <c r="G29" s="237" t="str">
        <f>IF($A$1="Peak","-",IF(BaseLoad!M28&gt;BaseLoad!$G28,G$8*PPA!$G$5*$Z29,0))</f>
        <v>-</v>
      </c>
      <c r="H29" s="237" t="str">
        <f>IF($A$1="Peak","-",IF(BaseLoad!N28&gt;BaseLoad!$G28,H$8*PPA!$G$5*$Z29,0))</f>
        <v>-</v>
      </c>
      <c r="I29" s="237" t="str">
        <f>IF($A$1="Peak","-",IF(BaseLoad!O28&gt;BaseLoad!$G28,I$8*PPA!$G$5*$Z29,0))</f>
        <v>-</v>
      </c>
      <c r="J29" s="237" t="str">
        <f>IF($A$1="Peak","-",IF(BaseLoad!P28&gt;BaseLoad!$G28,J$8*PPA!$G$5*$Z29,0))</f>
        <v>-</v>
      </c>
      <c r="K29" s="237" t="str">
        <f>IF($A$1="Peak","-",IF(BaseLoad!Q28&gt;BaseLoad!$G28,K$8*PPA!$G$5*$Z29,0))</f>
        <v>-</v>
      </c>
      <c r="L29" s="237" t="str">
        <f>IF($A$1="Peak","-",IF(BaseLoad!R28&gt;BaseLoad!$G28,L$8*PPA!$G$5*$Z29,0))</f>
        <v>-</v>
      </c>
      <c r="M29" s="237" t="str">
        <f>IF($A$1="Peak","-",IF(BaseLoad!S28&gt;BaseLoad!$G28,M$8*PPA!$G$5*$Z29,0))</f>
        <v>-</v>
      </c>
      <c r="N29" s="237" t="str">
        <f>IF($A$1="Peak","-",IF(BaseLoad!T28&gt;BaseLoad!$G28,N$8*PPA!$G$5*$Z29,0))</f>
        <v>-</v>
      </c>
      <c r="O29" s="237" t="str">
        <f>IF($A$1="Peak","-",IF(BaseLoad!U28&gt;BaseLoad!$G28,O$8*PPA!$G$5*$Z29,0))</f>
        <v>-</v>
      </c>
      <c r="P29" s="237" t="str">
        <f>IF($A$1="Peak","-",IF(BaseLoad!V28&gt;BaseLoad!$G28,P$8*PPA!$G$5*$Z29,0))</f>
        <v>-</v>
      </c>
      <c r="Q29" s="237" t="str">
        <f>IF($A$1="Peak","-",IF(BaseLoad!W28&gt;BaseLoad!$G28,Q$8*PPA!$G$5*$Z29,0))</f>
        <v>-</v>
      </c>
      <c r="R29" s="237" t="str">
        <f>IF($A$1="Peak","-",IF(BaseLoad!X28&gt;BaseLoad!$G28,R$8*PPA!$G$5*$Z29,0))</f>
        <v>-</v>
      </c>
      <c r="S29" s="237" t="str">
        <f>IF($A$1="Peak","-",IF(BaseLoad!Y28&gt;BaseLoad!$G28,S$8*PPA!$G$5*$Z29,0))</f>
        <v>-</v>
      </c>
      <c r="T29" s="237" t="str">
        <f>IF($A$1="Peak","-",IF(BaseLoad!Z28&gt;BaseLoad!$G28,T$8*PPA!$G$5*$Z29,0))</f>
        <v>-</v>
      </c>
      <c r="U29" s="237" t="str">
        <f>IF($A$1="Peak","-",IF(BaseLoad!AA28&gt;BaseLoad!$G28,U$8*PPA!$G$5*$Z29,0))</f>
        <v>-</v>
      </c>
      <c r="V29" s="237">
        <f t="shared" si="0"/>
        <v>0</v>
      </c>
      <c r="W29" s="237" t="str">
        <f>IF($A$1="Peak","-",(730*PPA!$G$4*$Z29))</f>
        <v>-</v>
      </c>
      <c r="X29" s="237">
        <f t="shared" si="1"/>
        <v>0</v>
      </c>
      <c r="Y29" s="237"/>
      <c r="Z29" s="237">
        <f>CHOOSE(QUOTIENT(MONTH($A29),3)+1,BaseLoad!$AM$9,BaseLoad!$AN$9,BaseLoad!$AL$9,BaseLoad!$AO$9,BaseLoad!$AM$9)</f>
        <v>0.96612135909558572</v>
      </c>
      <c r="AA29" s="237">
        <f>CHOOSE(QUOTIENT(MONTH($A29),3)+1,BaseLoad!$AM$15,BaseLoad!$AN$15,BaseLoad!$AL$15,BaseLoad!$AO$15,BaseLoad!$AM$15)</f>
        <v>705</v>
      </c>
      <c r="AB29" s="471"/>
      <c r="AD29" s="471"/>
    </row>
    <row r="30" spans="1:30" x14ac:dyDescent="0.2">
      <c r="A30" s="1">
        <f t="shared" si="2"/>
        <v>37148.340000000026</v>
      </c>
      <c r="B30" s="237" t="str">
        <f>IF($A$1="Peak","-",IF(BaseLoad!H29&gt;BaseLoad!$G29,B$8*PPA!$G$5*$Z30,0))</f>
        <v>-</v>
      </c>
      <c r="C30" s="237" t="str">
        <f>IF($A$1="Peak","-",IF(BaseLoad!I29&gt;BaseLoad!$G29,C$8*PPA!$G$5*$Z30,0))</f>
        <v>-</v>
      </c>
      <c r="D30" s="237" t="str">
        <f>IF($A$1="Peak","-",IF(BaseLoad!J29&gt;BaseLoad!$G29,D$8*PPA!$G$5*$Z30,0))</f>
        <v>-</v>
      </c>
      <c r="E30" s="237" t="str">
        <f>IF($A$1="Peak","-",IF(BaseLoad!K29&gt;BaseLoad!$G29,E$8*PPA!$G$5*$Z30,0))</f>
        <v>-</v>
      </c>
      <c r="F30" s="237" t="str">
        <f>IF($A$1="Peak","-",IF(BaseLoad!L29&gt;BaseLoad!$G29,F$8*PPA!$G$5*$Z30,0))</f>
        <v>-</v>
      </c>
      <c r="G30" s="237" t="str">
        <f>IF($A$1="Peak","-",IF(BaseLoad!M29&gt;BaseLoad!$G29,G$8*PPA!$G$5*$Z30,0))</f>
        <v>-</v>
      </c>
      <c r="H30" s="237" t="str">
        <f>IF($A$1="Peak","-",IF(BaseLoad!N29&gt;BaseLoad!$G29,H$8*PPA!$G$5*$Z30,0))</f>
        <v>-</v>
      </c>
      <c r="I30" s="237" t="str">
        <f>IF($A$1="Peak","-",IF(BaseLoad!O29&gt;BaseLoad!$G29,I$8*PPA!$G$5*$Z30,0))</f>
        <v>-</v>
      </c>
      <c r="J30" s="237" t="str">
        <f>IF($A$1="Peak","-",IF(BaseLoad!P29&gt;BaseLoad!$G29,J$8*PPA!$G$5*$Z30,0))</f>
        <v>-</v>
      </c>
      <c r="K30" s="237" t="str">
        <f>IF($A$1="Peak","-",IF(BaseLoad!Q29&gt;BaseLoad!$G29,K$8*PPA!$G$5*$Z30,0))</f>
        <v>-</v>
      </c>
      <c r="L30" s="237" t="str">
        <f>IF($A$1="Peak","-",IF(BaseLoad!R29&gt;BaseLoad!$G29,L$8*PPA!$G$5*$Z30,0))</f>
        <v>-</v>
      </c>
      <c r="M30" s="237" t="str">
        <f>IF($A$1="Peak","-",IF(BaseLoad!S29&gt;BaseLoad!$G29,M$8*PPA!$G$5*$Z30,0))</f>
        <v>-</v>
      </c>
      <c r="N30" s="237" t="str">
        <f>IF($A$1="Peak","-",IF(BaseLoad!T29&gt;BaseLoad!$G29,N$8*PPA!$G$5*$Z30,0))</f>
        <v>-</v>
      </c>
      <c r="O30" s="237" t="str">
        <f>IF($A$1="Peak","-",IF(BaseLoad!U29&gt;BaseLoad!$G29,O$8*PPA!$G$5*$Z30,0))</f>
        <v>-</v>
      </c>
      <c r="P30" s="237" t="str">
        <f>IF($A$1="Peak","-",IF(BaseLoad!V29&gt;BaseLoad!$G29,P$8*PPA!$G$5*$Z30,0))</f>
        <v>-</v>
      </c>
      <c r="Q30" s="237" t="str">
        <f>IF($A$1="Peak","-",IF(BaseLoad!W29&gt;BaseLoad!$G29,Q$8*PPA!$G$5*$Z30,0))</f>
        <v>-</v>
      </c>
      <c r="R30" s="237" t="str">
        <f>IF($A$1="Peak","-",IF(BaseLoad!X29&gt;BaseLoad!$G29,R$8*PPA!$G$5*$Z30,0))</f>
        <v>-</v>
      </c>
      <c r="S30" s="237" t="str">
        <f>IF($A$1="Peak","-",IF(BaseLoad!Y29&gt;BaseLoad!$G29,S$8*PPA!$G$5*$Z30,0))</f>
        <v>-</v>
      </c>
      <c r="T30" s="237" t="str">
        <f>IF($A$1="Peak","-",IF(BaseLoad!Z29&gt;BaseLoad!$G29,T$8*PPA!$G$5*$Z30,0))</f>
        <v>-</v>
      </c>
      <c r="U30" s="237" t="str">
        <f>IF($A$1="Peak","-",IF(BaseLoad!AA29&gt;BaseLoad!$G29,U$8*PPA!$G$5*$Z30,0))</f>
        <v>-</v>
      </c>
      <c r="V30" s="237">
        <f t="shared" si="0"/>
        <v>0</v>
      </c>
      <c r="W30" s="237" t="str">
        <f>IF($A$1="Peak","-",(730*PPA!$G$4*$Z30))</f>
        <v>-</v>
      </c>
      <c r="X30" s="237">
        <f t="shared" si="1"/>
        <v>0</v>
      </c>
      <c r="Y30" s="237"/>
      <c r="Z30" s="237">
        <f>CHOOSE(QUOTIENT(MONTH($A30),3)+1,BaseLoad!$AM$9,BaseLoad!$AN$9,BaseLoad!$AL$9,BaseLoad!$AO$9,BaseLoad!$AM$9)</f>
        <v>0.95</v>
      </c>
      <c r="AA30" s="237">
        <f>CHOOSE(QUOTIENT(MONTH($A30),3)+1,BaseLoad!$AM$15,BaseLoad!$AN$15,BaseLoad!$AL$15,BaseLoad!$AO$15,BaseLoad!$AM$15)</f>
        <v>705</v>
      </c>
      <c r="AB30" s="471"/>
      <c r="AD30" s="471"/>
    </row>
    <row r="31" spans="1:30" x14ac:dyDescent="0.2">
      <c r="A31" s="1">
        <f t="shared" si="2"/>
        <v>37178.757000000027</v>
      </c>
      <c r="B31" s="237" t="str">
        <f>IF($A$1="Peak","-",IF(BaseLoad!H30&gt;BaseLoad!$G30,B$8*PPA!$G$5*$Z31,0))</f>
        <v>-</v>
      </c>
      <c r="C31" s="237" t="str">
        <f>IF($A$1="Peak","-",IF(BaseLoad!I30&gt;BaseLoad!$G30,C$8*PPA!$G$5*$Z31,0))</f>
        <v>-</v>
      </c>
      <c r="D31" s="237" t="str">
        <f>IF($A$1="Peak","-",IF(BaseLoad!J30&gt;BaseLoad!$G30,D$8*PPA!$G$5*$Z31,0))</f>
        <v>-</v>
      </c>
      <c r="E31" s="237" t="str">
        <f>IF($A$1="Peak","-",IF(BaseLoad!K30&gt;BaseLoad!$G30,E$8*PPA!$G$5*$Z31,0))</f>
        <v>-</v>
      </c>
      <c r="F31" s="237" t="str">
        <f>IF($A$1="Peak","-",IF(BaseLoad!L30&gt;BaseLoad!$G30,F$8*PPA!$G$5*$Z31,0))</f>
        <v>-</v>
      </c>
      <c r="G31" s="237" t="str">
        <f>IF($A$1="Peak","-",IF(BaseLoad!M30&gt;BaseLoad!$G30,G$8*PPA!$G$5*$Z31,0))</f>
        <v>-</v>
      </c>
      <c r="H31" s="237" t="str">
        <f>IF($A$1="Peak","-",IF(BaseLoad!N30&gt;BaseLoad!$G30,H$8*PPA!$G$5*$Z31,0))</f>
        <v>-</v>
      </c>
      <c r="I31" s="237" t="str">
        <f>IF($A$1="Peak","-",IF(BaseLoad!O30&gt;BaseLoad!$G30,I$8*PPA!$G$5*$Z31,0))</f>
        <v>-</v>
      </c>
      <c r="J31" s="237" t="str">
        <f>IF($A$1="Peak","-",IF(BaseLoad!P30&gt;BaseLoad!$G30,J$8*PPA!$G$5*$Z31,0))</f>
        <v>-</v>
      </c>
      <c r="K31" s="237" t="str">
        <f>IF($A$1="Peak","-",IF(BaseLoad!Q30&gt;BaseLoad!$G30,K$8*PPA!$G$5*$Z31,0))</f>
        <v>-</v>
      </c>
      <c r="L31" s="237" t="str">
        <f>IF($A$1="Peak","-",IF(BaseLoad!R30&gt;BaseLoad!$G30,L$8*PPA!$G$5*$Z31,0))</f>
        <v>-</v>
      </c>
      <c r="M31" s="237" t="str">
        <f>IF($A$1="Peak","-",IF(BaseLoad!S30&gt;BaseLoad!$G30,M$8*PPA!$G$5*$Z31,0))</f>
        <v>-</v>
      </c>
      <c r="N31" s="237" t="str">
        <f>IF($A$1="Peak","-",IF(BaseLoad!T30&gt;BaseLoad!$G30,N$8*PPA!$G$5*$Z31,0))</f>
        <v>-</v>
      </c>
      <c r="O31" s="237" t="str">
        <f>IF($A$1="Peak","-",IF(BaseLoad!U30&gt;BaseLoad!$G30,O$8*PPA!$G$5*$Z31,0))</f>
        <v>-</v>
      </c>
      <c r="P31" s="237" t="str">
        <f>IF($A$1="Peak","-",IF(BaseLoad!V30&gt;BaseLoad!$G30,P$8*PPA!$G$5*$Z31,0))</f>
        <v>-</v>
      </c>
      <c r="Q31" s="237" t="str">
        <f>IF($A$1="Peak","-",IF(BaseLoad!W30&gt;BaseLoad!$G30,Q$8*PPA!$G$5*$Z31,0))</f>
        <v>-</v>
      </c>
      <c r="R31" s="237" t="str">
        <f>IF($A$1="Peak","-",IF(BaseLoad!X30&gt;BaseLoad!$G30,R$8*PPA!$G$5*$Z31,0))</f>
        <v>-</v>
      </c>
      <c r="S31" s="237" t="str">
        <f>IF($A$1="Peak","-",IF(BaseLoad!Y30&gt;BaseLoad!$G30,S$8*PPA!$G$5*$Z31,0))</f>
        <v>-</v>
      </c>
      <c r="T31" s="237" t="str">
        <f>IF($A$1="Peak","-",IF(BaseLoad!Z30&gt;BaseLoad!$G30,T$8*PPA!$G$5*$Z31,0))</f>
        <v>-</v>
      </c>
      <c r="U31" s="237" t="str">
        <f>IF($A$1="Peak","-",IF(BaseLoad!AA30&gt;BaseLoad!$G30,U$8*PPA!$G$5*$Z31,0))</f>
        <v>-</v>
      </c>
      <c r="V31" s="237">
        <f t="shared" si="0"/>
        <v>0</v>
      </c>
      <c r="W31" s="237" t="str">
        <f>IF($A$1="Peak","-",(730*PPA!$G$4*$Z31))</f>
        <v>-</v>
      </c>
      <c r="X31" s="237">
        <f t="shared" si="1"/>
        <v>0</v>
      </c>
      <c r="Y31" s="237"/>
      <c r="Z31" s="237">
        <f>CHOOSE(QUOTIENT(MONTH($A31),3)+1,BaseLoad!$AM$9,BaseLoad!$AN$9,BaseLoad!$AL$9,BaseLoad!$AO$9,BaseLoad!$AM$9)</f>
        <v>0.95</v>
      </c>
      <c r="AA31" s="237">
        <f>CHOOSE(QUOTIENT(MONTH($A31),3)+1,BaseLoad!$AM$15,BaseLoad!$AN$15,BaseLoad!$AL$15,BaseLoad!$AO$15,BaseLoad!$AM$15)</f>
        <v>705</v>
      </c>
      <c r="AB31" s="471"/>
      <c r="AD31" s="471"/>
    </row>
    <row r="32" spans="1:30" x14ac:dyDescent="0.2">
      <c r="A32" s="1">
        <f t="shared" si="2"/>
        <v>37209.174000000028</v>
      </c>
      <c r="B32" s="237" t="str">
        <f>IF($A$1="Peak","-",IF(BaseLoad!H31&gt;BaseLoad!$G31,B$8*PPA!$G$5*$Z32,0))</f>
        <v>-</v>
      </c>
      <c r="C32" s="237" t="str">
        <f>IF($A$1="Peak","-",IF(BaseLoad!I31&gt;BaseLoad!$G31,C$8*PPA!$G$5*$Z32,0))</f>
        <v>-</v>
      </c>
      <c r="D32" s="237" t="str">
        <f>IF($A$1="Peak","-",IF(BaseLoad!J31&gt;BaseLoad!$G31,D$8*PPA!$G$5*$Z32,0))</f>
        <v>-</v>
      </c>
      <c r="E32" s="237" t="str">
        <f>IF($A$1="Peak","-",IF(BaseLoad!K31&gt;BaseLoad!$G31,E$8*PPA!$G$5*$Z32,0))</f>
        <v>-</v>
      </c>
      <c r="F32" s="237" t="str">
        <f>IF($A$1="Peak","-",IF(BaseLoad!L31&gt;BaseLoad!$G31,F$8*PPA!$G$5*$Z32,0))</f>
        <v>-</v>
      </c>
      <c r="G32" s="237" t="str">
        <f>IF($A$1="Peak","-",IF(BaseLoad!M31&gt;BaseLoad!$G31,G$8*PPA!$G$5*$Z32,0))</f>
        <v>-</v>
      </c>
      <c r="H32" s="237" t="str">
        <f>IF($A$1="Peak","-",IF(BaseLoad!N31&gt;BaseLoad!$G31,H$8*PPA!$G$5*$Z32,0))</f>
        <v>-</v>
      </c>
      <c r="I32" s="237" t="str">
        <f>IF($A$1="Peak","-",IF(BaseLoad!O31&gt;BaseLoad!$G31,I$8*PPA!$G$5*$Z32,0))</f>
        <v>-</v>
      </c>
      <c r="J32" s="237" t="str">
        <f>IF($A$1="Peak","-",IF(BaseLoad!P31&gt;BaseLoad!$G31,J$8*PPA!$G$5*$Z32,0))</f>
        <v>-</v>
      </c>
      <c r="K32" s="237" t="str">
        <f>IF($A$1="Peak","-",IF(BaseLoad!Q31&gt;BaseLoad!$G31,K$8*PPA!$G$5*$Z32,0))</f>
        <v>-</v>
      </c>
      <c r="L32" s="237" t="str">
        <f>IF($A$1="Peak","-",IF(BaseLoad!R31&gt;BaseLoad!$G31,L$8*PPA!$G$5*$Z32,0))</f>
        <v>-</v>
      </c>
      <c r="M32" s="237" t="str">
        <f>IF($A$1="Peak","-",IF(BaseLoad!S31&gt;BaseLoad!$G31,M$8*PPA!$G$5*$Z32,0))</f>
        <v>-</v>
      </c>
      <c r="N32" s="237" t="str">
        <f>IF($A$1="Peak","-",IF(BaseLoad!T31&gt;BaseLoad!$G31,N$8*PPA!$G$5*$Z32,0))</f>
        <v>-</v>
      </c>
      <c r="O32" s="237" t="str">
        <f>IF($A$1="Peak","-",IF(BaseLoad!U31&gt;BaseLoad!$G31,O$8*PPA!$G$5*$Z32,0))</f>
        <v>-</v>
      </c>
      <c r="P32" s="237" t="str">
        <f>IF($A$1="Peak","-",IF(BaseLoad!V31&gt;BaseLoad!$G31,P$8*PPA!$G$5*$Z32,0))</f>
        <v>-</v>
      </c>
      <c r="Q32" s="237" t="str">
        <f>IF($A$1="Peak","-",IF(BaseLoad!W31&gt;BaseLoad!$G31,Q$8*PPA!$G$5*$Z32,0))</f>
        <v>-</v>
      </c>
      <c r="R32" s="237" t="str">
        <f>IF($A$1="Peak","-",IF(BaseLoad!X31&gt;BaseLoad!$G31,R$8*PPA!$G$5*$Z32,0))</f>
        <v>-</v>
      </c>
      <c r="S32" s="237" t="str">
        <f>IF($A$1="Peak","-",IF(BaseLoad!Y31&gt;BaseLoad!$G31,S$8*PPA!$G$5*$Z32,0))</f>
        <v>-</v>
      </c>
      <c r="T32" s="237" t="str">
        <f>IF($A$1="Peak","-",IF(BaseLoad!Z31&gt;BaseLoad!$G31,T$8*PPA!$G$5*$Z32,0))</f>
        <v>-</v>
      </c>
      <c r="U32" s="237" t="str">
        <f>IF($A$1="Peak","-",IF(BaseLoad!AA31&gt;BaseLoad!$G31,U$8*PPA!$G$5*$Z32,0))</f>
        <v>-</v>
      </c>
      <c r="V32" s="237">
        <f t="shared" si="0"/>
        <v>0</v>
      </c>
      <c r="W32" s="237" t="str">
        <f>IF($A$1="Peak","-",(730*PPA!$G$4*$Z32))</f>
        <v>-</v>
      </c>
      <c r="X32" s="237">
        <f t="shared" si="1"/>
        <v>0</v>
      </c>
      <c r="Y32" s="237"/>
      <c r="Z32" s="237">
        <f>CHOOSE(QUOTIENT(MONTH($A32),3)+1,BaseLoad!$AM$9,BaseLoad!$AN$9,BaseLoad!$AL$9,BaseLoad!$AO$9,BaseLoad!$AM$9)</f>
        <v>0.95</v>
      </c>
      <c r="AA32" s="237">
        <f>CHOOSE(QUOTIENT(MONTH($A32),3)+1,BaseLoad!$AM$15,BaseLoad!$AN$15,BaseLoad!$AL$15,BaseLoad!$AO$15,BaseLoad!$AM$15)</f>
        <v>705</v>
      </c>
      <c r="AB32" s="471"/>
      <c r="AD32" s="471"/>
    </row>
    <row r="33" spans="1:30" x14ac:dyDescent="0.2">
      <c r="A33" s="1">
        <f t="shared" si="2"/>
        <v>37239.591000000029</v>
      </c>
      <c r="B33" s="237" t="str">
        <f>IF($A$1="Peak","-",IF(BaseLoad!H32&gt;BaseLoad!$G32,B$8*PPA!$G$5*$Z33,0))</f>
        <v>-</v>
      </c>
      <c r="C33" s="237" t="str">
        <f>IF($A$1="Peak","-",IF(BaseLoad!I32&gt;BaseLoad!$G32,C$8*PPA!$G$5*$Z33,0))</f>
        <v>-</v>
      </c>
      <c r="D33" s="237" t="str">
        <f>IF($A$1="Peak","-",IF(BaseLoad!J32&gt;BaseLoad!$G32,D$8*PPA!$G$5*$Z33,0))</f>
        <v>-</v>
      </c>
      <c r="E33" s="237" t="str">
        <f>IF($A$1="Peak","-",IF(BaseLoad!K32&gt;BaseLoad!$G32,E$8*PPA!$G$5*$Z33,0))</f>
        <v>-</v>
      </c>
      <c r="F33" s="237" t="str">
        <f>IF($A$1="Peak","-",IF(BaseLoad!L32&gt;BaseLoad!$G32,F$8*PPA!$G$5*$Z33,0))</f>
        <v>-</v>
      </c>
      <c r="G33" s="237" t="str">
        <f>IF($A$1="Peak","-",IF(BaseLoad!M32&gt;BaseLoad!$G32,G$8*PPA!$G$5*$Z33,0))</f>
        <v>-</v>
      </c>
      <c r="H33" s="237" t="str">
        <f>IF($A$1="Peak","-",IF(BaseLoad!N32&gt;BaseLoad!$G32,H$8*PPA!$G$5*$Z33,0))</f>
        <v>-</v>
      </c>
      <c r="I33" s="237" t="str">
        <f>IF($A$1="Peak","-",IF(BaseLoad!O32&gt;BaseLoad!$G32,I$8*PPA!$G$5*$Z33,0))</f>
        <v>-</v>
      </c>
      <c r="J33" s="237" t="str">
        <f>IF($A$1="Peak","-",IF(BaseLoad!P32&gt;BaseLoad!$G32,J$8*PPA!$G$5*$Z33,0))</f>
        <v>-</v>
      </c>
      <c r="K33" s="237" t="str">
        <f>IF($A$1="Peak","-",IF(BaseLoad!Q32&gt;BaseLoad!$G32,K$8*PPA!$G$5*$Z33,0))</f>
        <v>-</v>
      </c>
      <c r="L33" s="237" t="str">
        <f>IF($A$1="Peak","-",IF(BaseLoad!R32&gt;BaseLoad!$G32,L$8*PPA!$G$5*$Z33,0))</f>
        <v>-</v>
      </c>
      <c r="M33" s="237" t="str">
        <f>IF($A$1="Peak","-",IF(BaseLoad!S32&gt;BaseLoad!$G32,M$8*PPA!$G$5*$Z33,0))</f>
        <v>-</v>
      </c>
      <c r="N33" s="237" t="str">
        <f>IF($A$1="Peak","-",IF(BaseLoad!T32&gt;BaseLoad!$G32,N$8*PPA!$G$5*$Z33,0))</f>
        <v>-</v>
      </c>
      <c r="O33" s="237" t="str">
        <f>IF($A$1="Peak","-",IF(BaseLoad!U32&gt;BaseLoad!$G32,O$8*PPA!$G$5*$Z33,0))</f>
        <v>-</v>
      </c>
      <c r="P33" s="237" t="str">
        <f>IF($A$1="Peak","-",IF(BaseLoad!V32&gt;BaseLoad!$G32,P$8*PPA!$G$5*$Z33,0))</f>
        <v>-</v>
      </c>
      <c r="Q33" s="237" t="str">
        <f>IF($A$1="Peak","-",IF(BaseLoad!W32&gt;BaseLoad!$G32,Q$8*PPA!$G$5*$Z33,0))</f>
        <v>-</v>
      </c>
      <c r="R33" s="237" t="str">
        <f>IF($A$1="Peak","-",IF(BaseLoad!X32&gt;BaseLoad!$G32,R$8*PPA!$G$5*$Z33,0))</f>
        <v>-</v>
      </c>
      <c r="S33" s="237" t="str">
        <f>IF($A$1="Peak","-",IF(BaseLoad!Y32&gt;BaseLoad!$G32,S$8*PPA!$G$5*$Z33,0))</f>
        <v>-</v>
      </c>
      <c r="T33" s="237" t="str">
        <f>IF($A$1="Peak","-",IF(BaseLoad!Z32&gt;BaseLoad!$G32,T$8*PPA!$G$5*$Z33,0))</f>
        <v>-</v>
      </c>
      <c r="U33" s="237" t="str">
        <f>IF($A$1="Peak","-",IF(BaseLoad!AA32&gt;BaseLoad!$G32,U$8*PPA!$G$5*$Z33,0))</f>
        <v>-</v>
      </c>
      <c r="V33" s="237">
        <f t="shared" si="0"/>
        <v>0</v>
      </c>
      <c r="W33" s="237" t="str">
        <f>IF($A$1="Peak","-",(730*PPA!$G$4*$Z33))</f>
        <v>-</v>
      </c>
      <c r="X33" s="237">
        <f t="shared" si="1"/>
        <v>0</v>
      </c>
      <c r="Y33" s="237">
        <f>SUM(X22:X33)</f>
        <v>0</v>
      </c>
      <c r="Z33" s="237">
        <f>CHOOSE(QUOTIENT(MONTH($A33),3)+1,BaseLoad!$AM$9,BaseLoad!$AN$9,BaseLoad!$AL$9,BaseLoad!$AO$9,BaseLoad!$AM$9)</f>
        <v>0.92427661878611755</v>
      </c>
      <c r="AA33" s="237">
        <f>CHOOSE(QUOTIENT(MONTH($A33),3)+1,BaseLoad!$AM$15,BaseLoad!$AN$15,BaseLoad!$AL$15,BaseLoad!$AO$15,BaseLoad!$AM$15)</f>
        <v>705</v>
      </c>
      <c r="AB33" s="471"/>
      <c r="AD33" s="471"/>
    </row>
    <row r="34" spans="1:30" x14ac:dyDescent="0.2">
      <c r="A34" s="1">
        <f t="shared" si="2"/>
        <v>37270.008000000031</v>
      </c>
      <c r="B34" s="237" t="str">
        <f>IF($A$1="Peak","-",IF(BaseLoad!H33&gt;BaseLoad!$G33,B$8*PPA!$G$5*$Z34,0))</f>
        <v>-</v>
      </c>
      <c r="C34" s="237" t="str">
        <f>IF($A$1="Peak","-",IF(BaseLoad!I33&gt;BaseLoad!$G33,C$8*PPA!$G$5*$Z34,0))</f>
        <v>-</v>
      </c>
      <c r="D34" s="237" t="str">
        <f>IF($A$1="Peak","-",IF(BaseLoad!J33&gt;BaseLoad!$G33,D$8*PPA!$G$5*$Z34,0))</f>
        <v>-</v>
      </c>
      <c r="E34" s="237" t="str">
        <f>IF($A$1="Peak","-",IF(BaseLoad!K33&gt;BaseLoad!$G33,E$8*PPA!$G$5*$Z34,0))</f>
        <v>-</v>
      </c>
      <c r="F34" s="237" t="str">
        <f>IF($A$1="Peak","-",IF(BaseLoad!L33&gt;BaseLoad!$G33,F$8*PPA!$G$5*$Z34,0))</f>
        <v>-</v>
      </c>
      <c r="G34" s="237" t="str">
        <f>IF($A$1="Peak","-",IF(BaseLoad!M33&gt;BaseLoad!$G33,G$8*PPA!$G$5*$Z34,0))</f>
        <v>-</v>
      </c>
      <c r="H34" s="237" t="str">
        <f>IF($A$1="Peak","-",IF(BaseLoad!N33&gt;BaseLoad!$G33,H$8*PPA!$G$5*$Z34,0))</f>
        <v>-</v>
      </c>
      <c r="I34" s="237" t="str">
        <f>IF($A$1="Peak","-",IF(BaseLoad!O33&gt;BaseLoad!$G33,I$8*PPA!$G$5*$Z34,0))</f>
        <v>-</v>
      </c>
      <c r="J34" s="237" t="str">
        <f>IF($A$1="Peak","-",IF(BaseLoad!P33&gt;BaseLoad!$G33,J$8*PPA!$G$5*$Z34,0))</f>
        <v>-</v>
      </c>
      <c r="K34" s="237" t="str">
        <f>IF($A$1="Peak","-",IF(BaseLoad!Q33&gt;BaseLoad!$G33,K$8*PPA!$G$5*$Z34,0))</f>
        <v>-</v>
      </c>
      <c r="L34" s="237" t="str">
        <f>IF($A$1="Peak","-",IF(BaseLoad!R33&gt;BaseLoad!$G33,L$8*PPA!$G$5*$Z34,0))</f>
        <v>-</v>
      </c>
      <c r="M34" s="237" t="str">
        <f>IF($A$1="Peak","-",IF(BaseLoad!S33&gt;BaseLoad!$G33,M$8*PPA!$G$5*$Z34,0))</f>
        <v>-</v>
      </c>
      <c r="N34" s="237" t="str">
        <f>IF($A$1="Peak","-",IF(BaseLoad!T33&gt;BaseLoad!$G33,N$8*PPA!$G$5*$Z34,0))</f>
        <v>-</v>
      </c>
      <c r="O34" s="237" t="str">
        <f>IF($A$1="Peak","-",IF(BaseLoad!U33&gt;BaseLoad!$G33,O$8*PPA!$G$5*$Z34,0))</f>
        <v>-</v>
      </c>
      <c r="P34" s="237" t="str">
        <f>IF($A$1="Peak","-",IF(BaseLoad!V33&gt;BaseLoad!$G33,P$8*PPA!$G$5*$Z34,0))</f>
        <v>-</v>
      </c>
      <c r="Q34" s="237" t="str">
        <f>IF($A$1="Peak","-",IF(BaseLoad!W33&gt;BaseLoad!$G33,Q$8*PPA!$G$5*$Z34,0))</f>
        <v>-</v>
      </c>
      <c r="R34" s="237" t="str">
        <f>IF($A$1="Peak","-",IF(BaseLoad!X33&gt;BaseLoad!$G33,R$8*PPA!$G$5*$Z34,0))</f>
        <v>-</v>
      </c>
      <c r="S34" s="237" t="str">
        <f>IF($A$1="Peak","-",IF(BaseLoad!Y33&gt;BaseLoad!$G33,S$8*PPA!$G$5*$Z34,0))</f>
        <v>-</v>
      </c>
      <c r="T34" s="237" t="str">
        <f>IF($A$1="Peak","-",IF(BaseLoad!Z33&gt;BaseLoad!$G33,T$8*PPA!$G$5*$Z34,0))</f>
        <v>-</v>
      </c>
      <c r="U34" s="237" t="str">
        <f>IF($A$1="Peak","-",IF(BaseLoad!AA33&gt;BaseLoad!$G33,U$8*PPA!$G$5*$Z34,0))</f>
        <v>-</v>
      </c>
      <c r="V34" s="237">
        <f t="shared" si="0"/>
        <v>0</v>
      </c>
      <c r="W34" s="237" t="str">
        <f>IF($A$1="Peak","-",(730*PPA!$G$4*$Z34))</f>
        <v>-</v>
      </c>
      <c r="X34" s="237">
        <f t="shared" si="1"/>
        <v>0</v>
      </c>
      <c r="Y34" s="237"/>
      <c r="Z34" s="237">
        <f>CHOOSE(QUOTIENT(MONTH($A34),3)+1,BaseLoad!$AM$9,BaseLoad!$AN$9,BaseLoad!$AL$9,BaseLoad!$AO$9,BaseLoad!$AM$9)</f>
        <v>0.92427661878611755</v>
      </c>
      <c r="AA34" s="237">
        <f>CHOOSE(QUOTIENT(MONTH($A34),3)+1,BaseLoad!$AM$15,BaseLoad!$AN$15,BaseLoad!$AL$15,BaseLoad!$AO$15,BaseLoad!$AM$15)</f>
        <v>705</v>
      </c>
      <c r="AB34" s="471"/>
      <c r="AD34" s="471"/>
    </row>
    <row r="35" spans="1:30" x14ac:dyDescent="0.2">
      <c r="A35" s="1">
        <f t="shared" si="2"/>
        <v>37300.425000000032</v>
      </c>
      <c r="B35" s="237" t="str">
        <f>IF($A$1="Peak","-",IF(BaseLoad!H34&gt;BaseLoad!$G34,B$8*PPA!$G$5*$Z35,0))</f>
        <v>-</v>
      </c>
      <c r="C35" s="237" t="str">
        <f>IF($A$1="Peak","-",IF(BaseLoad!I34&gt;BaseLoad!$G34,C$8*PPA!$G$5*$Z35,0))</f>
        <v>-</v>
      </c>
      <c r="D35" s="237" t="str">
        <f>IF($A$1="Peak","-",IF(BaseLoad!J34&gt;BaseLoad!$G34,D$8*PPA!$G$5*$Z35,0))</f>
        <v>-</v>
      </c>
      <c r="E35" s="237" t="str">
        <f>IF($A$1="Peak","-",IF(BaseLoad!K34&gt;BaseLoad!$G34,E$8*PPA!$G$5*$Z35,0))</f>
        <v>-</v>
      </c>
      <c r="F35" s="237" t="str">
        <f>IF($A$1="Peak","-",IF(BaseLoad!L34&gt;BaseLoad!$G34,F$8*PPA!$G$5*$Z35,0))</f>
        <v>-</v>
      </c>
      <c r="G35" s="237" t="str">
        <f>IF($A$1="Peak","-",IF(BaseLoad!M34&gt;BaseLoad!$G34,G$8*PPA!$G$5*$Z35,0))</f>
        <v>-</v>
      </c>
      <c r="H35" s="237" t="str">
        <f>IF($A$1="Peak","-",IF(BaseLoad!N34&gt;BaseLoad!$G34,H$8*PPA!$G$5*$Z35,0))</f>
        <v>-</v>
      </c>
      <c r="I35" s="237" t="str">
        <f>IF($A$1="Peak","-",IF(BaseLoad!O34&gt;BaseLoad!$G34,I$8*PPA!$G$5*$Z35,0))</f>
        <v>-</v>
      </c>
      <c r="J35" s="237" t="str">
        <f>IF($A$1="Peak","-",IF(BaseLoad!P34&gt;BaseLoad!$G34,J$8*PPA!$G$5*$Z35,0))</f>
        <v>-</v>
      </c>
      <c r="K35" s="237" t="str">
        <f>IF($A$1="Peak","-",IF(BaseLoad!Q34&gt;BaseLoad!$G34,K$8*PPA!$G$5*$Z35,0))</f>
        <v>-</v>
      </c>
      <c r="L35" s="237" t="str">
        <f>IF($A$1="Peak","-",IF(BaseLoad!R34&gt;BaseLoad!$G34,L$8*PPA!$G$5*$Z35,0))</f>
        <v>-</v>
      </c>
      <c r="M35" s="237" t="str">
        <f>IF($A$1="Peak","-",IF(BaseLoad!S34&gt;BaseLoad!$G34,M$8*PPA!$G$5*$Z35,0))</f>
        <v>-</v>
      </c>
      <c r="N35" s="237" t="str">
        <f>IF($A$1="Peak","-",IF(BaseLoad!T34&gt;BaseLoad!$G34,N$8*PPA!$G$5*$Z35,0))</f>
        <v>-</v>
      </c>
      <c r="O35" s="237" t="str">
        <f>IF($A$1="Peak","-",IF(BaseLoad!U34&gt;BaseLoad!$G34,O$8*PPA!$G$5*$Z35,0))</f>
        <v>-</v>
      </c>
      <c r="P35" s="237" t="str">
        <f>IF($A$1="Peak","-",IF(BaseLoad!V34&gt;BaseLoad!$G34,P$8*PPA!$G$5*$Z35,0))</f>
        <v>-</v>
      </c>
      <c r="Q35" s="237" t="str">
        <f>IF($A$1="Peak","-",IF(BaseLoad!W34&gt;BaseLoad!$G34,Q$8*PPA!$G$5*$Z35,0))</f>
        <v>-</v>
      </c>
      <c r="R35" s="237" t="str">
        <f>IF($A$1="Peak","-",IF(BaseLoad!X34&gt;BaseLoad!$G34,R$8*PPA!$G$5*$Z35,0))</f>
        <v>-</v>
      </c>
      <c r="S35" s="237" t="str">
        <f>IF($A$1="Peak","-",IF(BaseLoad!Y34&gt;BaseLoad!$G34,S$8*PPA!$G$5*$Z35,0))</f>
        <v>-</v>
      </c>
      <c r="T35" s="237" t="str">
        <f>IF($A$1="Peak","-",IF(BaseLoad!Z34&gt;BaseLoad!$G34,T$8*PPA!$G$5*$Z35,0))</f>
        <v>-</v>
      </c>
      <c r="U35" s="237" t="str">
        <f>IF($A$1="Peak","-",IF(BaseLoad!AA34&gt;BaseLoad!$G34,U$8*PPA!$G$5*$Z35,0))</f>
        <v>-</v>
      </c>
      <c r="V35" s="237">
        <f t="shared" si="0"/>
        <v>0</v>
      </c>
      <c r="W35" s="237" t="str">
        <f>IF($A$1="Peak","-",(730*PPA!$G$4*$Z35))</f>
        <v>-</v>
      </c>
      <c r="X35" s="237">
        <f t="shared" si="1"/>
        <v>0</v>
      </c>
      <c r="Y35" s="237"/>
      <c r="Z35" s="237">
        <f>CHOOSE(QUOTIENT(MONTH($A35),3)+1,BaseLoad!$AM$9,BaseLoad!$AN$9,BaseLoad!$AL$9,BaseLoad!$AO$9,BaseLoad!$AM$9)</f>
        <v>0.92427661878611755</v>
      </c>
      <c r="AA35" s="237">
        <f>CHOOSE(QUOTIENT(MONTH($A35),3)+1,BaseLoad!$AM$15,BaseLoad!$AN$15,BaseLoad!$AL$15,BaseLoad!$AO$15,BaseLoad!$AM$15)</f>
        <v>705</v>
      </c>
      <c r="AB35" s="471"/>
      <c r="AD35" s="471"/>
    </row>
    <row r="36" spans="1:30" x14ac:dyDescent="0.2">
      <c r="A36" s="1">
        <f t="shared" si="2"/>
        <v>37330.842000000033</v>
      </c>
      <c r="B36" s="237" t="str">
        <f>IF($A$1="Peak","-",IF(BaseLoad!H35&gt;BaseLoad!$G35,B$8*PPA!$G$5*$Z36,0))</f>
        <v>-</v>
      </c>
      <c r="C36" s="237" t="str">
        <f>IF($A$1="Peak","-",IF(BaseLoad!I35&gt;BaseLoad!$G35,C$8*PPA!$G$5*$Z36,0))</f>
        <v>-</v>
      </c>
      <c r="D36" s="237" t="str">
        <f>IF($A$1="Peak","-",IF(BaseLoad!J35&gt;BaseLoad!$G35,D$8*PPA!$G$5*$Z36,0))</f>
        <v>-</v>
      </c>
      <c r="E36" s="237" t="str">
        <f>IF($A$1="Peak","-",IF(BaseLoad!K35&gt;BaseLoad!$G35,E$8*PPA!$G$5*$Z36,0))</f>
        <v>-</v>
      </c>
      <c r="F36" s="237" t="str">
        <f>IF($A$1="Peak","-",IF(BaseLoad!L35&gt;BaseLoad!$G35,F$8*PPA!$G$5*$Z36,0))</f>
        <v>-</v>
      </c>
      <c r="G36" s="237" t="str">
        <f>IF($A$1="Peak","-",IF(BaseLoad!M35&gt;BaseLoad!$G35,G$8*PPA!$G$5*$Z36,0))</f>
        <v>-</v>
      </c>
      <c r="H36" s="237" t="str">
        <f>IF($A$1="Peak","-",IF(BaseLoad!N35&gt;BaseLoad!$G35,H$8*PPA!$G$5*$Z36,0))</f>
        <v>-</v>
      </c>
      <c r="I36" s="237" t="str">
        <f>IF($A$1="Peak","-",IF(BaseLoad!O35&gt;BaseLoad!$G35,I$8*PPA!$G$5*$Z36,0))</f>
        <v>-</v>
      </c>
      <c r="J36" s="237" t="str">
        <f>IF($A$1="Peak","-",IF(BaseLoad!P35&gt;BaseLoad!$G35,J$8*PPA!$G$5*$Z36,0))</f>
        <v>-</v>
      </c>
      <c r="K36" s="237" t="str">
        <f>IF($A$1="Peak","-",IF(BaseLoad!Q35&gt;BaseLoad!$G35,K$8*PPA!$G$5*$Z36,0))</f>
        <v>-</v>
      </c>
      <c r="L36" s="237" t="str">
        <f>IF($A$1="Peak","-",IF(BaseLoad!R35&gt;BaseLoad!$G35,L$8*PPA!$G$5*$Z36,0))</f>
        <v>-</v>
      </c>
      <c r="M36" s="237" t="str">
        <f>IF($A$1="Peak","-",IF(BaseLoad!S35&gt;BaseLoad!$G35,M$8*PPA!$G$5*$Z36,0))</f>
        <v>-</v>
      </c>
      <c r="N36" s="237" t="str">
        <f>IF($A$1="Peak","-",IF(BaseLoad!T35&gt;BaseLoad!$G35,N$8*PPA!$G$5*$Z36,0))</f>
        <v>-</v>
      </c>
      <c r="O36" s="237" t="str">
        <f>IF($A$1="Peak","-",IF(BaseLoad!U35&gt;BaseLoad!$G35,O$8*PPA!$G$5*$Z36,0))</f>
        <v>-</v>
      </c>
      <c r="P36" s="237" t="str">
        <f>IF($A$1="Peak","-",IF(BaseLoad!V35&gt;BaseLoad!$G35,P$8*PPA!$G$5*$Z36,0))</f>
        <v>-</v>
      </c>
      <c r="Q36" s="237" t="str">
        <f>IF($A$1="Peak","-",IF(BaseLoad!W35&gt;BaseLoad!$G35,Q$8*PPA!$G$5*$Z36,0))</f>
        <v>-</v>
      </c>
      <c r="R36" s="237" t="str">
        <f>IF($A$1="Peak","-",IF(BaseLoad!X35&gt;BaseLoad!$G35,R$8*PPA!$G$5*$Z36,0))</f>
        <v>-</v>
      </c>
      <c r="S36" s="237" t="str">
        <f>IF($A$1="Peak","-",IF(BaseLoad!Y35&gt;BaseLoad!$G35,S$8*PPA!$G$5*$Z36,0))</f>
        <v>-</v>
      </c>
      <c r="T36" s="237" t="str">
        <f>IF($A$1="Peak","-",IF(BaseLoad!Z35&gt;BaseLoad!$G35,T$8*PPA!$G$5*$Z36,0))</f>
        <v>-</v>
      </c>
      <c r="U36" s="237" t="str">
        <f>IF($A$1="Peak","-",IF(BaseLoad!AA35&gt;BaseLoad!$G35,U$8*PPA!$G$5*$Z36,0))</f>
        <v>-</v>
      </c>
      <c r="V36" s="237">
        <f t="shared" si="0"/>
        <v>0</v>
      </c>
      <c r="W36" s="237" t="str">
        <f>IF($A$1="Peak","-",(730*PPA!$G$4*$Z36))</f>
        <v>-</v>
      </c>
      <c r="X36" s="237">
        <f t="shared" si="1"/>
        <v>0</v>
      </c>
      <c r="Y36" s="237"/>
      <c r="Z36" s="237">
        <f>CHOOSE(QUOTIENT(MONTH($A36),3)+1,BaseLoad!$AM$9,BaseLoad!$AN$9,BaseLoad!$AL$9,BaseLoad!$AO$9,BaseLoad!$AM$9)</f>
        <v>0.95</v>
      </c>
      <c r="AA36" s="237">
        <f>CHOOSE(QUOTIENT(MONTH($A36),3)+1,BaseLoad!$AM$15,BaseLoad!$AN$15,BaseLoad!$AL$15,BaseLoad!$AO$15,BaseLoad!$AM$15)</f>
        <v>705</v>
      </c>
      <c r="AB36" s="471"/>
      <c r="AD36" s="471"/>
    </row>
    <row r="37" spans="1:30" x14ac:dyDescent="0.2">
      <c r="A37" s="1">
        <f t="shared" si="2"/>
        <v>37361.259000000035</v>
      </c>
      <c r="B37" s="237" t="str">
        <f>IF($A$1="Peak","-",IF(BaseLoad!H36&gt;BaseLoad!$G36,B$8*PPA!$G$5*$Z37,0))</f>
        <v>-</v>
      </c>
      <c r="C37" s="237" t="str">
        <f>IF($A$1="Peak","-",IF(BaseLoad!I36&gt;BaseLoad!$G36,C$8*PPA!$G$5*$Z37,0))</f>
        <v>-</v>
      </c>
      <c r="D37" s="237" t="str">
        <f>IF($A$1="Peak","-",IF(BaseLoad!J36&gt;BaseLoad!$G36,D$8*PPA!$G$5*$Z37,0))</f>
        <v>-</v>
      </c>
      <c r="E37" s="237" t="str">
        <f>IF($A$1="Peak","-",IF(BaseLoad!K36&gt;BaseLoad!$G36,E$8*PPA!$G$5*$Z37,0))</f>
        <v>-</v>
      </c>
      <c r="F37" s="237" t="str">
        <f>IF($A$1="Peak","-",IF(BaseLoad!L36&gt;BaseLoad!$G36,F$8*PPA!$G$5*$Z37,0))</f>
        <v>-</v>
      </c>
      <c r="G37" s="237" t="str">
        <f>IF($A$1="Peak","-",IF(BaseLoad!M36&gt;BaseLoad!$G36,G$8*PPA!$G$5*$Z37,0))</f>
        <v>-</v>
      </c>
      <c r="H37" s="237" t="str">
        <f>IF($A$1="Peak","-",IF(BaseLoad!N36&gt;BaseLoad!$G36,H$8*PPA!$G$5*$Z37,0))</f>
        <v>-</v>
      </c>
      <c r="I37" s="237" t="str">
        <f>IF($A$1="Peak","-",IF(BaseLoad!O36&gt;BaseLoad!$G36,I$8*PPA!$G$5*$Z37,0))</f>
        <v>-</v>
      </c>
      <c r="J37" s="237" t="str">
        <f>IF($A$1="Peak","-",IF(BaseLoad!P36&gt;BaseLoad!$G36,J$8*PPA!$G$5*$Z37,0))</f>
        <v>-</v>
      </c>
      <c r="K37" s="237" t="str">
        <f>IF($A$1="Peak","-",IF(BaseLoad!Q36&gt;BaseLoad!$G36,K$8*PPA!$G$5*$Z37,0))</f>
        <v>-</v>
      </c>
      <c r="L37" s="237" t="str">
        <f>IF($A$1="Peak","-",IF(BaseLoad!R36&gt;BaseLoad!$G36,L$8*PPA!$G$5*$Z37,0))</f>
        <v>-</v>
      </c>
      <c r="M37" s="237" t="str">
        <f>IF($A$1="Peak","-",IF(BaseLoad!S36&gt;BaseLoad!$G36,M$8*PPA!$G$5*$Z37,0))</f>
        <v>-</v>
      </c>
      <c r="N37" s="237" t="str">
        <f>IF($A$1="Peak","-",IF(BaseLoad!T36&gt;BaseLoad!$G36,N$8*PPA!$G$5*$Z37,0))</f>
        <v>-</v>
      </c>
      <c r="O37" s="237" t="str">
        <f>IF($A$1="Peak","-",IF(BaseLoad!U36&gt;BaseLoad!$G36,O$8*PPA!$G$5*$Z37,0))</f>
        <v>-</v>
      </c>
      <c r="P37" s="237" t="str">
        <f>IF($A$1="Peak","-",IF(BaseLoad!V36&gt;BaseLoad!$G36,P$8*PPA!$G$5*$Z37,0))</f>
        <v>-</v>
      </c>
      <c r="Q37" s="237" t="str">
        <f>IF($A$1="Peak","-",IF(BaseLoad!W36&gt;BaseLoad!$G36,Q$8*PPA!$G$5*$Z37,0))</f>
        <v>-</v>
      </c>
      <c r="R37" s="237" t="str">
        <f>IF($A$1="Peak","-",IF(BaseLoad!X36&gt;BaseLoad!$G36,R$8*PPA!$G$5*$Z37,0))</f>
        <v>-</v>
      </c>
      <c r="S37" s="237" t="str">
        <f>IF($A$1="Peak","-",IF(BaseLoad!Y36&gt;BaseLoad!$G36,S$8*PPA!$G$5*$Z37,0))</f>
        <v>-</v>
      </c>
      <c r="T37" s="237" t="str">
        <f>IF($A$1="Peak","-",IF(BaseLoad!Z36&gt;BaseLoad!$G36,T$8*PPA!$G$5*$Z37,0))</f>
        <v>-</v>
      </c>
      <c r="U37" s="237" t="str">
        <f>IF($A$1="Peak","-",IF(BaseLoad!AA36&gt;BaseLoad!$G36,U$8*PPA!$G$5*$Z37,0))</f>
        <v>-</v>
      </c>
      <c r="V37" s="237">
        <f t="shared" si="0"/>
        <v>0</v>
      </c>
      <c r="W37" s="237" t="str">
        <f>IF($A$1="Peak","-",(730*PPA!$G$4*$Z37))</f>
        <v>-</v>
      </c>
      <c r="X37" s="237">
        <f t="shared" si="1"/>
        <v>0</v>
      </c>
      <c r="Y37" s="237"/>
      <c r="Z37" s="237">
        <f>CHOOSE(QUOTIENT(MONTH($A37),3)+1,BaseLoad!$AM$9,BaseLoad!$AN$9,BaseLoad!$AL$9,BaseLoad!$AO$9,BaseLoad!$AM$9)</f>
        <v>0.95</v>
      </c>
      <c r="AA37" s="237">
        <f>CHOOSE(QUOTIENT(MONTH($A37),3)+1,BaseLoad!$AM$15,BaseLoad!$AN$15,BaseLoad!$AL$15,BaseLoad!$AO$15,BaseLoad!$AM$15)</f>
        <v>705</v>
      </c>
      <c r="AB37" s="471"/>
      <c r="AD37" s="471"/>
    </row>
    <row r="38" spans="1:30" x14ac:dyDescent="0.2">
      <c r="A38" s="1">
        <f t="shared" si="2"/>
        <v>37391.676000000036</v>
      </c>
      <c r="B38" s="237" t="str">
        <f>IF($A$1="Peak","-",IF(BaseLoad!H37&gt;BaseLoad!$G37,B$8*PPA!$G$5*$Z38,0))</f>
        <v>-</v>
      </c>
      <c r="C38" s="237" t="str">
        <f>IF($A$1="Peak","-",IF(BaseLoad!I37&gt;BaseLoad!$G37,C$8*PPA!$G$5*$Z38,0))</f>
        <v>-</v>
      </c>
      <c r="D38" s="237" t="str">
        <f>IF($A$1="Peak","-",IF(BaseLoad!J37&gt;BaseLoad!$G37,D$8*PPA!$G$5*$Z38,0))</f>
        <v>-</v>
      </c>
      <c r="E38" s="237" t="str">
        <f>IF($A$1="Peak","-",IF(BaseLoad!K37&gt;BaseLoad!$G37,E$8*PPA!$G$5*$Z38,0))</f>
        <v>-</v>
      </c>
      <c r="F38" s="237" t="str">
        <f>IF($A$1="Peak","-",IF(BaseLoad!L37&gt;BaseLoad!$G37,F$8*PPA!$G$5*$Z38,0))</f>
        <v>-</v>
      </c>
      <c r="G38" s="237" t="str">
        <f>IF($A$1="Peak","-",IF(BaseLoad!M37&gt;BaseLoad!$G37,G$8*PPA!$G$5*$Z38,0))</f>
        <v>-</v>
      </c>
      <c r="H38" s="237" t="str">
        <f>IF($A$1="Peak","-",IF(BaseLoad!N37&gt;BaseLoad!$G37,H$8*PPA!$G$5*$Z38,0))</f>
        <v>-</v>
      </c>
      <c r="I38" s="237" t="str">
        <f>IF($A$1="Peak","-",IF(BaseLoad!O37&gt;BaseLoad!$G37,I$8*PPA!$G$5*$Z38,0))</f>
        <v>-</v>
      </c>
      <c r="J38" s="237" t="str">
        <f>IF($A$1="Peak","-",IF(BaseLoad!P37&gt;BaseLoad!$G37,J$8*PPA!$G$5*$Z38,0))</f>
        <v>-</v>
      </c>
      <c r="K38" s="237" t="str">
        <f>IF($A$1="Peak","-",IF(BaseLoad!Q37&gt;BaseLoad!$G37,K$8*PPA!$G$5*$Z38,0))</f>
        <v>-</v>
      </c>
      <c r="L38" s="237" t="str">
        <f>IF($A$1="Peak","-",IF(BaseLoad!R37&gt;BaseLoad!$G37,L$8*PPA!$G$5*$Z38,0))</f>
        <v>-</v>
      </c>
      <c r="M38" s="237" t="str">
        <f>IF($A$1="Peak","-",IF(BaseLoad!S37&gt;BaseLoad!$G37,M$8*PPA!$G$5*$Z38,0))</f>
        <v>-</v>
      </c>
      <c r="N38" s="237" t="str">
        <f>IF($A$1="Peak","-",IF(BaseLoad!T37&gt;BaseLoad!$G37,N$8*PPA!$G$5*$Z38,0))</f>
        <v>-</v>
      </c>
      <c r="O38" s="237" t="str">
        <f>IF($A$1="Peak","-",IF(BaseLoad!U37&gt;BaseLoad!$G37,O$8*PPA!$G$5*$Z38,0))</f>
        <v>-</v>
      </c>
      <c r="P38" s="237" t="str">
        <f>IF($A$1="Peak","-",IF(BaseLoad!V37&gt;BaseLoad!$G37,P$8*PPA!$G$5*$Z38,0))</f>
        <v>-</v>
      </c>
      <c r="Q38" s="237" t="str">
        <f>IF($A$1="Peak","-",IF(BaseLoad!W37&gt;BaseLoad!$G37,Q$8*PPA!$G$5*$Z38,0))</f>
        <v>-</v>
      </c>
      <c r="R38" s="237" t="str">
        <f>IF($A$1="Peak","-",IF(BaseLoad!X37&gt;BaseLoad!$G37,R$8*PPA!$G$5*$Z38,0))</f>
        <v>-</v>
      </c>
      <c r="S38" s="237" t="str">
        <f>IF($A$1="Peak","-",IF(BaseLoad!Y37&gt;BaseLoad!$G37,S$8*PPA!$G$5*$Z38,0))</f>
        <v>-</v>
      </c>
      <c r="T38" s="237" t="str">
        <f>IF($A$1="Peak","-",IF(BaseLoad!Z37&gt;BaseLoad!$G37,T$8*PPA!$G$5*$Z38,0))</f>
        <v>-</v>
      </c>
      <c r="U38" s="237" t="str">
        <f>IF($A$1="Peak","-",IF(BaseLoad!AA37&gt;BaseLoad!$G37,U$8*PPA!$G$5*$Z38,0))</f>
        <v>-</v>
      </c>
      <c r="V38" s="237">
        <f t="shared" si="0"/>
        <v>0</v>
      </c>
      <c r="W38" s="237" t="str">
        <f>IF($A$1="Peak","-",(730*PPA!$G$4*$Z38))</f>
        <v>-</v>
      </c>
      <c r="X38" s="237">
        <f t="shared" si="1"/>
        <v>0</v>
      </c>
      <c r="Y38" s="237"/>
      <c r="Z38" s="237">
        <f>CHOOSE(QUOTIENT(MONTH($A38),3)+1,BaseLoad!$AM$9,BaseLoad!$AN$9,BaseLoad!$AL$9,BaseLoad!$AO$9,BaseLoad!$AM$9)</f>
        <v>0.95</v>
      </c>
      <c r="AA38" s="237">
        <f>CHOOSE(QUOTIENT(MONTH($A38),3)+1,BaseLoad!$AM$15,BaseLoad!$AN$15,BaseLoad!$AL$15,BaseLoad!$AO$15,BaseLoad!$AM$15)</f>
        <v>705</v>
      </c>
      <c r="AB38" s="471"/>
      <c r="AD38" s="471"/>
    </row>
    <row r="39" spans="1:30" x14ac:dyDescent="0.2">
      <c r="A39" s="1">
        <f t="shared" si="2"/>
        <v>37422.093000000037</v>
      </c>
      <c r="B39" s="237" t="str">
        <f>IF($A$1="Peak","-",IF(BaseLoad!H38&gt;BaseLoad!$G38,B$8*PPA!$G$5*$Z39,0))</f>
        <v>-</v>
      </c>
      <c r="C39" s="237" t="str">
        <f>IF($A$1="Peak","-",IF(BaseLoad!I38&gt;BaseLoad!$G38,C$8*PPA!$G$5*$Z39,0))</f>
        <v>-</v>
      </c>
      <c r="D39" s="237" t="str">
        <f>IF($A$1="Peak","-",IF(BaseLoad!J38&gt;BaseLoad!$G38,D$8*PPA!$G$5*$Z39,0))</f>
        <v>-</v>
      </c>
      <c r="E39" s="237" t="str">
        <f>IF($A$1="Peak","-",IF(BaseLoad!K38&gt;BaseLoad!$G38,E$8*PPA!$G$5*$Z39,0))</f>
        <v>-</v>
      </c>
      <c r="F39" s="237" t="str">
        <f>IF($A$1="Peak","-",IF(BaseLoad!L38&gt;BaseLoad!$G38,F$8*PPA!$G$5*$Z39,0))</f>
        <v>-</v>
      </c>
      <c r="G39" s="237" t="str">
        <f>IF($A$1="Peak","-",IF(BaseLoad!M38&gt;BaseLoad!$G38,G$8*PPA!$G$5*$Z39,0))</f>
        <v>-</v>
      </c>
      <c r="H39" s="237" t="str">
        <f>IF($A$1="Peak","-",IF(BaseLoad!N38&gt;BaseLoad!$G38,H$8*PPA!$G$5*$Z39,0))</f>
        <v>-</v>
      </c>
      <c r="I39" s="237" t="str">
        <f>IF($A$1="Peak","-",IF(BaseLoad!O38&gt;BaseLoad!$G38,I$8*PPA!$G$5*$Z39,0))</f>
        <v>-</v>
      </c>
      <c r="J39" s="237" t="str">
        <f>IF($A$1="Peak","-",IF(BaseLoad!P38&gt;BaseLoad!$G38,J$8*PPA!$G$5*$Z39,0))</f>
        <v>-</v>
      </c>
      <c r="K39" s="237" t="str">
        <f>IF($A$1="Peak","-",IF(BaseLoad!Q38&gt;BaseLoad!$G38,K$8*PPA!$G$5*$Z39,0))</f>
        <v>-</v>
      </c>
      <c r="L39" s="237" t="str">
        <f>IF($A$1="Peak","-",IF(BaseLoad!R38&gt;BaseLoad!$G38,L$8*PPA!$G$5*$Z39,0))</f>
        <v>-</v>
      </c>
      <c r="M39" s="237" t="str">
        <f>IF($A$1="Peak","-",IF(BaseLoad!S38&gt;BaseLoad!$G38,M$8*PPA!$G$5*$Z39,0))</f>
        <v>-</v>
      </c>
      <c r="N39" s="237" t="str">
        <f>IF($A$1="Peak","-",IF(BaseLoad!T38&gt;BaseLoad!$G38,N$8*PPA!$G$5*$Z39,0))</f>
        <v>-</v>
      </c>
      <c r="O39" s="237" t="str">
        <f>IF($A$1="Peak","-",IF(BaseLoad!U38&gt;BaseLoad!$G38,O$8*PPA!$G$5*$Z39,0))</f>
        <v>-</v>
      </c>
      <c r="P39" s="237" t="str">
        <f>IF($A$1="Peak","-",IF(BaseLoad!V38&gt;BaseLoad!$G38,P$8*PPA!$G$5*$Z39,0))</f>
        <v>-</v>
      </c>
      <c r="Q39" s="237" t="str">
        <f>IF($A$1="Peak","-",IF(BaseLoad!W38&gt;BaseLoad!$G38,Q$8*PPA!$G$5*$Z39,0))</f>
        <v>-</v>
      </c>
      <c r="R39" s="237" t="str">
        <f>IF($A$1="Peak","-",IF(BaseLoad!X38&gt;BaseLoad!$G38,R$8*PPA!$G$5*$Z39,0))</f>
        <v>-</v>
      </c>
      <c r="S39" s="237" t="str">
        <f>IF($A$1="Peak","-",IF(BaseLoad!Y38&gt;BaseLoad!$G38,S$8*PPA!$G$5*$Z39,0))</f>
        <v>-</v>
      </c>
      <c r="T39" s="237" t="str">
        <f>IF($A$1="Peak","-",IF(BaseLoad!Z38&gt;BaseLoad!$G38,T$8*PPA!$G$5*$Z39,0))</f>
        <v>-</v>
      </c>
      <c r="U39" s="237" t="str">
        <f>IF($A$1="Peak","-",IF(BaseLoad!AA38&gt;BaseLoad!$G38,U$8*PPA!$G$5*$Z39,0))</f>
        <v>-</v>
      </c>
      <c r="V39" s="237">
        <f t="shared" si="0"/>
        <v>0</v>
      </c>
      <c r="W39" s="237" t="str">
        <f>IF($A$1="Peak","-",(730*PPA!$G$4*$Z39))</f>
        <v>-</v>
      </c>
      <c r="X39" s="237">
        <f t="shared" si="1"/>
        <v>0</v>
      </c>
      <c r="Y39" s="237"/>
      <c r="Z39" s="237">
        <f>CHOOSE(QUOTIENT(MONTH($A39),3)+1,BaseLoad!$AM$9,BaseLoad!$AN$9,BaseLoad!$AL$9,BaseLoad!$AO$9,BaseLoad!$AM$9)</f>
        <v>0.96612135909558572</v>
      </c>
      <c r="AA39" s="237">
        <f>CHOOSE(QUOTIENT(MONTH($A39),3)+1,BaseLoad!$AM$15,BaseLoad!$AN$15,BaseLoad!$AL$15,BaseLoad!$AO$15,BaseLoad!$AM$15)</f>
        <v>705</v>
      </c>
      <c r="AB39" s="471"/>
      <c r="AD39" s="471"/>
    </row>
    <row r="40" spans="1:30" x14ac:dyDescent="0.2">
      <c r="A40" s="1">
        <f t="shared" si="2"/>
        <v>37452.510000000038</v>
      </c>
      <c r="B40" s="237" t="str">
        <f>IF($A$1="Peak","-",IF(BaseLoad!H39&gt;BaseLoad!$G39,B$8*PPA!$G$5*$Z40,0))</f>
        <v>-</v>
      </c>
      <c r="C40" s="237" t="str">
        <f>IF($A$1="Peak","-",IF(BaseLoad!I39&gt;BaseLoad!$G39,C$8*PPA!$G$5*$Z40,0))</f>
        <v>-</v>
      </c>
      <c r="D40" s="237" t="str">
        <f>IF($A$1="Peak","-",IF(BaseLoad!J39&gt;BaseLoad!$G39,D$8*PPA!$G$5*$Z40,0))</f>
        <v>-</v>
      </c>
      <c r="E40" s="237" t="str">
        <f>IF($A$1="Peak","-",IF(BaseLoad!K39&gt;BaseLoad!$G39,E$8*PPA!$G$5*$Z40,0))</f>
        <v>-</v>
      </c>
      <c r="F40" s="237" t="str">
        <f>IF($A$1="Peak","-",IF(BaseLoad!L39&gt;BaseLoad!$G39,F$8*PPA!$G$5*$Z40,0))</f>
        <v>-</v>
      </c>
      <c r="G40" s="237" t="str">
        <f>IF($A$1="Peak","-",IF(BaseLoad!M39&gt;BaseLoad!$G39,G$8*PPA!$G$5*$Z40,0))</f>
        <v>-</v>
      </c>
      <c r="H40" s="237" t="str">
        <f>IF($A$1="Peak","-",IF(BaseLoad!N39&gt;BaseLoad!$G39,H$8*PPA!$G$5*$Z40,0))</f>
        <v>-</v>
      </c>
      <c r="I40" s="237" t="str">
        <f>IF($A$1="Peak","-",IF(BaseLoad!O39&gt;BaseLoad!$G39,I$8*PPA!$G$5*$Z40,0))</f>
        <v>-</v>
      </c>
      <c r="J40" s="237" t="str">
        <f>IF($A$1="Peak","-",IF(BaseLoad!P39&gt;BaseLoad!$G39,J$8*PPA!$G$5*$Z40,0))</f>
        <v>-</v>
      </c>
      <c r="K40" s="237" t="str">
        <f>IF($A$1="Peak","-",IF(BaseLoad!Q39&gt;BaseLoad!$G39,K$8*PPA!$G$5*$Z40,0))</f>
        <v>-</v>
      </c>
      <c r="L40" s="237" t="str">
        <f>IF($A$1="Peak","-",IF(BaseLoad!R39&gt;BaseLoad!$G39,L$8*PPA!$G$5*$Z40,0))</f>
        <v>-</v>
      </c>
      <c r="M40" s="237" t="str">
        <f>IF($A$1="Peak","-",IF(BaseLoad!S39&gt;BaseLoad!$G39,M$8*PPA!$G$5*$Z40,0))</f>
        <v>-</v>
      </c>
      <c r="N40" s="237" t="str">
        <f>IF($A$1="Peak","-",IF(BaseLoad!T39&gt;BaseLoad!$G39,N$8*PPA!$G$5*$Z40,0))</f>
        <v>-</v>
      </c>
      <c r="O40" s="237" t="str">
        <f>IF($A$1="Peak","-",IF(BaseLoad!U39&gt;BaseLoad!$G39,O$8*PPA!$G$5*$Z40,0))</f>
        <v>-</v>
      </c>
      <c r="P40" s="237" t="str">
        <f>IF($A$1="Peak","-",IF(BaseLoad!V39&gt;BaseLoad!$G39,P$8*PPA!$G$5*$Z40,0))</f>
        <v>-</v>
      </c>
      <c r="Q40" s="237" t="str">
        <f>IF($A$1="Peak","-",IF(BaseLoad!W39&gt;BaseLoad!$G39,Q$8*PPA!$G$5*$Z40,0))</f>
        <v>-</v>
      </c>
      <c r="R40" s="237" t="str">
        <f>IF($A$1="Peak","-",IF(BaseLoad!X39&gt;BaseLoad!$G39,R$8*PPA!$G$5*$Z40,0))</f>
        <v>-</v>
      </c>
      <c r="S40" s="237" t="str">
        <f>IF($A$1="Peak","-",IF(BaseLoad!Y39&gt;BaseLoad!$G39,S$8*PPA!$G$5*$Z40,0))</f>
        <v>-</v>
      </c>
      <c r="T40" s="237" t="str">
        <f>IF($A$1="Peak","-",IF(BaseLoad!Z39&gt;BaseLoad!$G39,T$8*PPA!$G$5*$Z40,0))</f>
        <v>-</v>
      </c>
      <c r="U40" s="237" t="str">
        <f>IF($A$1="Peak","-",IF(BaseLoad!AA39&gt;BaseLoad!$G39,U$8*PPA!$G$5*$Z40,0))</f>
        <v>-</v>
      </c>
      <c r="V40" s="237">
        <f t="shared" si="0"/>
        <v>0</v>
      </c>
      <c r="W40" s="237" t="str">
        <f>IF($A$1="Peak","-",(730*PPA!$G$4*$Z40))</f>
        <v>-</v>
      </c>
      <c r="X40" s="237">
        <f t="shared" si="1"/>
        <v>0</v>
      </c>
      <c r="Y40" s="237"/>
      <c r="Z40" s="237">
        <f>CHOOSE(QUOTIENT(MONTH($A40),3)+1,BaseLoad!$AM$9,BaseLoad!$AN$9,BaseLoad!$AL$9,BaseLoad!$AO$9,BaseLoad!$AM$9)</f>
        <v>0.96612135909558572</v>
      </c>
      <c r="AA40" s="237">
        <f>CHOOSE(QUOTIENT(MONTH($A40),3)+1,BaseLoad!$AM$15,BaseLoad!$AN$15,BaseLoad!$AL$15,BaseLoad!$AO$15,BaseLoad!$AM$15)</f>
        <v>705</v>
      </c>
      <c r="AB40" s="471"/>
      <c r="AD40" s="471"/>
    </row>
    <row r="41" spans="1:30" x14ac:dyDescent="0.2">
      <c r="A41" s="1">
        <f t="shared" si="2"/>
        <v>37482.92700000004</v>
      </c>
      <c r="B41" s="237" t="str">
        <f>IF($A$1="Peak","-",IF(BaseLoad!H40&gt;BaseLoad!$G40,B$8*PPA!$G$5*$Z41,0))</f>
        <v>-</v>
      </c>
      <c r="C41" s="237" t="str">
        <f>IF($A$1="Peak","-",IF(BaseLoad!I40&gt;BaseLoad!$G40,C$8*PPA!$G$5*$Z41,0))</f>
        <v>-</v>
      </c>
      <c r="D41" s="237" t="str">
        <f>IF($A$1="Peak","-",IF(BaseLoad!J40&gt;BaseLoad!$G40,D$8*PPA!$G$5*$Z41,0))</f>
        <v>-</v>
      </c>
      <c r="E41" s="237" t="str">
        <f>IF($A$1="Peak","-",IF(BaseLoad!K40&gt;BaseLoad!$G40,E$8*PPA!$G$5*$Z41,0))</f>
        <v>-</v>
      </c>
      <c r="F41" s="237" t="str">
        <f>IF($A$1="Peak","-",IF(BaseLoad!L40&gt;BaseLoad!$G40,F$8*PPA!$G$5*$Z41,0))</f>
        <v>-</v>
      </c>
      <c r="G41" s="237" t="str">
        <f>IF($A$1="Peak","-",IF(BaseLoad!M40&gt;BaseLoad!$G40,G$8*PPA!$G$5*$Z41,0))</f>
        <v>-</v>
      </c>
      <c r="H41" s="237" t="str">
        <f>IF($A$1="Peak","-",IF(BaseLoad!N40&gt;BaseLoad!$G40,H$8*PPA!$G$5*$Z41,0))</f>
        <v>-</v>
      </c>
      <c r="I41" s="237" t="str">
        <f>IF($A$1="Peak","-",IF(BaseLoad!O40&gt;BaseLoad!$G40,I$8*PPA!$G$5*$Z41,0))</f>
        <v>-</v>
      </c>
      <c r="J41" s="237" t="str">
        <f>IF($A$1="Peak","-",IF(BaseLoad!P40&gt;BaseLoad!$G40,J$8*PPA!$G$5*$Z41,0))</f>
        <v>-</v>
      </c>
      <c r="K41" s="237" t="str">
        <f>IF($A$1="Peak","-",IF(BaseLoad!Q40&gt;BaseLoad!$G40,K$8*PPA!$G$5*$Z41,0))</f>
        <v>-</v>
      </c>
      <c r="L41" s="237" t="str">
        <f>IF($A$1="Peak","-",IF(BaseLoad!R40&gt;BaseLoad!$G40,L$8*PPA!$G$5*$Z41,0))</f>
        <v>-</v>
      </c>
      <c r="M41" s="237" t="str">
        <f>IF($A$1="Peak","-",IF(BaseLoad!S40&gt;BaseLoad!$G40,M$8*PPA!$G$5*$Z41,0))</f>
        <v>-</v>
      </c>
      <c r="N41" s="237" t="str">
        <f>IF($A$1="Peak","-",IF(BaseLoad!T40&gt;BaseLoad!$G40,N$8*PPA!$G$5*$Z41,0))</f>
        <v>-</v>
      </c>
      <c r="O41" s="237" t="str">
        <f>IF($A$1="Peak","-",IF(BaseLoad!U40&gt;BaseLoad!$G40,O$8*PPA!$G$5*$Z41,0))</f>
        <v>-</v>
      </c>
      <c r="P41" s="237" t="str">
        <f>IF($A$1="Peak","-",IF(BaseLoad!V40&gt;BaseLoad!$G40,P$8*PPA!$G$5*$Z41,0))</f>
        <v>-</v>
      </c>
      <c r="Q41" s="237" t="str">
        <f>IF($A$1="Peak","-",IF(BaseLoad!W40&gt;BaseLoad!$G40,Q$8*PPA!$G$5*$Z41,0))</f>
        <v>-</v>
      </c>
      <c r="R41" s="237" t="str">
        <f>IF($A$1="Peak","-",IF(BaseLoad!X40&gt;BaseLoad!$G40,R$8*PPA!$G$5*$Z41,0))</f>
        <v>-</v>
      </c>
      <c r="S41" s="237" t="str">
        <f>IF($A$1="Peak","-",IF(BaseLoad!Y40&gt;BaseLoad!$G40,S$8*PPA!$G$5*$Z41,0))</f>
        <v>-</v>
      </c>
      <c r="T41" s="237" t="str">
        <f>IF($A$1="Peak","-",IF(BaseLoad!Z40&gt;BaseLoad!$G40,T$8*PPA!$G$5*$Z41,0))</f>
        <v>-</v>
      </c>
      <c r="U41" s="237" t="str">
        <f>IF($A$1="Peak","-",IF(BaseLoad!AA40&gt;BaseLoad!$G40,U$8*PPA!$G$5*$Z41,0))</f>
        <v>-</v>
      </c>
      <c r="V41" s="237">
        <f t="shared" si="0"/>
        <v>0</v>
      </c>
      <c r="W41" s="237" t="str">
        <f>IF($A$1="Peak","-",(730*PPA!$G$4*$Z41))</f>
        <v>-</v>
      </c>
      <c r="X41" s="237">
        <f t="shared" si="1"/>
        <v>0</v>
      </c>
      <c r="Y41" s="237"/>
      <c r="Z41" s="237">
        <f>CHOOSE(QUOTIENT(MONTH($A41),3)+1,BaseLoad!$AM$9,BaseLoad!$AN$9,BaseLoad!$AL$9,BaseLoad!$AO$9,BaseLoad!$AM$9)</f>
        <v>0.96612135909558572</v>
      </c>
      <c r="AA41" s="237">
        <f>CHOOSE(QUOTIENT(MONTH($A41),3)+1,BaseLoad!$AM$15,BaseLoad!$AN$15,BaseLoad!$AL$15,BaseLoad!$AO$15,BaseLoad!$AM$15)</f>
        <v>705</v>
      </c>
      <c r="AB41" s="471"/>
      <c r="AD41" s="471"/>
    </row>
    <row r="42" spans="1:30" x14ac:dyDescent="0.2">
      <c r="A42" s="1">
        <f t="shared" si="2"/>
        <v>37513.344000000041</v>
      </c>
      <c r="B42" s="237" t="str">
        <f>IF($A$1="Peak","-",IF(BaseLoad!H41&gt;BaseLoad!$G41,B$8*PPA!$G$5*$Z42,0))</f>
        <v>-</v>
      </c>
      <c r="C42" s="237" t="str">
        <f>IF($A$1="Peak","-",IF(BaseLoad!I41&gt;BaseLoad!$G41,C$8*PPA!$G$5*$Z42,0))</f>
        <v>-</v>
      </c>
      <c r="D42" s="237" t="str">
        <f>IF($A$1="Peak","-",IF(BaseLoad!J41&gt;BaseLoad!$G41,D$8*PPA!$G$5*$Z42,0))</f>
        <v>-</v>
      </c>
      <c r="E42" s="237" t="str">
        <f>IF($A$1="Peak","-",IF(BaseLoad!K41&gt;BaseLoad!$G41,E$8*PPA!$G$5*$Z42,0))</f>
        <v>-</v>
      </c>
      <c r="F42" s="237" t="str">
        <f>IF($A$1="Peak","-",IF(BaseLoad!L41&gt;BaseLoad!$G41,F$8*PPA!$G$5*$Z42,0))</f>
        <v>-</v>
      </c>
      <c r="G42" s="237" t="str">
        <f>IF($A$1="Peak","-",IF(BaseLoad!M41&gt;BaseLoad!$G41,G$8*PPA!$G$5*$Z42,0))</f>
        <v>-</v>
      </c>
      <c r="H42" s="237" t="str">
        <f>IF($A$1="Peak","-",IF(BaseLoad!N41&gt;BaseLoad!$G41,H$8*PPA!$G$5*$Z42,0))</f>
        <v>-</v>
      </c>
      <c r="I42" s="237" t="str">
        <f>IF($A$1="Peak","-",IF(BaseLoad!O41&gt;BaseLoad!$G41,I$8*PPA!$G$5*$Z42,0))</f>
        <v>-</v>
      </c>
      <c r="J42" s="237" t="str">
        <f>IF($A$1="Peak","-",IF(BaseLoad!P41&gt;BaseLoad!$G41,J$8*PPA!$G$5*$Z42,0))</f>
        <v>-</v>
      </c>
      <c r="K42" s="237" t="str">
        <f>IF($A$1="Peak","-",IF(BaseLoad!Q41&gt;BaseLoad!$G41,K$8*PPA!$G$5*$Z42,0))</f>
        <v>-</v>
      </c>
      <c r="L42" s="237" t="str">
        <f>IF($A$1="Peak","-",IF(BaseLoad!R41&gt;BaseLoad!$G41,L$8*PPA!$G$5*$Z42,0))</f>
        <v>-</v>
      </c>
      <c r="M42" s="237" t="str">
        <f>IF($A$1="Peak","-",IF(BaseLoad!S41&gt;BaseLoad!$G41,M$8*PPA!$G$5*$Z42,0))</f>
        <v>-</v>
      </c>
      <c r="N42" s="237" t="str">
        <f>IF($A$1="Peak","-",IF(BaseLoad!T41&gt;BaseLoad!$G41,N$8*PPA!$G$5*$Z42,0))</f>
        <v>-</v>
      </c>
      <c r="O42" s="237" t="str">
        <f>IF($A$1="Peak","-",IF(BaseLoad!U41&gt;BaseLoad!$G41,O$8*PPA!$G$5*$Z42,0))</f>
        <v>-</v>
      </c>
      <c r="P42" s="237" t="str">
        <f>IF($A$1="Peak","-",IF(BaseLoad!V41&gt;BaseLoad!$G41,P$8*PPA!$G$5*$Z42,0))</f>
        <v>-</v>
      </c>
      <c r="Q42" s="237" t="str">
        <f>IF($A$1="Peak","-",IF(BaseLoad!W41&gt;BaseLoad!$G41,Q$8*PPA!$G$5*$Z42,0))</f>
        <v>-</v>
      </c>
      <c r="R42" s="237" t="str">
        <f>IF($A$1="Peak","-",IF(BaseLoad!X41&gt;BaseLoad!$G41,R$8*PPA!$G$5*$Z42,0))</f>
        <v>-</v>
      </c>
      <c r="S42" s="237" t="str">
        <f>IF($A$1="Peak","-",IF(BaseLoad!Y41&gt;BaseLoad!$G41,S$8*PPA!$G$5*$Z42,0))</f>
        <v>-</v>
      </c>
      <c r="T42" s="237" t="str">
        <f>IF($A$1="Peak","-",IF(BaseLoad!Z41&gt;BaseLoad!$G41,T$8*PPA!$G$5*$Z42,0))</f>
        <v>-</v>
      </c>
      <c r="U42" s="237" t="str">
        <f>IF($A$1="Peak","-",IF(BaseLoad!AA41&gt;BaseLoad!$G41,U$8*PPA!$G$5*$Z42,0))</f>
        <v>-</v>
      </c>
      <c r="V42" s="237">
        <f t="shared" si="0"/>
        <v>0</v>
      </c>
      <c r="W42" s="237" t="str">
        <f>IF($A$1="Peak","-",(730*PPA!$G$4*$Z42))</f>
        <v>-</v>
      </c>
      <c r="X42" s="237">
        <f t="shared" si="1"/>
        <v>0</v>
      </c>
      <c r="Y42" s="237"/>
      <c r="Z42" s="237">
        <f>CHOOSE(QUOTIENT(MONTH($A42),3)+1,BaseLoad!$AM$9,BaseLoad!$AN$9,BaseLoad!$AL$9,BaseLoad!$AO$9,BaseLoad!$AM$9)</f>
        <v>0.95</v>
      </c>
      <c r="AA42" s="237">
        <f>CHOOSE(QUOTIENT(MONTH($A42),3)+1,BaseLoad!$AM$15,BaseLoad!$AN$15,BaseLoad!$AL$15,BaseLoad!$AO$15,BaseLoad!$AM$15)</f>
        <v>705</v>
      </c>
      <c r="AB42" s="471"/>
      <c r="AD42" s="471"/>
    </row>
    <row r="43" spans="1:30" x14ac:dyDescent="0.2">
      <c r="A43" s="1">
        <f t="shared" si="2"/>
        <v>37543.761000000042</v>
      </c>
      <c r="B43" s="237" t="str">
        <f>IF($A$1="Peak","-",IF(BaseLoad!H42&gt;BaseLoad!$G42,B$8*PPA!$G$5*$Z43,0))</f>
        <v>-</v>
      </c>
      <c r="C43" s="237" t="str">
        <f>IF($A$1="Peak","-",IF(BaseLoad!I42&gt;BaseLoad!$G42,C$8*PPA!$G$5*$Z43,0))</f>
        <v>-</v>
      </c>
      <c r="D43" s="237" t="str">
        <f>IF($A$1="Peak","-",IF(BaseLoad!J42&gt;BaseLoad!$G42,D$8*PPA!$G$5*$Z43,0))</f>
        <v>-</v>
      </c>
      <c r="E43" s="237" t="str">
        <f>IF($A$1="Peak","-",IF(BaseLoad!K42&gt;BaseLoad!$G42,E$8*PPA!$G$5*$Z43,0))</f>
        <v>-</v>
      </c>
      <c r="F43" s="237" t="str">
        <f>IF($A$1="Peak","-",IF(BaseLoad!L42&gt;BaseLoad!$G42,F$8*PPA!$G$5*$Z43,0))</f>
        <v>-</v>
      </c>
      <c r="G43" s="237" t="str">
        <f>IF($A$1="Peak","-",IF(BaseLoad!M42&gt;BaseLoad!$G42,G$8*PPA!$G$5*$Z43,0))</f>
        <v>-</v>
      </c>
      <c r="H43" s="237" t="str">
        <f>IF($A$1="Peak","-",IF(BaseLoad!N42&gt;BaseLoad!$G42,H$8*PPA!$G$5*$Z43,0))</f>
        <v>-</v>
      </c>
      <c r="I43" s="237" t="str">
        <f>IF($A$1="Peak","-",IF(BaseLoad!O42&gt;BaseLoad!$G42,I$8*PPA!$G$5*$Z43,0))</f>
        <v>-</v>
      </c>
      <c r="J43" s="237" t="str">
        <f>IF($A$1="Peak","-",IF(BaseLoad!P42&gt;BaseLoad!$G42,J$8*PPA!$G$5*$Z43,0))</f>
        <v>-</v>
      </c>
      <c r="K43" s="237" t="str">
        <f>IF($A$1="Peak","-",IF(BaseLoad!Q42&gt;BaseLoad!$G42,K$8*PPA!$G$5*$Z43,0))</f>
        <v>-</v>
      </c>
      <c r="L43" s="237" t="str">
        <f>IF($A$1="Peak","-",IF(BaseLoad!R42&gt;BaseLoad!$G42,L$8*PPA!$G$5*$Z43,0))</f>
        <v>-</v>
      </c>
      <c r="M43" s="237" t="str">
        <f>IF($A$1="Peak","-",IF(BaseLoad!S42&gt;BaseLoad!$G42,M$8*PPA!$G$5*$Z43,0))</f>
        <v>-</v>
      </c>
      <c r="N43" s="237" t="str">
        <f>IF($A$1="Peak","-",IF(BaseLoad!T42&gt;BaseLoad!$G42,N$8*PPA!$G$5*$Z43,0))</f>
        <v>-</v>
      </c>
      <c r="O43" s="237" t="str">
        <f>IF($A$1="Peak","-",IF(BaseLoad!U42&gt;BaseLoad!$G42,O$8*PPA!$G$5*$Z43,0))</f>
        <v>-</v>
      </c>
      <c r="P43" s="237" t="str">
        <f>IF($A$1="Peak","-",IF(BaseLoad!V42&gt;BaseLoad!$G42,P$8*PPA!$G$5*$Z43,0))</f>
        <v>-</v>
      </c>
      <c r="Q43" s="237" t="str">
        <f>IF($A$1="Peak","-",IF(BaseLoad!W42&gt;BaseLoad!$G42,Q$8*PPA!$G$5*$Z43,0))</f>
        <v>-</v>
      </c>
      <c r="R43" s="237" t="str">
        <f>IF($A$1="Peak","-",IF(BaseLoad!X42&gt;BaseLoad!$G42,R$8*PPA!$G$5*$Z43,0))</f>
        <v>-</v>
      </c>
      <c r="S43" s="237" t="str">
        <f>IF($A$1="Peak","-",IF(BaseLoad!Y42&gt;BaseLoad!$G42,S$8*PPA!$G$5*$Z43,0))</f>
        <v>-</v>
      </c>
      <c r="T43" s="237" t="str">
        <f>IF($A$1="Peak","-",IF(BaseLoad!Z42&gt;BaseLoad!$G42,T$8*PPA!$G$5*$Z43,0))</f>
        <v>-</v>
      </c>
      <c r="U43" s="237" t="str">
        <f>IF($A$1="Peak","-",IF(BaseLoad!AA42&gt;BaseLoad!$G42,U$8*PPA!$G$5*$Z43,0))</f>
        <v>-</v>
      </c>
      <c r="V43" s="237">
        <f t="shared" si="0"/>
        <v>0</v>
      </c>
      <c r="W43" s="237" t="str">
        <f>IF($A$1="Peak","-",(730*PPA!$G$4*$Z43))</f>
        <v>-</v>
      </c>
      <c r="X43" s="237">
        <f t="shared" si="1"/>
        <v>0</v>
      </c>
      <c r="Y43" s="237"/>
      <c r="Z43" s="237">
        <f>CHOOSE(QUOTIENT(MONTH($A43),3)+1,BaseLoad!$AM$9,BaseLoad!$AN$9,BaseLoad!$AL$9,BaseLoad!$AO$9,BaseLoad!$AM$9)</f>
        <v>0.95</v>
      </c>
      <c r="AA43" s="237">
        <f>CHOOSE(QUOTIENT(MONTH($A43),3)+1,BaseLoad!$AM$15,BaseLoad!$AN$15,BaseLoad!$AL$15,BaseLoad!$AO$15,BaseLoad!$AM$15)</f>
        <v>705</v>
      </c>
      <c r="AB43" s="471"/>
      <c r="AD43" s="471"/>
    </row>
    <row r="44" spans="1:30" x14ac:dyDescent="0.2">
      <c r="A44" s="1">
        <f t="shared" si="2"/>
        <v>37574.178000000044</v>
      </c>
      <c r="B44" s="237" t="str">
        <f>IF($A$1="Peak","-",IF(BaseLoad!H43&gt;BaseLoad!$G43,B$8*PPA!$G$5*$Z44,0))</f>
        <v>-</v>
      </c>
      <c r="C44" s="237" t="str">
        <f>IF($A$1="Peak","-",IF(BaseLoad!I43&gt;BaseLoad!$G43,C$8*PPA!$G$5*$Z44,0))</f>
        <v>-</v>
      </c>
      <c r="D44" s="237" t="str">
        <f>IF($A$1="Peak","-",IF(BaseLoad!J43&gt;BaseLoad!$G43,D$8*PPA!$G$5*$Z44,0))</f>
        <v>-</v>
      </c>
      <c r="E44" s="237" t="str">
        <f>IF($A$1="Peak","-",IF(BaseLoad!K43&gt;BaseLoad!$G43,E$8*PPA!$G$5*$Z44,0))</f>
        <v>-</v>
      </c>
      <c r="F44" s="237" t="str">
        <f>IF($A$1="Peak","-",IF(BaseLoad!L43&gt;BaseLoad!$G43,F$8*PPA!$G$5*$Z44,0))</f>
        <v>-</v>
      </c>
      <c r="G44" s="237" t="str">
        <f>IF($A$1="Peak","-",IF(BaseLoad!M43&gt;BaseLoad!$G43,G$8*PPA!$G$5*$Z44,0))</f>
        <v>-</v>
      </c>
      <c r="H44" s="237" t="str">
        <f>IF($A$1="Peak","-",IF(BaseLoad!N43&gt;BaseLoad!$G43,H$8*PPA!$G$5*$Z44,0))</f>
        <v>-</v>
      </c>
      <c r="I44" s="237" t="str">
        <f>IF($A$1="Peak","-",IF(BaseLoad!O43&gt;BaseLoad!$G43,I$8*PPA!$G$5*$Z44,0))</f>
        <v>-</v>
      </c>
      <c r="J44" s="237" t="str">
        <f>IF($A$1="Peak","-",IF(BaseLoad!P43&gt;BaseLoad!$G43,J$8*PPA!$G$5*$Z44,0))</f>
        <v>-</v>
      </c>
      <c r="K44" s="237" t="str">
        <f>IF($A$1="Peak","-",IF(BaseLoad!Q43&gt;BaseLoad!$G43,K$8*PPA!$G$5*$Z44,0))</f>
        <v>-</v>
      </c>
      <c r="L44" s="237" t="str">
        <f>IF($A$1="Peak","-",IF(BaseLoad!R43&gt;BaseLoad!$G43,L$8*PPA!$G$5*$Z44,0))</f>
        <v>-</v>
      </c>
      <c r="M44" s="237" t="str">
        <f>IF($A$1="Peak","-",IF(BaseLoad!S43&gt;BaseLoad!$G43,M$8*PPA!$G$5*$Z44,0))</f>
        <v>-</v>
      </c>
      <c r="N44" s="237" t="str">
        <f>IF($A$1="Peak","-",IF(BaseLoad!T43&gt;BaseLoad!$G43,N$8*PPA!$G$5*$Z44,0))</f>
        <v>-</v>
      </c>
      <c r="O44" s="237" t="str">
        <f>IF($A$1="Peak","-",IF(BaseLoad!U43&gt;BaseLoad!$G43,O$8*PPA!$G$5*$Z44,0))</f>
        <v>-</v>
      </c>
      <c r="P44" s="237" t="str">
        <f>IF($A$1="Peak","-",IF(BaseLoad!V43&gt;BaseLoad!$G43,P$8*PPA!$G$5*$Z44,0))</f>
        <v>-</v>
      </c>
      <c r="Q44" s="237" t="str">
        <f>IF($A$1="Peak","-",IF(BaseLoad!W43&gt;BaseLoad!$G43,Q$8*PPA!$G$5*$Z44,0))</f>
        <v>-</v>
      </c>
      <c r="R44" s="237" t="str">
        <f>IF($A$1="Peak","-",IF(BaseLoad!X43&gt;BaseLoad!$G43,R$8*PPA!$G$5*$Z44,0))</f>
        <v>-</v>
      </c>
      <c r="S44" s="237" t="str">
        <f>IF($A$1="Peak","-",IF(BaseLoad!Y43&gt;BaseLoad!$G43,S$8*PPA!$G$5*$Z44,0))</f>
        <v>-</v>
      </c>
      <c r="T44" s="237" t="str">
        <f>IF($A$1="Peak","-",IF(BaseLoad!Z43&gt;BaseLoad!$G43,T$8*PPA!$G$5*$Z44,0))</f>
        <v>-</v>
      </c>
      <c r="U44" s="237" t="str">
        <f>IF($A$1="Peak","-",IF(BaseLoad!AA43&gt;BaseLoad!$G43,U$8*PPA!$G$5*$Z44,0))</f>
        <v>-</v>
      </c>
      <c r="V44" s="237">
        <f t="shared" si="0"/>
        <v>0</v>
      </c>
      <c r="W44" s="237" t="str">
        <f>IF($A$1="Peak","-",(730*PPA!$G$4*$Z44))</f>
        <v>-</v>
      </c>
      <c r="X44" s="237">
        <f t="shared" si="1"/>
        <v>0</v>
      </c>
      <c r="Y44" s="237"/>
      <c r="Z44" s="237">
        <f>CHOOSE(QUOTIENT(MONTH($A44),3)+1,BaseLoad!$AM$9,BaseLoad!$AN$9,BaseLoad!$AL$9,BaseLoad!$AO$9,BaseLoad!$AM$9)</f>
        <v>0.95</v>
      </c>
      <c r="AA44" s="237">
        <f>CHOOSE(QUOTIENT(MONTH($A44),3)+1,BaseLoad!$AM$15,BaseLoad!$AN$15,BaseLoad!$AL$15,BaseLoad!$AO$15,BaseLoad!$AM$15)</f>
        <v>705</v>
      </c>
      <c r="AB44" s="471"/>
      <c r="AD44" s="471"/>
    </row>
    <row r="45" spans="1:30" x14ac:dyDescent="0.2">
      <c r="A45" s="1">
        <f t="shared" si="2"/>
        <v>37604.595000000045</v>
      </c>
      <c r="B45" s="237" t="str">
        <f>IF($A$1="Peak","-",IF(BaseLoad!H44&gt;BaseLoad!$G44,B$8*PPA!$G$5*$Z45,0))</f>
        <v>-</v>
      </c>
      <c r="C45" s="237" t="str">
        <f>IF($A$1="Peak","-",IF(BaseLoad!I44&gt;BaseLoad!$G44,C$8*PPA!$G$5*$Z45,0))</f>
        <v>-</v>
      </c>
      <c r="D45" s="237" t="str">
        <f>IF($A$1="Peak","-",IF(BaseLoad!J44&gt;BaseLoad!$G44,D$8*PPA!$G$5*$Z45,0))</f>
        <v>-</v>
      </c>
      <c r="E45" s="237" t="str">
        <f>IF($A$1="Peak","-",IF(BaseLoad!K44&gt;BaseLoad!$G44,E$8*PPA!$G$5*$Z45,0))</f>
        <v>-</v>
      </c>
      <c r="F45" s="237" t="str">
        <f>IF($A$1="Peak","-",IF(BaseLoad!L44&gt;BaseLoad!$G44,F$8*PPA!$G$5*$Z45,0))</f>
        <v>-</v>
      </c>
      <c r="G45" s="237" t="str">
        <f>IF($A$1="Peak","-",IF(BaseLoad!M44&gt;BaseLoad!$G44,G$8*PPA!$G$5*$Z45,0))</f>
        <v>-</v>
      </c>
      <c r="H45" s="237" t="str">
        <f>IF($A$1="Peak","-",IF(BaseLoad!N44&gt;BaseLoad!$G44,H$8*PPA!$G$5*$Z45,0))</f>
        <v>-</v>
      </c>
      <c r="I45" s="237" t="str">
        <f>IF($A$1="Peak","-",IF(BaseLoad!O44&gt;BaseLoad!$G44,I$8*PPA!$G$5*$Z45,0))</f>
        <v>-</v>
      </c>
      <c r="J45" s="237" t="str">
        <f>IF($A$1="Peak","-",IF(BaseLoad!P44&gt;BaseLoad!$G44,J$8*PPA!$G$5*$Z45,0))</f>
        <v>-</v>
      </c>
      <c r="K45" s="237" t="str">
        <f>IF($A$1="Peak","-",IF(BaseLoad!Q44&gt;BaseLoad!$G44,K$8*PPA!$G$5*$Z45,0))</f>
        <v>-</v>
      </c>
      <c r="L45" s="237" t="str">
        <f>IF($A$1="Peak","-",IF(BaseLoad!R44&gt;BaseLoad!$G44,L$8*PPA!$G$5*$Z45,0))</f>
        <v>-</v>
      </c>
      <c r="M45" s="237" t="str">
        <f>IF($A$1="Peak","-",IF(BaseLoad!S44&gt;BaseLoad!$G44,M$8*PPA!$G$5*$Z45,0))</f>
        <v>-</v>
      </c>
      <c r="N45" s="237" t="str">
        <f>IF($A$1="Peak","-",IF(BaseLoad!T44&gt;BaseLoad!$G44,N$8*PPA!$G$5*$Z45,0))</f>
        <v>-</v>
      </c>
      <c r="O45" s="237" t="str">
        <f>IF($A$1="Peak","-",IF(BaseLoad!U44&gt;BaseLoad!$G44,O$8*PPA!$G$5*$Z45,0))</f>
        <v>-</v>
      </c>
      <c r="P45" s="237" t="str">
        <f>IF($A$1="Peak","-",IF(BaseLoad!V44&gt;BaseLoad!$G44,P$8*PPA!$G$5*$Z45,0))</f>
        <v>-</v>
      </c>
      <c r="Q45" s="237" t="str">
        <f>IF($A$1="Peak","-",IF(BaseLoad!W44&gt;BaseLoad!$G44,Q$8*PPA!$G$5*$Z45,0))</f>
        <v>-</v>
      </c>
      <c r="R45" s="237" t="str">
        <f>IF($A$1="Peak","-",IF(BaseLoad!X44&gt;BaseLoad!$G44,R$8*PPA!$G$5*$Z45,0))</f>
        <v>-</v>
      </c>
      <c r="S45" s="237" t="str">
        <f>IF($A$1="Peak","-",IF(BaseLoad!Y44&gt;BaseLoad!$G44,S$8*PPA!$G$5*$Z45,0))</f>
        <v>-</v>
      </c>
      <c r="T45" s="237" t="str">
        <f>IF($A$1="Peak","-",IF(BaseLoad!Z44&gt;BaseLoad!$G44,T$8*PPA!$G$5*$Z45,0))</f>
        <v>-</v>
      </c>
      <c r="U45" s="237" t="str">
        <f>IF($A$1="Peak","-",IF(BaseLoad!AA44&gt;BaseLoad!$G44,U$8*PPA!$G$5*$Z45,0))</f>
        <v>-</v>
      </c>
      <c r="V45" s="237">
        <f t="shared" si="0"/>
        <v>0</v>
      </c>
      <c r="W45" s="237" t="str">
        <f>IF($A$1="Peak","-",(730*PPA!$G$4*$Z45))</f>
        <v>-</v>
      </c>
      <c r="X45" s="237">
        <f t="shared" si="1"/>
        <v>0</v>
      </c>
      <c r="Y45" s="237">
        <f>SUM(X34:X45)</f>
        <v>0</v>
      </c>
      <c r="Z45" s="237">
        <f>CHOOSE(QUOTIENT(MONTH($A45),3)+1,BaseLoad!$AM$9,BaseLoad!$AN$9,BaseLoad!$AL$9,BaseLoad!$AO$9,BaseLoad!$AM$9)</f>
        <v>0.92427661878611755</v>
      </c>
      <c r="AA45" s="237">
        <f>CHOOSE(QUOTIENT(MONTH($A45),3)+1,BaseLoad!$AM$15,BaseLoad!$AN$15,BaseLoad!$AL$15,BaseLoad!$AO$15,BaseLoad!$AM$15)</f>
        <v>705</v>
      </c>
      <c r="AB45" s="471"/>
      <c r="AD45" s="471"/>
    </row>
    <row r="46" spans="1:30" x14ac:dyDescent="0.2">
      <c r="A46" s="1">
        <f t="shared" si="2"/>
        <v>37635.012000000046</v>
      </c>
      <c r="B46" s="237" t="str">
        <f>IF($A$1="Peak","-",IF(BaseLoad!H45&gt;BaseLoad!$G45,B$8*PPA!$G$5*$Z46,0))</f>
        <v>-</v>
      </c>
      <c r="C46" s="237" t="str">
        <f>IF($A$1="Peak","-",IF(BaseLoad!I45&gt;BaseLoad!$G45,C$8*PPA!$G$5*$Z46,0))</f>
        <v>-</v>
      </c>
      <c r="D46" s="237" t="str">
        <f>IF($A$1="Peak","-",IF(BaseLoad!J45&gt;BaseLoad!$G45,D$8*PPA!$G$5*$Z46,0))</f>
        <v>-</v>
      </c>
      <c r="E46" s="237" t="str">
        <f>IF($A$1="Peak","-",IF(BaseLoad!K45&gt;BaseLoad!$G45,E$8*PPA!$G$5*$Z46,0))</f>
        <v>-</v>
      </c>
      <c r="F46" s="237" t="str">
        <f>IF($A$1="Peak","-",IF(BaseLoad!L45&gt;BaseLoad!$G45,F$8*PPA!$G$5*$Z46,0))</f>
        <v>-</v>
      </c>
      <c r="G46" s="237" t="str">
        <f>IF($A$1="Peak","-",IF(BaseLoad!M45&gt;BaseLoad!$G45,G$8*PPA!$G$5*$Z46,0))</f>
        <v>-</v>
      </c>
      <c r="H46" s="237" t="str">
        <f>IF($A$1="Peak","-",IF(BaseLoad!N45&gt;BaseLoad!$G45,H$8*PPA!$G$5*$Z46,0))</f>
        <v>-</v>
      </c>
      <c r="I46" s="237" t="str">
        <f>IF($A$1="Peak","-",IF(BaseLoad!O45&gt;BaseLoad!$G45,I$8*PPA!$G$5*$Z46,0))</f>
        <v>-</v>
      </c>
      <c r="J46" s="237" t="str">
        <f>IF($A$1="Peak","-",IF(BaseLoad!P45&gt;BaseLoad!$G45,J$8*PPA!$G$5*$Z46,0))</f>
        <v>-</v>
      </c>
      <c r="K46" s="237" t="str">
        <f>IF($A$1="Peak","-",IF(BaseLoad!Q45&gt;BaseLoad!$G45,K$8*PPA!$G$5*$Z46,0))</f>
        <v>-</v>
      </c>
      <c r="L46" s="237" t="str">
        <f>IF($A$1="Peak","-",IF(BaseLoad!R45&gt;BaseLoad!$G45,L$8*PPA!$G$5*$Z46,0))</f>
        <v>-</v>
      </c>
      <c r="M46" s="237" t="str">
        <f>IF($A$1="Peak","-",IF(BaseLoad!S45&gt;BaseLoad!$G45,M$8*PPA!$G$5*$Z46,0))</f>
        <v>-</v>
      </c>
      <c r="N46" s="237" t="str">
        <f>IF($A$1="Peak","-",IF(BaseLoad!T45&gt;BaseLoad!$G45,N$8*PPA!$G$5*$Z46,0))</f>
        <v>-</v>
      </c>
      <c r="O46" s="237" t="str">
        <f>IF($A$1="Peak","-",IF(BaseLoad!U45&gt;BaseLoad!$G45,O$8*PPA!$G$5*$Z46,0))</f>
        <v>-</v>
      </c>
      <c r="P46" s="237" t="str">
        <f>IF($A$1="Peak","-",IF(BaseLoad!V45&gt;BaseLoad!$G45,P$8*PPA!$G$5*$Z46,0))</f>
        <v>-</v>
      </c>
      <c r="Q46" s="237" t="str">
        <f>IF($A$1="Peak","-",IF(BaseLoad!W45&gt;BaseLoad!$G45,Q$8*PPA!$G$5*$Z46,0))</f>
        <v>-</v>
      </c>
      <c r="R46" s="237" t="str">
        <f>IF($A$1="Peak","-",IF(BaseLoad!X45&gt;BaseLoad!$G45,R$8*PPA!$G$5*$Z46,0))</f>
        <v>-</v>
      </c>
      <c r="S46" s="237" t="str">
        <f>IF($A$1="Peak","-",IF(BaseLoad!Y45&gt;BaseLoad!$G45,S$8*PPA!$G$5*$Z46,0))</f>
        <v>-</v>
      </c>
      <c r="T46" s="237" t="str">
        <f>IF($A$1="Peak","-",IF(BaseLoad!Z45&gt;BaseLoad!$G45,T$8*PPA!$G$5*$Z46,0))</f>
        <v>-</v>
      </c>
      <c r="U46" s="237" t="str">
        <f>IF($A$1="Peak","-",IF(BaseLoad!AA45&gt;BaseLoad!$G45,U$8*PPA!$G$5*$Z46,0))</f>
        <v>-</v>
      </c>
      <c r="V46" s="237">
        <f t="shared" si="0"/>
        <v>0</v>
      </c>
      <c r="W46" s="237" t="str">
        <f>IF($A$1="Peak","-",(730*PPA!$G$4*$Z46))</f>
        <v>-</v>
      </c>
      <c r="X46" s="237">
        <f t="shared" si="1"/>
        <v>0</v>
      </c>
      <c r="Y46" s="237"/>
      <c r="Z46" s="237">
        <f>CHOOSE(QUOTIENT(MONTH($A46),3)+1,BaseLoad!$AM$9,BaseLoad!$AN$9,BaseLoad!$AL$9,BaseLoad!$AO$9,BaseLoad!$AM$9)</f>
        <v>0.92427661878611755</v>
      </c>
      <c r="AA46" s="237">
        <f>CHOOSE(QUOTIENT(MONTH($A46),3)+1,BaseLoad!$AM$15,BaseLoad!$AN$15,BaseLoad!$AL$15,BaseLoad!$AO$15,BaseLoad!$AM$15)</f>
        <v>705</v>
      </c>
      <c r="AB46" s="471"/>
      <c r="AD46" s="471"/>
    </row>
    <row r="47" spans="1:30" x14ac:dyDescent="0.2">
      <c r="A47" s="1">
        <f t="shared" si="2"/>
        <v>37665.429000000047</v>
      </c>
      <c r="B47" s="237" t="str">
        <f>IF($A$1="Peak","-",IF(BaseLoad!H46&gt;BaseLoad!$G46,B$8*PPA!$G$5*$Z47,0))</f>
        <v>-</v>
      </c>
      <c r="C47" s="237" t="str">
        <f>IF($A$1="Peak","-",IF(BaseLoad!I46&gt;BaseLoad!$G46,C$8*PPA!$G$5*$Z47,0))</f>
        <v>-</v>
      </c>
      <c r="D47" s="237" t="str">
        <f>IF($A$1="Peak","-",IF(BaseLoad!J46&gt;BaseLoad!$G46,D$8*PPA!$G$5*$Z47,0))</f>
        <v>-</v>
      </c>
      <c r="E47" s="237" t="str">
        <f>IF($A$1="Peak","-",IF(BaseLoad!K46&gt;BaseLoad!$G46,E$8*PPA!$G$5*$Z47,0))</f>
        <v>-</v>
      </c>
      <c r="F47" s="237" t="str">
        <f>IF($A$1="Peak","-",IF(BaseLoad!L46&gt;BaseLoad!$G46,F$8*PPA!$G$5*$Z47,0))</f>
        <v>-</v>
      </c>
      <c r="G47" s="237" t="str">
        <f>IF($A$1="Peak","-",IF(BaseLoad!M46&gt;BaseLoad!$G46,G$8*PPA!$G$5*$Z47,0))</f>
        <v>-</v>
      </c>
      <c r="H47" s="237" t="str">
        <f>IF($A$1="Peak","-",IF(BaseLoad!N46&gt;BaseLoad!$G46,H$8*PPA!$G$5*$Z47,0))</f>
        <v>-</v>
      </c>
      <c r="I47" s="237" t="str">
        <f>IF($A$1="Peak","-",IF(BaseLoad!O46&gt;BaseLoad!$G46,I$8*PPA!$G$5*$Z47,0))</f>
        <v>-</v>
      </c>
      <c r="J47" s="237" t="str">
        <f>IF($A$1="Peak","-",IF(BaseLoad!P46&gt;BaseLoad!$G46,J$8*PPA!$G$5*$Z47,0))</f>
        <v>-</v>
      </c>
      <c r="K47" s="237" t="str">
        <f>IF($A$1="Peak","-",IF(BaseLoad!Q46&gt;BaseLoad!$G46,K$8*PPA!$G$5*$Z47,0))</f>
        <v>-</v>
      </c>
      <c r="L47" s="237" t="str">
        <f>IF($A$1="Peak","-",IF(BaseLoad!R46&gt;BaseLoad!$G46,L$8*PPA!$G$5*$Z47,0))</f>
        <v>-</v>
      </c>
      <c r="M47" s="237" t="str">
        <f>IF($A$1="Peak","-",IF(BaseLoad!S46&gt;BaseLoad!$G46,M$8*PPA!$G$5*$Z47,0))</f>
        <v>-</v>
      </c>
      <c r="N47" s="237" t="str">
        <f>IF($A$1="Peak","-",IF(BaseLoad!T46&gt;BaseLoad!$G46,N$8*PPA!$G$5*$Z47,0))</f>
        <v>-</v>
      </c>
      <c r="O47" s="237" t="str">
        <f>IF($A$1="Peak","-",IF(BaseLoad!U46&gt;BaseLoad!$G46,O$8*PPA!$G$5*$Z47,0))</f>
        <v>-</v>
      </c>
      <c r="P47" s="237" t="str">
        <f>IF($A$1="Peak","-",IF(BaseLoad!V46&gt;BaseLoad!$G46,P$8*PPA!$G$5*$Z47,0))</f>
        <v>-</v>
      </c>
      <c r="Q47" s="237" t="str">
        <f>IF($A$1="Peak","-",IF(BaseLoad!W46&gt;BaseLoad!$G46,Q$8*PPA!$G$5*$Z47,0))</f>
        <v>-</v>
      </c>
      <c r="R47" s="237" t="str">
        <f>IF($A$1="Peak","-",IF(BaseLoad!X46&gt;BaseLoad!$G46,R$8*PPA!$G$5*$Z47,0))</f>
        <v>-</v>
      </c>
      <c r="S47" s="237" t="str">
        <f>IF($A$1="Peak","-",IF(BaseLoad!Y46&gt;BaseLoad!$G46,S$8*PPA!$G$5*$Z47,0))</f>
        <v>-</v>
      </c>
      <c r="T47" s="237" t="str">
        <f>IF($A$1="Peak","-",IF(BaseLoad!Z46&gt;BaseLoad!$G46,T$8*PPA!$G$5*$Z47,0))</f>
        <v>-</v>
      </c>
      <c r="U47" s="237" t="str">
        <f>IF($A$1="Peak","-",IF(BaseLoad!AA46&gt;BaseLoad!$G46,U$8*PPA!$G$5*$Z47,0))</f>
        <v>-</v>
      </c>
      <c r="V47" s="237">
        <f t="shared" si="0"/>
        <v>0</v>
      </c>
      <c r="W47" s="237" t="str">
        <f>IF($A$1="Peak","-",(730*PPA!$G$4*$Z47))</f>
        <v>-</v>
      </c>
      <c r="X47" s="237">
        <f t="shared" si="1"/>
        <v>0</v>
      </c>
      <c r="Y47" s="237"/>
      <c r="Z47" s="237">
        <f>CHOOSE(QUOTIENT(MONTH($A47),3)+1,BaseLoad!$AM$9,BaseLoad!$AN$9,BaseLoad!$AL$9,BaseLoad!$AO$9,BaseLoad!$AM$9)</f>
        <v>0.92427661878611755</v>
      </c>
      <c r="AA47" s="237">
        <f>CHOOSE(QUOTIENT(MONTH($A47),3)+1,BaseLoad!$AM$15,BaseLoad!$AN$15,BaseLoad!$AL$15,BaseLoad!$AO$15,BaseLoad!$AM$15)</f>
        <v>705</v>
      </c>
      <c r="AB47" s="471"/>
      <c r="AD47" s="471"/>
    </row>
    <row r="48" spans="1:30" x14ac:dyDescent="0.2">
      <c r="A48" s="1">
        <f t="shared" si="2"/>
        <v>37695.846000000049</v>
      </c>
      <c r="B48" s="237" t="str">
        <f>IF($A$1="Peak","-",IF(BaseLoad!H47&gt;BaseLoad!$G47,B$8*PPA!$G$5*$Z48,0))</f>
        <v>-</v>
      </c>
      <c r="C48" s="237" t="str">
        <f>IF($A$1="Peak","-",IF(BaseLoad!I47&gt;BaseLoad!$G47,C$8*PPA!$G$5*$Z48,0))</f>
        <v>-</v>
      </c>
      <c r="D48" s="237" t="str">
        <f>IF($A$1="Peak","-",IF(BaseLoad!J47&gt;BaseLoad!$G47,D$8*PPA!$G$5*$Z48,0))</f>
        <v>-</v>
      </c>
      <c r="E48" s="237" t="str">
        <f>IF($A$1="Peak","-",IF(BaseLoad!K47&gt;BaseLoad!$G47,E$8*PPA!$G$5*$Z48,0))</f>
        <v>-</v>
      </c>
      <c r="F48" s="237" t="str">
        <f>IF($A$1="Peak","-",IF(BaseLoad!L47&gt;BaseLoad!$G47,F$8*PPA!$G$5*$Z48,0))</f>
        <v>-</v>
      </c>
      <c r="G48" s="237" t="str">
        <f>IF($A$1="Peak","-",IF(BaseLoad!M47&gt;BaseLoad!$G47,G$8*PPA!$G$5*$Z48,0))</f>
        <v>-</v>
      </c>
      <c r="H48" s="237" t="str">
        <f>IF($A$1="Peak","-",IF(BaseLoad!N47&gt;BaseLoad!$G47,H$8*PPA!$G$5*$Z48,0))</f>
        <v>-</v>
      </c>
      <c r="I48" s="237" t="str">
        <f>IF($A$1="Peak","-",IF(BaseLoad!O47&gt;BaseLoad!$G47,I$8*PPA!$G$5*$Z48,0))</f>
        <v>-</v>
      </c>
      <c r="J48" s="237" t="str">
        <f>IF($A$1="Peak","-",IF(BaseLoad!P47&gt;BaseLoad!$G47,J$8*PPA!$G$5*$Z48,0))</f>
        <v>-</v>
      </c>
      <c r="K48" s="237" t="str">
        <f>IF($A$1="Peak","-",IF(BaseLoad!Q47&gt;BaseLoad!$G47,K$8*PPA!$G$5*$Z48,0))</f>
        <v>-</v>
      </c>
      <c r="L48" s="237" t="str">
        <f>IF($A$1="Peak","-",IF(BaseLoad!R47&gt;BaseLoad!$G47,L$8*PPA!$G$5*$Z48,0))</f>
        <v>-</v>
      </c>
      <c r="M48" s="237" t="str">
        <f>IF($A$1="Peak","-",IF(BaseLoad!S47&gt;BaseLoad!$G47,M$8*PPA!$G$5*$Z48,0))</f>
        <v>-</v>
      </c>
      <c r="N48" s="237" t="str">
        <f>IF($A$1="Peak","-",IF(BaseLoad!T47&gt;BaseLoad!$G47,N$8*PPA!$G$5*$Z48,0))</f>
        <v>-</v>
      </c>
      <c r="O48" s="237" t="str">
        <f>IF($A$1="Peak","-",IF(BaseLoad!U47&gt;BaseLoad!$G47,O$8*PPA!$G$5*$Z48,0))</f>
        <v>-</v>
      </c>
      <c r="P48" s="237" t="str">
        <f>IF($A$1="Peak","-",IF(BaseLoad!V47&gt;BaseLoad!$G47,P$8*PPA!$G$5*$Z48,0))</f>
        <v>-</v>
      </c>
      <c r="Q48" s="237" t="str">
        <f>IF($A$1="Peak","-",IF(BaseLoad!W47&gt;BaseLoad!$G47,Q$8*PPA!$G$5*$Z48,0))</f>
        <v>-</v>
      </c>
      <c r="R48" s="237" t="str">
        <f>IF($A$1="Peak","-",IF(BaseLoad!X47&gt;BaseLoad!$G47,R$8*PPA!$G$5*$Z48,0))</f>
        <v>-</v>
      </c>
      <c r="S48" s="237" t="str">
        <f>IF($A$1="Peak","-",IF(BaseLoad!Y47&gt;BaseLoad!$G47,S$8*PPA!$G$5*$Z48,0))</f>
        <v>-</v>
      </c>
      <c r="T48" s="237" t="str">
        <f>IF($A$1="Peak","-",IF(BaseLoad!Z47&gt;BaseLoad!$G47,T$8*PPA!$G$5*$Z48,0))</f>
        <v>-</v>
      </c>
      <c r="U48" s="237" t="str">
        <f>IF($A$1="Peak","-",IF(BaseLoad!AA47&gt;BaseLoad!$G47,U$8*PPA!$G$5*$Z48,0))</f>
        <v>-</v>
      </c>
      <c r="V48" s="237">
        <f t="shared" si="0"/>
        <v>0</v>
      </c>
      <c r="W48" s="237" t="str">
        <f>IF($A$1="Peak","-",(730*PPA!$G$4*$Z48))</f>
        <v>-</v>
      </c>
      <c r="X48" s="237">
        <f t="shared" si="1"/>
        <v>0</v>
      </c>
      <c r="Y48" s="237"/>
      <c r="Z48" s="237">
        <f>CHOOSE(QUOTIENT(MONTH($A48),3)+1,BaseLoad!$AM$9,BaseLoad!$AN$9,BaseLoad!$AL$9,BaseLoad!$AO$9,BaseLoad!$AM$9)</f>
        <v>0.95</v>
      </c>
      <c r="AA48" s="237">
        <f>CHOOSE(QUOTIENT(MONTH($A48),3)+1,BaseLoad!$AM$15,BaseLoad!$AN$15,BaseLoad!$AL$15,BaseLoad!$AO$15,BaseLoad!$AM$15)</f>
        <v>705</v>
      </c>
      <c r="AB48" s="471"/>
      <c r="AD48" s="471"/>
    </row>
    <row r="49" spans="1:30" x14ac:dyDescent="0.2">
      <c r="A49" s="1">
        <f t="shared" si="2"/>
        <v>37726.26300000005</v>
      </c>
      <c r="B49" s="237" t="str">
        <f>IF($A$1="Peak","-",IF(BaseLoad!H48&gt;BaseLoad!$G48,B$8*PPA!$G$5*$Z49,0))</f>
        <v>-</v>
      </c>
      <c r="C49" s="237" t="str">
        <f>IF($A$1="Peak","-",IF(BaseLoad!I48&gt;BaseLoad!$G48,C$8*PPA!$G$5*$Z49,0))</f>
        <v>-</v>
      </c>
      <c r="D49" s="237" t="str">
        <f>IF($A$1="Peak","-",IF(BaseLoad!J48&gt;BaseLoad!$G48,D$8*PPA!$G$5*$Z49,0))</f>
        <v>-</v>
      </c>
      <c r="E49" s="237" t="str">
        <f>IF($A$1="Peak","-",IF(BaseLoad!K48&gt;BaseLoad!$G48,E$8*PPA!$G$5*$Z49,0))</f>
        <v>-</v>
      </c>
      <c r="F49" s="237" t="str">
        <f>IF($A$1="Peak","-",IF(BaseLoad!L48&gt;BaseLoad!$G48,F$8*PPA!$G$5*$Z49,0))</f>
        <v>-</v>
      </c>
      <c r="G49" s="237" t="str">
        <f>IF($A$1="Peak","-",IF(BaseLoad!M48&gt;BaseLoad!$G48,G$8*PPA!$G$5*$Z49,0))</f>
        <v>-</v>
      </c>
      <c r="H49" s="237" t="str">
        <f>IF($A$1="Peak","-",IF(BaseLoad!N48&gt;BaseLoad!$G48,H$8*PPA!$G$5*$Z49,0))</f>
        <v>-</v>
      </c>
      <c r="I49" s="237" t="str">
        <f>IF($A$1="Peak","-",IF(BaseLoad!O48&gt;BaseLoad!$G48,I$8*PPA!$G$5*$Z49,0))</f>
        <v>-</v>
      </c>
      <c r="J49" s="237" t="str">
        <f>IF($A$1="Peak","-",IF(BaseLoad!P48&gt;BaseLoad!$G48,J$8*PPA!$G$5*$Z49,0))</f>
        <v>-</v>
      </c>
      <c r="K49" s="237" t="str">
        <f>IF($A$1="Peak","-",IF(BaseLoad!Q48&gt;BaseLoad!$G48,K$8*PPA!$G$5*$Z49,0))</f>
        <v>-</v>
      </c>
      <c r="L49" s="237" t="str">
        <f>IF($A$1="Peak","-",IF(BaseLoad!R48&gt;BaseLoad!$G48,L$8*PPA!$G$5*$Z49,0))</f>
        <v>-</v>
      </c>
      <c r="M49" s="237" t="str">
        <f>IF($A$1="Peak","-",IF(BaseLoad!S48&gt;BaseLoad!$G48,M$8*PPA!$G$5*$Z49,0))</f>
        <v>-</v>
      </c>
      <c r="N49" s="237" t="str">
        <f>IF($A$1="Peak","-",IF(BaseLoad!T48&gt;BaseLoad!$G48,N$8*PPA!$G$5*$Z49,0))</f>
        <v>-</v>
      </c>
      <c r="O49" s="237" t="str">
        <f>IF($A$1="Peak","-",IF(BaseLoad!U48&gt;BaseLoad!$G48,O$8*PPA!$G$5*$Z49,0))</f>
        <v>-</v>
      </c>
      <c r="P49" s="237" t="str">
        <f>IF($A$1="Peak","-",IF(BaseLoad!V48&gt;BaseLoad!$G48,P$8*PPA!$G$5*$Z49,0))</f>
        <v>-</v>
      </c>
      <c r="Q49" s="237" t="str">
        <f>IF($A$1="Peak","-",IF(BaseLoad!W48&gt;BaseLoad!$G48,Q$8*PPA!$G$5*$Z49,0))</f>
        <v>-</v>
      </c>
      <c r="R49" s="237" t="str">
        <f>IF($A$1="Peak","-",IF(BaseLoad!X48&gt;BaseLoad!$G48,R$8*PPA!$G$5*$Z49,0))</f>
        <v>-</v>
      </c>
      <c r="S49" s="237" t="str">
        <f>IF($A$1="Peak","-",IF(BaseLoad!Y48&gt;BaseLoad!$G48,S$8*PPA!$G$5*$Z49,0))</f>
        <v>-</v>
      </c>
      <c r="T49" s="237" t="str">
        <f>IF($A$1="Peak","-",IF(BaseLoad!Z48&gt;BaseLoad!$G48,T$8*PPA!$G$5*$Z49,0))</f>
        <v>-</v>
      </c>
      <c r="U49" s="237" t="str">
        <f>IF($A$1="Peak","-",IF(BaseLoad!AA48&gt;BaseLoad!$G48,U$8*PPA!$G$5*$Z49,0))</f>
        <v>-</v>
      </c>
      <c r="V49" s="237">
        <f t="shared" si="0"/>
        <v>0</v>
      </c>
      <c r="W49" s="237" t="str">
        <f>IF($A$1="Peak","-",(730*PPA!$G$4*$Z49))</f>
        <v>-</v>
      </c>
      <c r="X49" s="237">
        <f t="shared" si="1"/>
        <v>0</v>
      </c>
      <c r="Y49" s="237"/>
      <c r="Z49" s="237">
        <f>CHOOSE(QUOTIENT(MONTH($A49),3)+1,BaseLoad!$AM$9,BaseLoad!$AN$9,BaseLoad!$AL$9,BaseLoad!$AO$9,BaseLoad!$AM$9)</f>
        <v>0.95</v>
      </c>
      <c r="AA49" s="237">
        <f>CHOOSE(QUOTIENT(MONTH($A49),3)+1,BaseLoad!$AM$15,BaseLoad!$AN$15,BaseLoad!$AL$15,BaseLoad!$AO$15,BaseLoad!$AM$15)</f>
        <v>705</v>
      </c>
      <c r="AB49" s="471"/>
      <c r="AD49" s="471"/>
    </row>
    <row r="50" spans="1:30" x14ac:dyDescent="0.2">
      <c r="A50" s="1">
        <f t="shared" si="2"/>
        <v>37756.680000000051</v>
      </c>
      <c r="B50" s="237" t="str">
        <f>IF($A$1="Peak","-",IF(BaseLoad!H49&gt;BaseLoad!$G49,B$8*PPA!$G$5*$Z50,0))</f>
        <v>-</v>
      </c>
      <c r="C50" s="237" t="str">
        <f>IF($A$1="Peak","-",IF(BaseLoad!I49&gt;BaseLoad!$G49,C$8*PPA!$G$5*$Z50,0))</f>
        <v>-</v>
      </c>
      <c r="D50" s="237" t="str">
        <f>IF($A$1="Peak","-",IF(BaseLoad!J49&gt;BaseLoad!$G49,D$8*PPA!$G$5*$Z50,0))</f>
        <v>-</v>
      </c>
      <c r="E50" s="237" t="str">
        <f>IF($A$1="Peak","-",IF(BaseLoad!K49&gt;BaseLoad!$G49,E$8*PPA!$G$5*$Z50,0))</f>
        <v>-</v>
      </c>
      <c r="F50" s="237" t="str">
        <f>IF($A$1="Peak","-",IF(BaseLoad!L49&gt;BaseLoad!$G49,F$8*PPA!$G$5*$Z50,0))</f>
        <v>-</v>
      </c>
      <c r="G50" s="237" t="str">
        <f>IF($A$1="Peak","-",IF(BaseLoad!M49&gt;BaseLoad!$G49,G$8*PPA!$G$5*$Z50,0))</f>
        <v>-</v>
      </c>
      <c r="H50" s="237" t="str">
        <f>IF($A$1="Peak","-",IF(BaseLoad!N49&gt;BaseLoad!$G49,H$8*PPA!$G$5*$Z50,0))</f>
        <v>-</v>
      </c>
      <c r="I50" s="237" t="str">
        <f>IF($A$1="Peak","-",IF(BaseLoad!O49&gt;BaseLoad!$G49,I$8*PPA!$G$5*$Z50,0))</f>
        <v>-</v>
      </c>
      <c r="J50" s="237" t="str">
        <f>IF($A$1="Peak","-",IF(BaseLoad!P49&gt;BaseLoad!$G49,J$8*PPA!$G$5*$Z50,0))</f>
        <v>-</v>
      </c>
      <c r="K50" s="237" t="str">
        <f>IF($A$1="Peak","-",IF(BaseLoad!Q49&gt;BaseLoad!$G49,K$8*PPA!$G$5*$Z50,0))</f>
        <v>-</v>
      </c>
      <c r="L50" s="237" t="str">
        <f>IF($A$1="Peak","-",IF(BaseLoad!R49&gt;BaseLoad!$G49,L$8*PPA!$G$5*$Z50,0))</f>
        <v>-</v>
      </c>
      <c r="M50" s="237" t="str">
        <f>IF($A$1="Peak","-",IF(BaseLoad!S49&gt;BaseLoad!$G49,M$8*PPA!$G$5*$Z50,0))</f>
        <v>-</v>
      </c>
      <c r="N50" s="237" t="str">
        <f>IF($A$1="Peak","-",IF(BaseLoad!T49&gt;BaseLoad!$G49,N$8*PPA!$G$5*$Z50,0))</f>
        <v>-</v>
      </c>
      <c r="O50" s="237" t="str">
        <f>IF($A$1="Peak","-",IF(BaseLoad!U49&gt;BaseLoad!$G49,O$8*PPA!$G$5*$Z50,0))</f>
        <v>-</v>
      </c>
      <c r="P50" s="237" t="str">
        <f>IF($A$1="Peak","-",IF(BaseLoad!V49&gt;BaseLoad!$G49,P$8*PPA!$G$5*$Z50,0))</f>
        <v>-</v>
      </c>
      <c r="Q50" s="237" t="str">
        <f>IF($A$1="Peak","-",IF(BaseLoad!W49&gt;BaseLoad!$G49,Q$8*PPA!$G$5*$Z50,0))</f>
        <v>-</v>
      </c>
      <c r="R50" s="237" t="str">
        <f>IF($A$1="Peak","-",IF(BaseLoad!X49&gt;BaseLoad!$G49,R$8*PPA!$G$5*$Z50,0))</f>
        <v>-</v>
      </c>
      <c r="S50" s="237" t="str">
        <f>IF($A$1="Peak","-",IF(BaseLoad!Y49&gt;BaseLoad!$G49,S$8*PPA!$G$5*$Z50,0))</f>
        <v>-</v>
      </c>
      <c r="T50" s="237" t="str">
        <f>IF($A$1="Peak","-",IF(BaseLoad!Z49&gt;BaseLoad!$G49,T$8*PPA!$G$5*$Z50,0))</f>
        <v>-</v>
      </c>
      <c r="U50" s="237" t="str">
        <f>IF($A$1="Peak","-",IF(BaseLoad!AA49&gt;BaseLoad!$G49,U$8*PPA!$G$5*$Z50,0))</f>
        <v>-</v>
      </c>
      <c r="V50" s="237">
        <f t="shared" si="0"/>
        <v>0</v>
      </c>
      <c r="W50" s="237" t="str">
        <f>IF($A$1="Peak","-",(730*PPA!$G$4*$Z50))</f>
        <v>-</v>
      </c>
      <c r="X50" s="237">
        <f t="shared" si="1"/>
        <v>0</v>
      </c>
      <c r="Y50" s="237"/>
      <c r="Z50" s="237">
        <f>CHOOSE(QUOTIENT(MONTH($A50),3)+1,BaseLoad!$AM$9,BaseLoad!$AN$9,BaseLoad!$AL$9,BaseLoad!$AO$9,BaseLoad!$AM$9)</f>
        <v>0.95</v>
      </c>
      <c r="AA50" s="237">
        <f>CHOOSE(QUOTIENT(MONTH($A50),3)+1,BaseLoad!$AM$15,BaseLoad!$AN$15,BaseLoad!$AL$15,BaseLoad!$AO$15,BaseLoad!$AM$15)</f>
        <v>705</v>
      </c>
      <c r="AB50" s="471"/>
      <c r="AD50" s="471"/>
    </row>
    <row r="51" spans="1:30" x14ac:dyDescent="0.2">
      <c r="A51" s="1">
        <f t="shared" si="2"/>
        <v>37787.097000000053</v>
      </c>
      <c r="B51" s="237" t="str">
        <f>IF($A$1="Peak","-",IF(BaseLoad!H50&gt;BaseLoad!$G50,B$8*PPA!$G$5*$Z51,0))</f>
        <v>-</v>
      </c>
      <c r="C51" s="237" t="str">
        <f>IF($A$1="Peak","-",IF(BaseLoad!I50&gt;BaseLoad!$G50,C$8*PPA!$G$5*$Z51,0))</f>
        <v>-</v>
      </c>
      <c r="D51" s="237" t="str">
        <f>IF($A$1="Peak","-",IF(BaseLoad!J50&gt;BaseLoad!$G50,D$8*PPA!$G$5*$Z51,0))</f>
        <v>-</v>
      </c>
      <c r="E51" s="237" t="str">
        <f>IF($A$1="Peak","-",IF(BaseLoad!K50&gt;BaseLoad!$G50,E$8*PPA!$G$5*$Z51,0))</f>
        <v>-</v>
      </c>
      <c r="F51" s="237" t="str">
        <f>IF($A$1="Peak","-",IF(BaseLoad!L50&gt;BaseLoad!$G50,F$8*PPA!$G$5*$Z51,0))</f>
        <v>-</v>
      </c>
      <c r="G51" s="237" t="str">
        <f>IF($A$1="Peak","-",IF(BaseLoad!M50&gt;BaseLoad!$G50,G$8*PPA!$G$5*$Z51,0))</f>
        <v>-</v>
      </c>
      <c r="H51" s="237" t="str">
        <f>IF($A$1="Peak","-",IF(BaseLoad!N50&gt;BaseLoad!$G50,H$8*PPA!$G$5*$Z51,0))</f>
        <v>-</v>
      </c>
      <c r="I51" s="237" t="str">
        <f>IF($A$1="Peak","-",IF(BaseLoad!O50&gt;BaseLoad!$G50,I$8*PPA!$G$5*$Z51,0))</f>
        <v>-</v>
      </c>
      <c r="J51" s="237" t="str">
        <f>IF($A$1="Peak","-",IF(BaseLoad!P50&gt;BaseLoad!$G50,J$8*PPA!$G$5*$Z51,0))</f>
        <v>-</v>
      </c>
      <c r="K51" s="237" t="str">
        <f>IF($A$1="Peak","-",IF(BaseLoad!Q50&gt;BaseLoad!$G50,K$8*PPA!$G$5*$Z51,0))</f>
        <v>-</v>
      </c>
      <c r="L51" s="237" t="str">
        <f>IF($A$1="Peak","-",IF(BaseLoad!R50&gt;BaseLoad!$G50,L$8*PPA!$G$5*$Z51,0))</f>
        <v>-</v>
      </c>
      <c r="M51" s="237" t="str">
        <f>IF($A$1="Peak","-",IF(BaseLoad!S50&gt;BaseLoad!$G50,M$8*PPA!$G$5*$Z51,0))</f>
        <v>-</v>
      </c>
      <c r="N51" s="237" t="str">
        <f>IF($A$1="Peak","-",IF(BaseLoad!T50&gt;BaseLoad!$G50,N$8*PPA!$G$5*$Z51,0))</f>
        <v>-</v>
      </c>
      <c r="O51" s="237" t="str">
        <f>IF($A$1="Peak","-",IF(BaseLoad!U50&gt;BaseLoad!$G50,O$8*PPA!$G$5*$Z51,0))</f>
        <v>-</v>
      </c>
      <c r="P51" s="237" t="str">
        <f>IF($A$1="Peak","-",IF(BaseLoad!V50&gt;BaseLoad!$G50,P$8*PPA!$G$5*$Z51,0))</f>
        <v>-</v>
      </c>
      <c r="Q51" s="237" t="str">
        <f>IF($A$1="Peak","-",IF(BaseLoad!W50&gt;BaseLoad!$G50,Q$8*PPA!$G$5*$Z51,0))</f>
        <v>-</v>
      </c>
      <c r="R51" s="237" t="str">
        <f>IF($A$1="Peak","-",IF(BaseLoad!X50&gt;BaseLoad!$G50,R$8*PPA!$G$5*$Z51,0))</f>
        <v>-</v>
      </c>
      <c r="S51" s="237" t="str">
        <f>IF($A$1="Peak","-",IF(BaseLoad!Y50&gt;BaseLoad!$G50,S$8*PPA!$G$5*$Z51,0))</f>
        <v>-</v>
      </c>
      <c r="T51" s="237" t="str">
        <f>IF($A$1="Peak","-",IF(BaseLoad!Z50&gt;BaseLoad!$G50,T$8*PPA!$G$5*$Z51,0))</f>
        <v>-</v>
      </c>
      <c r="U51" s="237" t="str">
        <f>IF($A$1="Peak","-",IF(BaseLoad!AA50&gt;BaseLoad!$G50,U$8*PPA!$G$5*$Z51,0))</f>
        <v>-</v>
      </c>
      <c r="V51" s="237">
        <f t="shared" si="0"/>
        <v>0</v>
      </c>
      <c r="W51" s="237" t="str">
        <f>IF($A$1="Peak","-",(730*PPA!$G$4*$Z51))</f>
        <v>-</v>
      </c>
      <c r="X51" s="237">
        <f t="shared" si="1"/>
        <v>0</v>
      </c>
      <c r="Y51" s="237"/>
      <c r="Z51" s="237">
        <f>CHOOSE(QUOTIENT(MONTH($A51),3)+1,BaseLoad!$AM$9,BaseLoad!$AN$9,BaseLoad!$AL$9,BaseLoad!$AO$9,BaseLoad!$AM$9)</f>
        <v>0.96612135909558572</v>
      </c>
      <c r="AA51" s="237">
        <f>CHOOSE(QUOTIENT(MONTH($A51),3)+1,BaseLoad!$AM$15,BaseLoad!$AN$15,BaseLoad!$AL$15,BaseLoad!$AO$15,BaseLoad!$AM$15)</f>
        <v>705</v>
      </c>
      <c r="AB51" s="471"/>
      <c r="AD51" s="471"/>
    </row>
    <row r="52" spans="1:30" x14ac:dyDescent="0.2">
      <c r="A52" s="1">
        <f t="shared" si="2"/>
        <v>37817.514000000054</v>
      </c>
      <c r="B52" s="237" t="str">
        <f>IF($A$1="Peak","-",IF(BaseLoad!H51&gt;BaseLoad!$G51,B$8*PPA!$G$5*$Z52,0))</f>
        <v>-</v>
      </c>
      <c r="C52" s="237" t="str">
        <f>IF($A$1="Peak","-",IF(BaseLoad!I51&gt;BaseLoad!$G51,C$8*PPA!$G$5*$Z52,0))</f>
        <v>-</v>
      </c>
      <c r="D52" s="237" t="str">
        <f>IF($A$1="Peak","-",IF(BaseLoad!J51&gt;BaseLoad!$G51,D$8*PPA!$G$5*$Z52,0))</f>
        <v>-</v>
      </c>
      <c r="E52" s="237" t="str">
        <f>IF($A$1="Peak","-",IF(BaseLoad!K51&gt;BaseLoad!$G51,E$8*PPA!$G$5*$Z52,0))</f>
        <v>-</v>
      </c>
      <c r="F52" s="237" t="str">
        <f>IF($A$1="Peak","-",IF(BaseLoad!L51&gt;BaseLoad!$G51,F$8*PPA!$G$5*$Z52,0))</f>
        <v>-</v>
      </c>
      <c r="G52" s="237" t="str">
        <f>IF($A$1="Peak","-",IF(BaseLoad!M51&gt;BaseLoad!$G51,G$8*PPA!$G$5*$Z52,0))</f>
        <v>-</v>
      </c>
      <c r="H52" s="237" t="str">
        <f>IF($A$1="Peak","-",IF(BaseLoad!N51&gt;BaseLoad!$G51,H$8*PPA!$G$5*$Z52,0))</f>
        <v>-</v>
      </c>
      <c r="I52" s="237" t="str">
        <f>IF($A$1="Peak","-",IF(BaseLoad!O51&gt;BaseLoad!$G51,I$8*PPA!$G$5*$Z52,0))</f>
        <v>-</v>
      </c>
      <c r="J52" s="237" t="str">
        <f>IF($A$1="Peak","-",IF(BaseLoad!P51&gt;BaseLoad!$G51,J$8*PPA!$G$5*$Z52,0))</f>
        <v>-</v>
      </c>
      <c r="K52" s="237" t="str">
        <f>IF($A$1="Peak","-",IF(BaseLoad!Q51&gt;BaseLoad!$G51,K$8*PPA!$G$5*$Z52,0))</f>
        <v>-</v>
      </c>
      <c r="L52" s="237" t="str">
        <f>IF($A$1="Peak","-",IF(BaseLoad!R51&gt;BaseLoad!$G51,L$8*PPA!$G$5*$Z52,0))</f>
        <v>-</v>
      </c>
      <c r="M52" s="237" t="str">
        <f>IF($A$1="Peak","-",IF(BaseLoad!S51&gt;BaseLoad!$G51,M$8*PPA!$G$5*$Z52,0))</f>
        <v>-</v>
      </c>
      <c r="N52" s="237" t="str">
        <f>IF($A$1="Peak","-",IF(BaseLoad!T51&gt;BaseLoad!$G51,N$8*PPA!$G$5*$Z52,0))</f>
        <v>-</v>
      </c>
      <c r="O52" s="237" t="str">
        <f>IF($A$1="Peak","-",IF(BaseLoad!U51&gt;BaseLoad!$G51,O$8*PPA!$G$5*$Z52,0))</f>
        <v>-</v>
      </c>
      <c r="P52" s="237" t="str">
        <f>IF($A$1="Peak","-",IF(BaseLoad!V51&gt;BaseLoad!$G51,P$8*PPA!$G$5*$Z52,0))</f>
        <v>-</v>
      </c>
      <c r="Q52" s="237" t="str">
        <f>IF($A$1="Peak","-",IF(BaseLoad!W51&gt;BaseLoad!$G51,Q$8*PPA!$G$5*$Z52,0))</f>
        <v>-</v>
      </c>
      <c r="R52" s="237" t="str">
        <f>IF($A$1="Peak","-",IF(BaseLoad!X51&gt;BaseLoad!$G51,R$8*PPA!$G$5*$Z52,0))</f>
        <v>-</v>
      </c>
      <c r="S52" s="237" t="str">
        <f>IF($A$1="Peak","-",IF(BaseLoad!Y51&gt;BaseLoad!$G51,S$8*PPA!$G$5*$Z52,0))</f>
        <v>-</v>
      </c>
      <c r="T52" s="237" t="str">
        <f>IF($A$1="Peak","-",IF(BaseLoad!Z51&gt;BaseLoad!$G51,T$8*PPA!$G$5*$Z52,0))</f>
        <v>-</v>
      </c>
      <c r="U52" s="237" t="str">
        <f>IF($A$1="Peak","-",IF(BaseLoad!AA51&gt;BaseLoad!$G51,U$8*PPA!$G$5*$Z52,0))</f>
        <v>-</v>
      </c>
      <c r="V52" s="237">
        <f t="shared" si="0"/>
        <v>0</v>
      </c>
      <c r="W52" s="237" t="str">
        <f>IF($A$1="Peak","-",(730*PPA!$G$4*$Z52))</f>
        <v>-</v>
      </c>
      <c r="X52" s="237">
        <f t="shared" si="1"/>
        <v>0</v>
      </c>
      <c r="Y52" s="237"/>
      <c r="Z52" s="237">
        <f>CHOOSE(QUOTIENT(MONTH($A52),3)+1,BaseLoad!$AM$9,BaseLoad!$AN$9,BaseLoad!$AL$9,BaseLoad!$AO$9,BaseLoad!$AM$9)</f>
        <v>0.96612135909558572</v>
      </c>
      <c r="AA52" s="237">
        <f>CHOOSE(QUOTIENT(MONTH($A52),3)+1,BaseLoad!$AM$15,BaseLoad!$AN$15,BaseLoad!$AL$15,BaseLoad!$AO$15,BaseLoad!$AM$15)</f>
        <v>705</v>
      </c>
      <c r="AB52" s="471"/>
      <c r="AD52" s="471"/>
    </row>
    <row r="53" spans="1:30" x14ac:dyDescent="0.2">
      <c r="A53" s="1">
        <f t="shared" si="2"/>
        <v>37847.931000000055</v>
      </c>
      <c r="B53" s="237" t="str">
        <f>IF($A$1="Peak","-",IF(BaseLoad!H52&gt;BaseLoad!$G52,B$8*PPA!$G$5*$Z53,0))</f>
        <v>-</v>
      </c>
      <c r="C53" s="237" t="str">
        <f>IF($A$1="Peak","-",IF(BaseLoad!I52&gt;BaseLoad!$G52,C$8*PPA!$G$5*$Z53,0))</f>
        <v>-</v>
      </c>
      <c r="D53" s="237" t="str">
        <f>IF($A$1="Peak","-",IF(BaseLoad!J52&gt;BaseLoad!$G52,D$8*PPA!$G$5*$Z53,0))</f>
        <v>-</v>
      </c>
      <c r="E53" s="237" t="str">
        <f>IF($A$1="Peak","-",IF(BaseLoad!K52&gt;BaseLoad!$G52,E$8*PPA!$G$5*$Z53,0))</f>
        <v>-</v>
      </c>
      <c r="F53" s="237" t="str">
        <f>IF($A$1="Peak","-",IF(BaseLoad!L52&gt;BaseLoad!$G52,F$8*PPA!$G$5*$Z53,0))</f>
        <v>-</v>
      </c>
      <c r="G53" s="237" t="str">
        <f>IF($A$1="Peak","-",IF(BaseLoad!M52&gt;BaseLoad!$G52,G$8*PPA!$G$5*$Z53,0))</f>
        <v>-</v>
      </c>
      <c r="H53" s="237" t="str">
        <f>IF($A$1="Peak","-",IF(BaseLoad!N52&gt;BaseLoad!$G52,H$8*PPA!$G$5*$Z53,0))</f>
        <v>-</v>
      </c>
      <c r="I53" s="237" t="str">
        <f>IF($A$1="Peak","-",IF(BaseLoad!O52&gt;BaseLoad!$G52,I$8*PPA!$G$5*$Z53,0))</f>
        <v>-</v>
      </c>
      <c r="J53" s="237" t="str">
        <f>IF($A$1="Peak","-",IF(BaseLoad!P52&gt;BaseLoad!$G52,J$8*PPA!$G$5*$Z53,0))</f>
        <v>-</v>
      </c>
      <c r="K53" s="237" t="str">
        <f>IF($A$1="Peak","-",IF(BaseLoad!Q52&gt;BaseLoad!$G52,K$8*PPA!$G$5*$Z53,0))</f>
        <v>-</v>
      </c>
      <c r="L53" s="237" t="str">
        <f>IF($A$1="Peak","-",IF(BaseLoad!R52&gt;BaseLoad!$G52,L$8*PPA!$G$5*$Z53,0))</f>
        <v>-</v>
      </c>
      <c r="M53" s="237" t="str">
        <f>IF($A$1="Peak","-",IF(BaseLoad!S52&gt;BaseLoad!$G52,M$8*PPA!$G$5*$Z53,0))</f>
        <v>-</v>
      </c>
      <c r="N53" s="237" t="str">
        <f>IF($A$1="Peak","-",IF(BaseLoad!T52&gt;BaseLoad!$G52,N$8*PPA!$G$5*$Z53,0))</f>
        <v>-</v>
      </c>
      <c r="O53" s="237" t="str">
        <f>IF($A$1="Peak","-",IF(BaseLoad!U52&gt;BaseLoad!$G52,O$8*PPA!$G$5*$Z53,0))</f>
        <v>-</v>
      </c>
      <c r="P53" s="237" t="str">
        <f>IF($A$1="Peak","-",IF(BaseLoad!V52&gt;BaseLoad!$G52,P$8*PPA!$G$5*$Z53,0))</f>
        <v>-</v>
      </c>
      <c r="Q53" s="237" t="str">
        <f>IF($A$1="Peak","-",IF(BaseLoad!W52&gt;BaseLoad!$G52,Q$8*PPA!$G$5*$Z53,0))</f>
        <v>-</v>
      </c>
      <c r="R53" s="237" t="str">
        <f>IF($A$1="Peak","-",IF(BaseLoad!X52&gt;BaseLoad!$G52,R$8*PPA!$G$5*$Z53,0))</f>
        <v>-</v>
      </c>
      <c r="S53" s="237" t="str">
        <f>IF($A$1="Peak","-",IF(BaseLoad!Y52&gt;BaseLoad!$G52,S$8*PPA!$G$5*$Z53,0))</f>
        <v>-</v>
      </c>
      <c r="T53" s="237" t="str">
        <f>IF($A$1="Peak","-",IF(BaseLoad!Z52&gt;BaseLoad!$G52,T$8*PPA!$G$5*$Z53,0))</f>
        <v>-</v>
      </c>
      <c r="U53" s="237" t="str">
        <f>IF($A$1="Peak","-",IF(BaseLoad!AA52&gt;BaseLoad!$G52,U$8*PPA!$G$5*$Z53,0))</f>
        <v>-</v>
      </c>
      <c r="V53" s="237">
        <f t="shared" si="0"/>
        <v>0</v>
      </c>
      <c r="W53" s="237" t="str">
        <f>IF($A$1="Peak","-",(730*PPA!$G$4*$Z53))</f>
        <v>-</v>
      </c>
      <c r="X53" s="237">
        <f t="shared" si="1"/>
        <v>0</v>
      </c>
      <c r="Y53" s="237"/>
      <c r="Z53" s="237">
        <f>CHOOSE(QUOTIENT(MONTH($A53),3)+1,BaseLoad!$AM$9,BaseLoad!$AN$9,BaseLoad!$AL$9,BaseLoad!$AO$9,BaseLoad!$AM$9)</f>
        <v>0.96612135909558572</v>
      </c>
      <c r="AA53" s="237">
        <f>CHOOSE(QUOTIENT(MONTH($A53),3)+1,BaseLoad!$AM$15,BaseLoad!$AN$15,BaseLoad!$AL$15,BaseLoad!$AO$15,BaseLoad!$AM$15)</f>
        <v>705</v>
      </c>
      <c r="AB53" s="471"/>
      <c r="AD53" s="471"/>
    </row>
    <row r="54" spans="1:30" x14ac:dyDescent="0.2">
      <c r="A54" s="1">
        <f t="shared" si="2"/>
        <v>37878.348000000056</v>
      </c>
      <c r="B54" s="237" t="str">
        <f>IF($A$1="Peak","-",IF(BaseLoad!H53&gt;BaseLoad!$G53,B$8*PPA!$G$5*$Z54,0))</f>
        <v>-</v>
      </c>
      <c r="C54" s="237" t="str">
        <f>IF($A$1="Peak","-",IF(BaseLoad!I53&gt;BaseLoad!$G53,C$8*PPA!$G$5*$Z54,0))</f>
        <v>-</v>
      </c>
      <c r="D54" s="237" t="str">
        <f>IF($A$1="Peak","-",IF(BaseLoad!J53&gt;BaseLoad!$G53,D$8*PPA!$G$5*$Z54,0))</f>
        <v>-</v>
      </c>
      <c r="E54" s="237" t="str">
        <f>IF($A$1="Peak","-",IF(BaseLoad!K53&gt;BaseLoad!$G53,E$8*PPA!$G$5*$Z54,0))</f>
        <v>-</v>
      </c>
      <c r="F54" s="237" t="str">
        <f>IF($A$1="Peak","-",IF(BaseLoad!L53&gt;BaseLoad!$G53,F$8*PPA!$G$5*$Z54,0))</f>
        <v>-</v>
      </c>
      <c r="G54" s="237" t="str">
        <f>IF($A$1="Peak","-",IF(BaseLoad!M53&gt;BaseLoad!$G53,G$8*PPA!$G$5*$Z54,0))</f>
        <v>-</v>
      </c>
      <c r="H54" s="237" t="str">
        <f>IF($A$1="Peak","-",IF(BaseLoad!N53&gt;BaseLoad!$G53,H$8*PPA!$G$5*$Z54,0))</f>
        <v>-</v>
      </c>
      <c r="I54" s="237" t="str">
        <f>IF($A$1="Peak","-",IF(BaseLoad!O53&gt;BaseLoad!$G53,I$8*PPA!$G$5*$Z54,0))</f>
        <v>-</v>
      </c>
      <c r="J54" s="237" t="str">
        <f>IF($A$1="Peak","-",IF(BaseLoad!P53&gt;BaseLoad!$G53,J$8*PPA!$G$5*$Z54,0))</f>
        <v>-</v>
      </c>
      <c r="K54" s="237" t="str">
        <f>IF($A$1="Peak","-",IF(BaseLoad!Q53&gt;BaseLoad!$G53,K$8*PPA!$G$5*$Z54,0))</f>
        <v>-</v>
      </c>
      <c r="L54" s="237" t="str">
        <f>IF($A$1="Peak","-",IF(BaseLoad!R53&gt;BaseLoad!$G53,L$8*PPA!$G$5*$Z54,0))</f>
        <v>-</v>
      </c>
      <c r="M54" s="237" t="str">
        <f>IF($A$1="Peak","-",IF(BaseLoad!S53&gt;BaseLoad!$G53,M$8*PPA!$G$5*$Z54,0))</f>
        <v>-</v>
      </c>
      <c r="N54" s="237" t="str">
        <f>IF($A$1="Peak","-",IF(BaseLoad!T53&gt;BaseLoad!$G53,N$8*PPA!$G$5*$Z54,0))</f>
        <v>-</v>
      </c>
      <c r="O54" s="237" t="str">
        <f>IF($A$1="Peak","-",IF(BaseLoad!U53&gt;BaseLoad!$G53,O$8*PPA!$G$5*$Z54,0))</f>
        <v>-</v>
      </c>
      <c r="P54" s="237" t="str">
        <f>IF($A$1="Peak","-",IF(BaseLoad!V53&gt;BaseLoad!$G53,P$8*PPA!$G$5*$Z54,0))</f>
        <v>-</v>
      </c>
      <c r="Q54" s="237" t="str">
        <f>IF($A$1="Peak","-",IF(BaseLoad!W53&gt;BaseLoad!$G53,Q$8*PPA!$G$5*$Z54,0))</f>
        <v>-</v>
      </c>
      <c r="R54" s="237" t="str">
        <f>IF($A$1="Peak","-",IF(BaseLoad!X53&gt;BaseLoad!$G53,R$8*PPA!$G$5*$Z54,0))</f>
        <v>-</v>
      </c>
      <c r="S54" s="237" t="str">
        <f>IF($A$1="Peak","-",IF(BaseLoad!Y53&gt;BaseLoad!$G53,S$8*PPA!$G$5*$Z54,0))</f>
        <v>-</v>
      </c>
      <c r="T54" s="237" t="str">
        <f>IF($A$1="Peak","-",IF(BaseLoad!Z53&gt;BaseLoad!$G53,T$8*PPA!$G$5*$Z54,0))</f>
        <v>-</v>
      </c>
      <c r="U54" s="237" t="str">
        <f>IF($A$1="Peak","-",IF(BaseLoad!AA53&gt;BaseLoad!$G53,U$8*PPA!$G$5*$Z54,0))</f>
        <v>-</v>
      </c>
      <c r="V54" s="237">
        <f t="shared" si="0"/>
        <v>0</v>
      </c>
      <c r="W54" s="237" t="str">
        <f>IF($A$1="Peak","-",(730*PPA!$G$4*$Z54))</f>
        <v>-</v>
      </c>
      <c r="X54" s="237">
        <f t="shared" si="1"/>
        <v>0</v>
      </c>
      <c r="Y54" s="237"/>
      <c r="Z54" s="237">
        <f>CHOOSE(QUOTIENT(MONTH($A54),3)+1,BaseLoad!$AM$9,BaseLoad!$AN$9,BaseLoad!$AL$9,BaseLoad!$AO$9,BaseLoad!$AM$9)</f>
        <v>0.95</v>
      </c>
      <c r="AA54" s="237">
        <f>CHOOSE(QUOTIENT(MONTH($A54),3)+1,BaseLoad!$AM$15,BaseLoad!$AN$15,BaseLoad!$AL$15,BaseLoad!$AO$15,BaseLoad!$AM$15)</f>
        <v>705</v>
      </c>
      <c r="AB54" s="471"/>
      <c r="AD54" s="471"/>
    </row>
    <row r="55" spans="1:30" x14ac:dyDescent="0.2">
      <c r="A55" s="1">
        <f t="shared" si="2"/>
        <v>37908.765000000058</v>
      </c>
      <c r="B55" s="237" t="str">
        <f>IF($A$1="Peak","-",IF(BaseLoad!H54&gt;BaseLoad!$G54,B$8*PPA!$G$5*$Z55,0))</f>
        <v>-</v>
      </c>
      <c r="C55" s="237" t="str">
        <f>IF($A$1="Peak","-",IF(BaseLoad!I54&gt;BaseLoad!$G54,C$8*PPA!$G$5*$Z55,0))</f>
        <v>-</v>
      </c>
      <c r="D55" s="237" t="str">
        <f>IF($A$1="Peak","-",IF(BaseLoad!J54&gt;BaseLoad!$G54,D$8*PPA!$G$5*$Z55,0))</f>
        <v>-</v>
      </c>
      <c r="E55" s="237" t="str">
        <f>IF($A$1="Peak","-",IF(BaseLoad!K54&gt;BaseLoad!$G54,E$8*PPA!$G$5*$Z55,0))</f>
        <v>-</v>
      </c>
      <c r="F55" s="237" t="str">
        <f>IF($A$1="Peak","-",IF(BaseLoad!L54&gt;BaseLoad!$G54,F$8*PPA!$G$5*$Z55,0))</f>
        <v>-</v>
      </c>
      <c r="G55" s="237" t="str">
        <f>IF($A$1="Peak","-",IF(BaseLoad!M54&gt;BaseLoad!$G54,G$8*PPA!$G$5*$Z55,0))</f>
        <v>-</v>
      </c>
      <c r="H55" s="237" t="str">
        <f>IF($A$1="Peak","-",IF(BaseLoad!N54&gt;BaseLoad!$G54,H$8*PPA!$G$5*$Z55,0))</f>
        <v>-</v>
      </c>
      <c r="I55" s="237" t="str">
        <f>IF($A$1="Peak","-",IF(BaseLoad!O54&gt;BaseLoad!$G54,I$8*PPA!$G$5*$Z55,0))</f>
        <v>-</v>
      </c>
      <c r="J55" s="237" t="str">
        <f>IF($A$1="Peak","-",IF(BaseLoad!P54&gt;BaseLoad!$G54,J$8*PPA!$G$5*$Z55,0))</f>
        <v>-</v>
      </c>
      <c r="K55" s="237" t="str">
        <f>IF($A$1="Peak","-",IF(BaseLoad!Q54&gt;BaseLoad!$G54,K$8*PPA!$G$5*$Z55,0))</f>
        <v>-</v>
      </c>
      <c r="L55" s="237" t="str">
        <f>IF($A$1="Peak","-",IF(BaseLoad!R54&gt;BaseLoad!$G54,L$8*PPA!$G$5*$Z55,0))</f>
        <v>-</v>
      </c>
      <c r="M55" s="237" t="str">
        <f>IF($A$1="Peak","-",IF(BaseLoad!S54&gt;BaseLoad!$G54,M$8*PPA!$G$5*$Z55,0))</f>
        <v>-</v>
      </c>
      <c r="N55" s="237" t="str">
        <f>IF($A$1="Peak","-",IF(BaseLoad!T54&gt;BaseLoad!$G54,N$8*PPA!$G$5*$Z55,0))</f>
        <v>-</v>
      </c>
      <c r="O55" s="237" t="str">
        <f>IF($A$1="Peak","-",IF(BaseLoad!U54&gt;BaseLoad!$G54,O$8*PPA!$G$5*$Z55,0))</f>
        <v>-</v>
      </c>
      <c r="P55" s="237" t="str">
        <f>IF($A$1="Peak","-",IF(BaseLoad!V54&gt;BaseLoad!$G54,P$8*PPA!$G$5*$Z55,0))</f>
        <v>-</v>
      </c>
      <c r="Q55" s="237" t="str">
        <f>IF($A$1="Peak","-",IF(BaseLoad!W54&gt;BaseLoad!$G54,Q$8*PPA!$G$5*$Z55,0))</f>
        <v>-</v>
      </c>
      <c r="R55" s="237" t="str">
        <f>IF($A$1="Peak","-",IF(BaseLoad!X54&gt;BaseLoad!$G54,R$8*PPA!$G$5*$Z55,0))</f>
        <v>-</v>
      </c>
      <c r="S55" s="237" t="str">
        <f>IF($A$1="Peak","-",IF(BaseLoad!Y54&gt;BaseLoad!$G54,S$8*PPA!$G$5*$Z55,0))</f>
        <v>-</v>
      </c>
      <c r="T55" s="237" t="str">
        <f>IF($A$1="Peak","-",IF(BaseLoad!Z54&gt;BaseLoad!$G54,T$8*PPA!$G$5*$Z55,0))</f>
        <v>-</v>
      </c>
      <c r="U55" s="237" t="str">
        <f>IF($A$1="Peak","-",IF(BaseLoad!AA54&gt;BaseLoad!$G54,U$8*PPA!$G$5*$Z55,0))</f>
        <v>-</v>
      </c>
      <c r="V55" s="237">
        <f t="shared" si="0"/>
        <v>0</v>
      </c>
      <c r="W55" s="237" t="str">
        <f>IF($A$1="Peak","-",(730*PPA!$G$4*$Z55))</f>
        <v>-</v>
      </c>
      <c r="X55" s="237">
        <f t="shared" si="1"/>
        <v>0</v>
      </c>
      <c r="Y55" s="237"/>
      <c r="Z55" s="237">
        <f>CHOOSE(QUOTIENT(MONTH($A55),3)+1,BaseLoad!$AM$9,BaseLoad!$AN$9,BaseLoad!$AL$9,BaseLoad!$AO$9,BaseLoad!$AM$9)</f>
        <v>0.95</v>
      </c>
      <c r="AA55" s="237">
        <f>CHOOSE(QUOTIENT(MONTH($A55),3)+1,BaseLoad!$AM$15,BaseLoad!$AN$15,BaseLoad!$AL$15,BaseLoad!$AO$15,BaseLoad!$AM$15)</f>
        <v>705</v>
      </c>
      <c r="AB55" s="471"/>
      <c r="AD55" s="471"/>
    </row>
    <row r="56" spans="1:30" x14ac:dyDescent="0.2">
      <c r="A56" s="1">
        <f t="shared" si="2"/>
        <v>37939.182000000059</v>
      </c>
      <c r="B56" s="237" t="str">
        <f>IF($A$1="Peak","-",IF(BaseLoad!H55&gt;BaseLoad!$G55,B$8*PPA!$G$5*$Z56,0))</f>
        <v>-</v>
      </c>
      <c r="C56" s="237" t="str">
        <f>IF($A$1="Peak","-",IF(BaseLoad!I55&gt;BaseLoad!$G55,C$8*PPA!$G$5*$Z56,0))</f>
        <v>-</v>
      </c>
      <c r="D56" s="237" t="str">
        <f>IF($A$1="Peak","-",IF(BaseLoad!J55&gt;BaseLoad!$G55,D$8*PPA!$G$5*$Z56,0))</f>
        <v>-</v>
      </c>
      <c r="E56" s="237" t="str">
        <f>IF($A$1="Peak","-",IF(BaseLoad!K55&gt;BaseLoad!$G55,E$8*PPA!$G$5*$Z56,0))</f>
        <v>-</v>
      </c>
      <c r="F56" s="237" t="str">
        <f>IF($A$1="Peak","-",IF(BaseLoad!L55&gt;BaseLoad!$G55,F$8*PPA!$G$5*$Z56,0))</f>
        <v>-</v>
      </c>
      <c r="G56" s="237" t="str">
        <f>IF($A$1="Peak","-",IF(BaseLoad!M55&gt;BaseLoad!$G55,G$8*PPA!$G$5*$Z56,0))</f>
        <v>-</v>
      </c>
      <c r="H56" s="237" t="str">
        <f>IF($A$1="Peak","-",IF(BaseLoad!N55&gt;BaseLoad!$G55,H$8*PPA!$G$5*$Z56,0))</f>
        <v>-</v>
      </c>
      <c r="I56" s="237" t="str">
        <f>IF($A$1="Peak","-",IF(BaseLoad!O55&gt;BaseLoad!$G55,I$8*PPA!$G$5*$Z56,0))</f>
        <v>-</v>
      </c>
      <c r="J56" s="237" t="str">
        <f>IF($A$1="Peak","-",IF(BaseLoad!P55&gt;BaseLoad!$G55,J$8*PPA!$G$5*$Z56,0))</f>
        <v>-</v>
      </c>
      <c r="K56" s="237" t="str">
        <f>IF($A$1="Peak","-",IF(BaseLoad!Q55&gt;BaseLoad!$G55,K$8*PPA!$G$5*$Z56,0))</f>
        <v>-</v>
      </c>
      <c r="L56" s="237" t="str">
        <f>IF($A$1="Peak","-",IF(BaseLoad!R55&gt;BaseLoad!$G55,L$8*PPA!$G$5*$Z56,0))</f>
        <v>-</v>
      </c>
      <c r="M56" s="237" t="str">
        <f>IF($A$1="Peak","-",IF(BaseLoad!S55&gt;BaseLoad!$G55,M$8*PPA!$G$5*$Z56,0))</f>
        <v>-</v>
      </c>
      <c r="N56" s="237" t="str">
        <f>IF($A$1="Peak","-",IF(BaseLoad!T55&gt;BaseLoad!$G55,N$8*PPA!$G$5*$Z56,0))</f>
        <v>-</v>
      </c>
      <c r="O56" s="237" t="str">
        <f>IF($A$1="Peak","-",IF(BaseLoad!U55&gt;BaseLoad!$G55,O$8*PPA!$G$5*$Z56,0))</f>
        <v>-</v>
      </c>
      <c r="P56" s="237" t="str">
        <f>IF($A$1="Peak","-",IF(BaseLoad!V55&gt;BaseLoad!$G55,P$8*PPA!$G$5*$Z56,0))</f>
        <v>-</v>
      </c>
      <c r="Q56" s="237" t="str">
        <f>IF($A$1="Peak","-",IF(BaseLoad!W55&gt;BaseLoad!$G55,Q$8*PPA!$G$5*$Z56,0))</f>
        <v>-</v>
      </c>
      <c r="R56" s="237" t="str">
        <f>IF($A$1="Peak","-",IF(BaseLoad!X55&gt;BaseLoad!$G55,R$8*PPA!$G$5*$Z56,0))</f>
        <v>-</v>
      </c>
      <c r="S56" s="237" t="str">
        <f>IF($A$1="Peak","-",IF(BaseLoad!Y55&gt;BaseLoad!$G55,S$8*PPA!$G$5*$Z56,0))</f>
        <v>-</v>
      </c>
      <c r="T56" s="237" t="str">
        <f>IF($A$1="Peak","-",IF(BaseLoad!Z55&gt;BaseLoad!$G55,T$8*PPA!$G$5*$Z56,0))</f>
        <v>-</v>
      </c>
      <c r="U56" s="237" t="str">
        <f>IF($A$1="Peak","-",IF(BaseLoad!AA55&gt;BaseLoad!$G55,U$8*PPA!$G$5*$Z56,0))</f>
        <v>-</v>
      </c>
      <c r="V56" s="237">
        <f t="shared" si="0"/>
        <v>0</v>
      </c>
      <c r="W56" s="237" t="str">
        <f>IF($A$1="Peak","-",(730*PPA!$G$4*$Z56))</f>
        <v>-</v>
      </c>
      <c r="X56" s="237">
        <f t="shared" si="1"/>
        <v>0</v>
      </c>
      <c r="Y56" s="237"/>
      <c r="Z56" s="237">
        <f>CHOOSE(QUOTIENT(MONTH($A56),3)+1,BaseLoad!$AM$9,BaseLoad!$AN$9,BaseLoad!$AL$9,BaseLoad!$AO$9,BaseLoad!$AM$9)</f>
        <v>0.95</v>
      </c>
      <c r="AA56" s="237">
        <f>CHOOSE(QUOTIENT(MONTH($A56),3)+1,BaseLoad!$AM$15,BaseLoad!$AN$15,BaseLoad!$AL$15,BaseLoad!$AO$15,BaseLoad!$AM$15)</f>
        <v>705</v>
      </c>
      <c r="AB56" s="471"/>
      <c r="AD56" s="471"/>
    </row>
    <row r="57" spans="1:30" x14ac:dyDescent="0.2">
      <c r="A57" s="1">
        <f t="shared" si="2"/>
        <v>37969.59900000006</v>
      </c>
      <c r="B57" s="237" t="str">
        <f>IF($A$1="Peak","-",IF(BaseLoad!H56&gt;BaseLoad!$G56,B$8*PPA!$G$5*$Z57,0))</f>
        <v>-</v>
      </c>
      <c r="C57" s="237" t="str">
        <f>IF($A$1="Peak","-",IF(BaseLoad!I56&gt;BaseLoad!$G56,C$8*PPA!$G$5*$Z57,0))</f>
        <v>-</v>
      </c>
      <c r="D57" s="237" t="str">
        <f>IF($A$1="Peak","-",IF(BaseLoad!J56&gt;BaseLoad!$G56,D$8*PPA!$G$5*$Z57,0))</f>
        <v>-</v>
      </c>
      <c r="E57" s="237" t="str">
        <f>IF($A$1="Peak","-",IF(BaseLoad!K56&gt;BaseLoad!$G56,E$8*PPA!$G$5*$Z57,0))</f>
        <v>-</v>
      </c>
      <c r="F57" s="237" t="str">
        <f>IF($A$1="Peak","-",IF(BaseLoad!L56&gt;BaseLoad!$G56,F$8*PPA!$G$5*$Z57,0))</f>
        <v>-</v>
      </c>
      <c r="G57" s="237" t="str">
        <f>IF($A$1="Peak","-",IF(BaseLoad!M56&gt;BaseLoad!$G56,G$8*PPA!$G$5*$Z57,0))</f>
        <v>-</v>
      </c>
      <c r="H57" s="237" t="str">
        <f>IF($A$1="Peak","-",IF(BaseLoad!N56&gt;BaseLoad!$G56,H$8*PPA!$G$5*$Z57,0))</f>
        <v>-</v>
      </c>
      <c r="I57" s="237" t="str">
        <f>IF($A$1="Peak","-",IF(BaseLoad!O56&gt;BaseLoad!$G56,I$8*PPA!$G$5*$Z57,0))</f>
        <v>-</v>
      </c>
      <c r="J57" s="237" t="str">
        <f>IF($A$1="Peak","-",IF(BaseLoad!P56&gt;BaseLoad!$G56,J$8*PPA!$G$5*$Z57,0))</f>
        <v>-</v>
      </c>
      <c r="K57" s="237" t="str">
        <f>IF($A$1="Peak","-",IF(BaseLoad!Q56&gt;BaseLoad!$G56,K$8*PPA!$G$5*$Z57,0))</f>
        <v>-</v>
      </c>
      <c r="L57" s="237" t="str">
        <f>IF($A$1="Peak","-",IF(BaseLoad!R56&gt;BaseLoad!$G56,L$8*PPA!$G$5*$Z57,0))</f>
        <v>-</v>
      </c>
      <c r="M57" s="237" t="str">
        <f>IF($A$1="Peak","-",IF(BaseLoad!S56&gt;BaseLoad!$G56,M$8*PPA!$G$5*$Z57,0))</f>
        <v>-</v>
      </c>
      <c r="N57" s="237" t="str">
        <f>IF($A$1="Peak","-",IF(BaseLoad!T56&gt;BaseLoad!$G56,N$8*PPA!$G$5*$Z57,0))</f>
        <v>-</v>
      </c>
      <c r="O57" s="237" t="str">
        <f>IF($A$1="Peak","-",IF(BaseLoad!U56&gt;BaseLoad!$G56,O$8*PPA!$G$5*$Z57,0))</f>
        <v>-</v>
      </c>
      <c r="P57" s="237" t="str">
        <f>IF($A$1="Peak","-",IF(BaseLoad!V56&gt;BaseLoad!$G56,P$8*PPA!$G$5*$Z57,0))</f>
        <v>-</v>
      </c>
      <c r="Q57" s="237" t="str">
        <f>IF($A$1="Peak","-",IF(BaseLoad!W56&gt;BaseLoad!$G56,Q$8*PPA!$G$5*$Z57,0))</f>
        <v>-</v>
      </c>
      <c r="R57" s="237" t="str">
        <f>IF($A$1="Peak","-",IF(BaseLoad!X56&gt;BaseLoad!$G56,R$8*PPA!$G$5*$Z57,0))</f>
        <v>-</v>
      </c>
      <c r="S57" s="237" t="str">
        <f>IF($A$1="Peak","-",IF(BaseLoad!Y56&gt;BaseLoad!$G56,S$8*PPA!$G$5*$Z57,0))</f>
        <v>-</v>
      </c>
      <c r="T57" s="237" t="str">
        <f>IF($A$1="Peak","-",IF(BaseLoad!Z56&gt;BaseLoad!$G56,T$8*PPA!$G$5*$Z57,0))</f>
        <v>-</v>
      </c>
      <c r="U57" s="237" t="str">
        <f>IF($A$1="Peak","-",IF(BaseLoad!AA56&gt;BaseLoad!$G56,U$8*PPA!$G$5*$Z57,0))</f>
        <v>-</v>
      </c>
      <c r="V57" s="237">
        <f t="shared" si="0"/>
        <v>0</v>
      </c>
      <c r="W57" s="237" t="str">
        <f>IF($A$1="Peak","-",(730*PPA!$G$4*$Z57))</f>
        <v>-</v>
      </c>
      <c r="X57" s="237">
        <f t="shared" si="1"/>
        <v>0</v>
      </c>
      <c r="Y57" s="237">
        <f>SUM(X46:X57)</f>
        <v>0</v>
      </c>
      <c r="Z57" s="237">
        <f>CHOOSE(QUOTIENT(MONTH($A57),3)+1,BaseLoad!$AM$9,BaseLoad!$AN$9,BaseLoad!$AL$9,BaseLoad!$AO$9,BaseLoad!$AM$9)</f>
        <v>0.92427661878611755</v>
      </c>
      <c r="AA57" s="237">
        <f>CHOOSE(QUOTIENT(MONTH($A57),3)+1,BaseLoad!$AM$15,BaseLoad!$AN$15,BaseLoad!$AL$15,BaseLoad!$AO$15,BaseLoad!$AM$15)</f>
        <v>705</v>
      </c>
      <c r="AB57" s="471"/>
      <c r="AD57" s="471"/>
    </row>
    <row r="58" spans="1:30" x14ac:dyDescent="0.2">
      <c r="A58" s="1">
        <f t="shared" si="2"/>
        <v>38000.016000000061</v>
      </c>
      <c r="B58" s="237" t="str">
        <f>IF($A$1="Peak","-",IF(BaseLoad!H57&gt;BaseLoad!$G57,B$8*PPA!$G$5*$Z58,0))</f>
        <v>-</v>
      </c>
      <c r="C58" s="237" t="str">
        <f>IF($A$1="Peak","-",IF(BaseLoad!I57&gt;BaseLoad!$G57,C$8*PPA!$G$5*$Z58,0))</f>
        <v>-</v>
      </c>
      <c r="D58" s="237" t="str">
        <f>IF($A$1="Peak","-",IF(BaseLoad!J57&gt;BaseLoad!$G57,D$8*PPA!$G$5*$Z58,0))</f>
        <v>-</v>
      </c>
      <c r="E58" s="237" t="str">
        <f>IF($A$1="Peak","-",IF(BaseLoad!K57&gt;BaseLoad!$G57,E$8*PPA!$G$5*$Z58,0))</f>
        <v>-</v>
      </c>
      <c r="F58" s="237" t="str">
        <f>IF($A$1="Peak","-",IF(BaseLoad!L57&gt;BaseLoad!$G57,F$8*PPA!$G$5*$Z58,0))</f>
        <v>-</v>
      </c>
      <c r="G58" s="237" t="str">
        <f>IF($A$1="Peak","-",IF(BaseLoad!M57&gt;BaseLoad!$G57,G$8*PPA!$G$5*$Z58,0))</f>
        <v>-</v>
      </c>
      <c r="H58" s="237" t="str">
        <f>IF($A$1="Peak","-",IF(BaseLoad!N57&gt;BaseLoad!$G57,H$8*PPA!$G$5*$Z58,0))</f>
        <v>-</v>
      </c>
      <c r="I58" s="237" t="str">
        <f>IF($A$1="Peak","-",IF(BaseLoad!O57&gt;BaseLoad!$G57,I$8*PPA!$G$5*$Z58,0))</f>
        <v>-</v>
      </c>
      <c r="J58" s="237" t="str">
        <f>IF($A$1="Peak","-",IF(BaseLoad!P57&gt;BaseLoad!$G57,J$8*PPA!$G$5*$Z58,0))</f>
        <v>-</v>
      </c>
      <c r="K58" s="237" t="str">
        <f>IF($A$1="Peak","-",IF(BaseLoad!Q57&gt;BaseLoad!$G57,K$8*PPA!$G$5*$Z58,0))</f>
        <v>-</v>
      </c>
      <c r="L58" s="237" t="str">
        <f>IF($A$1="Peak","-",IF(BaseLoad!R57&gt;BaseLoad!$G57,L$8*PPA!$G$5*$Z58,0))</f>
        <v>-</v>
      </c>
      <c r="M58" s="237" t="str">
        <f>IF($A$1="Peak","-",IF(BaseLoad!S57&gt;BaseLoad!$G57,M$8*PPA!$G$5*$Z58,0))</f>
        <v>-</v>
      </c>
      <c r="N58" s="237" t="str">
        <f>IF($A$1="Peak","-",IF(BaseLoad!T57&gt;BaseLoad!$G57,N$8*PPA!$G$5*$Z58,0))</f>
        <v>-</v>
      </c>
      <c r="O58" s="237" t="str">
        <f>IF($A$1="Peak","-",IF(BaseLoad!U57&gt;BaseLoad!$G57,O$8*PPA!$G$5*$Z58,0))</f>
        <v>-</v>
      </c>
      <c r="P58" s="237" t="str">
        <f>IF($A$1="Peak","-",IF(BaseLoad!V57&gt;BaseLoad!$G57,P$8*PPA!$G$5*$Z58,0))</f>
        <v>-</v>
      </c>
      <c r="Q58" s="237" t="str">
        <f>IF($A$1="Peak","-",IF(BaseLoad!W57&gt;BaseLoad!$G57,Q$8*PPA!$G$5*$Z58,0))</f>
        <v>-</v>
      </c>
      <c r="R58" s="237" t="str">
        <f>IF($A$1="Peak","-",IF(BaseLoad!X57&gt;BaseLoad!$G57,R$8*PPA!$G$5*$Z58,0))</f>
        <v>-</v>
      </c>
      <c r="S58" s="237" t="str">
        <f>IF($A$1="Peak","-",IF(BaseLoad!Y57&gt;BaseLoad!$G57,S$8*PPA!$G$5*$Z58,0))</f>
        <v>-</v>
      </c>
      <c r="T58" s="237" t="str">
        <f>IF($A$1="Peak","-",IF(BaseLoad!Z57&gt;BaseLoad!$G57,T$8*PPA!$G$5*$Z58,0))</f>
        <v>-</v>
      </c>
      <c r="U58" s="237" t="str">
        <f>IF($A$1="Peak","-",IF(BaseLoad!AA57&gt;BaseLoad!$G57,U$8*PPA!$G$5*$Z58,0))</f>
        <v>-</v>
      </c>
      <c r="V58" s="237">
        <f t="shared" si="0"/>
        <v>0</v>
      </c>
      <c r="W58" s="237" t="str">
        <f>IF($A$1="Peak","-",(730*PPA!$G$4*$Z58))</f>
        <v>-</v>
      </c>
      <c r="X58" s="237">
        <f t="shared" si="1"/>
        <v>0</v>
      </c>
      <c r="Y58" s="237"/>
      <c r="Z58" s="237">
        <f>CHOOSE(QUOTIENT(MONTH($A58),3)+1,BaseLoad!$AM$9,BaseLoad!$AN$9,BaseLoad!$AL$9,BaseLoad!$AO$9,BaseLoad!$AM$9)</f>
        <v>0.92427661878611755</v>
      </c>
      <c r="AA58" s="237">
        <f>CHOOSE(QUOTIENT(MONTH($A58),3)+1,BaseLoad!$AM$15,BaseLoad!$AN$15,BaseLoad!$AL$15,BaseLoad!$AO$15,BaseLoad!$AM$15)</f>
        <v>705</v>
      </c>
      <c r="AB58" s="471"/>
      <c r="AD58" s="471"/>
    </row>
    <row r="59" spans="1:30" x14ac:dyDescent="0.2">
      <c r="A59" s="1">
        <f t="shared" si="2"/>
        <v>38030.433000000063</v>
      </c>
      <c r="B59" s="237" t="str">
        <f>IF($A$1="Peak","-",IF(BaseLoad!H58&gt;BaseLoad!$G58,B$8*PPA!$G$5*$Z59,0))</f>
        <v>-</v>
      </c>
      <c r="C59" s="237" t="str">
        <f>IF($A$1="Peak","-",IF(BaseLoad!I58&gt;BaseLoad!$G58,C$8*PPA!$G$5*$Z59,0))</f>
        <v>-</v>
      </c>
      <c r="D59" s="237" t="str">
        <f>IF($A$1="Peak","-",IF(BaseLoad!J58&gt;BaseLoad!$G58,D$8*PPA!$G$5*$Z59,0))</f>
        <v>-</v>
      </c>
      <c r="E59" s="237" t="str">
        <f>IF($A$1="Peak","-",IF(BaseLoad!K58&gt;BaseLoad!$G58,E$8*PPA!$G$5*$Z59,0))</f>
        <v>-</v>
      </c>
      <c r="F59" s="237" t="str">
        <f>IF($A$1="Peak","-",IF(BaseLoad!L58&gt;BaseLoad!$G58,F$8*PPA!$G$5*$Z59,0))</f>
        <v>-</v>
      </c>
      <c r="G59" s="237" t="str">
        <f>IF($A$1="Peak","-",IF(BaseLoad!M58&gt;BaseLoad!$G58,G$8*PPA!$G$5*$Z59,0))</f>
        <v>-</v>
      </c>
      <c r="H59" s="237" t="str">
        <f>IF($A$1="Peak","-",IF(BaseLoad!N58&gt;BaseLoad!$G58,H$8*PPA!$G$5*$Z59,0))</f>
        <v>-</v>
      </c>
      <c r="I59" s="237" t="str">
        <f>IF($A$1="Peak","-",IF(BaseLoad!O58&gt;BaseLoad!$G58,I$8*PPA!$G$5*$Z59,0))</f>
        <v>-</v>
      </c>
      <c r="J59" s="237" t="str">
        <f>IF($A$1="Peak","-",IF(BaseLoad!P58&gt;BaseLoad!$G58,J$8*PPA!$G$5*$Z59,0))</f>
        <v>-</v>
      </c>
      <c r="K59" s="237" t="str">
        <f>IF($A$1="Peak","-",IF(BaseLoad!Q58&gt;BaseLoad!$G58,K$8*PPA!$G$5*$Z59,0))</f>
        <v>-</v>
      </c>
      <c r="L59" s="237" t="str">
        <f>IF($A$1="Peak","-",IF(BaseLoad!R58&gt;BaseLoad!$G58,L$8*PPA!$G$5*$Z59,0))</f>
        <v>-</v>
      </c>
      <c r="M59" s="237" t="str">
        <f>IF($A$1="Peak","-",IF(BaseLoad!S58&gt;BaseLoad!$G58,M$8*PPA!$G$5*$Z59,0))</f>
        <v>-</v>
      </c>
      <c r="N59" s="237" t="str">
        <f>IF($A$1="Peak","-",IF(BaseLoad!T58&gt;BaseLoad!$G58,N$8*PPA!$G$5*$Z59,0))</f>
        <v>-</v>
      </c>
      <c r="O59" s="237" t="str">
        <f>IF($A$1="Peak","-",IF(BaseLoad!U58&gt;BaseLoad!$G58,O$8*PPA!$G$5*$Z59,0))</f>
        <v>-</v>
      </c>
      <c r="P59" s="237" t="str">
        <f>IF($A$1="Peak","-",IF(BaseLoad!V58&gt;BaseLoad!$G58,P$8*PPA!$G$5*$Z59,0))</f>
        <v>-</v>
      </c>
      <c r="Q59" s="237" t="str">
        <f>IF($A$1="Peak","-",IF(BaseLoad!W58&gt;BaseLoad!$G58,Q$8*PPA!$G$5*$Z59,0))</f>
        <v>-</v>
      </c>
      <c r="R59" s="237" t="str">
        <f>IF($A$1="Peak","-",IF(BaseLoad!X58&gt;BaseLoad!$G58,R$8*PPA!$G$5*$Z59,0))</f>
        <v>-</v>
      </c>
      <c r="S59" s="237" t="str">
        <f>IF($A$1="Peak","-",IF(BaseLoad!Y58&gt;BaseLoad!$G58,S$8*PPA!$G$5*$Z59,0))</f>
        <v>-</v>
      </c>
      <c r="T59" s="237" t="str">
        <f>IF($A$1="Peak","-",IF(BaseLoad!Z58&gt;BaseLoad!$G58,T$8*PPA!$G$5*$Z59,0))</f>
        <v>-</v>
      </c>
      <c r="U59" s="237" t="str">
        <f>IF($A$1="Peak","-",IF(BaseLoad!AA58&gt;BaseLoad!$G58,U$8*PPA!$G$5*$Z59,0))</f>
        <v>-</v>
      </c>
      <c r="V59" s="237">
        <f t="shared" si="0"/>
        <v>0</v>
      </c>
      <c r="W59" s="237" t="str">
        <f>IF($A$1="Peak","-",(730*PPA!$G$4*$Z59))</f>
        <v>-</v>
      </c>
      <c r="X59" s="237">
        <f t="shared" si="1"/>
        <v>0</v>
      </c>
      <c r="Y59" s="237"/>
      <c r="Z59" s="237">
        <f>CHOOSE(QUOTIENT(MONTH($A59),3)+1,BaseLoad!$AM$9,BaseLoad!$AN$9,BaseLoad!$AL$9,BaseLoad!$AO$9,BaseLoad!$AM$9)</f>
        <v>0.92427661878611755</v>
      </c>
      <c r="AA59" s="237">
        <f>CHOOSE(QUOTIENT(MONTH($A59),3)+1,BaseLoad!$AM$15,BaseLoad!$AN$15,BaseLoad!$AL$15,BaseLoad!$AO$15,BaseLoad!$AM$15)</f>
        <v>705</v>
      </c>
      <c r="AB59" s="471"/>
      <c r="AD59" s="471"/>
    </row>
    <row r="60" spans="1:30" x14ac:dyDescent="0.2">
      <c r="A60" s="1">
        <f t="shared" si="2"/>
        <v>38060.850000000064</v>
      </c>
      <c r="B60" s="237" t="str">
        <f>IF($A$1="Peak","-",IF(BaseLoad!H59&gt;BaseLoad!$G59,B$8*PPA!$G$5*$Z60,0))</f>
        <v>-</v>
      </c>
      <c r="C60" s="237" t="str">
        <f>IF($A$1="Peak","-",IF(BaseLoad!I59&gt;BaseLoad!$G59,C$8*PPA!$G$5*$Z60,0))</f>
        <v>-</v>
      </c>
      <c r="D60" s="237" t="str">
        <f>IF($A$1="Peak","-",IF(BaseLoad!J59&gt;BaseLoad!$G59,D$8*PPA!$G$5*$Z60,0))</f>
        <v>-</v>
      </c>
      <c r="E60" s="237" t="str">
        <f>IF($A$1="Peak","-",IF(BaseLoad!K59&gt;BaseLoad!$G59,E$8*PPA!$G$5*$Z60,0))</f>
        <v>-</v>
      </c>
      <c r="F60" s="237" t="str">
        <f>IF($A$1="Peak","-",IF(BaseLoad!L59&gt;BaseLoad!$G59,F$8*PPA!$G$5*$Z60,0))</f>
        <v>-</v>
      </c>
      <c r="G60" s="237" t="str">
        <f>IF($A$1="Peak","-",IF(BaseLoad!M59&gt;BaseLoad!$G59,G$8*PPA!$G$5*$Z60,0))</f>
        <v>-</v>
      </c>
      <c r="H60" s="237" t="str">
        <f>IF($A$1="Peak","-",IF(BaseLoad!N59&gt;BaseLoad!$G59,H$8*PPA!$G$5*$Z60,0))</f>
        <v>-</v>
      </c>
      <c r="I60" s="237" t="str">
        <f>IF($A$1="Peak","-",IF(BaseLoad!O59&gt;BaseLoad!$G59,I$8*PPA!$G$5*$Z60,0))</f>
        <v>-</v>
      </c>
      <c r="J60" s="237" t="str">
        <f>IF($A$1="Peak","-",IF(BaseLoad!P59&gt;BaseLoad!$G59,J$8*PPA!$G$5*$Z60,0))</f>
        <v>-</v>
      </c>
      <c r="K60" s="237" t="str">
        <f>IF($A$1="Peak","-",IF(BaseLoad!Q59&gt;BaseLoad!$G59,K$8*PPA!$G$5*$Z60,0))</f>
        <v>-</v>
      </c>
      <c r="L60" s="237" t="str">
        <f>IF($A$1="Peak","-",IF(BaseLoad!R59&gt;BaseLoad!$G59,L$8*PPA!$G$5*$Z60,0))</f>
        <v>-</v>
      </c>
      <c r="M60" s="237" t="str">
        <f>IF($A$1="Peak","-",IF(BaseLoad!S59&gt;BaseLoad!$G59,M$8*PPA!$G$5*$Z60,0))</f>
        <v>-</v>
      </c>
      <c r="N60" s="237" t="str">
        <f>IF($A$1="Peak","-",IF(BaseLoad!T59&gt;BaseLoad!$G59,N$8*PPA!$G$5*$Z60,0))</f>
        <v>-</v>
      </c>
      <c r="O60" s="237" t="str">
        <f>IF($A$1="Peak","-",IF(BaseLoad!U59&gt;BaseLoad!$G59,O$8*PPA!$G$5*$Z60,0))</f>
        <v>-</v>
      </c>
      <c r="P60" s="237" t="str">
        <f>IF($A$1="Peak","-",IF(BaseLoad!V59&gt;BaseLoad!$G59,P$8*PPA!$G$5*$Z60,0))</f>
        <v>-</v>
      </c>
      <c r="Q60" s="237" t="str">
        <f>IF($A$1="Peak","-",IF(BaseLoad!W59&gt;BaseLoad!$G59,Q$8*PPA!$G$5*$Z60,0))</f>
        <v>-</v>
      </c>
      <c r="R60" s="237" t="str">
        <f>IF($A$1="Peak","-",IF(BaseLoad!X59&gt;BaseLoad!$G59,R$8*PPA!$G$5*$Z60,0))</f>
        <v>-</v>
      </c>
      <c r="S60" s="237" t="str">
        <f>IF($A$1="Peak","-",IF(BaseLoad!Y59&gt;BaseLoad!$G59,S$8*PPA!$G$5*$Z60,0))</f>
        <v>-</v>
      </c>
      <c r="T60" s="237" t="str">
        <f>IF($A$1="Peak","-",IF(BaseLoad!Z59&gt;BaseLoad!$G59,T$8*PPA!$G$5*$Z60,0))</f>
        <v>-</v>
      </c>
      <c r="U60" s="237" t="str">
        <f>IF($A$1="Peak","-",IF(BaseLoad!AA59&gt;BaseLoad!$G59,U$8*PPA!$G$5*$Z60,0))</f>
        <v>-</v>
      </c>
      <c r="V60" s="237">
        <f t="shared" si="0"/>
        <v>0</v>
      </c>
      <c r="W60" s="237" t="str">
        <f>IF($A$1="Peak","-",(730*PPA!$G$4*$Z60))</f>
        <v>-</v>
      </c>
      <c r="X60" s="237">
        <f t="shared" si="1"/>
        <v>0</v>
      </c>
      <c r="Y60" s="237"/>
      <c r="Z60" s="237">
        <f>CHOOSE(QUOTIENT(MONTH($A60),3)+1,BaseLoad!$AM$9,BaseLoad!$AN$9,BaseLoad!$AL$9,BaseLoad!$AO$9,BaseLoad!$AM$9)</f>
        <v>0.95</v>
      </c>
      <c r="AA60" s="237">
        <f>CHOOSE(QUOTIENT(MONTH($A60),3)+1,BaseLoad!$AM$15,BaseLoad!$AN$15,BaseLoad!$AL$15,BaseLoad!$AO$15,BaseLoad!$AM$15)</f>
        <v>705</v>
      </c>
      <c r="AB60" s="471"/>
      <c r="AD60" s="471"/>
    </row>
    <row r="61" spans="1:30" x14ac:dyDescent="0.2">
      <c r="A61" s="1">
        <f t="shared" si="2"/>
        <v>38091.267000000065</v>
      </c>
      <c r="B61" s="237" t="str">
        <f>IF($A$1="Peak","-",IF(BaseLoad!H60&gt;BaseLoad!$G60,B$8*PPA!$G$5*$Z61,0))</f>
        <v>-</v>
      </c>
      <c r="C61" s="237" t="str">
        <f>IF($A$1="Peak","-",IF(BaseLoad!I60&gt;BaseLoad!$G60,C$8*PPA!$G$5*$Z61,0))</f>
        <v>-</v>
      </c>
      <c r="D61" s="237" t="str">
        <f>IF($A$1="Peak","-",IF(BaseLoad!J60&gt;BaseLoad!$G60,D$8*PPA!$G$5*$Z61,0))</f>
        <v>-</v>
      </c>
      <c r="E61" s="237" t="str">
        <f>IF($A$1="Peak","-",IF(BaseLoad!K60&gt;BaseLoad!$G60,E$8*PPA!$G$5*$Z61,0))</f>
        <v>-</v>
      </c>
      <c r="F61" s="237" t="str">
        <f>IF($A$1="Peak","-",IF(BaseLoad!L60&gt;BaseLoad!$G60,F$8*PPA!$G$5*$Z61,0))</f>
        <v>-</v>
      </c>
      <c r="G61" s="237" t="str">
        <f>IF($A$1="Peak","-",IF(BaseLoad!M60&gt;BaseLoad!$G60,G$8*PPA!$G$5*$Z61,0))</f>
        <v>-</v>
      </c>
      <c r="H61" s="237" t="str">
        <f>IF($A$1="Peak","-",IF(BaseLoad!N60&gt;BaseLoad!$G60,H$8*PPA!$G$5*$Z61,0))</f>
        <v>-</v>
      </c>
      <c r="I61" s="237" t="str">
        <f>IF($A$1="Peak","-",IF(BaseLoad!O60&gt;BaseLoad!$G60,I$8*PPA!$G$5*$Z61,0))</f>
        <v>-</v>
      </c>
      <c r="J61" s="237" t="str">
        <f>IF($A$1="Peak","-",IF(BaseLoad!P60&gt;BaseLoad!$G60,J$8*PPA!$G$5*$Z61,0))</f>
        <v>-</v>
      </c>
      <c r="K61" s="237" t="str">
        <f>IF($A$1="Peak","-",IF(BaseLoad!Q60&gt;BaseLoad!$G60,K$8*PPA!$G$5*$Z61,0))</f>
        <v>-</v>
      </c>
      <c r="L61" s="237" t="str">
        <f>IF($A$1="Peak","-",IF(BaseLoad!R60&gt;BaseLoad!$G60,L$8*PPA!$G$5*$Z61,0))</f>
        <v>-</v>
      </c>
      <c r="M61" s="237" t="str">
        <f>IF($A$1="Peak","-",IF(BaseLoad!S60&gt;BaseLoad!$G60,M$8*PPA!$G$5*$Z61,0))</f>
        <v>-</v>
      </c>
      <c r="N61" s="237" t="str">
        <f>IF($A$1="Peak","-",IF(BaseLoad!T60&gt;BaseLoad!$G60,N$8*PPA!$G$5*$Z61,0))</f>
        <v>-</v>
      </c>
      <c r="O61" s="237" t="str">
        <f>IF($A$1="Peak","-",IF(BaseLoad!U60&gt;BaseLoad!$G60,O$8*PPA!$G$5*$Z61,0))</f>
        <v>-</v>
      </c>
      <c r="P61" s="237" t="str">
        <f>IF($A$1="Peak","-",IF(BaseLoad!V60&gt;BaseLoad!$G60,P$8*PPA!$G$5*$Z61,0))</f>
        <v>-</v>
      </c>
      <c r="Q61" s="237" t="str">
        <f>IF($A$1="Peak","-",IF(BaseLoad!W60&gt;BaseLoad!$G60,Q$8*PPA!$G$5*$Z61,0))</f>
        <v>-</v>
      </c>
      <c r="R61" s="237" t="str">
        <f>IF($A$1="Peak","-",IF(BaseLoad!X60&gt;BaseLoad!$G60,R$8*PPA!$G$5*$Z61,0))</f>
        <v>-</v>
      </c>
      <c r="S61" s="237" t="str">
        <f>IF($A$1="Peak","-",IF(BaseLoad!Y60&gt;BaseLoad!$G60,S$8*PPA!$G$5*$Z61,0))</f>
        <v>-</v>
      </c>
      <c r="T61" s="237" t="str">
        <f>IF($A$1="Peak","-",IF(BaseLoad!Z60&gt;BaseLoad!$G60,T$8*PPA!$G$5*$Z61,0))</f>
        <v>-</v>
      </c>
      <c r="U61" s="237" t="str">
        <f>IF($A$1="Peak","-",IF(BaseLoad!AA60&gt;BaseLoad!$G60,U$8*PPA!$G$5*$Z61,0))</f>
        <v>-</v>
      </c>
      <c r="V61" s="237">
        <f t="shared" si="0"/>
        <v>0</v>
      </c>
      <c r="W61" s="237" t="str">
        <f>IF($A$1="Peak","-",(730*PPA!$G$4*$Z61))</f>
        <v>-</v>
      </c>
      <c r="X61" s="237">
        <f t="shared" si="1"/>
        <v>0</v>
      </c>
      <c r="Y61" s="237"/>
      <c r="Z61" s="237">
        <f>CHOOSE(QUOTIENT(MONTH($A61),3)+1,BaseLoad!$AM$9,BaseLoad!$AN$9,BaseLoad!$AL$9,BaseLoad!$AO$9,BaseLoad!$AM$9)</f>
        <v>0.95</v>
      </c>
      <c r="AA61" s="237">
        <f>CHOOSE(QUOTIENT(MONTH($A61),3)+1,BaseLoad!$AM$15,BaseLoad!$AN$15,BaseLoad!$AL$15,BaseLoad!$AO$15,BaseLoad!$AM$15)</f>
        <v>705</v>
      </c>
      <c r="AB61" s="471"/>
      <c r="AD61" s="471"/>
    </row>
    <row r="62" spans="1:30" x14ac:dyDescent="0.2">
      <c r="A62" s="1">
        <f t="shared" si="2"/>
        <v>38121.684000000067</v>
      </c>
      <c r="B62" s="237" t="str">
        <f>IF($A$1="Peak","-",IF(BaseLoad!H61&gt;BaseLoad!$G61,B$8*PPA!$G$5*$Z62,0))</f>
        <v>-</v>
      </c>
      <c r="C62" s="237" t="str">
        <f>IF($A$1="Peak","-",IF(BaseLoad!I61&gt;BaseLoad!$G61,C$8*PPA!$G$5*$Z62,0))</f>
        <v>-</v>
      </c>
      <c r="D62" s="237" t="str">
        <f>IF($A$1="Peak","-",IF(BaseLoad!J61&gt;BaseLoad!$G61,D$8*PPA!$G$5*$Z62,0))</f>
        <v>-</v>
      </c>
      <c r="E62" s="237" t="str">
        <f>IF($A$1="Peak","-",IF(BaseLoad!K61&gt;BaseLoad!$G61,E$8*PPA!$G$5*$Z62,0))</f>
        <v>-</v>
      </c>
      <c r="F62" s="237" t="str">
        <f>IF($A$1="Peak","-",IF(BaseLoad!L61&gt;BaseLoad!$G61,F$8*PPA!$G$5*$Z62,0))</f>
        <v>-</v>
      </c>
      <c r="G62" s="237" t="str">
        <f>IF($A$1="Peak","-",IF(BaseLoad!M61&gt;BaseLoad!$G61,G$8*PPA!$G$5*$Z62,0))</f>
        <v>-</v>
      </c>
      <c r="H62" s="237" t="str">
        <f>IF($A$1="Peak","-",IF(BaseLoad!N61&gt;BaseLoad!$G61,H$8*PPA!$G$5*$Z62,0))</f>
        <v>-</v>
      </c>
      <c r="I62" s="237" t="str">
        <f>IF($A$1="Peak","-",IF(BaseLoad!O61&gt;BaseLoad!$G61,I$8*PPA!$G$5*$Z62,0))</f>
        <v>-</v>
      </c>
      <c r="J62" s="237" t="str">
        <f>IF($A$1="Peak","-",IF(BaseLoad!P61&gt;BaseLoad!$G61,J$8*PPA!$G$5*$Z62,0))</f>
        <v>-</v>
      </c>
      <c r="K62" s="237" t="str">
        <f>IF($A$1="Peak","-",IF(BaseLoad!Q61&gt;BaseLoad!$G61,K$8*PPA!$G$5*$Z62,0))</f>
        <v>-</v>
      </c>
      <c r="L62" s="237" t="str">
        <f>IF($A$1="Peak","-",IF(BaseLoad!R61&gt;BaseLoad!$G61,L$8*PPA!$G$5*$Z62,0))</f>
        <v>-</v>
      </c>
      <c r="M62" s="237" t="str">
        <f>IF($A$1="Peak","-",IF(BaseLoad!S61&gt;BaseLoad!$G61,M$8*PPA!$G$5*$Z62,0))</f>
        <v>-</v>
      </c>
      <c r="N62" s="237" t="str">
        <f>IF($A$1="Peak","-",IF(BaseLoad!T61&gt;BaseLoad!$G61,N$8*PPA!$G$5*$Z62,0))</f>
        <v>-</v>
      </c>
      <c r="O62" s="237" t="str">
        <f>IF($A$1="Peak","-",IF(BaseLoad!U61&gt;BaseLoad!$G61,O$8*PPA!$G$5*$Z62,0))</f>
        <v>-</v>
      </c>
      <c r="P62" s="237" t="str">
        <f>IF($A$1="Peak","-",IF(BaseLoad!V61&gt;BaseLoad!$G61,P$8*PPA!$G$5*$Z62,0))</f>
        <v>-</v>
      </c>
      <c r="Q62" s="237" t="str">
        <f>IF($A$1="Peak","-",IF(BaseLoad!W61&gt;BaseLoad!$G61,Q$8*PPA!$G$5*$Z62,0))</f>
        <v>-</v>
      </c>
      <c r="R62" s="237" t="str">
        <f>IF($A$1="Peak","-",IF(BaseLoad!X61&gt;BaseLoad!$G61,R$8*PPA!$G$5*$Z62,0))</f>
        <v>-</v>
      </c>
      <c r="S62" s="237" t="str">
        <f>IF($A$1="Peak","-",IF(BaseLoad!Y61&gt;BaseLoad!$G61,S$8*PPA!$G$5*$Z62,0))</f>
        <v>-</v>
      </c>
      <c r="T62" s="237" t="str">
        <f>IF($A$1="Peak","-",IF(BaseLoad!Z61&gt;BaseLoad!$G61,T$8*PPA!$G$5*$Z62,0))</f>
        <v>-</v>
      </c>
      <c r="U62" s="237" t="str">
        <f>IF($A$1="Peak","-",IF(BaseLoad!AA61&gt;BaseLoad!$G61,U$8*PPA!$G$5*$Z62,0))</f>
        <v>-</v>
      </c>
      <c r="V62" s="237">
        <f t="shared" si="0"/>
        <v>0</v>
      </c>
      <c r="W62" s="237" t="str">
        <f>IF($A$1="Peak","-",(730*PPA!$G$4*$Z62))</f>
        <v>-</v>
      </c>
      <c r="X62" s="237">
        <f t="shared" si="1"/>
        <v>0</v>
      </c>
      <c r="Y62" s="237"/>
      <c r="Z62" s="237">
        <f>CHOOSE(QUOTIENT(MONTH($A62),3)+1,BaseLoad!$AM$9,BaseLoad!$AN$9,BaseLoad!$AL$9,BaseLoad!$AO$9,BaseLoad!$AM$9)</f>
        <v>0.95</v>
      </c>
      <c r="AA62" s="237">
        <f>CHOOSE(QUOTIENT(MONTH($A62),3)+1,BaseLoad!$AM$15,BaseLoad!$AN$15,BaseLoad!$AL$15,BaseLoad!$AO$15,BaseLoad!$AM$15)</f>
        <v>705</v>
      </c>
      <c r="AB62" s="471"/>
      <c r="AD62" s="471"/>
    </row>
    <row r="63" spans="1:30" x14ac:dyDescent="0.2">
      <c r="A63" s="1">
        <f t="shared" si="2"/>
        <v>38152.101000000068</v>
      </c>
      <c r="B63" s="237" t="str">
        <f>IF($A$1="Peak","-",IF(BaseLoad!H62&gt;BaseLoad!$G62,B$8*PPA!$G$5*$Z63,0))</f>
        <v>-</v>
      </c>
      <c r="C63" s="237" t="str">
        <f>IF($A$1="Peak","-",IF(BaseLoad!I62&gt;BaseLoad!$G62,C$8*PPA!$G$5*$Z63,0))</f>
        <v>-</v>
      </c>
      <c r="D63" s="237" t="str">
        <f>IF($A$1="Peak","-",IF(BaseLoad!J62&gt;BaseLoad!$G62,D$8*PPA!$G$5*$Z63,0))</f>
        <v>-</v>
      </c>
      <c r="E63" s="237" t="str">
        <f>IF($A$1="Peak","-",IF(BaseLoad!K62&gt;BaseLoad!$G62,E$8*PPA!$G$5*$Z63,0))</f>
        <v>-</v>
      </c>
      <c r="F63" s="237" t="str">
        <f>IF($A$1="Peak","-",IF(BaseLoad!L62&gt;BaseLoad!$G62,F$8*PPA!$G$5*$Z63,0))</f>
        <v>-</v>
      </c>
      <c r="G63" s="237" t="str">
        <f>IF($A$1="Peak","-",IF(BaseLoad!M62&gt;BaseLoad!$G62,G$8*PPA!$G$5*$Z63,0))</f>
        <v>-</v>
      </c>
      <c r="H63" s="237" t="str">
        <f>IF($A$1="Peak","-",IF(BaseLoad!N62&gt;BaseLoad!$G62,H$8*PPA!$G$5*$Z63,0))</f>
        <v>-</v>
      </c>
      <c r="I63" s="237" t="str">
        <f>IF($A$1="Peak","-",IF(BaseLoad!O62&gt;BaseLoad!$G62,I$8*PPA!$G$5*$Z63,0))</f>
        <v>-</v>
      </c>
      <c r="J63" s="237" t="str">
        <f>IF($A$1="Peak","-",IF(BaseLoad!P62&gt;BaseLoad!$G62,J$8*PPA!$G$5*$Z63,0))</f>
        <v>-</v>
      </c>
      <c r="K63" s="237" t="str">
        <f>IF($A$1="Peak","-",IF(BaseLoad!Q62&gt;BaseLoad!$G62,K$8*PPA!$G$5*$Z63,0))</f>
        <v>-</v>
      </c>
      <c r="L63" s="237" t="str">
        <f>IF($A$1="Peak","-",IF(BaseLoad!R62&gt;BaseLoad!$G62,L$8*PPA!$G$5*$Z63,0))</f>
        <v>-</v>
      </c>
      <c r="M63" s="237" t="str">
        <f>IF($A$1="Peak","-",IF(BaseLoad!S62&gt;BaseLoad!$G62,M$8*PPA!$G$5*$Z63,0))</f>
        <v>-</v>
      </c>
      <c r="N63" s="237" t="str">
        <f>IF($A$1="Peak","-",IF(BaseLoad!T62&gt;BaseLoad!$G62,N$8*PPA!$G$5*$Z63,0))</f>
        <v>-</v>
      </c>
      <c r="O63" s="237" t="str">
        <f>IF($A$1="Peak","-",IF(BaseLoad!U62&gt;BaseLoad!$G62,O$8*PPA!$G$5*$Z63,0))</f>
        <v>-</v>
      </c>
      <c r="P63" s="237" t="str">
        <f>IF($A$1="Peak","-",IF(BaseLoad!V62&gt;BaseLoad!$G62,P$8*PPA!$G$5*$Z63,0))</f>
        <v>-</v>
      </c>
      <c r="Q63" s="237" t="str">
        <f>IF($A$1="Peak","-",IF(BaseLoad!W62&gt;BaseLoad!$G62,Q$8*PPA!$G$5*$Z63,0))</f>
        <v>-</v>
      </c>
      <c r="R63" s="237" t="str">
        <f>IF($A$1="Peak","-",IF(BaseLoad!X62&gt;BaseLoad!$G62,R$8*PPA!$G$5*$Z63,0))</f>
        <v>-</v>
      </c>
      <c r="S63" s="237" t="str">
        <f>IF($A$1="Peak","-",IF(BaseLoad!Y62&gt;BaseLoad!$G62,S$8*PPA!$G$5*$Z63,0))</f>
        <v>-</v>
      </c>
      <c r="T63" s="237" t="str">
        <f>IF($A$1="Peak","-",IF(BaseLoad!Z62&gt;BaseLoad!$G62,T$8*PPA!$G$5*$Z63,0))</f>
        <v>-</v>
      </c>
      <c r="U63" s="237" t="str">
        <f>IF($A$1="Peak","-",IF(BaseLoad!AA62&gt;BaseLoad!$G62,U$8*PPA!$G$5*$Z63,0))</f>
        <v>-</v>
      </c>
      <c r="V63" s="237">
        <f t="shared" si="0"/>
        <v>0</v>
      </c>
      <c r="W63" s="237" t="str">
        <f>IF($A$1="Peak","-",(730*PPA!$G$4*$Z63))</f>
        <v>-</v>
      </c>
      <c r="X63" s="237">
        <f t="shared" si="1"/>
        <v>0</v>
      </c>
      <c r="Y63" s="237"/>
      <c r="Z63" s="237">
        <f>CHOOSE(QUOTIENT(MONTH($A63),3)+1,BaseLoad!$AM$9,BaseLoad!$AN$9,BaseLoad!$AL$9,BaseLoad!$AO$9,BaseLoad!$AM$9)</f>
        <v>0.96612135909558572</v>
      </c>
      <c r="AA63" s="237">
        <f>CHOOSE(QUOTIENT(MONTH($A63),3)+1,BaseLoad!$AM$15,BaseLoad!$AN$15,BaseLoad!$AL$15,BaseLoad!$AO$15,BaseLoad!$AM$15)</f>
        <v>705</v>
      </c>
      <c r="AB63" s="471"/>
      <c r="AD63" s="471"/>
    </row>
    <row r="64" spans="1:30" x14ac:dyDescent="0.2">
      <c r="A64" s="1">
        <f t="shared" si="2"/>
        <v>38182.518000000069</v>
      </c>
      <c r="B64" s="237" t="str">
        <f>IF($A$1="Peak","-",IF(BaseLoad!H63&gt;BaseLoad!$G63,B$8*PPA!$G$5*$Z64,0))</f>
        <v>-</v>
      </c>
      <c r="C64" s="237" t="str">
        <f>IF($A$1="Peak","-",IF(BaseLoad!I63&gt;BaseLoad!$G63,C$8*PPA!$G$5*$Z64,0))</f>
        <v>-</v>
      </c>
      <c r="D64" s="237" t="str">
        <f>IF($A$1="Peak","-",IF(BaseLoad!J63&gt;BaseLoad!$G63,D$8*PPA!$G$5*$Z64,0))</f>
        <v>-</v>
      </c>
      <c r="E64" s="237" t="str">
        <f>IF($A$1="Peak","-",IF(BaseLoad!K63&gt;BaseLoad!$G63,E$8*PPA!$G$5*$Z64,0))</f>
        <v>-</v>
      </c>
      <c r="F64" s="237" t="str">
        <f>IF($A$1="Peak","-",IF(BaseLoad!L63&gt;BaseLoad!$G63,F$8*PPA!$G$5*$Z64,0))</f>
        <v>-</v>
      </c>
      <c r="G64" s="237" t="str">
        <f>IF($A$1="Peak","-",IF(BaseLoad!M63&gt;BaseLoad!$G63,G$8*PPA!$G$5*$Z64,0))</f>
        <v>-</v>
      </c>
      <c r="H64" s="237" t="str">
        <f>IF($A$1="Peak","-",IF(BaseLoad!N63&gt;BaseLoad!$G63,H$8*PPA!$G$5*$Z64,0))</f>
        <v>-</v>
      </c>
      <c r="I64" s="237" t="str">
        <f>IF($A$1="Peak","-",IF(BaseLoad!O63&gt;BaseLoad!$G63,I$8*PPA!$G$5*$Z64,0))</f>
        <v>-</v>
      </c>
      <c r="J64" s="237" t="str">
        <f>IF($A$1="Peak","-",IF(BaseLoad!P63&gt;BaseLoad!$G63,J$8*PPA!$G$5*$Z64,0))</f>
        <v>-</v>
      </c>
      <c r="K64" s="237" t="str">
        <f>IF($A$1="Peak","-",IF(BaseLoad!Q63&gt;BaseLoad!$G63,K$8*PPA!$G$5*$Z64,0))</f>
        <v>-</v>
      </c>
      <c r="L64" s="237" t="str">
        <f>IF($A$1="Peak","-",IF(BaseLoad!R63&gt;BaseLoad!$G63,L$8*PPA!$G$5*$Z64,0))</f>
        <v>-</v>
      </c>
      <c r="M64" s="237" t="str">
        <f>IF($A$1="Peak","-",IF(BaseLoad!S63&gt;BaseLoad!$G63,M$8*PPA!$G$5*$Z64,0))</f>
        <v>-</v>
      </c>
      <c r="N64" s="237" t="str">
        <f>IF($A$1="Peak","-",IF(BaseLoad!T63&gt;BaseLoad!$G63,N$8*PPA!$G$5*$Z64,0))</f>
        <v>-</v>
      </c>
      <c r="O64" s="237" t="str">
        <f>IF($A$1="Peak","-",IF(BaseLoad!U63&gt;BaseLoad!$G63,O$8*PPA!$G$5*$Z64,0))</f>
        <v>-</v>
      </c>
      <c r="P64" s="237" t="str">
        <f>IF($A$1="Peak","-",IF(BaseLoad!V63&gt;BaseLoad!$G63,P$8*PPA!$G$5*$Z64,0))</f>
        <v>-</v>
      </c>
      <c r="Q64" s="237" t="str">
        <f>IF($A$1="Peak","-",IF(BaseLoad!W63&gt;BaseLoad!$G63,Q$8*PPA!$G$5*$Z64,0))</f>
        <v>-</v>
      </c>
      <c r="R64" s="237" t="str">
        <f>IF($A$1="Peak","-",IF(BaseLoad!X63&gt;BaseLoad!$G63,R$8*PPA!$G$5*$Z64,0))</f>
        <v>-</v>
      </c>
      <c r="S64" s="237" t="str">
        <f>IF($A$1="Peak","-",IF(BaseLoad!Y63&gt;BaseLoad!$G63,S$8*PPA!$G$5*$Z64,0))</f>
        <v>-</v>
      </c>
      <c r="T64" s="237" t="str">
        <f>IF($A$1="Peak","-",IF(BaseLoad!Z63&gt;BaseLoad!$G63,T$8*PPA!$G$5*$Z64,0))</f>
        <v>-</v>
      </c>
      <c r="U64" s="237" t="str">
        <f>IF($A$1="Peak","-",IF(BaseLoad!AA63&gt;BaseLoad!$G63,U$8*PPA!$G$5*$Z64,0))</f>
        <v>-</v>
      </c>
      <c r="V64" s="237">
        <f t="shared" si="0"/>
        <v>0</v>
      </c>
      <c r="W64" s="237" t="str">
        <f>IF($A$1="Peak","-",(730*PPA!$G$4*$Z64))</f>
        <v>-</v>
      </c>
      <c r="X64" s="237">
        <f t="shared" si="1"/>
        <v>0</v>
      </c>
      <c r="Y64" s="237"/>
      <c r="Z64" s="237">
        <f>CHOOSE(QUOTIENT(MONTH($A64),3)+1,BaseLoad!$AM$9,BaseLoad!$AN$9,BaseLoad!$AL$9,BaseLoad!$AO$9,BaseLoad!$AM$9)</f>
        <v>0.96612135909558572</v>
      </c>
      <c r="AA64" s="237">
        <f>CHOOSE(QUOTIENT(MONTH($A64),3)+1,BaseLoad!$AM$15,BaseLoad!$AN$15,BaseLoad!$AL$15,BaseLoad!$AO$15,BaseLoad!$AM$15)</f>
        <v>705</v>
      </c>
      <c r="AB64" s="471"/>
      <c r="AD64" s="471"/>
    </row>
    <row r="65" spans="1:30" x14ac:dyDescent="0.2">
      <c r="A65" s="1">
        <f t="shared" si="2"/>
        <v>38212.93500000007</v>
      </c>
      <c r="B65" s="237" t="str">
        <f>IF($A$1="Peak","-",IF(BaseLoad!H64&gt;BaseLoad!$G64,B$8*PPA!$G$5*$Z65,0))</f>
        <v>-</v>
      </c>
      <c r="C65" s="237" t="str">
        <f>IF($A$1="Peak","-",IF(BaseLoad!I64&gt;BaseLoad!$G64,C$8*PPA!$G$5*$Z65,0))</f>
        <v>-</v>
      </c>
      <c r="D65" s="237" t="str">
        <f>IF($A$1="Peak","-",IF(BaseLoad!J64&gt;BaseLoad!$G64,D$8*PPA!$G$5*$Z65,0))</f>
        <v>-</v>
      </c>
      <c r="E65" s="237" t="str">
        <f>IF($A$1="Peak","-",IF(BaseLoad!K64&gt;BaseLoad!$G64,E$8*PPA!$G$5*$Z65,0))</f>
        <v>-</v>
      </c>
      <c r="F65" s="237" t="str">
        <f>IF($A$1="Peak","-",IF(BaseLoad!L64&gt;BaseLoad!$G64,F$8*PPA!$G$5*$Z65,0))</f>
        <v>-</v>
      </c>
      <c r="G65" s="237" t="str">
        <f>IF($A$1="Peak","-",IF(BaseLoad!M64&gt;BaseLoad!$G64,G$8*PPA!$G$5*$Z65,0))</f>
        <v>-</v>
      </c>
      <c r="H65" s="237" t="str">
        <f>IF($A$1="Peak","-",IF(BaseLoad!N64&gt;BaseLoad!$G64,H$8*PPA!$G$5*$Z65,0))</f>
        <v>-</v>
      </c>
      <c r="I65" s="237" t="str">
        <f>IF($A$1="Peak","-",IF(BaseLoad!O64&gt;BaseLoad!$G64,I$8*PPA!$G$5*$Z65,0))</f>
        <v>-</v>
      </c>
      <c r="J65" s="237" t="str">
        <f>IF($A$1="Peak","-",IF(BaseLoad!P64&gt;BaseLoad!$G64,J$8*PPA!$G$5*$Z65,0))</f>
        <v>-</v>
      </c>
      <c r="K65" s="237" t="str">
        <f>IF($A$1="Peak","-",IF(BaseLoad!Q64&gt;BaseLoad!$G64,K$8*PPA!$G$5*$Z65,0))</f>
        <v>-</v>
      </c>
      <c r="L65" s="237" t="str">
        <f>IF($A$1="Peak","-",IF(BaseLoad!R64&gt;BaseLoad!$G64,L$8*PPA!$G$5*$Z65,0))</f>
        <v>-</v>
      </c>
      <c r="M65" s="237" t="str">
        <f>IF($A$1="Peak","-",IF(BaseLoad!S64&gt;BaseLoad!$G64,M$8*PPA!$G$5*$Z65,0))</f>
        <v>-</v>
      </c>
      <c r="N65" s="237" t="str">
        <f>IF($A$1="Peak","-",IF(BaseLoad!T64&gt;BaseLoad!$G64,N$8*PPA!$G$5*$Z65,0))</f>
        <v>-</v>
      </c>
      <c r="O65" s="237" t="str">
        <f>IF($A$1="Peak","-",IF(BaseLoad!U64&gt;BaseLoad!$G64,O$8*PPA!$G$5*$Z65,0))</f>
        <v>-</v>
      </c>
      <c r="P65" s="237" t="str">
        <f>IF($A$1="Peak","-",IF(BaseLoad!V64&gt;BaseLoad!$G64,P$8*PPA!$G$5*$Z65,0))</f>
        <v>-</v>
      </c>
      <c r="Q65" s="237" t="str">
        <f>IF($A$1="Peak","-",IF(BaseLoad!W64&gt;BaseLoad!$G64,Q$8*PPA!$G$5*$Z65,0))</f>
        <v>-</v>
      </c>
      <c r="R65" s="237" t="str">
        <f>IF($A$1="Peak","-",IF(BaseLoad!X64&gt;BaseLoad!$G64,R$8*PPA!$G$5*$Z65,0))</f>
        <v>-</v>
      </c>
      <c r="S65" s="237" t="str">
        <f>IF($A$1="Peak","-",IF(BaseLoad!Y64&gt;BaseLoad!$G64,S$8*PPA!$G$5*$Z65,0))</f>
        <v>-</v>
      </c>
      <c r="T65" s="237" t="str">
        <f>IF($A$1="Peak","-",IF(BaseLoad!Z64&gt;BaseLoad!$G64,T$8*PPA!$G$5*$Z65,0))</f>
        <v>-</v>
      </c>
      <c r="U65" s="237" t="str">
        <f>IF($A$1="Peak","-",IF(BaseLoad!AA64&gt;BaseLoad!$G64,U$8*PPA!$G$5*$Z65,0))</f>
        <v>-</v>
      </c>
      <c r="V65" s="237">
        <f t="shared" si="0"/>
        <v>0</v>
      </c>
      <c r="W65" s="237" t="str">
        <f>IF($A$1="Peak","-",(730*PPA!$G$4*$Z65))</f>
        <v>-</v>
      </c>
      <c r="X65" s="237">
        <f t="shared" si="1"/>
        <v>0</v>
      </c>
      <c r="Y65" s="237"/>
      <c r="Z65" s="237">
        <f>CHOOSE(QUOTIENT(MONTH($A65),3)+1,BaseLoad!$AM$9,BaseLoad!$AN$9,BaseLoad!$AL$9,BaseLoad!$AO$9,BaseLoad!$AM$9)</f>
        <v>0.96612135909558572</v>
      </c>
      <c r="AA65" s="237">
        <f>CHOOSE(QUOTIENT(MONTH($A65),3)+1,BaseLoad!$AM$15,BaseLoad!$AN$15,BaseLoad!$AL$15,BaseLoad!$AO$15,BaseLoad!$AM$15)</f>
        <v>705</v>
      </c>
      <c r="AB65" s="471"/>
      <c r="AD65" s="471"/>
    </row>
    <row r="66" spans="1:30" x14ac:dyDescent="0.2">
      <c r="A66" s="1">
        <f t="shared" si="2"/>
        <v>38243.352000000072</v>
      </c>
      <c r="B66" s="237" t="str">
        <f>IF($A$1="Peak","-",IF(BaseLoad!H65&gt;BaseLoad!$G65,B$8*PPA!$G$5*$Z66,0))</f>
        <v>-</v>
      </c>
      <c r="C66" s="237" t="str">
        <f>IF($A$1="Peak","-",IF(BaseLoad!I65&gt;BaseLoad!$G65,C$8*PPA!$G$5*$Z66,0))</f>
        <v>-</v>
      </c>
      <c r="D66" s="237" t="str">
        <f>IF($A$1="Peak","-",IF(BaseLoad!J65&gt;BaseLoad!$G65,D$8*PPA!$G$5*$Z66,0))</f>
        <v>-</v>
      </c>
      <c r="E66" s="237" t="str">
        <f>IF($A$1="Peak","-",IF(BaseLoad!K65&gt;BaseLoad!$G65,E$8*PPA!$G$5*$Z66,0))</f>
        <v>-</v>
      </c>
      <c r="F66" s="237" t="str">
        <f>IF($A$1="Peak","-",IF(BaseLoad!L65&gt;BaseLoad!$G65,F$8*PPA!$G$5*$Z66,0))</f>
        <v>-</v>
      </c>
      <c r="G66" s="237" t="str">
        <f>IF($A$1="Peak","-",IF(BaseLoad!M65&gt;BaseLoad!$G65,G$8*PPA!$G$5*$Z66,0))</f>
        <v>-</v>
      </c>
      <c r="H66" s="237" t="str">
        <f>IF($A$1="Peak","-",IF(BaseLoad!N65&gt;BaseLoad!$G65,H$8*PPA!$G$5*$Z66,0))</f>
        <v>-</v>
      </c>
      <c r="I66" s="237" t="str">
        <f>IF($A$1="Peak","-",IF(BaseLoad!O65&gt;BaseLoad!$G65,I$8*PPA!$G$5*$Z66,0))</f>
        <v>-</v>
      </c>
      <c r="J66" s="237" t="str">
        <f>IF($A$1="Peak","-",IF(BaseLoad!P65&gt;BaseLoad!$G65,J$8*PPA!$G$5*$Z66,0))</f>
        <v>-</v>
      </c>
      <c r="K66" s="237" t="str">
        <f>IF($A$1="Peak","-",IF(BaseLoad!Q65&gt;BaseLoad!$G65,K$8*PPA!$G$5*$Z66,0))</f>
        <v>-</v>
      </c>
      <c r="L66" s="237" t="str">
        <f>IF($A$1="Peak","-",IF(BaseLoad!R65&gt;BaseLoad!$G65,L$8*PPA!$G$5*$Z66,0))</f>
        <v>-</v>
      </c>
      <c r="M66" s="237" t="str">
        <f>IF($A$1="Peak","-",IF(BaseLoad!S65&gt;BaseLoad!$G65,M$8*PPA!$G$5*$Z66,0))</f>
        <v>-</v>
      </c>
      <c r="N66" s="237" t="str">
        <f>IF($A$1="Peak","-",IF(BaseLoad!T65&gt;BaseLoad!$G65,N$8*PPA!$G$5*$Z66,0))</f>
        <v>-</v>
      </c>
      <c r="O66" s="237" t="str">
        <f>IF($A$1="Peak","-",IF(BaseLoad!U65&gt;BaseLoad!$G65,O$8*PPA!$G$5*$Z66,0))</f>
        <v>-</v>
      </c>
      <c r="P66" s="237" t="str">
        <f>IF($A$1="Peak","-",IF(BaseLoad!V65&gt;BaseLoad!$G65,P$8*PPA!$G$5*$Z66,0))</f>
        <v>-</v>
      </c>
      <c r="Q66" s="237" t="str">
        <f>IF($A$1="Peak","-",IF(BaseLoad!W65&gt;BaseLoad!$G65,Q$8*PPA!$G$5*$Z66,0))</f>
        <v>-</v>
      </c>
      <c r="R66" s="237" t="str">
        <f>IF($A$1="Peak","-",IF(BaseLoad!X65&gt;BaseLoad!$G65,R$8*PPA!$G$5*$Z66,0))</f>
        <v>-</v>
      </c>
      <c r="S66" s="237" t="str">
        <f>IF($A$1="Peak","-",IF(BaseLoad!Y65&gt;BaseLoad!$G65,S$8*PPA!$G$5*$Z66,0))</f>
        <v>-</v>
      </c>
      <c r="T66" s="237" t="str">
        <f>IF($A$1="Peak","-",IF(BaseLoad!Z65&gt;BaseLoad!$G65,T$8*PPA!$G$5*$Z66,0))</f>
        <v>-</v>
      </c>
      <c r="U66" s="237" t="str">
        <f>IF($A$1="Peak","-",IF(BaseLoad!AA65&gt;BaseLoad!$G65,U$8*PPA!$G$5*$Z66,0))</f>
        <v>-</v>
      </c>
      <c r="V66" s="237">
        <f t="shared" si="0"/>
        <v>0</v>
      </c>
      <c r="W66" s="237" t="str">
        <f>IF($A$1="Peak","-",(730*PPA!$G$4*$Z66))</f>
        <v>-</v>
      </c>
      <c r="X66" s="237">
        <f t="shared" si="1"/>
        <v>0</v>
      </c>
      <c r="Y66" s="237"/>
      <c r="Z66" s="237">
        <f>CHOOSE(QUOTIENT(MONTH($A66),3)+1,BaseLoad!$AM$9,BaseLoad!$AN$9,BaseLoad!$AL$9,BaseLoad!$AO$9,BaseLoad!$AM$9)</f>
        <v>0.95</v>
      </c>
      <c r="AA66" s="237">
        <f>CHOOSE(QUOTIENT(MONTH($A66),3)+1,BaseLoad!$AM$15,BaseLoad!$AN$15,BaseLoad!$AL$15,BaseLoad!$AO$15,BaseLoad!$AM$15)</f>
        <v>705</v>
      </c>
      <c r="AB66" s="471"/>
      <c r="AD66" s="471"/>
    </row>
    <row r="67" spans="1:30" x14ac:dyDescent="0.2">
      <c r="A67" s="1">
        <f t="shared" si="2"/>
        <v>38273.769000000073</v>
      </c>
      <c r="B67" s="237" t="str">
        <f>IF($A$1="Peak","-",IF(BaseLoad!H66&gt;BaseLoad!$G66,B$8*PPA!$G$5*$Z67,0))</f>
        <v>-</v>
      </c>
      <c r="C67" s="237" t="str">
        <f>IF($A$1="Peak","-",IF(BaseLoad!I66&gt;BaseLoad!$G66,C$8*PPA!$G$5*$Z67,0))</f>
        <v>-</v>
      </c>
      <c r="D67" s="237" t="str">
        <f>IF($A$1="Peak","-",IF(BaseLoad!J66&gt;BaseLoad!$G66,D$8*PPA!$G$5*$Z67,0))</f>
        <v>-</v>
      </c>
      <c r="E67" s="237" t="str">
        <f>IF($A$1="Peak","-",IF(BaseLoad!K66&gt;BaseLoad!$G66,E$8*PPA!$G$5*$Z67,0))</f>
        <v>-</v>
      </c>
      <c r="F67" s="237" t="str">
        <f>IF($A$1="Peak","-",IF(BaseLoad!L66&gt;BaseLoad!$G66,F$8*PPA!$G$5*$Z67,0))</f>
        <v>-</v>
      </c>
      <c r="G67" s="237" t="str">
        <f>IF($A$1="Peak","-",IF(BaseLoad!M66&gt;BaseLoad!$G66,G$8*PPA!$G$5*$Z67,0))</f>
        <v>-</v>
      </c>
      <c r="H67" s="237" t="str">
        <f>IF($A$1="Peak","-",IF(BaseLoad!N66&gt;BaseLoad!$G66,H$8*PPA!$G$5*$Z67,0))</f>
        <v>-</v>
      </c>
      <c r="I67" s="237" t="str">
        <f>IF($A$1="Peak","-",IF(BaseLoad!O66&gt;BaseLoad!$G66,I$8*PPA!$G$5*$Z67,0))</f>
        <v>-</v>
      </c>
      <c r="J67" s="237" t="str">
        <f>IF($A$1="Peak","-",IF(BaseLoad!P66&gt;BaseLoad!$G66,J$8*PPA!$G$5*$Z67,0))</f>
        <v>-</v>
      </c>
      <c r="K67" s="237" t="str">
        <f>IF($A$1="Peak","-",IF(BaseLoad!Q66&gt;BaseLoad!$G66,K$8*PPA!$G$5*$Z67,0))</f>
        <v>-</v>
      </c>
      <c r="L67" s="237" t="str">
        <f>IF($A$1="Peak","-",IF(BaseLoad!R66&gt;BaseLoad!$G66,L$8*PPA!$G$5*$Z67,0))</f>
        <v>-</v>
      </c>
      <c r="M67" s="237" t="str">
        <f>IF($A$1="Peak","-",IF(BaseLoad!S66&gt;BaseLoad!$G66,M$8*PPA!$G$5*$Z67,0))</f>
        <v>-</v>
      </c>
      <c r="N67" s="237" t="str">
        <f>IF($A$1="Peak","-",IF(BaseLoad!T66&gt;BaseLoad!$G66,N$8*PPA!$G$5*$Z67,0))</f>
        <v>-</v>
      </c>
      <c r="O67" s="237" t="str">
        <f>IF($A$1="Peak","-",IF(BaseLoad!U66&gt;BaseLoad!$G66,O$8*PPA!$G$5*$Z67,0))</f>
        <v>-</v>
      </c>
      <c r="P67" s="237" t="str">
        <f>IF($A$1="Peak","-",IF(BaseLoad!V66&gt;BaseLoad!$G66,P$8*PPA!$G$5*$Z67,0))</f>
        <v>-</v>
      </c>
      <c r="Q67" s="237" t="str">
        <f>IF($A$1="Peak","-",IF(BaseLoad!W66&gt;BaseLoad!$G66,Q$8*PPA!$G$5*$Z67,0))</f>
        <v>-</v>
      </c>
      <c r="R67" s="237" t="str">
        <f>IF($A$1="Peak","-",IF(BaseLoad!X66&gt;BaseLoad!$G66,R$8*PPA!$G$5*$Z67,0))</f>
        <v>-</v>
      </c>
      <c r="S67" s="237" t="str">
        <f>IF($A$1="Peak","-",IF(BaseLoad!Y66&gt;BaseLoad!$G66,S$8*PPA!$G$5*$Z67,0))</f>
        <v>-</v>
      </c>
      <c r="T67" s="237" t="str">
        <f>IF($A$1="Peak","-",IF(BaseLoad!Z66&gt;BaseLoad!$G66,T$8*PPA!$G$5*$Z67,0))</f>
        <v>-</v>
      </c>
      <c r="U67" s="237" t="str">
        <f>IF($A$1="Peak","-",IF(BaseLoad!AA66&gt;BaseLoad!$G66,U$8*PPA!$G$5*$Z67,0))</f>
        <v>-</v>
      </c>
      <c r="V67" s="237">
        <f t="shared" si="0"/>
        <v>0</v>
      </c>
      <c r="W67" s="237" t="str">
        <f>IF($A$1="Peak","-",(730*PPA!$G$4*$Z67))</f>
        <v>-</v>
      </c>
      <c r="X67" s="237">
        <f t="shared" si="1"/>
        <v>0</v>
      </c>
      <c r="Y67" s="237"/>
      <c r="Z67" s="237">
        <f>CHOOSE(QUOTIENT(MONTH($A67),3)+1,BaseLoad!$AM$9,BaseLoad!$AN$9,BaseLoad!$AL$9,BaseLoad!$AO$9,BaseLoad!$AM$9)</f>
        <v>0.95</v>
      </c>
      <c r="AA67" s="237">
        <f>CHOOSE(QUOTIENT(MONTH($A67),3)+1,BaseLoad!$AM$15,BaseLoad!$AN$15,BaseLoad!$AL$15,BaseLoad!$AO$15,BaseLoad!$AM$15)</f>
        <v>705</v>
      </c>
      <c r="AB67" s="471"/>
      <c r="AD67" s="471"/>
    </row>
    <row r="68" spans="1:30" x14ac:dyDescent="0.2">
      <c r="A68" s="1">
        <f t="shared" si="2"/>
        <v>38304.186000000074</v>
      </c>
      <c r="B68" s="237" t="str">
        <f>IF($A$1="Peak","-",IF(BaseLoad!H67&gt;BaseLoad!$G67,B$8*PPA!$G$5*$Z68,0))</f>
        <v>-</v>
      </c>
      <c r="C68" s="237" t="str">
        <f>IF($A$1="Peak","-",IF(BaseLoad!I67&gt;BaseLoad!$G67,C$8*PPA!$G$5*$Z68,0))</f>
        <v>-</v>
      </c>
      <c r="D68" s="237" t="str">
        <f>IF($A$1="Peak","-",IF(BaseLoad!J67&gt;BaseLoad!$G67,D$8*PPA!$G$5*$Z68,0))</f>
        <v>-</v>
      </c>
      <c r="E68" s="237" t="str">
        <f>IF($A$1="Peak","-",IF(BaseLoad!K67&gt;BaseLoad!$G67,E$8*PPA!$G$5*$Z68,0))</f>
        <v>-</v>
      </c>
      <c r="F68" s="237" t="str">
        <f>IF($A$1="Peak","-",IF(BaseLoad!L67&gt;BaseLoad!$G67,F$8*PPA!$G$5*$Z68,0))</f>
        <v>-</v>
      </c>
      <c r="G68" s="237" t="str">
        <f>IF($A$1="Peak","-",IF(BaseLoad!M67&gt;BaseLoad!$G67,G$8*PPA!$G$5*$Z68,0))</f>
        <v>-</v>
      </c>
      <c r="H68" s="237" t="str">
        <f>IF($A$1="Peak","-",IF(BaseLoad!N67&gt;BaseLoad!$G67,H$8*PPA!$G$5*$Z68,0))</f>
        <v>-</v>
      </c>
      <c r="I68" s="237" t="str">
        <f>IF($A$1="Peak","-",IF(BaseLoad!O67&gt;BaseLoad!$G67,I$8*PPA!$G$5*$Z68,0))</f>
        <v>-</v>
      </c>
      <c r="J68" s="237" t="str">
        <f>IF($A$1="Peak","-",IF(BaseLoad!P67&gt;BaseLoad!$G67,J$8*PPA!$G$5*$Z68,0))</f>
        <v>-</v>
      </c>
      <c r="K68" s="237" t="str">
        <f>IF($A$1="Peak","-",IF(BaseLoad!Q67&gt;BaseLoad!$G67,K$8*PPA!$G$5*$Z68,0))</f>
        <v>-</v>
      </c>
      <c r="L68" s="237" t="str">
        <f>IF($A$1="Peak","-",IF(BaseLoad!R67&gt;BaseLoad!$G67,L$8*PPA!$G$5*$Z68,0))</f>
        <v>-</v>
      </c>
      <c r="M68" s="237" t="str">
        <f>IF($A$1="Peak","-",IF(BaseLoad!S67&gt;BaseLoad!$G67,M$8*PPA!$G$5*$Z68,0))</f>
        <v>-</v>
      </c>
      <c r="N68" s="237" t="str">
        <f>IF($A$1="Peak","-",IF(BaseLoad!T67&gt;BaseLoad!$G67,N$8*PPA!$G$5*$Z68,0))</f>
        <v>-</v>
      </c>
      <c r="O68" s="237" t="str">
        <f>IF($A$1="Peak","-",IF(BaseLoad!U67&gt;BaseLoad!$G67,O$8*PPA!$G$5*$Z68,0))</f>
        <v>-</v>
      </c>
      <c r="P68" s="237" t="str">
        <f>IF($A$1="Peak","-",IF(BaseLoad!V67&gt;BaseLoad!$G67,P$8*PPA!$G$5*$Z68,0))</f>
        <v>-</v>
      </c>
      <c r="Q68" s="237" t="str">
        <f>IF($A$1="Peak","-",IF(BaseLoad!W67&gt;BaseLoad!$G67,Q$8*PPA!$G$5*$Z68,0))</f>
        <v>-</v>
      </c>
      <c r="R68" s="237" t="str">
        <f>IF($A$1="Peak","-",IF(BaseLoad!X67&gt;BaseLoad!$G67,R$8*PPA!$G$5*$Z68,0))</f>
        <v>-</v>
      </c>
      <c r="S68" s="237" t="str">
        <f>IF($A$1="Peak","-",IF(BaseLoad!Y67&gt;BaseLoad!$G67,S$8*PPA!$G$5*$Z68,0))</f>
        <v>-</v>
      </c>
      <c r="T68" s="237" t="str">
        <f>IF($A$1="Peak","-",IF(BaseLoad!Z67&gt;BaseLoad!$G67,T$8*PPA!$G$5*$Z68,0))</f>
        <v>-</v>
      </c>
      <c r="U68" s="237" t="str">
        <f>IF($A$1="Peak","-",IF(BaseLoad!AA67&gt;BaseLoad!$G67,U$8*PPA!$G$5*$Z68,0))</f>
        <v>-</v>
      </c>
      <c r="V68" s="237">
        <f t="shared" si="0"/>
        <v>0</v>
      </c>
      <c r="W68" s="237" t="str">
        <f>IF($A$1="Peak","-",(730*PPA!$G$4*$Z68))</f>
        <v>-</v>
      </c>
      <c r="X68" s="237">
        <f t="shared" si="1"/>
        <v>0</v>
      </c>
      <c r="Y68" s="237"/>
      <c r="Z68" s="237">
        <f>CHOOSE(QUOTIENT(MONTH($A68),3)+1,BaseLoad!$AM$9,BaseLoad!$AN$9,BaseLoad!$AL$9,BaseLoad!$AO$9,BaseLoad!$AM$9)</f>
        <v>0.95</v>
      </c>
      <c r="AA68" s="237">
        <f>CHOOSE(QUOTIENT(MONTH($A68),3)+1,BaseLoad!$AM$15,BaseLoad!$AN$15,BaseLoad!$AL$15,BaseLoad!$AO$15,BaseLoad!$AM$15)</f>
        <v>705</v>
      </c>
      <c r="AB68" s="471"/>
      <c r="AD68" s="471"/>
    </row>
    <row r="69" spans="1:30" x14ac:dyDescent="0.2">
      <c r="A69" s="1">
        <f t="shared" si="2"/>
        <v>38334.603000000076</v>
      </c>
      <c r="B69" s="237" t="str">
        <f>IF($A$1="Peak","-",IF(BaseLoad!H68&gt;BaseLoad!$G68,B$8*PPA!$G$5*$Z69,0))</f>
        <v>-</v>
      </c>
      <c r="C69" s="237" t="str">
        <f>IF($A$1="Peak","-",IF(BaseLoad!I68&gt;BaseLoad!$G68,C$8*PPA!$G$5*$Z69,0))</f>
        <v>-</v>
      </c>
      <c r="D69" s="237" t="str">
        <f>IF($A$1="Peak","-",IF(BaseLoad!J68&gt;BaseLoad!$G68,D$8*PPA!$G$5*$Z69,0))</f>
        <v>-</v>
      </c>
      <c r="E69" s="237" t="str">
        <f>IF($A$1="Peak","-",IF(BaseLoad!K68&gt;BaseLoad!$G68,E$8*PPA!$G$5*$Z69,0))</f>
        <v>-</v>
      </c>
      <c r="F69" s="237" t="str">
        <f>IF($A$1="Peak","-",IF(BaseLoad!L68&gt;BaseLoad!$G68,F$8*PPA!$G$5*$Z69,0))</f>
        <v>-</v>
      </c>
      <c r="G69" s="237" t="str">
        <f>IF($A$1="Peak","-",IF(BaseLoad!M68&gt;BaseLoad!$G68,G$8*PPA!$G$5*$Z69,0))</f>
        <v>-</v>
      </c>
      <c r="H69" s="237" t="str">
        <f>IF($A$1="Peak","-",IF(BaseLoad!N68&gt;BaseLoad!$G68,H$8*PPA!$G$5*$Z69,0))</f>
        <v>-</v>
      </c>
      <c r="I69" s="237" t="str">
        <f>IF($A$1="Peak","-",IF(BaseLoad!O68&gt;BaseLoad!$G68,I$8*PPA!$G$5*$Z69,0))</f>
        <v>-</v>
      </c>
      <c r="J69" s="237" t="str">
        <f>IF($A$1="Peak","-",IF(BaseLoad!P68&gt;BaseLoad!$G68,J$8*PPA!$G$5*$Z69,0))</f>
        <v>-</v>
      </c>
      <c r="K69" s="237" t="str">
        <f>IF($A$1="Peak","-",IF(BaseLoad!Q68&gt;BaseLoad!$G68,K$8*PPA!$G$5*$Z69,0))</f>
        <v>-</v>
      </c>
      <c r="L69" s="237" t="str">
        <f>IF($A$1="Peak","-",IF(BaseLoad!R68&gt;BaseLoad!$G68,L$8*PPA!$G$5*$Z69,0))</f>
        <v>-</v>
      </c>
      <c r="M69" s="237" t="str">
        <f>IF($A$1="Peak","-",IF(BaseLoad!S68&gt;BaseLoad!$G68,M$8*PPA!$G$5*$Z69,0))</f>
        <v>-</v>
      </c>
      <c r="N69" s="237" t="str">
        <f>IF($A$1="Peak","-",IF(BaseLoad!T68&gt;BaseLoad!$G68,N$8*PPA!$G$5*$Z69,0))</f>
        <v>-</v>
      </c>
      <c r="O69" s="237" t="str">
        <f>IF($A$1="Peak","-",IF(BaseLoad!U68&gt;BaseLoad!$G68,O$8*PPA!$G$5*$Z69,0))</f>
        <v>-</v>
      </c>
      <c r="P69" s="237" t="str">
        <f>IF($A$1="Peak","-",IF(BaseLoad!V68&gt;BaseLoad!$G68,P$8*PPA!$G$5*$Z69,0))</f>
        <v>-</v>
      </c>
      <c r="Q69" s="237" t="str">
        <f>IF($A$1="Peak","-",IF(BaseLoad!W68&gt;BaseLoad!$G68,Q$8*PPA!$G$5*$Z69,0))</f>
        <v>-</v>
      </c>
      <c r="R69" s="237" t="str">
        <f>IF($A$1="Peak","-",IF(BaseLoad!X68&gt;BaseLoad!$G68,R$8*PPA!$G$5*$Z69,0))</f>
        <v>-</v>
      </c>
      <c r="S69" s="237" t="str">
        <f>IF($A$1="Peak","-",IF(BaseLoad!Y68&gt;BaseLoad!$G68,S$8*PPA!$G$5*$Z69,0))</f>
        <v>-</v>
      </c>
      <c r="T69" s="237" t="str">
        <f>IF($A$1="Peak","-",IF(BaseLoad!Z68&gt;BaseLoad!$G68,T$8*PPA!$G$5*$Z69,0))</f>
        <v>-</v>
      </c>
      <c r="U69" s="237" t="str">
        <f>IF($A$1="Peak","-",IF(BaseLoad!AA68&gt;BaseLoad!$G68,U$8*PPA!$G$5*$Z69,0))</f>
        <v>-</v>
      </c>
      <c r="V69" s="237">
        <f t="shared" si="0"/>
        <v>0</v>
      </c>
      <c r="W69" s="237" t="str">
        <f>IF($A$1="Peak","-",(730*PPA!$G$4*$Z69))</f>
        <v>-</v>
      </c>
      <c r="X69" s="237">
        <f t="shared" si="1"/>
        <v>0</v>
      </c>
      <c r="Y69" s="237">
        <f>SUM(X58:X69)</f>
        <v>0</v>
      </c>
      <c r="Z69" s="237">
        <f>CHOOSE(QUOTIENT(MONTH($A69),3)+1,BaseLoad!$AM$9,BaseLoad!$AN$9,BaseLoad!$AL$9,BaseLoad!$AO$9,BaseLoad!$AM$9)</f>
        <v>0.92427661878611755</v>
      </c>
      <c r="AA69" s="237">
        <f>CHOOSE(QUOTIENT(MONTH($A69),3)+1,BaseLoad!$AM$15,BaseLoad!$AN$15,BaseLoad!$AL$15,BaseLoad!$AO$15,BaseLoad!$AM$15)</f>
        <v>705</v>
      </c>
      <c r="AB69" s="471"/>
      <c r="AD69" s="471"/>
    </row>
    <row r="70" spans="1:30" x14ac:dyDescent="0.2">
      <c r="A70" s="1">
        <f t="shared" si="2"/>
        <v>38365.020000000077</v>
      </c>
      <c r="B70" s="237" t="str">
        <f>IF($A$1="Peak","-",IF(BaseLoad!H69&gt;BaseLoad!$G69,B$8*PPA!$G$5*$Z70,0))</f>
        <v>-</v>
      </c>
      <c r="C70" s="237" t="str">
        <f>IF($A$1="Peak","-",IF(BaseLoad!I69&gt;BaseLoad!$G69,C$8*PPA!$G$5*$Z70,0))</f>
        <v>-</v>
      </c>
      <c r="D70" s="237" t="str">
        <f>IF($A$1="Peak","-",IF(BaseLoad!J69&gt;BaseLoad!$G69,D$8*PPA!$G$5*$Z70,0))</f>
        <v>-</v>
      </c>
      <c r="E70" s="237" t="str">
        <f>IF($A$1="Peak","-",IF(BaseLoad!K69&gt;BaseLoad!$G69,E$8*PPA!$G$5*$Z70,0))</f>
        <v>-</v>
      </c>
      <c r="F70" s="237" t="str">
        <f>IF($A$1="Peak","-",IF(BaseLoad!L69&gt;BaseLoad!$G69,F$8*PPA!$G$5*$Z70,0))</f>
        <v>-</v>
      </c>
      <c r="G70" s="237" t="str">
        <f>IF($A$1="Peak","-",IF(BaseLoad!M69&gt;BaseLoad!$G69,G$8*PPA!$G$5*$Z70,0))</f>
        <v>-</v>
      </c>
      <c r="H70" s="237" t="str">
        <f>IF($A$1="Peak","-",IF(BaseLoad!N69&gt;BaseLoad!$G69,H$8*PPA!$G$5*$Z70,0))</f>
        <v>-</v>
      </c>
      <c r="I70" s="237" t="str">
        <f>IF($A$1="Peak","-",IF(BaseLoad!O69&gt;BaseLoad!$G69,I$8*PPA!$G$5*$Z70,0))</f>
        <v>-</v>
      </c>
      <c r="J70" s="237" t="str">
        <f>IF($A$1="Peak","-",IF(BaseLoad!P69&gt;BaseLoad!$G69,J$8*PPA!$G$5*$Z70,0))</f>
        <v>-</v>
      </c>
      <c r="K70" s="237" t="str">
        <f>IF($A$1="Peak","-",IF(BaseLoad!Q69&gt;BaseLoad!$G69,K$8*PPA!$G$5*$Z70,0))</f>
        <v>-</v>
      </c>
      <c r="L70" s="237" t="str">
        <f>IF($A$1="Peak","-",IF(BaseLoad!R69&gt;BaseLoad!$G69,L$8*PPA!$G$5*$Z70,0))</f>
        <v>-</v>
      </c>
      <c r="M70" s="237" t="str">
        <f>IF($A$1="Peak","-",IF(BaseLoad!S69&gt;BaseLoad!$G69,M$8*PPA!$G$5*$Z70,0))</f>
        <v>-</v>
      </c>
      <c r="N70" s="237" t="str">
        <f>IF($A$1="Peak","-",IF(BaseLoad!T69&gt;BaseLoad!$G69,N$8*PPA!$G$5*$Z70,0))</f>
        <v>-</v>
      </c>
      <c r="O70" s="237" t="str">
        <f>IF($A$1="Peak","-",IF(BaseLoad!U69&gt;BaseLoad!$G69,O$8*PPA!$G$5*$Z70,0))</f>
        <v>-</v>
      </c>
      <c r="P70" s="237" t="str">
        <f>IF($A$1="Peak","-",IF(BaseLoad!V69&gt;BaseLoad!$G69,P$8*PPA!$G$5*$Z70,0))</f>
        <v>-</v>
      </c>
      <c r="Q70" s="237" t="str">
        <f>IF($A$1="Peak","-",IF(BaseLoad!W69&gt;BaseLoad!$G69,Q$8*PPA!$G$5*$Z70,0))</f>
        <v>-</v>
      </c>
      <c r="R70" s="237" t="str">
        <f>IF($A$1="Peak","-",IF(BaseLoad!X69&gt;BaseLoad!$G69,R$8*PPA!$G$5*$Z70,0))</f>
        <v>-</v>
      </c>
      <c r="S70" s="237" t="str">
        <f>IF($A$1="Peak","-",IF(BaseLoad!Y69&gt;BaseLoad!$G69,S$8*PPA!$G$5*$Z70,0))</f>
        <v>-</v>
      </c>
      <c r="T70" s="237" t="str">
        <f>IF($A$1="Peak","-",IF(BaseLoad!Z69&gt;BaseLoad!$G69,T$8*PPA!$G$5*$Z70,0))</f>
        <v>-</v>
      </c>
      <c r="U70" s="237" t="str">
        <f>IF($A$1="Peak","-",IF(BaseLoad!AA69&gt;BaseLoad!$G69,U$8*PPA!$G$5*$Z70,0))</f>
        <v>-</v>
      </c>
      <c r="V70" s="237">
        <f t="shared" si="0"/>
        <v>0</v>
      </c>
      <c r="W70" s="237" t="str">
        <f>IF($A$1="Peak","-",(730*PPA!$G$4*$Z70))</f>
        <v>-</v>
      </c>
      <c r="X70" s="237">
        <f t="shared" si="1"/>
        <v>0</v>
      </c>
      <c r="Y70" s="237"/>
      <c r="Z70" s="237">
        <f>CHOOSE(QUOTIENT(MONTH($A70),3)+1,BaseLoad!$AM$9,BaseLoad!$AN$9,BaseLoad!$AL$9,BaseLoad!$AO$9,BaseLoad!$AM$9)</f>
        <v>0.92427661878611755</v>
      </c>
      <c r="AA70" s="237">
        <f>CHOOSE(QUOTIENT(MONTH($A70),3)+1,BaseLoad!$AM$15,BaseLoad!$AN$15,BaseLoad!$AL$15,BaseLoad!$AO$15,BaseLoad!$AM$15)</f>
        <v>705</v>
      </c>
      <c r="AB70" s="471"/>
      <c r="AD70" s="471"/>
    </row>
    <row r="71" spans="1:30" x14ac:dyDescent="0.2">
      <c r="A71" s="1">
        <f t="shared" si="2"/>
        <v>38395.437000000078</v>
      </c>
      <c r="B71" s="237" t="str">
        <f>IF($A$1="Peak","-",IF(BaseLoad!H70&gt;BaseLoad!$G70,B$8*PPA!$G$5*$Z71,0))</f>
        <v>-</v>
      </c>
      <c r="C71" s="237" t="str">
        <f>IF($A$1="Peak","-",IF(BaseLoad!I70&gt;BaseLoad!$G70,C$8*PPA!$G$5*$Z71,0))</f>
        <v>-</v>
      </c>
      <c r="D71" s="237" t="str">
        <f>IF($A$1="Peak","-",IF(BaseLoad!J70&gt;BaseLoad!$G70,D$8*PPA!$G$5*$Z71,0))</f>
        <v>-</v>
      </c>
      <c r="E71" s="237" t="str">
        <f>IF($A$1="Peak","-",IF(BaseLoad!K70&gt;BaseLoad!$G70,E$8*PPA!$G$5*$Z71,0))</f>
        <v>-</v>
      </c>
      <c r="F71" s="237" t="str">
        <f>IF($A$1="Peak","-",IF(BaseLoad!L70&gt;BaseLoad!$G70,F$8*PPA!$G$5*$Z71,0))</f>
        <v>-</v>
      </c>
      <c r="G71" s="237" t="str">
        <f>IF($A$1="Peak","-",IF(BaseLoad!M70&gt;BaseLoad!$G70,G$8*PPA!$G$5*$Z71,0))</f>
        <v>-</v>
      </c>
      <c r="H71" s="237" t="str">
        <f>IF($A$1="Peak","-",IF(BaseLoad!N70&gt;BaseLoad!$G70,H$8*PPA!$G$5*$Z71,0))</f>
        <v>-</v>
      </c>
      <c r="I71" s="237" t="str">
        <f>IF($A$1="Peak","-",IF(BaseLoad!O70&gt;BaseLoad!$G70,I$8*PPA!$G$5*$Z71,0))</f>
        <v>-</v>
      </c>
      <c r="J71" s="237" t="str">
        <f>IF($A$1="Peak","-",IF(BaseLoad!P70&gt;BaseLoad!$G70,J$8*PPA!$G$5*$Z71,0))</f>
        <v>-</v>
      </c>
      <c r="K71" s="237" t="str">
        <f>IF($A$1="Peak","-",IF(BaseLoad!Q70&gt;BaseLoad!$G70,K$8*PPA!$G$5*$Z71,0))</f>
        <v>-</v>
      </c>
      <c r="L71" s="237" t="str">
        <f>IF($A$1="Peak","-",IF(BaseLoad!R70&gt;BaseLoad!$G70,L$8*PPA!$G$5*$Z71,0))</f>
        <v>-</v>
      </c>
      <c r="M71" s="237" t="str">
        <f>IF($A$1="Peak","-",IF(BaseLoad!S70&gt;BaseLoad!$G70,M$8*PPA!$G$5*$Z71,0))</f>
        <v>-</v>
      </c>
      <c r="N71" s="237" t="str">
        <f>IF($A$1="Peak","-",IF(BaseLoad!T70&gt;BaseLoad!$G70,N$8*PPA!$G$5*$Z71,0))</f>
        <v>-</v>
      </c>
      <c r="O71" s="237" t="str">
        <f>IF($A$1="Peak","-",IF(BaseLoad!U70&gt;BaseLoad!$G70,O$8*PPA!$G$5*$Z71,0))</f>
        <v>-</v>
      </c>
      <c r="P71" s="237" t="str">
        <f>IF($A$1="Peak","-",IF(BaseLoad!V70&gt;BaseLoad!$G70,P$8*PPA!$G$5*$Z71,0))</f>
        <v>-</v>
      </c>
      <c r="Q71" s="237" t="str">
        <f>IF($A$1="Peak","-",IF(BaseLoad!W70&gt;BaseLoad!$G70,Q$8*PPA!$G$5*$Z71,0))</f>
        <v>-</v>
      </c>
      <c r="R71" s="237" t="str">
        <f>IF($A$1="Peak","-",IF(BaseLoad!X70&gt;BaseLoad!$G70,R$8*PPA!$G$5*$Z71,0))</f>
        <v>-</v>
      </c>
      <c r="S71" s="237" t="str">
        <f>IF($A$1="Peak","-",IF(BaseLoad!Y70&gt;BaseLoad!$G70,S$8*PPA!$G$5*$Z71,0))</f>
        <v>-</v>
      </c>
      <c r="T71" s="237" t="str">
        <f>IF($A$1="Peak","-",IF(BaseLoad!Z70&gt;BaseLoad!$G70,T$8*PPA!$G$5*$Z71,0))</f>
        <v>-</v>
      </c>
      <c r="U71" s="237" t="str">
        <f>IF($A$1="Peak","-",IF(BaseLoad!AA70&gt;BaseLoad!$G70,U$8*PPA!$G$5*$Z71,0))</f>
        <v>-</v>
      </c>
      <c r="V71" s="237">
        <f t="shared" si="0"/>
        <v>0</v>
      </c>
      <c r="W71" s="237" t="str">
        <f>IF($A$1="Peak","-",(730*PPA!$G$4*$Z71))</f>
        <v>-</v>
      </c>
      <c r="X71" s="237">
        <f t="shared" si="1"/>
        <v>0</v>
      </c>
      <c r="Y71" s="237"/>
      <c r="Z71" s="237">
        <f>CHOOSE(QUOTIENT(MONTH($A71),3)+1,BaseLoad!$AM$9,BaseLoad!$AN$9,BaseLoad!$AL$9,BaseLoad!$AO$9,BaseLoad!$AM$9)</f>
        <v>0.92427661878611755</v>
      </c>
      <c r="AA71" s="237">
        <f>CHOOSE(QUOTIENT(MONTH($A71),3)+1,BaseLoad!$AM$15,BaseLoad!$AN$15,BaseLoad!$AL$15,BaseLoad!$AO$15,BaseLoad!$AM$15)</f>
        <v>705</v>
      </c>
      <c r="AB71" s="471"/>
      <c r="AD71" s="471"/>
    </row>
    <row r="72" spans="1:30" x14ac:dyDescent="0.2">
      <c r="A72" s="1">
        <f t="shared" si="2"/>
        <v>38425.854000000079</v>
      </c>
      <c r="B72" s="237" t="str">
        <f>IF($A$1="Peak","-",IF(BaseLoad!H71&gt;BaseLoad!$G71,B$8*PPA!$G$5*$Z72,0))</f>
        <v>-</v>
      </c>
      <c r="C72" s="237" t="str">
        <f>IF($A$1="Peak","-",IF(BaseLoad!I71&gt;BaseLoad!$G71,C$8*PPA!$G$5*$Z72,0))</f>
        <v>-</v>
      </c>
      <c r="D72" s="237" t="str">
        <f>IF($A$1="Peak","-",IF(BaseLoad!J71&gt;BaseLoad!$G71,D$8*PPA!$G$5*$Z72,0))</f>
        <v>-</v>
      </c>
      <c r="E72" s="237" t="str">
        <f>IF($A$1="Peak","-",IF(BaseLoad!K71&gt;BaseLoad!$G71,E$8*PPA!$G$5*$Z72,0))</f>
        <v>-</v>
      </c>
      <c r="F72" s="237" t="str">
        <f>IF($A$1="Peak","-",IF(BaseLoad!L71&gt;BaseLoad!$G71,F$8*PPA!$G$5*$Z72,0))</f>
        <v>-</v>
      </c>
      <c r="G72" s="237" t="str">
        <f>IF($A$1="Peak","-",IF(BaseLoad!M71&gt;BaseLoad!$G71,G$8*PPA!$G$5*$Z72,0))</f>
        <v>-</v>
      </c>
      <c r="H72" s="237" t="str">
        <f>IF($A$1="Peak","-",IF(BaseLoad!N71&gt;BaseLoad!$G71,H$8*PPA!$G$5*$Z72,0))</f>
        <v>-</v>
      </c>
      <c r="I72" s="237" t="str">
        <f>IF($A$1="Peak","-",IF(BaseLoad!O71&gt;BaseLoad!$G71,I$8*PPA!$G$5*$Z72,0))</f>
        <v>-</v>
      </c>
      <c r="J72" s="237" t="str">
        <f>IF($A$1="Peak","-",IF(BaseLoad!P71&gt;BaseLoad!$G71,J$8*PPA!$G$5*$Z72,0))</f>
        <v>-</v>
      </c>
      <c r="K72" s="237" t="str">
        <f>IF($A$1="Peak","-",IF(BaseLoad!Q71&gt;BaseLoad!$G71,K$8*PPA!$G$5*$Z72,0))</f>
        <v>-</v>
      </c>
      <c r="L72" s="237" t="str">
        <f>IF($A$1="Peak","-",IF(BaseLoad!R71&gt;BaseLoad!$G71,L$8*PPA!$G$5*$Z72,0))</f>
        <v>-</v>
      </c>
      <c r="M72" s="237" t="str">
        <f>IF($A$1="Peak","-",IF(BaseLoad!S71&gt;BaseLoad!$G71,M$8*PPA!$G$5*$Z72,0))</f>
        <v>-</v>
      </c>
      <c r="N72" s="237" t="str">
        <f>IF($A$1="Peak","-",IF(BaseLoad!T71&gt;BaseLoad!$G71,N$8*PPA!$G$5*$Z72,0))</f>
        <v>-</v>
      </c>
      <c r="O72" s="237" t="str">
        <f>IF($A$1="Peak","-",IF(BaseLoad!U71&gt;BaseLoad!$G71,O$8*PPA!$G$5*$Z72,0))</f>
        <v>-</v>
      </c>
      <c r="P72" s="237" t="str">
        <f>IF($A$1="Peak","-",IF(BaseLoad!V71&gt;BaseLoad!$G71,P$8*PPA!$G$5*$Z72,0))</f>
        <v>-</v>
      </c>
      <c r="Q72" s="237" t="str">
        <f>IF($A$1="Peak","-",IF(BaseLoad!W71&gt;BaseLoad!$G71,Q$8*PPA!$G$5*$Z72,0))</f>
        <v>-</v>
      </c>
      <c r="R72" s="237" t="str">
        <f>IF($A$1="Peak","-",IF(BaseLoad!X71&gt;BaseLoad!$G71,R$8*PPA!$G$5*$Z72,0))</f>
        <v>-</v>
      </c>
      <c r="S72" s="237" t="str">
        <f>IF($A$1="Peak","-",IF(BaseLoad!Y71&gt;BaseLoad!$G71,S$8*PPA!$G$5*$Z72,0))</f>
        <v>-</v>
      </c>
      <c r="T72" s="237" t="str">
        <f>IF($A$1="Peak","-",IF(BaseLoad!Z71&gt;BaseLoad!$G71,T$8*PPA!$G$5*$Z72,0))</f>
        <v>-</v>
      </c>
      <c r="U72" s="237" t="str">
        <f>IF($A$1="Peak","-",IF(BaseLoad!AA71&gt;BaseLoad!$G71,U$8*PPA!$G$5*$Z72,0))</f>
        <v>-</v>
      </c>
      <c r="V72" s="237">
        <f t="shared" si="0"/>
        <v>0</v>
      </c>
      <c r="W72" s="237" t="str">
        <f>IF($A$1="Peak","-",(730*PPA!$G$4*$Z72))</f>
        <v>-</v>
      </c>
      <c r="X72" s="237">
        <f t="shared" si="1"/>
        <v>0</v>
      </c>
      <c r="Y72" s="237"/>
      <c r="Z72" s="237">
        <f>CHOOSE(QUOTIENT(MONTH($A72),3)+1,BaseLoad!$AM$9,BaseLoad!$AN$9,BaseLoad!$AL$9,BaseLoad!$AO$9,BaseLoad!$AM$9)</f>
        <v>0.95</v>
      </c>
      <c r="AA72" s="237">
        <f>CHOOSE(QUOTIENT(MONTH($A72),3)+1,BaseLoad!$AM$15,BaseLoad!$AN$15,BaseLoad!$AL$15,BaseLoad!$AO$15,BaseLoad!$AM$15)</f>
        <v>705</v>
      </c>
      <c r="AB72" s="471"/>
      <c r="AD72" s="471"/>
    </row>
    <row r="73" spans="1:30" x14ac:dyDescent="0.2">
      <c r="A73" s="1">
        <f t="shared" si="2"/>
        <v>38456.271000000081</v>
      </c>
      <c r="B73" s="237" t="str">
        <f>IF($A$1="Peak","-",IF(BaseLoad!H72&gt;BaseLoad!$G72,B$8*PPA!$G$5*$Z73,0))</f>
        <v>-</v>
      </c>
      <c r="C73" s="237" t="str">
        <f>IF($A$1="Peak","-",IF(BaseLoad!I72&gt;BaseLoad!$G72,C$8*PPA!$G$5*$Z73,0))</f>
        <v>-</v>
      </c>
      <c r="D73" s="237" t="str">
        <f>IF($A$1="Peak","-",IF(BaseLoad!J72&gt;BaseLoad!$G72,D$8*PPA!$G$5*$Z73,0))</f>
        <v>-</v>
      </c>
      <c r="E73" s="237" t="str">
        <f>IF($A$1="Peak","-",IF(BaseLoad!K72&gt;BaseLoad!$G72,E$8*PPA!$G$5*$Z73,0))</f>
        <v>-</v>
      </c>
      <c r="F73" s="237" t="str">
        <f>IF($A$1="Peak","-",IF(BaseLoad!L72&gt;BaseLoad!$G72,F$8*PPA!$G$5*$Z73,0))</f>
        <v>-</v>
      </c>
      <c r="G73" s="237" t="str">
        <f>IF($A$1="Peak","-",IF(BaseLoad!M72&gt;BaseLoad!$G72,G$8*PPA!$G$5*$Z73,0))</f>
        <v>-</v>
      </c>
      <c r="H73" s="237" t="str">
        <f>IF($A$1="Peak","-",IF(BaseLoad!N72&gt;BaseLoad!$G72,H$8*PPA!$G$5*$Z73,0))</f>
        <v>-</v>
      </c>
      <c r="I73" s="237" t="str">
        <f>IF($A$1="Peak","-",IF(BaseLoad!O72&gt;BaseLoad!$G72,I$8*PPA!$G$5*$Z73,0))</f>
        <v>-</v>
      </c>
      <c r="J73" s="237" t="str">
        <f>IF($A$1="Peak","-",IF(BaseLoad!P72&gt;BaseLoad!$G72,J$8*PPA!$G$5*$Z73,0))</f>
        <v>-</v>
      </c>
      <c r="K73" s="237" t="str">
        <f>IF($A$1="Peak","-",IF(BaseLoad!Q72&gt;BaseLoad!$G72,K$8*PPA!$G$5*$Z73,0))</f>
        <v>-</v>
      </c>
      <c r="L73" s="237" t="str">
        <f>IF($A$1="Peak","-",IF(BaseLoad!R72&gt;BaseLoad!$G72,L$8*PPA!$G$5*$Z73,0))</f>
        <v>-</v>
      </c>
      <c r="M73" s="237" t="str">
        <f>IF($A$1="Peak","-",IF(BaseLoad!S72&gt;BaseLoad!$G72,M$8*PPA!$G$5*$Z73,0))</f>
        <v>-</v>
      </c>
      <c r="N73" s="237" t="str">
        <f>IF($A$1="Peak","-",IF(BaseLoad!T72&gt;BaseLoad!$G72,N$8*PPA!$G$5*$Z73,0))</f>
        <v>-</v>
      </c>
      <c r="O73" s="237" t="str">
        <f>IF($A$1="Peak","-",IF(BaseLoad!U72&gt;BaseLoad!$G72,O$8*PPA!$G$5*$Z73,0))</f>
        <v>-</v>
      </c>
      <c r="P73" s="237" t="str">
        <f>IF($A$1="Peak","-",IF(BaseLoad!V72&gt;BaseLoad!$G72,P$8*PPA!$G$5*$Z73,0))</f>
        <v>-</v>
      </c>
      <c r="Q73" s="237" t="str">
        <f>IF($A$1="Peak","-",IF(BaseLoad!W72&gt;BaseLoad!$G72,Q$8*PPA!$G$5*$Z73,0))</f>
        <v>-</v>
      </c>
      <c r="R73" s="237" t="str">
        <f>IF($A$1="Peak","-",IF(BaseLoad!X72&gt;BaseLoad!$G72,R$8*PPA!$G$5*$Z73,0))</f>
        <v>-</v>
      </c>
      <c r="S73" s="237" t="str">
        <f>IF($A$1="Peak","-",IF(BaseLoad!Y72&gt;BaseLoad!$G72,S$8*PPA!$G$5*$Z73,0))</f>
        <v>-</v>
      </c>
      <c r="T73" s="237" t="str">
        <f>IF($A$1="Peak","-",IF(BaseLoad!Z72&gt;BaseLoad!$G72,T$8*PPA!$G$5*$Z73,0))</f>
        <v>-</v>
      </c>
      <c r="U73" s="237" t="str">
        <f>IF($A$1="Peak","-",IF(BaseLoad!AA72&gt;BaseLoad!$G72,U$8*PPA!$G$5*$Z73,0))</f>
        <v>-</v>
      </c>
      <c r="V73" s="237">
        <f t="shared" si="0"/>
        <v>0</v>
      </c>
      <c r="W73" s="237" t="str">
        <f>IF($A$1="Peak","-",(730*PPA!$G$4*$Z73))</f>
        <v>-</v>
      </c>
      <c r="X73" s="237">
        <f t="shared" si="1"/>
        <v>0</v>
      </c>
      <c r="Y73" s="237"/>
      <c r="Z73" s="237">
        <f>CHOOSE(QUOTIENT(MONTH($A73),3)+1,BaseLoad!$AM$9,BaseLoad!$AN$9,BaseLoad!$AL$9,BaseLoad!$AO$9,BaseLoad!$AM$9)</f>
        <v>0.95</v>
      </c>
      <c r="AA73" s="237">
        <f>CHOOSE(QUOTIENT(MONTH($A73),3)+1,BaseLoad!$AM$15,BaseLoad!$AN$15,BaseLoad!$AL$15,BaseLoad!$AO$15,BaseLoad!$AM$15)</f>
        <v>705</v>
      </c>
      <c r="AB73" s="471"/>
      <c r="AD73" s="471"/>
    </row>
    <row r="74" spans="1:30" x14ac:dyDescent="0.2">
      <c r="A74" s="1">
        <f t="shared" si="2"/>
        <v>38486.688000000082</v>
      </c>
      <c r="B74" s="237" t="str">
        <f>IF($A$1="Peak","-",IF(BaseLoad!H73&gt;BaseLoad!$G73,B$8*PPA!$G$5*$Z74,0))</f>
        <v>-</v>
      </c>
      <c r="C74" s="237" t="str">
        <f>IF($A$1="Peak","-",IF(BaseLoad!I73&gt;BaseLoad!$G73,C$8*PPA!$G$5*$Z74,0))</f>
        <v>-</v>
      </c>
      <c r="D74" s="237" t="str">
        <f>IF($A$1="Peak","-",IF(BaseLoad!J73&gt;BaseLoad!$G73,D$8*PPA!$G$5*$Z74,0))</f>
        <v>-</v>
      </c>
      <c r="E74" s="237" t="str">
        <f>IF($A$1="Peak","-",IF(BaseLoad!K73&gt;BaseLoad!$G73,E$8*PPA!$G$5*$Z74,0))</f>
        <v>-</v>
      </c>
      <c r="F74" s="237" t="str">
        <f>IF($A$1="Peak","-",IF(BaseLoad!L73&gt;BaseLoad!$G73,F$8*PPA!$G$5*$Z74,0))</f>
        <v>-</v>
      </c>
      <c r="G74" s="237" t="str">
        <f>IF($A$1="Peak","-",IF(BaseLoad!M73&gt;BaseLoad!$G73,G$8*PPA!$G$5*$Z74,0))</f>
        <v>-</v>
      </c>
      <c r="H74" s="237" t="str">
        <f>IF($A$1="Peak","-",IF(BaseLoad!N73&gt;BaseLoad!$G73,H$8*PPA!$G$5*$Z74,0))</f>
        <v>-</v>
      </c>
      <c r="I74" s="237" t="str">
        <f>IF($A$1="Peak","-",IF(BaseLoad!O73&gt;BaseLoad!$G73,I$8*PPA!$G$5*$Z74,0))</f>
        <v>-</v>
      </c>
      <c r="J74" s="237" t="str">
        <f>IF($A$1="Peak","-",IF(BaseLoad!P73&gt;BaseLoad!$G73,J$8*PPA!$G$5*$Z74,0))</f>
        <v>-</v>
      </c>
      <c r="K74" s="237" t="str">
        <f>IF($A$1="Peak","-",IF(BaseLoad!Q73&gt;BaseLoad!$G73,K$8*PPA!$G$5*$Z74,0))</f>
        <v>-</v>
      </c>
      <c r="L74" s="237" t="str">
        <f>IF($A$1="Peak","-",IF(BaseLoad!R73&gt;BaseLoad!$G73,L$8*PPA!$G$5*$Z74,0))</f>
        <v>-</v>
      </c>
      <c r="M74" s="237" t="str">
        <f>IF($A$1="Peak","-",IF(BaseLoad!S73&gt;BaseLoad!$G73,M$8*PPA!$G$5*$Z74,0))</f>
        <v>-</v>
      </c>
      <c r="N74" s="237" t="str">
        <f>IF($A$1="Peak","-",IF(BaseLoad!T73&gt;BaseLoad!$G73,N$8*PPA!$G$5*$Z74,0))</f>
        <v>-</v>
      </c>
      <c r="O74" s="237" t="str">
        <f>IF($A$1="Peak","-",IF(BaseLoad!U73&gt;BaseLoad!$G73,O$8*PPA!$G$5*$Z74,0))</f>
        <v>-</v>
      </c>
      <c r="P74" s="237" t="str">
        <f>IF($A$1="Peak","-",IF(BaseLoad!V73&gt;BaseLoad!$G73,P$8*PPA!$G$5*$Z74,0))</f>
        <v>-</v>
      </c>
      <c r="Q74" s="237" t="str">
        <f>IF($A$1="Peak","-",IF(BaseLoad!W73&gt;BaseLoad!$G73,Q$8*PPA!$G$5*$Z74,0))</f>
        <v>-</v>
      </c>
      <c r="R74" s="237" t="str">
        <f>IF($A$1="Peak","-",IF(BaseLoad!X73&gt;BaseLoad!$G73,R$8*PPA!$G$5*$Z74,0))</f>
        <v>-</v>
      </c>
      <c r="S74" s="237" t="str">
        <f>IF($A$1="Peak","-",IF(BaseLoad!Y73&gt;BaseLoad!$G73,S$8*PPA!$G$5*$Z74,0))</f>
        <v>-</v>
      </c>
      <c r="T74" s="237" t="str">
        <f>IF($A$1="Peak","-",IF(BaseLoad!Z73&gt;BaseLoad!$G73,T$8*PPA!$G$5*$Z74,0))</f>
        <v>-</v>
      </c>
      <c r="U74" s="237" t="str">
        <f>IF($A$1="Peak","-",IF(BaseLoad!AA73&gt;BaseLoad!$G73,U$8*PPA!$G$5*$Z74,0))</f>
        <v>-</v>
      </c>
      <c r="V74" s="237">
        <f t="shared" si="0"/>
        <v>0</v>
      </c>
      <c r="W74" s="237" t="str">
        <f>IF($A$1="Peak","-",(730*PPA!$G$4*$Z74))</f>
        <v>-</v>
      </c>
      <c r="X74" s="237">
        <f t="shared" si="1"/>
        <v>0</v>
      </c>
      <c r="Y74" s="237"/>
      <c r="Z74" s="237">
        <f>CHOOSE(QUOTIENT(MONTH($A74),3)+1,BaseLoad!$AM$9,BaseLoad!$AN$9,BaseLoad!$AL$9,BaseLoad!$AO$9,BaseLoad!$AM$9)</f>
        <v>0.95</v>
      </c>
      <c r="AA74" s="237">
        <f>CHOOSE(QUOTIENT(MONTH($A74),3)+1,BaseLoad!$AM$15,BaseLoad!$AN$15,BaseLoad!$AL$15,BaseLoad!$AO$15,BaseLoad!$AM$15)</f>
        <v>705</v>
      </c>
      <c r="AB74" s="471"/>
      <c r="AD74" s="471"/>
    </row>
    <row r="75" spans="1:30" x14ac:dyDescent="0.2">
      <c r="A75" s="1">
        <f t="shared" si="2"/>
        <v>38517.105000000083</v>
      </c>
      <c r="B75" s="237" t="str">
        <f>IF($A$1="Peak","-",IF(BaseLoad!H74&gt;BaseLoad!$G74,B$8*PPA!$G$5*$Z75,0))</f>
        <v>-</v>
      </c>
      <c r="C75" s="237" t="str">
        <f>IF($A$1="Peak","-",IF(BaseLoad!I74&gt;BaseLoad!$G74,C$8*PPA!$G$5*$Z75,0))</f>
        <v>-</v>
      </c>
      <c r="D75" s="237" t="str">
        <f>IF($A$1="Peak","-",IF(BaseLoad!J74&gt;BaseLoad!$G74,D$8*PPA!$G$5*$Z75,0))</f>
        <v>-</v>
      </c>
      <c r="E75" s="237" t="str">
        <f>IF($A$1="Peak","-",IF(BaseLoad!K74&gt;BaseLoad!$G74,E$8*PPA!$G$5*$Z75,0))</f>
        <v>-</v>
      </c>
      <c r="F75" s="237" t="str">
        <f>IF($A$1="Peak","-",IF(BaseLoad!L74&gt;BaseLoad!$G74,F$8*PPA!$G$5*$Z75,0))</f>
        <v>-</v>
      </c>
      <c r="G75" s="237" t="str">
        <f>IF($A$1="Peak","-",IF(BaseLoad!M74&gt;BaseLoad!$G74,G$8*PPA!$G$5*$Z75,0))</f>
        <v>-</v>
      </c>
      <c r="H75" s="237" t="str">
        <f>IF($A$1="Peak","-",IF(BaseLoad!N74&gt;BaseLoad!$G74,H$8*PPA!$G$5*$Z75,0))</f>
        <v>-</v>
      </c>
      <c r="I75" s="237" t="str">
        <f>IF($A$1="Peak","-",IF(BaseLoad!O74&gt;BaseLoad!$G74,I$8*PPA!$G$5*$Z75,0))</f>
        <v>-</v>
      </c>
      <c r="J75" s="237" t="str">
        <f>IF($A$1="Peak","-",IF(BaseLoad!P74&gt;BaseLoad!$G74,J$8*PPA!$G$5*$Z75,0))</f>
        <v>-</v>
      </c>
      <c r="K75" s="237" t="str">
        <f>IF($A$1="Peak","-",IF(BaseLoad!Q74&gt;BaseLoad!$G74,K$8*PPA!$G$5*$Z75,0))</f>
        <v>-</v>
      </c>
      <c r="L75" s="237" t="str">
        <f>IF($A$1="Peak","-",IF(BaseLoad!R74&gt;BaseLoad!$G74,L$8*PPA!$G$5*$Z75,0))</f>
        <v>-</v>
      </c>
      <c r="M75" s="237" t="str">
        <f>IF($A$1="Peak","-",IF(BaseLoad!S74&gt;BaseLoad!$G74,M$8*PPA!$G$5*$Z75,0))</f>
        <v>-</v>
      </c>
      <c r="N75" s="237" t="str">
        <f>IF($A$1="Peak","-",IF(BaseLoad!T74&gt;BaseLoad!$G74,N$8*PPA!$G$5*$Z75,0))</f>
        <v>-</v>
      </c>
      <c r="O75" s="237" t="str">
        <f>IF($A$1="Peak","-",IF(BaseLoad!U74&gt;BaseLoad!$G74,O$8*PPA!$G$5*$Z75,0))</f>
        <v>-</v>
      </c>
      <c r="P75" s="237" t="str">
        <f>IF($A$1="Peak","-",IF(BaseLoad!V74&gt;BaseLoad!$G74,P$8*PPA!$G$5*$Z75,0))</f>
        <v>-</v>
      </c>
      <c r="Q75" s="237" t="str">
        <f>IF($A$1="Peak","-",IF(BaseLoad!W74&gt;BaseLoad!$G74,Q$8*PPA!$G$5*$Z75,0))</f>
        <v>-</v>
      </c>
      <c r="R75" s="237" t="str">
        <f>IF($A$1="Peak","-",IF(BaseLoad!X74&gt;BaseLoad!$G74,R$8*PPA!$G$5*$Z75,0))</f>
        <v>-</v>
      </c>
      <c r="S75" s="237" t="str">
        <f>IF($A$1="Peak","-",IF(BaseLoad!Y74&gt;BaseLoad!$G74,S$8*PPA!$G$5*$Z75,0))</f>
        <v>-</v>
      </c>
      <c r="T75" s="237" t="str">
        <f>IF($A$1="Peak","-",IF(BaseLoad!Z74&gt;BaseLoad!$G74,T$8*PPA!$G$5*$Z75,0))</f>
        <v>-</v>
      </c>
      <c r="U75" s="237" t="str">
        <f>IF($A$1="Peak","-",IF(BaseLoad!AA74&gt;BaseLoad!$G74,U$8*PPA!$G$5*$Z75,0))</f>
        <v>-</v>
      </c>
      <c r="V75" s="237">
        <f t="shared" ref="V75:V138" si="3">SUM(B75:U75)</f>
        <v>0</v>
      </c>
      <c r="W75" s="237" t="str">
        <f>IF($A$1="Peak","-",(730*PPA!$G$4*$Z75))</f>
        <v>-</v>
      </c>
      <c r="X75" s="237">
        <f t="shared" ref="X75:X81" si="4">SUM(V75:W75)</f>
        <v>0</v>
      </c>
      <c r="Y75" s="237"/>
      <c r="Z75" s="237">
        <f>CHOOSE(QUOTIENT(MONTH($A75),3)+1,BaseLoad!$AM$9,BaseLoad!$AN$9,BaseLoad!$AL$9,BaseLoad!$AO$9,BaseLoad!$AM$9)</f>
        <v>0.96612135909558572</v>
      </c>
      <c r="AA75" s="237">
        <f>CHOOSE(QUOTIENT(MONTH($A75),3)+1,BaseLoad!$AM$15,BaseLoad!$AN$15,BaseLoad!$AL$15,BaseLoad!$AO$15,BaseLoad!$AM$15)</f>
        <v>705</v>
      </c>
      <c r="AB75" s="471"/>
      <c r="AD75" s="471"/>
    </row>
    <row r="76" spans="1:30" x14ac:dyDescent="0.2">
      <c r="A76" s="1">
        <f t="shared" ref="A76:A139" si="5">A75+30.417</f>
        <v>38547.522000000085</v>
      </c>
      <c r="B76" s="237" t="str">
        <f>IF($A$1="Peak","-",IF(BaseLoad!H75&gt;BaseLoad!$G75,B$8*PPA!$G$5*$Z76,0))</f>
        <v>-</v>
      </c>
      <c r="C76" s="237" t="str">
        <f>IF($A$1="Peak","-",IF(BaseLoad!I75&gt;BaseLoad!$G75,C$8*PPA!$G$5*$Z76,0))</f>
        <v>-</v>
      </c>
      <c r="D76" s="237" t="str">
        <f>IF($A$1="Peak","-",IF(BaseLoad!J75&gt;BaseLoad!$G75,D$8*PPA!$G$5*$Z76,0))</f>
        <v>-</v>
      </c>
      <c r="E76" s="237" t="str">
        <f>IF($A$1="Peak","-",IF(BaseLoad!K75&gt;BaseLoad!$G75,E$8*PPA!$G$5*$Z76,0))</f>
        <v>-</v>
      </c>
      <c r="F76" s="237" t="str">
        <f>IF($A$1="Peak","-",IF(BaseLoad!L75&gt;BaseLoad!$G75,F$8*PPA!$G$5*$Z76,0))</f>
        <v>-</v>
      </c>
      <c r="G76" s="237" t="str">
        <f>IF($A$1="Peak","-",IF(BaseLoad!M75&gt;BaseLoad!$G75,G$8*PPA!$G$5*$Z76,0))</f>
        <v>-</v>
      </c>
      <c r="H76" s="237" t="str">
        <f>IF($A$1="Peak","-",IF(BaseLoad!N75&gt;BaseLoad!$G75,H$8*PPA!$G$5*$Z76,0))</f>
        <v>-</v>
      </c>
      <c r="I76" s="237" t="str">
        <f>IF($A$1="Peak","-",IF(BaseLoad!O75&gt;BaseLoad!$G75,I$8*PPA!$G$5*$Z76,0))</f>
        <v>-</v>
      </c>
      <c r="J76" s="237" t="str">
        <f>IF($A$1="Peak","-",IF(BaseLoad!P75&gt;BaseLoad!$G75,J$8*PPA!$G$5*$Z76,0))</f>
        <v>-</v>
      </c>
      <c r="K76" s="237" t="str">
        <f>IF($A$1="Peak","-",IF(BaseLoad!Q75&gt;BaseLoad!$G75,K$8*PPA!$G$5*$Z76,0))</f>
        <v>-</v>
      </c>
      <c r="L76" s="237" t="str">
        <f>IF($A$1="Peak","-",IF(BaseLoad!R75&gt;BaseLoad!$G75,L$8*PPA!$G$5*$Z76,0))</f>
        <v>-</v>
      </c>
      <c r="M76" s="237" t="str">
        <f>IF($A$1="Peak","-",IF(BaseLoad!S75&gt;BaseLoad!$G75,M$8*PPA!$G$5*$Z76,0))</f>
        <v>-</v>
      </c>
      <c r="N76" s="237" t="str">
        <f>IF($A$1="Peak","-",IF(BaseLoad!T75&gt;BaseLoad!$G75,N$8*PPA!$G$5*$Z76,0))</f>
        <v>-</v>
      </c>
      <c r="O76" s="237" t="str">
        <f>IF($A$1="Peak","-",IF(BaseLoad!U75&gt;BaseLoad!$G75,O$8*PPA!$G$5*$Z76,0))</f>
        <v>-</v>
      </c>
      <c r="P76" s="237" t="str">
        <f>IF($A$1="Peak","-",IF(BaseLoad!V75&gt;BaseLoad!$G75,P$8*PPA!$G$5*$Z76,0))</f>
        <v>-</v>
      </c>
      <c r="Q76" s="237" t="str">
        <f>IF($A$1="Peak","-",IF(BaseLoad!W75&gt;BaseLoad!$G75,Q$8*PPA!$G$5*$Z76,0))</f>
        <v>-</v>
      </c>
      <c r="R76" s="237" t="str">
        <f>IF($A$1="Peak","-",IF(BaseLoad!X75&gt;BaseLoad!$G75,R$8*PPA!$G$5*$Z76,0))</f>
        <v>-</v>
      </c>
      <c r="S76" s="237" t="str">
        <f>IF($A$1="Peak","-",IF(BaseLoad!Y75&gt;BaseLoad!$G75,S$8*PPA!$G$5*$Z76,0))</f>
        <v>-</v>
      </c>
      <c r="T76" s="237" t="str">
        <f>IF($A$1="Peak","-",IF(BaseLoad!Z75&gt;BaseLoad!$G75,T$8*PPA!$G$5*$Z76,0))</f>
        <v>-</v>
      </c>
      <c r="U76" s="237" t="str">
        <f>IF($A$1="Peak","-",IF(BaseLoad!AA75&gt;BaseLoad!$G75,U$8*PPA!$G$5*$Z76,0))</f>
        <v>-</v>
      </c>
      <c r="V76" s="237">
        <f t="shared" si="3"/>
        <v>0</v>
      </c>
      <c r="W76" s="237" t="str">
        <f>IF($A$1="Peak","-",(730*PPA!$G$4*$Z76))</f>
        <v>-</v>
      </c>
      <c r="X76" s="237">
        <f t="shared" si="4"/>
        <v>0</v>
      </c>
      <c r="Y76" s="237"/>
      <c r="Z76" s="237">
        <f>CHOOSE(QUOTIENT(MONTH($A76),3)+1,BaseLoad!$AM$9,BaseLoad!$AN$9,BaseLoad!$AL$9,BaseLoad!$AO$9,BaseLoad!$AM$9)</f>
        <v>0.96612135909558572</v>
      </c>
      <c r="AA76" s="237">
        <f>CHOOSE(QUOTIENT(MONTH($A76),3)+1,BaseLoad!$AM$15,BaseLoad!$AN$15,BaseLoad!$AL$15,BaseLoad!$AO$15,BaseLoad!$AM$15)</f>
        <v>705</v>
      </c>
      <c r="AB76" s="471"/>
      <c r="AD76" s="471"/>
    </row>
    <row r="77" spans="1:30" x14ac:dyDescent="0.2">
      <c r="A77" s="1">
        <f t="shared" si="5"/>
        <v>38577.939000000086</v>
      </c>
      <c r="B77" s="237" t="str">
        <f>IF($A$1="Peak","-",IF(BaseLoad!H76&gt;BaseLoad!$G76,B$8*PPA!$G$5*$Z77,0))</f>
        <v>-</v>
      </c>
      <c r="C77" s="237" t="str">
        <f>IF($A$1="Peak","-",IF(BaseLoad!I76&gt;BaseLoad!$G76,C$8*PPA!$G$5*$Z77,0))</f>
        <v>-</v>
      </c>
      <c r="D77" s="237" t="str">
        <f>IF($A$1="Peak","-",IF(BaseLoad!J76&gt;BaseLoad!$G76,D$8*PPA!$G$5*$Z77,0))</f>
        <v>-</v>
      </c>
      <c r="E77" s="237" t="str">
        <f>IF($A$1="Peak","-",IF(BaseLoad!K76&gt;BaseLoad!$G76,E$8*PPA!$G$5*$Z77,0))</f>
        <v>-</v>
      </c>
      <c r="F77" s="237" t="str">
        <f>IF($A$1="Peak","-",IF(BaseLoad!L76&gt;BaseLoad!$G76,F$8*PPA!$G$5*$Z77,0))</f>
        <v>-</v>
      </c>
      <c r="G77" s="237" t="str">
        <f>IF($A$1="Peak","-",IF(BaseLoad!M76&gt;BaseLoad!$G76,G$8*PPA!$G$5*$Z77,0))</f>
        <v>-</v>
      </c>
      <c r="H77" s="237" t="str">
        <f>IF($A$1="Peak","-",IF(BaseLoad!N76&gt;BaseLoad!$G76,H$8*PPA!$G$5*$Z77,0))</f>
        <v>-</v>
      </c>
      <c r="I77" s="237" t="str">
        <f>IF($A$1="Peak","-",IF(BaseLoad!O76&gt;BaseLoad!$G76,I$8*PPA!$G$5*$Z77,0))</f>
        <v>-</v>
      </c>
      <c r="J77" s="237" t="str">
        <f>IF($A$1="Peak","-",IF(BaseLoad!P76&gt;BaseLoad!$G76,J$8*PPA!$G$5*$Z77,0))</f>
        <v>-</v>
      </c>
      <c r="K77" s="237" t="str">
        <f>IF($A$1="Peak","-",IF(BaseLoad!Q76&gt;BaseLoad!$G76,K$8*PPA!$G$5*$Z77,0))</f>
        <v>-</v>
      </c>
      <c r="L77" s="237" t="str">
        <f>IF($A$1="Peak","-",IF(BaseLoad!R76&gt;BaseLoad!$G76,L$8*PPA!$G$5*$Z77,0))</f>
        <v>-</v>
      </c>
      <c r="M77" s="237" t="str">
        <f>IF($A$1="Peak","-",IF(BaseLoad!S76&gt;BaseLoad!$G76,M$8*PPA!$G$5*$Z77,0))</f>
        <v>-</v>
      </c>
      <c r="N77" s="237" t="str">
        <f>IF($A$1="Peak","-",IF(BaseLoad!T76&gt;BaseLoad!$G76,N$8*PPA!$G$5*$Z77,0))</f>
        <v>-</v>
      </c>
      <c r="O77" s="237" t="str">
        <f>IF($A$1="Peak","-",IF(BaseLoad!U76&gt;BaseLoad!$G76,O$8*PPA!$G$5*$Z77,0))</f>
        <v>-</v>
      </c>
      <c r="P77" s="237" t="str">
        <f>IF($A$1="Peak","-",IF(BaseLoad!V76&gt;BaseLoad!$G76,P$8*PPA!$G$5*$Z77,0))</f>
        <v>-</v>
      </c>
      <c r="Q77" s="237" t="str">
        <f>IF($A$1="Peak","-",IF(BaseLoad!W76&gt;BaseLoad!$G76,Q$8*PPA!$G$5*$Z77,0))</f>
        <v>-</v>
      </c>
      <c r="R77" s="237" t="str">
        <f>IF($A$1="Peak","-",IF(BaseLoad!X76&gt;BaseLoad!$G76,R$8*PPA!$G$5*$Z77,0))</f>
        <v>-</v>
      </c>
      <c r="S77" s="237" t="str">
        <f>IF($A$1="Peak","-",IF(BaseLoad!Y76&gt;BaseLoad!$G76,S$8*PPA!$G$5*$Z77,0))</f>
        <v>-</v>
      </c>
      <c r="T77" s="237" t="str">
        <f>IF($A$1="Peak","-",IF(BaseLoad!Z76&gt;BaseLoad!$G76,T$8*PPA!$G$5*$Z77,0))</f>
        <v>-</v>
      </c>
      <c r="U77" s="237" t="str">
        <f>IF($A$1="Peak","-",IF(BaseLoad!AA76&gt;BaseLoad!$G76,U$8*PPA!$G$5*$Z77,0))</f>
        <v>-</v>
      </c>
      <c r="V77" s="237">
        <f t="shared" si="3"/>
        <v>0</v>
      </c>
      <c r="W77" s="237" t="str">
        <f>IF($A$1="Peak","-",(730*PPA!$G$4*$Z77))</f>
        <v>-</v>
      </c>
      <c r="X77" s="237">
        <f t="shared" si="4"/>
        <v>0</v>
      </c>
      <c r="Y77" s="237"/>
      <c r="Z77" s="237">
        <f>CHOOSE(QUOTIENT(MONTH($A77),3)+1,BaseLoad!$AM$9,BaseLoad!$AN$9,BaseLoad!$AL$9,BaseLoad!$AO$9,BaseLoad!$AM$9)</f>
        <v>0.96612135909558572</v>
      </c>
      <c r="AA77" s="237">
        <f>CHOOSE(QUOTIENT(MONTH($A77),3)+1,BaseLoad!$AM$15,BaseLoad!$AN$15,BaseLoad!$AL$15,BaseLoad!$AO$15,BaseLoad!$AM$15)</f>
        <v>705</v>
      </c>
      <c r="AB77" s="471"/>
      <c r="AD77" s="471"/>
    </row>
    <row r="78" spans="1:30" x14ac:dyDescent="0.2">
      <c r="A78" s="1">
        <f t="shared" si="5"/>
        <v>38608.356000000087</v>
      </c>
      <c r="B78" s="237" t="str">
        <f>IF($A$1="Peak","-",IF(BaseLoad!H77&gt;BaseLoad!$G77,B$8*PPA!$G$5*$Z78,0))</f>
        <v>-</v>
      </c>
      <c r="C78" s="237" t="str">
        <f>IF($A$1="Peak","-",IF(BaseLoad!I77&gt;BaseLoad!$G77,C$8*PPA!$G$5*$Z78,0))</f>
        <v>-</v>
      </c>
      <c r="D78" s="237" t="str">
        <f>IF($A$1="Peak","-",IF(BaseLoad!J77&gt;BaseLoad!$G77,D$8*PPA!$G$5*$Z78,0))</f>
        <v>-</v>
      </c>
      <c r="E78" s="237" t="str">
        <f>IF($A$1="Peak","-",IF(BaseLoad!K77&gt;BaseLoad!$G77,E$8*PPA!$G$5*$Z78,0))</f>
        <v>-</v>
      </c>
      <c r="F78" s="237" t="str">
        <f>IF($A$1="Peak","-",IF(BaseLoad!L77&gt;BaseLoad!$G77,F$8*PPA!$G$5*$Z78,0))</f>
        <v>-</v>
      </c>
      <c r="G78" s="237" t="str">
        <f>IF($A$1="Peak","-",IF(BaseLoad!M77&gt;BaseLoad!$G77,G$8*PPA!$G$5*$Z78,0))</f>
        <v>-</v>
      </c>
      <c r="H78" s="237" t="str">
        <f>IF($A$1="Peak","-",IF(BaseLoad!N77&gt;BaseLoad!$G77,H$8*PPA!$G$5*$Z78,0))</f>
        <v>-</v>
      </c>
      <c r="I78" s="237" t="str">
        <f>IF($A$1="Peak","-",IF(BaseLoad!O77&gt;BaseLoad!$G77,I$8*PPA!$G$5*$Z78,0))</f>
        <v>-</v>
      </c>
      <c r="J78" s="237" t="str">
        <f>IF($A$1="Peak","-",IF(BaseLoad!P77&gt;BaseLoad!$G77,J$8*PPA!$G$5*$Z78,0))</f>
        <v>-</v>
      </c>
      <c r="K78" s="237" t="str">
        <f>IF($A$1="Peak","-",IF(BaseLoad!Q77&gt;BaseLoad!$G77,K$8*PPA!$G$5*$Z78,0))</f>
        <v>-</v>
      </c>
      <c r="L78" s="237" t="str">
        <f>IF($A$1="Peak","-",IF(BaseLoad!R77&gt;BaseLoad!$G77,L$8*PPA!$G$5*$Z78,0))</f>
        <v>-</v>
      </c>
      <c r="M78" s="237" t="str">
        <f>IF($A$1="Peak","-",IF(BaseLoad!S77&gt;BaseLoad!$G77,M$8*PPA!$G$5*$Z78,0))</f>
        <v>-</v>
      </c>
      <c r="N78" s="237" t="str">
        <f>IF($A$1="Peak","-",IF(BaseLoad!T77&gt;BaseLoad!$G77,N$8*PPA!$G$5*$Z78,0))</f>
        <v>-</v>
      </c>
      <c r="O78" s="237" t="str">
        <f>IF($A$1="Peak","-",IF(BaseLoad!U77&gt;BaseLoad!$G77,O$8*PPA!$G$5*$Z78,0))</f>
        <v>-</v>
      </c>
      <c r="P78" s="237" t="str">
        <f>IF($A$1="Peak","-",IF(BaseLoad!V77&gt;BaseLoad!$G77,P$8*PPA!$G$5*$Z78,0))</f>
        <v>-</v>
      </c>
      <c r="Q78" s="237" t="str">
        <f>IF($A$1="Peak","-",IF(BaseLoad!W77&gt;BaseLoad!$G77,Q$8*PPA!$G$5*$Z78,0))</f>
        <v>-</v>
      </c>
      <c r="R78" s="237" t="str">
        <f>IF($A$1="Peak","-",IF(BaseLoad!X77&gt;BaseLoad!$G77,R$8*PPA!$G$5*$Z78,0))</f>
        <v>-</v>
      </c>
      <c r="S78" s="237" t="str">
        <f>IF($A$1="Peak","-",IF(BaseLoad!Y77&gt;BaseLoad!$G77,S$8*PPA!$G$5*$Z78,0))</f>
        <v>-</v>
      </c>
      <c r="T78" s="237" t="str">
        <f>IF($A$1="Peak","-",IF(BaseLoad!Z77&gt;BaseLoad!$G77,T$8*PPA!$G$5*$Z78,0))</f>
        <v>-</v>
      </c>
      <c r="U78" s="237" t="str">
        <f>IF($A$1="Peak","-",IF(BaseLoad!AA77&gt;BaseLoad!$G77,U$8*PPA!$G$5*$Z78,0))</f>
        <v>-</v>
      </c>
      <c r="V78" s="237">
        <f t="shared" si="3"/>
        <v>0</v>
      </c>
      <c r="W78" s="237" t="str">
        <f>IF($A$1="Peak","-",(730*PPA!$G$4*$Z78))</f>
        <v>-</v>
      </c>
      <c r="X78" s="237">
        <f t="shared" si="4"/>
        <v>0</v>
      </c>
      <c r="Y78" s="237"/>
      <c r="Z78" s="237">
        <f>CHOOSE(QUOTIENT(MONTH($A78),3)+1,BaseLoad!$AM$9,BaseLoad!$AN$9,BaseLoad!$AL$9,BaseLoad!$AO$9,BaseLoad!$AM$9)</f>
        <v>0.95</v>
      </c>
      <c r="AA78" s="237">
        <f>CHOOSE(QUOTIENT(MONTH($A78),3)+1,BaseLoad!$AM$15,BaseLoad!$AN$15,BaseLoad!$AL$15,BaseLoad!$AO$15,BaseLoad!$AM$15)</f>
        <v>705</v>
      </c>
      <c r="AB78" s="471"/>
      <c r="AD78" s="471"/>
    </row>
    <row r="79" spans="1:30" x14ac:dyDescent="0.2">
      <c r="A79" s="1">
        <f t="shared" si="5"/>
        <v>38638.773000000088</v>
      </c>
      <c r="B79" s="237" t="str">
        <f>IF($A$1="Peak","-",IF(BaseLoad!H78&gt;BaseLoad!$G78,B$8*PPA!$G$5*$Z79,0))</f>
        <v>-</v>
      </c>
      <c r="C79" s="237" t="str">
        <f>IF($A$1="Peak","-",IF(BaseLoad!I78&gt;BaseLoad!$G78,C$8*PPA!$G$5*$Z79,0))</f>
        <v>-</v>
      </c>
      <c r="D79" s="237" t="str">
        <f>IF($A$1="Peak","-",IF(BaseLoad!J78&gt;BaseLoad!$G78,D$8*PPA!$G$5*$Z79,0))</f>
        <v>-</v>
      </c>
      <c r="E79" s="237" t="str">
        <f>IF($A$1="Peak","-",IF(BaseLoad!K78&gt;BaseLoad!$G78,E$8*PPA!$G$5*$Z79,0))</f>
        <v>-</v>
      </c>
      <c r="F79" s="237" t="str">
        <f>IF($A$1="Peak","-",IF(BaseLoad!L78&gt;BaseLoad!$G78,F$8*PPA!$G$5*$Z79,0))</f>
        <v>-</v>
      </c>
      <c r="G79" s="237" t="str">
        <f>IF($A$1="Peak","-",IF(BaseLoad!M78&gt;BaseLoad!$G78,G$8*PPA!$G$5*$Z79,0))</f>
        <v>-</v>
      </c>
      <c r="H79" s="237" t="str">
        <f>IF($A$1="Peak","-",IF(BaseLoad!N78&gt;BaseLoad!$G78,H$8*PPA!$G$5*$Z79,0))</f>
        <v>-</v>
      </c>
      <c r="I79" s="237" t="str">
        <f>IF($A$1="Peak","-",IF(BaseLoad!O78&gt;BaseLoad!$G78,I$8*PPA!$G$5*$Z79,0))</f>
        <v>-</v>
      </c>
      <c r="J79" s="237" t="str">
        <f>IF($A$1="Peak","-",IF(BaseLoad!P78&gt;BaseLoad!$G78,J$8*PPA!$G$5*$Z79,0))</f>
        <v>-</v>
      </c>
      <c r="K79" s="237" t="str">
        <f>IF($A$1="Peak","-",IF(BaseLoad!Q78&gt;BaseLoad!$G78,K$8*PPA!$G$5*$Z79,0))</f>
        <v>-</v>
      </c>
      <c r="L79" s="237" t="str">
        <f>IF($A$1="Peak","-",IF(BaseLoad!R78&gt;BaseLoad!$G78,L$8*PPA!$G$5*$Z79,0))</f>
        <v>-</v>
      </c>
      <c r="M79" s="237" t="str">
        <f>IF($A$1="Peak","-",IF(BaseLoad!S78&gt;BaseLoad!$G78,M$8*PPA!$G$5*$Z79,0))</f>
        <v>-</v>
      </c>
      <c r="N79" s="237" t="str">
        <f>IF($A$1="Peak","-",IF(BaseLoad!T78&gt;BaseLoad!$G78,N$8*PPA!$G$5*$Z79,0))</f>
        <v>-</v>
      </c>
      <c r="O79" s="237" t="str">
        <f>IF($A$1="Peak","-",IF(BaseLoad!U78&gt;BaseLoad!$G78,O$8*PPA!$G$5*$Z79,0))</f>
        <v>-</v>
      </c>
      <c r="P79" s="237" t="str">
        <f>IF($A$1="Peak","-",IF(BaseLoad!V78&gt;BaseLoad!$G78,P$8*PPA!$G$5*$Z79,0))</f>
        <v>-</v>
      </c>
      <c r="Q79" s="237" t="str">
        <f>IF($A$1="Peak","-",IF(BaseLoad!W78&gt;BaseLoad!$G78,Q$8*PPA!$G$5*$Z79,0))</f>
        <v>-</v>
      </c>
      <c r="R79" s="237" t="str">
        <f>IF($A$1="Peak","-",IF(BaseLoad!X78&gt;BaseLoad!$G78,R$8*PPA!$G$5*$Z79,0))</f>
        <v>-</v>
      </c>
      <c r="S79" s="237" t="str">
        <f>IF($A$1="Peak","-",IF(BaseLoad!Y78&gt;BaseLoad!$G78,S$8*PPA!$G$5*$Z79,0))</f>
        <v>-</v>
      </c>
      <c r="T79" s="237" t="str">
        <f>IF($A$1="Peak","-",IF(BaseLoad!Z78&gt;BaseLoad!$G78,T$8*PPA!$G$5*$Z79,0))</f>
        <v>-</v>
      </c>
      <c r="U79" s="237" t="str">
        <f>IF($A$1="Peak","-",IF(BaseLoad!AA78&gt;BaseLoad!$G78,U$8*PPA!$G$5*$Z79,0))</f>
        <v>-</v>
      </c>
      <c r="V79" s="237">
        <f t="shared" si="3"/>
        <v>0</v>
      </c>
      <c r="W79" s="237" t="str">
        <f>IF($A$1="Peak","-",(730*PPA!$G$4*$Z79))</f>
        <v>-</v>
      </c>
      <c r="X79" s="237">
        <f t="shared" si="4"/>
        <v>0</v>
      </c>
      <c r="Y79" s="237"/>
      <c r="Z79" s="237">
        <f>CHOOSE(QUOTIENT(MONTH($A79),3)+1,BaseLoad!$AM$9,BaseLoad!$AN$9,BaseLoad!$AL$9,BaseLoad!$AO$9,BaseLoad!$AM$9)</f>
        <v>0.95</v>
      </c>
      <c r="AA79" s="237">
        <f>CHOOSE(QUOTIENT(MONTH($A79),3)+1,BaseLoad!$AM$15,BaseLoad!$AN$15,BaseLoad!$AL$15,BaseLoad!$AO$15,BaseLoad!$AM$15)</f>
        <v>705</v>
      </c>
      <c r="AB79" s="471"/>
      <c r="AD79" s="471"/>
    </row>
    <row r="80" spans="1:30" x14ac:dyDescent="0.2">
      <c r="A80" s="1">
        <f t="shared" si="5"/>
        <v>38669.19000000009</v>
      </c>
      <c r="B80" s="237" t="str">
        <f>IF($A$1="Peak","-",IF(BaseLoad!H79&gt;BaseLoad!$G79,B$8*PPA!$G$5*$Z80,0))</f>
        <v>-</v>
      </c>
      <c r="C80" s="237" t="str">
        <f>IF($A$1="Peak","-",IF(BaseLoad!I79&gt;BaseLoad!$G79,C$8*PPA!$G$5*$Z80,0))</f>
        <v>-</v>
      </c>
      <c r="D80" s="237" t="str">
        <f>IF($A$1="Peak","-",IF(BaseLoad!J79&gt;BaseLoad!$G79,D$8*PPA!$G$5*$Z80,0))</f>
        <v>-</v>
      </c>
      <c r="E80" s="237" t="str">
        <f>IF($A$1="Peak","-",IF(BaseLoad!K79&gt;BaseLoad!$G79,E$8*PPA!$G$5*$Z80,0))</f>
        <v>-</v>
      </c>
      <c r="F80" s="237" t="str">
        <f>IF($A$1="Peak","-",IF(BaseLoad!L79&gt;BaseLoad!$G79,F$8*PPA!$G$5*$Z80,0))</f>
        <v>-</v>
      </c>
      <c r="G80" s="237" t="str">
        <f>IF($A$1="Peak","-",IF(BaseLoad!M79&gt;BaseLoad!$G79,G$8*PPA!$G$5*$Z80,0))</f>
        <v>-</v>
      </c>
      <c r="H80" s="237" t="str">
        <f>IF($A$1="Peak","-",IF(BaseLoad!N79&gt;BaseLoad!$G79,H$8*PPA!$G$5*$Z80,0))</f>
        <v>-</v>
      </c>
      <c r="I80" s="237" t="str">
        <f>IF($A$1="Peak","-",IF(BaseLoad!O79&gt;BaseLoad!$G79,I$8*PPA!$G$5*$Z80,0))</f>
        <v>-</v>
      </c>
      <c r="J80" s="237" t="str">
        <f>IF($A$1="Peak","-",IF(BaseLoad!P79&gt;BaseLoad!$G79,J$8*PPA!$G$5*$Z80,0))</f>
        <v>-</v>
      </c>
      <c r="K80" s="237" t="str">
        <f>IF($A$1="Peak","-",IF(BaseLoad!Q79&gt;BaseLoad!$G79,K$8*PPA!$G$5*$Z80,0))</f>
        <v>-</v>
      </c>
      <c r="L80" s="237" t="str">
        <f>IF($A$1="Peak","-",IF(BaseLoad!R79&gt;BaseLoad!$G79,L$8*PPA!$G$5*$Z80,0))</f>
        <v>-</v>
      </c>
      <c r="M80" s="237" t="str">
        <f>IF($A$1="Peak","-",IF(BaseLoad!S79&gt;BaseLoad!$G79,M$8*PPA!$G$5*$Z80,0))</f>
        <v>-</v>
      </c>
      <c r="N80" s="237" t="str">
        <f>IF($A$1="Peak","-",IF(BaseLoad!T79&gt;BaseLoad!$G79,N$8*PPA!$G$5*$Z80,0))</f>
        <v>-</v>
      </c>
      <c r="O80" s="237" t="str">
        <f>IF($A$1="Peak","-",IF(BaseLoad!U79&gt;BaseLoad!$G79,O$8*PPA!$G$5*$Z80,0))</f>
        <v>-</v>
      </c>
      <c r="P80" s="237" t="str">
        <f>IF($A$1="Peak","-",IF(BaseLoad!V79&gt;BaseLoad!$G79,P$8*PPA!$G$5*$Z80,0))</f>
        <v>-</v>
      </c>
      <c r="Q80" s="237" t="str">
        <f>IF($A$1="Peak","-",IF(BaseLoad!W79&gt;BaseLoad!$G79,Q$8*PPA!$G$5*$Z80,0))</f>
        <v>-</v>
      </c>
      <c r="R80" s="237" t="str">
        <f>IF($A$1="Peak","-",IF(BaseLoad!X79&gt;BaseLoad!$G79,R$8*PPA!$G$5*$Z80,0))</f>
        <v>-</v>
      </c>
      <c r="S80" s="237" t="str">
        <f>IF($A$1="Peak","-",IF(BaseLoad!Y79&gt;BaseLoad!$G79,S$8*PPA!$G$5*$Z80,0))</f>
        <v>-</v>
      </c>
      <c r="T80" s="237" t="str">
        <f>IF($A$1="Peak","-",IF(BaseLoad!Z79&gt;BaseLoad!$G79,T$8*PPA!$G$5*$Z80,0))</f>
        <v>-</v>
      </c>
      <c r="U80" s="237" t="str">
        <f>IF($A$1="Peak","-",IF(BaseLoad!AA79&gt;BaseLoad!$G79,U$8*PPA!$G$5*$Z80,0))</f>
        <v>-</v>
      </c>
      <c r="V80" s="237">
        <f t="shared" si="3"/>
        <v>0</v>
      </c>
      <c r="W80" s="237" t="str">
        <f>IF($A$1="Peak","-",(730*PPA!$G$4*$Z80))</f>
        <v>-</v>
      </c>
      <c r="X80" s="237">
        <f t="shared" si="4"/>
        <v>0</v>
      </c>
      <c r="Y80" s="237"/>
      <c r="Z80" s="237">
        <f>CHOOSE(QUOTIENT(MONTH($A80),3)+1,BaseLoad!$AM$9,BaseLoad!$AN$9,BaseLoad!$AL$9,BaseLoad!$AO$9,BaseLoad!$AM$9)</f>
        <v>0.95</v>
      </c>
      <c r="AA80" s="237">
        <f>CHOOSE(QUOTIENT(MONTH($A80),3)+1,BaseLoad!$AM$15,BaseLoad!$AN$15,BaseLoad!$AL$15,BaseLoad!$AO$15,BaseLoad!$AM$15)</f>
        <v>705</v>
      </c>
      <c r="AB80" s="471"/>
      <c r="AD80" s="471"/>
    </row>
    <row r="81" spans="1:30" x14ac:dyDescent="0.2">
      <c r="A81" s="1">
        <f t="shared" si="5"/>
        <v>38699.607000000091</v>
      </c>
      <c r="B81" s="237" t="str">
        <f>IF($A$1="Peak","-",IF(BaseLoad!H80&gt;BaseLoad!$G80,B$8*PPA!$G$5*$Z81,0))</f>
        <v>-</v>
      </c>
      <c r="C81" s="237" t="str">
        <f>IF($A$1="Peak","-",IF(BaseLoad!I80&gt;BaseLoad!$G80,C$8*PPA!$G$5*$Z81,0))</f>
        <v>-</v>
      </c>
      <c r="D81" s="237" t="str">
        <f>IF($A$1="Peak","-",IF(BaseLoad!J80&gt;BaseLoad!$G80,D$8*PPA!$G$5*$Z81,0))</f>
        <v>-</v>
      </c>
      <c r="E81" s="237" t="str">
        <f>IF($A$1="Peak","-",IF(BaseLoad!K80&gt;BaseLoad!$G80,E$8*PPA!$G$5*$Z81,0))</f>
        <v>-</v>
      </c>
      <c r="F81" s="237" t="str">
        <f>IF($A$1="Peak","-",IF(BaseLoad!L80&gt;BaseLoad!$G80,F$8*PPA!$G$5*$Z81,0))</f>
        <v>-</v>
      </c>
      <c r="G81" s="237" t="str">
        <f>IF($A$1="Peak","-",IF(BaseLoad!M80&gt;BaseLoad!$G80,G$8*PPA!$G$5*$Z81,0))</f>
        <v>-</v>
      </c>
      <c r="H81" s="237" t="str">
        <f>IF($A$1="Peak","-",IF(BaseLoad!N80&gt;BaseLoad!$G80,H$8*PPA!$G$5*$Z81,0))</f>
        <v>-</v>
      </c>
      <c r="I81" s="237" t="str">
        <f>IF($A$1="Peak","-",IF(BaseLoad!O80&gt;BaseLoad!$G80,I$8*PPA!$G$5*$Z81,0))</f>
        <v>-</v>
      </c>
      <c r="J81" s="237" t="str">
        <f>IF($A$1="Peak","-",IF(BaseLoad!P80&gt;BaseLoad!$G80,J$8*PPA!$G$5*$Z81,0))</f>
        <v>-</v>
      </c>
      <c r="K81" s="237" t="str">
        <f>IF($A$1="Peak","-",IF(BaseLoad!Q80&gt;BaseLoad!$G80,K$8*PPA!$G$5*$Z81,0))</f>
        <v>-</v>
      </c>
      <c r="L81" s="237" t="str">
        <f>IF($A$1="Peak","-",IF(BaseLoad!R80&gt;BaseLoad!$G80,L$8*PPA!$G$5*$Z81,0))</f>
        <v>-</v>
      </c>
      <c r="M81" s="237" t="str">
        <f>IF($A$1="Peak","-",IF(BaseLoad!S80&gt;BaseLoad!$G80,M$8*PPA!$G$5*$Z81,0))</f>
        <v>-</v>
      </c>
      <c r="N81" s="237" t="str">
        <f>IF($A$1="Peak","-",IF(BaseLoad!T80&gt;BaseLoad!$G80,N$8*PPA!$G$5*$Z81,0))</f>
        <v>-</v>
      </c>
      <c r="O81" s="237" t="str">
        <f>IF($A$1="Peak","-",IF(BaseLoad!U80&gt;BaseLoad!$G80,O$8*PPA!$G$5*$Z81,0))</f>
        <v>-</v>
      </c>
      <c r="P81" s="237" t="str">
        <f>IF($A$1="Peak","-",IF(BaseLoad!V80&gt;BaseLoad!$G80,P$8*PPA!$G$5*$Z81,0))</f>
        <v>-</v>
      </c>
      <c r="Q81" s="237" t="str">
        <f>IF($A$1="Peak","-",IF(BaseLoad!W80&gt;BaseLoad!$G80,Q$8*PPA!$G$5*$Z81,0))</f>
        <v>-</v>
      </c>
      <c r="R81" s="237" t="str">
        <f>IF($A$1="Peak","-",IF(BaseLoad!X80&gt;BaseLoad!$G80,R$8*PPA!$G$5*$Z81,0))</f>
        <v>-</v>
      </c>
      <c r="S81" s="237" t="str">
        <f>IF($A$1="Peak","-",IF(BaseLoad!Y80&gt;BaseLoad!$G80,S$8*PPA!$G$5*$Z81,0))</f>
        <v>-</v>
      </c>
      <c r="T81" s="237" t="str">
        <f>IF($A$1="Peak","-",IF(BaseLoad!Z80&gt;BaseLoad!$G80,T$8*PPA!$G$5*$Z81,0))</f>
        <v>-</v>
      </c>
      <c r="U81" s="237" t="str">
        <f>IF($A$1="Peak","-",IF(BaseLoad!AA80&gt;BaseLoad!$G80,U$8*PPA!$G$5*$Z81,0))</f>
        <v>-</v>
      </c>
      <c r="V81" s="237">
        <f t="shared" si="3"/>
        <v>0</v>
      </c>
      <c r="W81" s="237" t="str">
        <f>IF($A$1="Peak","-",(730*PPA!$G$4*$Z81))</f>
        <v>-</v>
      </c>
      <c r="X81" s="237">
        <f t="shared" si="4"/>
        <v>0</v>
      </c>
      <c r="Y81" s="237">
        <f>SUM(X70:X81)</f>
        <v>0</v>
      </c>
      <c r="Z81" s="237">
        <f>CHOOSE(QUOTIENT(MONTH($A81),3)+1,BaseLoad!$AM$9,BaseLoad!$AN$9,BaseLoad!$AL$9,BaseLoad!$AO$9,BaseLoad!$AM$9)</f>
        <v>0.92427661878611755</v>
      </c>
      <c r="AA81" s="237">
        <f>CHOOSE(QUOTIENT(MONTH($A81),3)+1,BaseLoad!$AM$15,BaseLoad!$AN$15,BaseLoad!$AL$15,BaseLoad!$AO$15,BaseLoad!$AM$15)</f>
        <v>705</v>
      </c>
      <c r="AB81" s="471"/>
      <c r="AD81" s="471"/>
    </row>
    <row r="82" spans="1:30" x14ac:dyDescent="0.2">
      <c r="A82" s="1">
        <f t="shared" si="5"/>
        <v>38730.024000000092</v>
      </c>
      <c r="B82" s="172" t="str">
        <f>IF($A$1="Peak","-",IF(BaseLoad!H81&gt;BaseLoad!$G81,B$8*$Z82,0))</f>
        <v>-</v>
      </c>
      <c r="C82" s="172" t="str">
        <f>IF($A$1="Peak","-",IF(BaseLoad!I81&gt;BaseLoad!$G81,C$8*$Z82,0))</f>
        <v>-</v>
      </c>
      <c r="D82" s="172" t="str">
        <f>IF($A$1="Peak","-",IF(BaseLoad!J81&gt;BaseLoad!$G81,D$8*$Z82,0))</f>
        <v>-</v>
      </c>
      <c r="E82" s="172" t="str">
        <f>IF($A$1="Peak","-",IF(BaseLoad!K81&gt;BaseLoad!$G81,E$8*$Z82,0))</f>
        <v>-</v>
      </c>
      <c r="F82" s="172" t="str">
        <f>IF($A$1="Peak","-",IF(BaseLoad!L81&gt;BaseLoad!$G81,F$8*$Z82,0))</f>
        <v>-</v>
      </c>
      <c r="G82" s="172" t="str">
        <f>IF($A$1="Peak","-",IF(BaseLoad!M81&gt;BaseLoad!$G81,G$8*$Z82,0))</f>
        <v>-</v>
      </c>
      <c r="H82" s="172" t="str">
        <f>IF($A$1="Peak","-",IF(BaseLoad!N81&gt;BaseLoad!$G81,H$8*$Z82,0))</f>
        <v>-</v>
      </c>
      <c r="I82" s="172" t="str">
        <f>IF($A$1="Peak","-",IF(BaseLoad!O81&gt;BaseLoad!$G81,I$8*$Z82,0))</f>
        <v>-</v>
      </c>
      <c r="J82" s="172" t="str">
        <f>IF($A$1="Peak","-",IF(BaseLoad!P81&gt;BaseLoad!$G81,J$8*$Z82,0))</f>
        <v>-</v>
      </c>
      <c r="K82" s="172" t="str">
        <f>IF($A$1="Peak","-",IF(BaseLoad!Q81&gt;BaseLoad!$G81,K$8*$Z82,0))</f>
        <v>-</v>
      </c>
      <c r="L82" s="172" t="str">
        <f>IF($A$1="Peak","-",IF(BaseLoad!R81&gt;BaseLoad!$G81,L$8*$Z82,0))</f>
        <v>-</v>
      </c>
      <c r="M82" s="172" t="str">
        <f>IF($A$1="Peak","-",IF(BaseLoad!S81&gt;BaseLoad!$G81,M$8*$Z82,0))</f>
        <v>-</v>
      </c>
      <c r="N82" s="172" t="str">
        <f>IF($A$1="Peak","-",IF(BaseLoad!T81&gt;BaseLoad!$G81,N$8*$Z82,0))</f>
        <v>-</v>
      </c>
      <c r="O82" s="172" t="str">
        <f>IF($A$1="Peak","-",IF(BaseLoad!U81&gt;BaseLoad!$G81,O$8*$Z82,0))</f>
        <v>-</v>
      </c>
      <c r="P82" s="172" t="str">
        <f>IF($A$1="Peak","-",IF(BaseLoad!V81&gt;BaseLoad!$G81,P$8*$Z82,0))</f>
        <v>-</v>
      </c>
      <c r="Q82" s="172" t="str">
        <f>IF($A$1="Peak","-",IF(BaseLoad!W81&gt;BaseLoad!$G81,Q$8*$Z82,0))</f>
        <v>-</v>
      </c>
      <c r="R82" s="172" t="str">
        <f>IF($A$1="Peak","-",IF(BaseLoad!X81&gt;BaseLoad!$G81,R$8*$Z82,0))</f>
        <v>-</v>
      </c>
      <c r="S82" s="172" t="str">
        <f>IF($A$1="Peak","-",IF(BaseLoad!Y81&gt;BaseLoad!$G81,S$8*$Z82,0))</f>
        <v>-</v>
      </c>
      <c r="T82" s="172" t="str">
        <f>IF($A$1="Peak","-",IF(BaseLoad!Z81&gt;BaseLoad!$G81,T$8*$Z82,0))</f>
        <v>-</v>
      </c>
      <c r="U82" s="172" t="str">
        <f>IF($A$1="Peak","-",IF(BaseLoad!AA81&gt;BaseLoad!$G81,U$8*$Z82,0))</f>
        <v>-</v>
      </c>
      <c r="V82" s="172">
        <f t="shared" si="3"/>
        <v>0</v>
      </c>
      <c r="W82" s="172"/>
      <c r="X82" s="172"/>
      <c r="Y82" s="172"/>
      <c r="Z82" s="172">
        <f>CHOOSE(QUOTIENT(MONTH($A82),3)+1,BaseLoad!$AM$9,BaseLoad!$AN$9,BaseLoad!$AL$9,BaseLoad!$AO$9,BaseLoad!$AM$9)</f>
        <v>0.92427661878611755</v>
      </c>
      <c r="AA82" s="172">
        <f>CHOOSE(QUOTIENT(MONTH($A82),3)+1,BaseLoad!$AM$15,BaseLoad!$AN$15,BaseLoad!$AL$15,BaseLoad!$AO$15,BaseLoad!$AM$15)</f>
        <v>705</v>
      </c>
      <c r="AB82" s="471"/>
      <c r="AD82" s="471"/>
    </row>
    <row r="83" spans="1:30" x14ac:dyDescent="0.2">
      <c r="A83" s="1">
        <f t="shared" si="5"/>
        <v>38760.441000000093</v>
      </c>
      <c r="B83" s="172" t="str">
        <f>IF($A$1="Peak","-",IF(BaseLoad!H82&gt;BaseLoad!$G82,B$8*$Z83,0))</f>
        <v>-</v>
      </c>
      <c r="C83" s="172" t="str">
        <f>IF($A$1="Peak","-",IF(BaseLoad!I82&gt;BaseLoad!$G82,C$8*$Z83,0))</f>
        <v>-</v>
      </c>
      <c r="D83" s="172" t="str">
        <f>IF($A$1="Peak","-",IF(BaseLoad!J82&gt;BaseLoad!$G82,D$8*$Z83,0))</f>
        <v>-</v>
      </c>
      <c r="E83" s="172" t="str">
        <f>IF($A$1="Peak","-",IF(BaseLoad!K82&gt;BaseLoad!$G82,E$8*$Z83,0))</f>
        <v>-</v>
      </c>
      <c r="F83" s="172" t="str">
        <f>IF($A$1="Peak","-",IF(BaseLoad!L82&gt;BaseLoad!$G82,F$8*$Z83,0))</f>
        <v>-</v>
      </c>
      <c r="G83" s="172" t="str">
        <f>IF($A$1="Peak","-",IF(BaseLoad!M82&gt;BaseLoad!$G82,G$8*$Z83,0))</f>
        <v>-</v>
      </c>
      <c r="H83" s="172" t="str">
        <f>IF($A$1="Peak","-",IF(BaseLoad!N82&gt;BaseLoad!$G82,H$8*$Z83,0))</f>
        <v>-</v>
      </c>
      <c r="I83" s="172" t="str">
        <f>IF($A$1="Peak","-",IF(BaseLoad!O82&gt;BaseLoad!$G82,I$8*$Z83,0))</f>
        <v>-</v>
      </c>
      <c r="J83" s="172" t="str">
        <f>IF($A$1="Peak","-",IF(BaseLoad!P82&gt;BaseLoad!$G82,J$8*$Z83,0))</f>
        <v>-</v>
      </c>
      <c r="K83" s="172" t="str">
        <f>IF($A$1="Peak","-",IF(BaseLoad!Q82&gt;BaseLoad!$G82,K$8*$Z83,0))</f>
        <v>-</v>
      </c>
      <c r="L83" s="172" t="str">
        <f>IF($A$1="Peak","-",IF(BaseLoad!R82&gt;BaseLoad!$G82,L$8*$Z83,0))</f>
        <v>-</v>
      </c>
      <c r="M83" s="172" t="str">
        <f>IF($A$1="Peak","-",IF(BaseLoad!S82&gt;BaseLoad!$G82,M$8*$Z83,0))</f>
        <v>-</v>
      </c>
      <c r="N83" s="172" t="str">
        <f>IF($A$1="Peak","-",IF(BaseLoad!T82&gt;BaseLoad!$G82,N$8*$Z83,0))</f>
        <v>-</v>
      </c>
      <c r="O83" s="172" t="str">
        <f>IF($A$1="Peak","-",IF(BaseLoad!U82&gt;BaseLoad!$G82,O$8*$Z83,0))</f>
        <v>-</v>
      </c>
      <c r="P83" s="172" t="str">
        <f>IF($A$1="Peak","-",IF(BaseLoad!V82&gt;BaseLoad!$G82,P$8*$Z83,0))</f>
        <v>-</v>
      </c>
      <c r="Q83" s="172" t="str">
        <f>IF($A$1="Peak","-",IF(BaseLoad!W82&gt;BaseLoad!$G82,Q$8*$Z83,0))</f>
        <v>-</v>
      </c>
      <c r="R83" s="172" t="str">
        <f>IF($A$1="Peak","-",IF(BaseLoad!X82&gt;BaseLoad!$G82,R$8*$Z83,0))</f>
        <v>-</v>
      </c>
      <c r="S83" s="172" t="str">
        <f>IF($A$1="Peak","-",IF(BaseLoad!Y82&gt;BaseLoad!$G82,S$8*$Z83,0))</f>
        <v>-</v>
      </c>
      <c r="T83" s="172" t="str">
        <f>IF($A$1="Peak","-",IF(BaseLoad!Z82&gt;BaseLoad!$G82,T$8*$Z83,0))</f>
        <v>-</v>
      </c>
      <c r="U83" s="172" t="str">
        <f>IF($A$1="Peak","-",IF(BaseLoad!AA82&gt;BaseLoad!$G82,U$8*$Z83,0))</f>
        <v>-</v>
      </c>
      <c r="V83" s="172">
        <f t="shared" si="3"/>
        <v>0</v>
      </c>
      <c r="W83" s="172"/>
      <c r="X83" s="172"/>
      <c r="Y83" s="172"/>
      <c r="Z83" s="172">
        <f>CHOOSE(QUOTIENT(MONTH($A83),3)+1,BaseLoad!$AM$9,BaseLoad!$AN$9,BaseLoad!$AL$9,BaseLoad!$AO$9,BaseLoad!$AM$9)</f>
        <v>0.92427661878611755</v>
      </c>
      <c r="AA83" s="172">
        <f>CHOOSE(QUOTIENT(MONTH($A83),3)+1,BaseLoad!$AM$15,BaseLoad!$AN$15,BaseLoad!$AL$15,BaseLoad!$AO$15,BaseLoad!$AM$15)</f>
        <v>705</v>
      </c>
      <c r="AB83" s="471"/>
      <c r="AD83" s="471"/>
    </row>
    <row r="84" spans="1:30" x14ac:dyDescent="0.2">
      <c r="A84" s="1">
        <f t="shared" si="5"/>
        <v>38790.858000000095</v>
      </c>
      <c r="B84" s="172" t="str">
        <f>IF($A$1="Peak","-",IF(BaseLoad!H83&gt;BaseLoad!$G83,B$8*$Z84,0))</f>
        <v>-</v>
      </c>
      <c r="C84" s="172" t="str">
        <f>IF($A$1="Peak","-",IF(BaseLoad!I83&gt;BaseLoad!$G83,C$8*$Z84,0))</f>
        <v>-</v>
      </c>
      <c r="D84" s="172" t="str">
        <f>IF($A$1="Peak","-",IF(BaseLoad!J83&gt;BaseLoad!$G83,D$8*$Z84,0))</f>
        <v>-</v>
      </c>
      <c r="E84" s="172" t="str">
        <f>IF($A$1="Peak","-",IF(BaseLoad!K83&gt;BaseLoad!$G83,E$8*$Z84,0))</f>
        <v>-</v>
      </c>
      <c r="F84" s="172" t="str">
        <f>IF($A$1="Peak","-",IF(BaseLoad!L83&gt;BaseLoad!$G83,F$8*$Z84,0))</f>
        <v>-</v>
      </c>
      <c r="G84" s="172" t="str">
        <f>IF($A$1="Peak","-",IF(BaseLoad!M83&gt;BaseLoad!$G83,G$8*$Z84,0))</f>
        <v>-</v>
      </c>
      <c r="H84" s="172" t="str">
        <f>IF($A$1="Peak","-",IF(BaseLoad!N83&gt;BaseLoad!$G83,H$8*$Z84,0))</f>
        <v>-</v>
      </c>
      <c r="I84" s="172" t="str">
        <f>IF($A$1="Peak","-",IF(BaseLoad!O83&gt;BaseLoad!$G83,I$8*$Z84,0))</f>
        <v>-</v>
      </c>
      <c r="J84" s="172" t="str">
        <f>IF($A$1="Peak","-",IF(BaseLoad!P83&gt;BaseLoad!$G83,J$8*$Z84,0))</f>
        <v>-</v>
      </c>
      <c r="K84" s="172" t="str">
        <f>IF($A$1="Peak","-",IF(BaseLoad!Q83&gt;BaseLoad!$G83,K$8*$Z84,0))</f>
        <v>-</v>
      </c>
      <c r="L84" s="172" t="str">
        <f>IF($A$1="Peak","-",IF(BaseLoad!R83&gt;BaseLoad!$G83,L$8*$Z84,0))</f>
        <v>-</v>
      </c>
      <c r="M84" s="172" t="str">
        <f>IF($A$1="Peak","-",IF(BaseLoad!S83&gt;BaseLoad!$G83,M$8*$Z84,0))</f>
        <v>-</v>
      </c>
      <c r="N84" s="172" t="str">
        <f>IF($A$1="Peak","-",IF(BaseLoad!T83&gt;BaseLoad!$G83,N$8*$Z84,0))</f>
        <v>-</v>
      </c>
      <c r="O84" s="172" t="str">
        <f>IF($A$1="Peak","-",IF(BaseLoad!U83&gt;BaseLoad!$G83,O$8*$Z84,0))</f>
        <v>-</v>
      </c>
      <c r="P84" s="172" t="str">
        <f>IF($A$1="Peak","-",IF(BaseLoad!V83&gt;BaseLoad!$G83,P$8*$Z84,0))</f>
        <v>-</v>
      </c>
      <c r="Q84" s="172" t="str">
        <f>IF($A$1="Peak","-",IF(BaseLoad!W83&gt;BaseLoad!$G83,Q$8*$Z84,0))</f>
        <v>-</v>
      </c>
      <c r="R84" s="172" t="str">
        <f>IF($A$1="Peak","-",IF(BaseLoad!X83&gt;BaseLoad!$G83,R$8*$Z84,0))</f>
        <v>-</v>
      </c>
      <c r="S84" s="172" t="str">
        <f>IF($A$1="Peak","-",IF(BaseLoad!Y83&gt;BaseLoad!$G83,S$8*$Z84,0))</f>
        <v>-</v>
      </c>
      <c r="T84" s="172" t="str">
        <f>IF($A$1="Peak","-",IF(BaseLoad!Z83&gt;BaseLoad!$G83,T$8*$Z84,0))</f>
        <v>-</v>
      </c>
      <c r="U84" s="172" t="str">
        <f>IF($A$1="Peak","-",IF(BaseLoad!AA83&gt;BaseLoad!$G83,U$8*$Z84,0))</f>
        <v>-</v>
      </c>
      <c r="V84" s="172">
        <f t="shared" si="3"/>
        <v>0</v>
      </c>
      <c r="W84" s="172"/>
      <c r="X84" s="172"/>
      <c r="Y84" s="172"/>
      <c r="Z84" s="172">
        <f>CHOOSE(QUOTIENT(MONTH($A84),3)+1,BaseLoad!$AM$9,BaseLoad!$AN$9,BaseLoad!$AL$9,BaseLoad!$AO$9,BaseLoad!$AM$9)</f>
        <v>0.95</v>
      </c>
      <c r="AA84" s="172">
        <f>CHOOSE(QUOTIENT(MONTH($A84),3)+1,BaseLoad!$AM$15,BaseLoad!$AN$15,BaseLoad!$AL$15,BaseLoad!$AO$15,BaseLoad!$AM$15)</f>
        <v>705</v>
      </c>
      <c r="AB84" s="471"/>
      <c r="AD84" s="471"/>
    </row>
    <row r="85" spans="1:30" x14ac:dyDescent="0.2">
      <c r="A85" s="1">
        <f t="shared" si="5"/>
        <v>38821.275000000096</v>
      </c>
      <c r="B85" s="172" t="str">
        <f>IF($A$1="Peak","-",IF(BaseLoad!H84&gt;BaseLoad!$G84,B$8*$Z85,0))</f>
        <v>-</v>
      </c>
      <c r="C85" s="172" t="str">
        <f>IF($A$1="Peak","-",IF(BaseLoad!I84&gt;BaseLoad!$G84,C$8*$Z85,0))</f>
        <v>-</v>
      </c>
      <c r="D85" s="172" t="str">
        <f>IF($A$1="Peak","-",IF(BaseLoad!J84&gt;BaseLoad!$G84,D$8*$Z85,0))</f>
        <v>-</v>
      </c>
      <c r="E85" s="172" t="str">
        <f>IF($A$1="Peak","-",IF(BaseLoad!K84&gt;BaseLoad!$G84,E$8*$Z85,0))</f>
        <v>-</v>
      </c>
      <c r="F85" s="172" t="str">
        <f>IF($A$1="Peak","-",IF(BaseLoad!L84&gt;BaseLoad!$G84,F$8*$Z85,0))</f>
        <v>-</v>
      </c>
      <c r="G85" s="172" t="str">
        <f>IF($A$1="Peak","-",IF(BaseLoad!M84&gt;BaseLoad!$G84,G$8*$Z85,0))</f>
        <v>-</v>
      </c>
      <c r="H85" s="172" t="str">
        <f>IF($A$1="Peak","-",IF(BaseLoad!N84&gt;BaseLoad!$G84,H$8*$Z85,0))</f>
        <v>-</v>
      </c>
      <c r="I85" s="172" t="str">
        <f>IF($A$1="Peak","-",IF(BaseLoad!O84&gt;BaseLoad!$G84,I$8*$Z85,0))</f>
        <v>-</v>
      </c>
      <c r="J85" s="172" t="str">
        <f>IF($A$1="Peak","-",IF(BaseLoad!P84&gt;BaseLoad!$G84,J$8*$Z85,0))</f>
        <v>-</v>
      </c>
      <c r="K85" s="172" t="str">
        <f>IF($A$1="Peak","-",IF(BaseLoad!Q84&gt;BaseLoad!$G84,K$8*$Z85,0))</f>
        <v>-</v>
      </c>
      <c r="L85" s="172" t="str">
        <f>IF($A$1="Peak","-",IF(BaseLoad!R84&gt;BaseLoad!$G84,L$8*$Z85,0))</f>
        <v>-</v>
      </c>
      <c r="M85" s="172" t="str">
        <f>IF($A$1="Peak","-",IF(BaseLoad!S84&gt;BaseLoad!$G84,M$8*$Z85,0))</f>
        <v>-</v>
      </c>
      <c r="N85" s="172" t="str">
        <f>IF($A$1="Peak","-",IF(BaseLoad!T84&gt;BaseLoad!$G84,N$8*$Z85,0))</f>
        <v>-</v>
      </c>
      <c r="O85" s="172" t="str">
        <f>IF($A$1="Peak","-",IF(BaseLoad!U84&gt;BaseLoad!$G84,O$8*$Z85,0))</f>
        <v>-</v>
      </c>
      <c r="P85" s="172" t="str">
        <f>IF($A$1="Peak","-",IF(BaseLoad!V84&gt;BaseLoad!$G84,P$8*$Z85,0))</f>
        <v>-</v>
      </c>
      <c r="Q85" s="172" t="str">
        <f>IF($A$1="Peak","-",IF(BaseLoad!W84&gt;BaseLoad!$G84,Q$8*$Z85,0))</f>
        <v>-</v>
      </c>
      <c r="R85" s="172" t="str">
        <f>IF($A$1="Peak","-",IF(BaseLoad!X84&gt;BaseLoad!$G84,R$8*$Z85,0))</f>
        <v>-</v>
      </c>
      <c r="S85" s="172" t="str">
        <f>IF($A$1="Peak","-",IF(BaseLoad!Y84&gt;BaseLoad!$G84,S$8*$Z85,0))</f>
        <v>-</v>
      </c>
      <c r="T85" s="172" t="str">
        <f>IF($A$1="Peak","-",IF(BaseLoad!Z84&gt;BaseLoad!$G84,T$8*$Z85,0))</f>
        <v>-</v>
      </c>
      <c r="U85" s="172" t="str">
        <f>IF($A$1="Peak","-",IF(BaseLoad!AA84&gt;BaseLoad!$G84,U$8*$Z85,0))</f>
        <v>-</v>
      </c>
      <c r="V85" s="172">
        <f t="shared" si="3"/>
        <v>0</v>
      </c>
      <c r="W85" s="172"/>
      <c r="X85" s="172"/>
      <c r="Y85" s="172"/>
      <c r="Z85" s="172">
        <f>CHOOSE(QUOTIENT(MONTH($A85),3)+1,BaseLoad!$AM$9,BaseLoad!$AN$9,BaseLoad!$AL$9,BaseLoad!$AO$9,BaseLoad!$AM$9)</f>
        <v>0.95</v>
      </c>
      <c r="AA85" s="172">
        <f>CHOOSE(QUOTIENT(MONTH($A85),3)+1,BaseLoad!$AM$15,BaseLoad!$AN$15,BaseLoad!$AL$15,BaseLoad!$AO$15,BaseLoad!$AM$15)</f>
        <v>705</v>
      </c>
      <c r="AB85" s="471"/>
      <c r="AD85" s="471"/>
    </row>
    <row r="86" spans="1:30" x14ac:dyDescent="0.2">
      <c r="A86" s="1">
        <f t="shared" si="5"/>
        <v>38851.692000000097</v>
      </c>
      <c r="B86" s="172" t="str">
        <f>IF($A$1="Peak","-",IF(BaseLoad!H85&gt;BaseLoad!$G85,B$8*$Z86,0))</f>
        <v>-</v>
      </c>
      <c r="C86" s="172" t="str">
        <f>IF($A$1="Peak","-",IF(BaseLoad!I85&gt;BaseLoad!$G85,C$8*$Z86,0))</f>
        <v>-</v>
      </c>
      <c r="D86" s="172" t="str">
        <f>IF($A$1="Peak","-",IF(BaseLoad!J85&gt;BaseLoad!$G85,D$8*$Z86,0))</f>
        <v>-</v>
      </c>
      <c r="E86" s="172" t="str">
        <f>IF($A$1="Peak","-",IF(BaseLoad!K85&gt;BaseLoad!$G85,E$8*$Z86,0))</f>
        <v>-</v>
      </c>
      <c r="F86" s="172" t="str">
        <f>IF($A$1="Peak","-",IF(BaseLoad!L85&gt;BaseLoad!$G85,F$8*$Z86,0))</f>
        <v>-</v>
      </c>
      <c r="G86" s="172" t="str">
        <f>IF($A$1="Peak","-",IF(BaseLoad!M85&gt;BaseLoad!$G85,G$8*$Z86,0))</f>
        <v>-</v>
      </c>
      <c r="H86" s="172" t="str">
        <f>IF($A$1="Peak","-",IF(BaseLoad!N85&gt;BaseLoad!$G85,H$8*$Z86,0))</f>
        <v>-</v>
      </c>
      <c r="I86" s="172" t="str">
        <f>IF($A$1="Peak","-",IF(BaseLoad!O85&gt;BaseLoad!$G85,I$8*$Z86,0))</f>
        <v>-</v>
      </c>
      <c r="J86" s="172" t="str">
        <f>IF($A$1="Peak","-",IF(BaseLoad!P85&gt;BaseLoad!$G85,J$8*$Z86,0))</f>
        <v>-</v>
      </c>
      <c r="K86" s="172" t="str">
        <f>IF($A$1="Peak","-",IF(BaseLoad!Q85&gt;BaseLoad!$G85,K$8*$Z86,0))</f>
        <v>-</v>
      </c>
      <c r="L86" s="172" t="str">
        <f>IF($A$1="Peak","-",IF(BaseLoad!R85&gt;BaseLoad!$G85,L$8*$Z86,0))</f>
        <v>-</v>
      </c>
      <c r="M86" s="172" t="str">
        <f>IF($A$1="Peak","-",IF(BaseLoad!S85&gt;BaseLoad!$G85,M$8*$Z86,0))</f>
        <v>-</v>
      </c>
      <c r="N86" s="172" t="str">
        <f>IF($A$1="Peak","-",IF(BaseLoad!T85&gt;BaseLoad!$G85,N$8*$Z86,0))</f>
        <v>-</v>
      </c>
      <c r="O86" s="172" t="str">
        <f>IF($A$1="Peak","-",IF(BaseLoad!U85&gt;BaseLoad!$G85,O$8*$Z86,0))</f>
        <v>-</v>
      </c>
      <c r="P86" s="172" t="str">
        <f>IF($A$1="Peak","-",IF(BaseLoad!V85&gt;BaseLoad!$G85,P$8*$Z86,0))</f>
        <v>-</v>
      </c>
      <c r="Q86" s="172" t="str">
        <f>IF($A$1="Peak","-",IF(BaseLoad!W85&gt;BaseLoad!$G85,Q$8*$Z86,0))</f>
        <v>-</v>
      </c>
      <c r="R86" s="172" t="str">
        <f>IF($A$1="Peak","-",IF(BaseLoad!X85&gt;BaseLoad!$G85,R$8*$Z86,0))</f>
        <v>-</v>
      </c>
      <c r="S86" s="172" t="str">
        <f>IF($A$1="Peak","-",IF(BaseLoad!Y85&gt;BaseLoad!$G85,S$8*$Z86,0))</f>
        <v>-</v>
      </c>
      <c r="T86" s="172" t="str">
        <f>IF($A$1="Peak","-",IF(BaseLoad!Z85&gt;BaseLoad!$G85,T$8*$Z86,0))</f>
        <v>-</v>
      </c>
      <c r="U86" s="172" t="str">
        <f>IF($A$1="Peak","-",IF(BaseLoad!AA85&gt;BaseLoad!$G85,U$8*$Z86,0))</f>
        <v>-</v>
      </c>
      <c r="V86" s="172">
        <f t="shared" si="3"/>
        <v>0</v>
      </c>
      <c r="W86" s="172"/>
      <c r="X86" s="172"/>
      <c r="Y86" s="172"/>
      <c r="Z86" s="172">
        <f>CHOOSE(QUOTIENT(MONTH($A86),3)+1,BaseLoad!$AM$9,BaseLoad!$AN$9,BaseLoad!$AL$9,BaseLoad!$AO$9,BaseLoad!$AM$9)</f>
        <v>0.95</v>
      </c>
      <c r="AA86" s="172">
        <f>CHOOSE(QUOTIENT(MONTH($A86),3)+1,BaseLoad!$AM$15,BaseLoad!$AN$15,BaseLoad!$AL$15,BaseLoad!$AO$15,BaseLoad!$AM$15)</f>
        <v>705</v>
      </c>
      <c r="AB86" s="471"/>
      <c r="AD86" s="471"/>
    </row>
    <row r="87" spans="1:30" x14ac:dyDescent="0.2">
      <c r="A87" s="1">
        <f t="shared" si="5"/>
        <v>38882.109000000099</v>
      </c>
      <c r="B87" s="172" t="str">
        <f>IF($A$1="Peak","-",IF(BaseLoad!H86&gt;BaseLoad!$G86,B$8*$Z87,0))</f>
        <v>-</v>
      </c>
      <c r="C87" s="172" t="str">
        <f>IF($A$1="Peak","-",IF(BaseLoad!I86&gt;BaseLoad!$G86,C$8*$Z87,0))</f>
        <v>-</v>
      </c>
      <c r="D87" s="172" t="str">
        <f>IF($A$1="Peak","-",IF(BaseLoad!J86&gt;BaseLoad!$G86,D$8*$Z87,0))</f>
        <v>-</v>
      </c>
      <c r="E87" s="172" t="str">
        <f>IF($A$1="Peak","-",IF(BaseLoad!K86&gt;BaseLoad!$G86,E$8*$Z87,0))</f>
        <v>-</v>
      </c>
      <c r="F87" s="172" t="str">
        <f>IF($A$1="Peak","-",IF(BaseLoad!L86&gt;BaseLoad!$G86,F$8*$Z87,0))</f>
        <v>-</v>
      </c>
      <c r="G87" s="172" t="str">
        <f>IF($A$1="Peak","-",IF(BaseLoad!M86&gt;BaseLoad!$G86,G$8*$Z87,0))</f>
        <v>-</v>
      </c>
      <c r="H87" s="172" t="str">
        <f>IF($A$1="Peak","-",IF(BaseLoad!N86&gt;BaseLoad!$G86,H$8*$Z87,0))</f>
        <v>-</v>
      </c>
      <c r="I87" s="172" t="str">
        <f>IF($A$1="Peak","-",IF(BaseLoad!O86&gt;BaseLoad!$G86,I$8*$Z87,0))</f>
        <v>-</v>
      </c>
      <c r="J87" s="172" t="str">
        <f>IF($A$1="Peak","-",IF(BaseLoad!P86&gt;BaseLoad!$G86,J$8*$Z87,0))</f>
        <v>-</v>
      </c>
      <c r="K87" s="172" t="str">
        <f>IF($A$1="Peak","-",IF(BaseLoad!Q86&gt;BaseLoad!$G86,K$8*$Z87,0))</f>
        <v>-</v>
      </c>
      <c r="L87" s="172" t="str">
        <f>IF($A$1="Peak","-",IF(BaseLoad!R86&gt;BaseLoad!$G86,L$8*$Z87,0))</f>
        <v>-</v>
      </c>
      <c r="M87" s="172" t="str">
        <f>IF($A$1="Peak","-",IF(BaseLoad!S86&gt;BaseLoad!$G86,M$8*$Z87,0))</f>
        <v>-</v>
      </c>
      <c r="N87" s="172" t="str">
        <f>IF($A$1="Peak","-",IF(BaseLoad!T86&gt;BaseLoad!$G86,N$8*$Z87,0))</f>
        <v>-</v>
      </c>
      <c r="O87" s="172" t="str">
        <f>IF($A$1="Peak","-",IF(BaseLoad!U86&gt;BaseLoad!$G86,O$8*$Z87,0))</f>
        <v>-</v>
      </c>
      <c r="P87" s="172" t="str">
        <f>IF($A$1="Peak","-",IF(BaseLoad!V86&gt;BaseLoad!$G86,P$8*$Z87,0))</f>
        <v>-</v>
      </c>
      <c r="Q87" s="172" t="str">
        <f>IF($A$1="Peak","-",IF(BaseLoad!W86&gt;BaseLoad!$G86,Q$8*$Z87,0))</f>
        <v>-</v>
      </c>
      <c r="R87" s="172" t="str">
        <f>IF($A$1="Peak","-",IF(BaseLoad!X86&gt;BaseLoad!$G86,R$8*$Z87,0))</f>
        <v>-</v>
      </c>
      <c r="S87" s="172" t="str">
        <f>IF($A$1="Peak","-",IF(BaseLoad!Y86&gt;BaseLoad!$G86,S$8*$Z87,0))</f>
        <v>-</v>
      </c>
      <c r="T87" s="172" t="str">
        <f>IF($A$1="Peak","-",IF(BaseLoad!Z86&gt;BaseLoad!$G86,T$8*$Z87,0))</f>
        <v>-</v>
      </c>
      <c r="U87" s="172" t="str">
        <f>IF($A$1="Peak","-",IF(BaseLoad!AA86&gt;BaseLoad!$G86,U$8*$Z87,0))</f>
        <v>-</v>
      </c>
      <c r="V87" s="172">
        <f t="shared" si="3"/>
        <v>0</v>
      </c>
      <c r="W87" s="172"/>
      <c r="X87" s="172"/>
      <c r="Y87" s="172"/>
      <c r="Z87" s="172">
        <f>CHOOSE(QUOTIENT(MONTH($A87),3)+1,BaseLoad!$AM$9,BaseLoad!$AN$9,BaseLoad!$AL$9,BaseLoad!$AO$9,BaseLoad!$AM$9)</f>
        <v>0.96612135909558572</v>
      </c>
      <c r="AA87" s="172">
        <f>CHOOSE(QUOTIENT(MONTH($A87),3)+1,BaseLoad!$AM$15,BaseLoad!$AN$15,BaseLoad!$AL$15,BaseLoad!$AO$15,BaseLoad!$AM$15)</f>
        <v>705</v>
      </c>
      <c r="AB87" s="471"/>
      <c r="AD87" s="471"/>
    </row>
    <row r="88" spans="1:30" x14ac:dyDescent="0.2">
      <c r="A88" s="1">
        <f t="shared" si="5"/>
        <v>38912.5260000001</v>
      </c>
      <c r="B88" s="172" t="str">
        <f>IF($A$1="Peak","-",IF(BaseLoad!H87&gt;BaseLoad!$G87,B$8*$Z88,0))</f>
        <v>-</v>
      </c>
      <c r="C88" s="172" t="str">
        <f>IF($A$1="Peak","-",IF(BaseLoad!I87&gt;BaseLoad!$G87,C$8*$Z88,0))</f>
        <v>-</v>
      </c>
      <c r="D88" s="172" t="str">
        <f>IF($A$1="Peak","-",IF(BaseLoad!J87&gt;BaseLoad!$G87,D$8*$Z88,0))</f>
        <v>-</v>
      </c>
      <c r="E88" s="172" t="str">
        <f>IF($A$1="Peak","-",IF(BaseLoad!K87&gt;BaseLoad!$G87,E$8*$Z88,0))</f>
        <v>-</v>
      </c>
      <c r="F88" s="172" t="str">
        <f>IF($A$1="Peak","-",IF(BaseLoad!L87&gt;BaseLoad!$G87,F$8*$Z88,0))</f>
        <v>-</v>
      </c>
      <c r="G88" s="172" t="str">
        <f>IF($A$1="Peak","-",IF(BaseLoad!M87&gt;BaseLoad!$G87,G$8*$Z88,0))</f>
        <v>-</v>
      </c>
      <c r="H88" s="172" t="str">
        <f>IF($A$1="Peak","-",IF(BaseLoad!N87&gt;BaseLoad!$G87,H$8*$Z88,0))</f>
        <v>-</v>
      </c>
      <c r="I88" s="172" t="str">
        <f>IF($A$1="Peak","-",IF(BaseLoad!O87&gt;BaseLoad!$G87,I$8*$Z88,0))</f>
        <v>-</v>
      </c>
      <c r="J88" s="172" t="str">
        <f>IF($A$1="Peak","-",IF(BaseLoad!P87&gt;BaseLoad!$G87,J$8*$Z88,0))</f>
        <v>-</v>
      </c>
      <c r="K88" s="172" t="str">
        <f>IF($A$1="Peak","-",IF(BaseLoad!Q87&gt;BaseLoad!$G87,K$8*$Z88,0))</f>
        <v>-</v>
      </c>
      <c r="L88" s="172" t="str">
        <f>IF($A$1="Peak","-",IF(BaseLoad!R87&gt;BaseLoad!$G87,L$8*$Z88,0))</f>
        <v>-</v>
      </c>
      <c r="M88" s="172" t="str">
        <f>IF($A$1="Peak","-",IF(BaseLoad!S87&gt;BaseLoad!$G87,M$8*$Z88,0))</f>
        <v>-</v>
      </c>
      <c r="N88" s="172" t="str">
        <f>IF($A$1="Peak","-",IF(BaseLoad!T87&gt;BaseLoad!$G87,N$8*$Z88,0))</f>
        <v>-</v>
      </c>
      <c r="O88" s="172" t="str">
        <f>IF($A$1="Peak","-",IF(BaseLoad!U87&gt;BaseLoad!$G87,O$8*$Z88,0))</f>
        <v>-</v>
      </c>
      <c r="P88" s="172" t="str">
        <f>IF($A$1="Peak","-",IF(BaseLoad!V87&gt;BaseLoad!$G87,P$8*$Z88,0))</f>
        <v>-</v>
      </c>
      <c r="Q88" s="172" t="str">
        <f>IF($A$1="Peak","-",IF(BaseLoad!W87&gt;BaseLoad!$G87,Q$8*$Z88,0))</f>
        <v>-</v>
      </c>
      <c r="R88" s="172" t="str">
        <f>IF($A$1="Peak","-",IF(BaseLoad!X87&gt;BaseLoad!$G87,R$8*$Z88,0))</f>
        <v>-</v>
      </c>
      <c r="S88" s="172" t="str">
        <f>IF($A$1="Peak","-",IF(BaseLoad!Y87&gt;BaseLoad!$G87,S$8*$Z88,0))</f>
        <v>-</v>
      </c>
      <c r="T88" s="172" t="str">
        <f>IF($A$1="Peak","-",IF(BaseLoad!Z87&gt;BaseLoad!$G87,T$8*$Z88,0))</f>
        <v>-</v>
      </c>
      <c r="U88" s="172" t="str">
        <f>IF($A$1="Peak","-",IF(BaseLoad!AA87&gt;BaseLoad!$G87,U$8*$Z88,0))</f>
        <v>-</v>
      </c>
      <c r="V88" s="172">
        <f t="shared" si="3"/>
        <v>0</v>
      </c>
      <c r="W88" s="172"/>
      <c r="X88" s="172"/>
      <c r="Y88" s="172"/>
      <c r="Z88" s="172">
        <f>CHOOSE(QUOTIENT(MONTH($A88),3)+1,BaseLoad!$AM$9,BaseLoad!$AN$9,BaseLoad!$AL$9,BaseLoad!$AO$9,BaseLoad!$AM$9)</f>
        <v>0.96612135909558572</v>
      </c>
      <c r="AA88" s="172">
        <f>CHOOSE(QUOTIENT(MONTH($A88),3)+1,BaseLoad!$AM$15,BaseLoad!$AN$15,BaseLoad!$AL$15,BaseLoad!$AO$15,BaseLoad!$AM$15)</f>
        <v>705</v>
      </c>
      <c r="AB88" s="471"/>
      <c r="AD88" s="471"/>
    </row>
    <row r="89" spans="1:30" x14ac:dyDescent="0.2">
      <c r="A89" s="1">
        <f t="shared" si="5"/>
        <v>38942.943000000101</v>
      </c>
      <c r="B89" s="172" t="str">
        <f>IF($A$1="Peak","-",IF(BaseLoad!H88&gt;BaseLoad!$G88,B$8*$Z89,0))</f>
        <v>-</v>
      </c>
      <c r="C89" s="172" t="str">
        <f>IF($A$1="Peak","-",IF(BaseLoad!I88&gt;BaseLoad!$G88,C$8*$Z89,0))</f>
        <v>-</v>
      </c>
      <c r="D89" s="172" t="str">
        <f>IF($A$1="Peak","-",IF(BaseLoad!J88&gt;BaseLoad!$G88,D$8*$Z89,0))</f>
        <v>-</v>
      </c>
      <c r="E89" s="172" t="str">
        <f>IF($A$1="Peak","-",IF(BaseLoad!K88&gt;BaseLoad!$G88,E$8*$Z89,0))</f>
        <v>-</v>
      </c>
      <c r="F89" s="172" t="str">
        <f>IF($A$1="Peak","-",IF(BaseLoad!L88&gt;BaseLoad!$G88,F$8*$Z89,0))</f>
        <v>-</v>
      </c>
      <c r="G89" s="172" t="str">
        <f>IF($A$1="Peak","-",IF(BaseLoad!M88&gt;BaseLoad!$G88,G$8*$Z89,0))</f>
        <v>-</v>
      </c>
      <c r="H89" s="172" t="str">
        <f>IF($A$1="Peak","-",IF(BaseLoad!N88&gt;BaseLoad!$G88,H$8*$Z89,0))</f>
        <v>-</v>
      </c>
      <c r="I89" s="172" t="str">
        <f>IF($A$1="Peak","-",IF(BaseLoad!O88&gt;BaseLoad!$G88,I$8*$Z89,0))</f>
        <v>-</v>
      </c>
      <c r="J89" s="172" t="str">
        <f>IF($A$1="Peak","-",IF(BaseLoad!P88&gt;BaseLoad!$G88,J$8*$Z89,0))</f>
        <v>-</v>
      </c>
      <c r="K89" s="172" t="str">
        <f>IF($A$1="Peak","-",IF(BaseLoad!Q88&gt;BaseLoad!$G88,K$8*$Z89,0))</f>
        <v>-</v>
      </c>
      <c r="L89" s="172" t="str">
        <f>IF($A$1="Peak","-",IF(BaseLoad!R88&gt;BaseLoad!$G88,L$8*$Z89,0))</f>
        <v>-</v>
      </c>
      <c r="M89" s="172" t="str">
        <f>IF($A$1="Peak","-",IF(BaseLoad!S88&gt;BaseLoad!$G88,M$8*$Z89,0))</f>
        <v>-</v>
      </c>
      <c r="N89" s="172" t="str">
        <f>IF($A$1="Peak","-",IF(BaseLoad!T88&gt;BaseLoad!$G88,N$8*$Z89,0))</f>
        <v>-</v>
      </c>
      <c r="O89" s="172" t="str">
        <f>IF($A$1="Peak","-",IF(BaseLoad!U88&gt;BaseLoad!$G88,O$8*$Z89,0))</f>
        <v>-</v>
      </c>
      <c r="P89" s="172" t="str">
        <f>IF($A$1="Peak","-",IF(BaseLoad!V88&gt;BaseLoad!$G88,P$8*$Z89,0))</f>
        <v>-</v>
      </c>
      <c r="Q89" s="172" t="str">
        <f>IF($A$1="Peak","-",IF(BaseLoad!W88&gt;BaseLoad!$G88,Q$8*$Z89,0))</f>
        <v>-</v>
      </c>
      <c r="R89" s="172" t="str">
        <f>IF($A$1="Peak","-",IF(BaseLoad!X88&gt;BaseLoad!$G88,R$8*$Z89,0))</f>
        <v>-</v>
      </c>
      <c r="S89" s="172" t="str">
        <f>IF($A$1="Peak","-",IF(BaseLoad!Y88&gt;BaseLoad!$G88,S$8*$Z89,0))</f>
        <v>-</v>
      </c>
      <c r="T89" s="172" t="str">
        <f>IF($A$1="Peak","-",IF(BaseLoad!Z88&gt;BaseLoad!$G88,T$8*$Z89,0))</f>
        <v>-</v>
      </c>
      <c r="U89" s="172" t="str">
        <f>IF($A$1="Peak","-",IF(BaseLoad!AA88&gt;BaseLoad!$G88,U$8*$Z89,0))</f>
        <v>-</v>
      </c>
      <c r="V89" s="172">
        <f t="shared" si="3"/>
        <v>0</v>
      </c>
      <c r="W89" s="172"/>
      <c r="X89" s="172"/>
      <c r="Y89" s="172"/>
      <c r="Z89" s="172">
        <f>CHOOSE(QUOTIENT(MONTH($A89),3)+1,BaseLoad!$AM$9,BaseLoad!$AN$9,BaseLoad!$AL$9,BaseLoad!$AO$9,BaseLoad!$AM$9)</f>
        <v>0.96612135909558572</v>
      </c>
      <c r="AA89" s="172">
        <f>CHOOSE(QUOTIENT(MONTH($A89),3)+1,BaseLoad!$AM$15,BaseLoad!$AN$15,BaseLoad!$AL$15,BaseLoad!$AO$15,BaseLoad!$AM$15)</f>
        <v>705</v>
      </c>
      <c r="AB89" s="471"/>
      <c r="AD89" s="471"/>
    </row>
    <row r="90" spans="1:30" x14ac:dyDescent="0.2">
      <c r="A90" s="1">
        <f t="shared" si="5"/>
        <v>38973.360000000102</v>
      </c>
      <c r="B90" s="172" t="str">
        <f>IF($A$1="Peak","-",IF(BaseLoad!H89&gt;BaseLoad!$G89,B$8*$Z90,0))</f>
        <v>-</v>
      </c>
      <c r="C90" s="172" t="str">
        <f>IF($A$1="Peak","-",IF(BaseLoad!I89&gt;BaseLoad!$G89,C$8*$Z90,0))</f>
        <v>-</v>
      </c>
      <c r="D90" s="172" t="str">
        <f>IF($A$1="Peak","-",IF(BaseLoad!J89&gt;BaseLoad!$G89,D$8*$Z90,0))</f>
        <v>-</v>
      </c>
      <c r="E90" s="172" t="str">
        <f>IF($A$1="Peak","-",IF(BaseLoad!K89&gt;BaseLoad!$G89,E$8*$Z90,0))</f>
        <v>-</v>
      </c>
      <c r="F90" s="172" t="str">
        <f>IF($A$1="Peak","-",IF(BaseLoad!L89&gt;BaseLoad!$G89,F$8*$Z90,0))</f>
        <v>-</v>
      </c>
      <c r="G90" s="172" t="str">
        <f>IF($A$1="Peak","-",IF(BaseLoad!M89&gt;BaseLoad!$G89,G$8*$Z90,0))</f>
        <v>-</v>
      </c>
      <c r="H90" s="172" t="str">
        <f>IF($A$1="Peak","-",IF(BaseLoad!N89&gt;BaseLoad!$G89,H$8*$Z90,0))</f>
        <v>-</v>
      </c>
      <c r="I90" s="172" t="str">
        <f>IF($A$1="Peak","-",IF(BaseLoad!O89&gt;BaseLoad!$G89,I$8*$Z90,0))</f>
        <v>-</v>
      </c>
      <c r="J90" s="172" t="str">
        <f>IF($A$1="Peak","-",IF(BaseLoad!P89&gt;BaseLoad!$G89,J$8*$Z90,0))</f>
        <v>-</v>
      </c>
      <c r="K90" s="172" t="str">
        <f>IF($A$1="Peak","-",IF(BaseLoad!Q89&gt;BaseLoad!$G89,K$8*$Z90,0))</f>
        <v>-</v>
      </c>
      <c r="L90" s="172" t="str">
        <f>IF($A$1="Peak","-",IF(BaseLoad!R89&gt;BaseLoad!$G89,L$8*$Z90,0))</f>
        <v>-</v>
      </c>
      <c r="M90" s="172" t="str">
        <f>IF($A$1="Peak","-",IF(BaseLoad!S89&gt;BaseLoad!$G89,M$8*$Z90,0))</f>
        <v>-</v>
      </c>
      <c r="N90" s="172" t="str">
        <f>IF($A$1="Peak","-",IF(BaseLoad!T89&gt;BaseLoad!$G89,N$8*$Z90,0))</f>
        <v>-</v>
      </c>
      <c r="O90" s="172" t="str">
        <f>IF($A$1="Peak","-",IF(BaseLoad!U89&gt;BaseLoad!$G89,O$8*$Z90,0))</f>
        <v>-</v>
      </c>
      <c r="P90" s="172" t="str">
        <f>IF($A$1="Peak","-",IF(BaseLoad!V89&gt;BaseLoad!$G89,P$8*$Z90,0))</f>
        <v>-</v>
      </c>
      <c r="Q90" s="172" t="str">
        <f>IF($A$1="Peak","-",IF(BaseLoad!W89&gt;BaseLoad!$G89,Q$8*$Z90,0))</f>
        <v>-</v>
      </c>
      <c r="R90" s="172" t="str">
        <f>IF($A$1="Peak","-",IF(BaseLoad!X89&gt;BaseLoad!$G89,R$8*$Z90,0))</f>
        <v>-</v>
      </c>
      <c r="S90" s="172" t="str">
        <f>IF($A$1="Peak","-",IF(BaseLoad!Y89&gt;BaseLoad!$G89,S$8*$Z90,0))</f>
        <v>-</v>
      </c>
      <c r="T90" s="172" t="str">
        <f>IF($A$1="Peak","-",IF(BaseLoad!Z89&gt;BaseLoad!$G89,T$8*$Z90,0))</f>
        <v>-</v>
      </c>
      <c r="U90" s="172" t="str">
        <f>IF($A$1="Peak","-",IF(BaseLoad!AA89&gt;BaseLoad!$G89,U$8*$Z90,0))</f>
        <v>-</v>
      </c>
      <c r="V90" s="172">
        <f t="shared" si="3"/>
        <v>0</v>
      </c>
      <c r="W90" s="172"/>
      <c r="X90" s="172"/>
      <c r="Y90" s="172"/>
      <c r="Z90" s="172">
        <f>CHOOSE(QUOTIENT(MONTH($A90),3)+1,BaseLoad!$AM$9,BaseLoad!$AN$9,BaseLoad!$AL$9,BaseLoad!$AO$9,BaseLoad!$AM$9)</f>
        <v>0.95</v>
      </c>
      <c r="AA90" s="172">
        <f>CHOOSE(QUOTIENT(MONTH($A90),3)+1,BaseLoad!$AM$15,BaseLoad!$AN$15,BaseLoad!$AL$15,BaseLoad!$AO$15,BaseLoad!$AM$15)</f>
        <v>705</v>
      </c>
      <c r="AB90" s="471"/>
      <c r="AD90" s="471"/>
    </row>
    <row r="91" spans="1:30" x14ac:dyDescent="0.2">
      <c r="A91" s="1">
        <f t="shared" si="5"/>
        <v>39003.777000000104</v>
      </c>
      <c r="B91" s="172" t="str">
        <f>IF($A$1="Peak","-",IF(BaseLoad!H90&gt;BaseLoad!$G90,B$8*$Z91,0))</f>
        <v>-</v>
      </c>
      <c r="C91" s="172" t="str">
        <f>IF($A$1="Peak","-",IF(BaseLoad!I90&gt;BaseLoad!$G90,C$8*$Z91,0))</f>
        <v>-</v>
      </c>
      <c r="D91" s="172" t="str">
        <f>IF($A$1="Peak","-",IF(BaseLoad!J90&gt;BaseLoad!$G90,D$8*$Z91,0))</f>
        <v>-</v>
      </c>
      <c r="E91" s="172" t="str">
        <f>IF($A$1="Peak","-",IF(BaseLoad!K90&gt;BaseLoad!$G90,E$8*$Z91,0))</f>
        <v>-</v>
      </c>
      <c r="F91" s="172" t="str">
        <f>IF($A$1="Peak","-",IF(BaseLoad!L90&gt;BaseLoad!$G90,F$8*$Z91,0))</f>
        <v>-</v>
      </c>
      <c r="G91" s="172" t="str">
        <f>IF($A$1="Peak","-",IF(BaseLoad!M90&gt;BaseLoad!$G90,G$8*$Z91,0))</f>
        <v>-</v>
      </c>
      <c r="H91" s="172" t="str">
        <f>IF($A$1="Peak","-",IF(BaseLoad!N90&gt;BaseLoad!$G90,H$8*$Z91,0))</f>
        <v>-</v>
      </c>
      <c r="I91" s="172" t="str">
        <f>IF($A$1="Peak","-",IF(BaseLoad!O90&gt;BaseLoad!$G90,I$8*$Z91,0))</f>
        <v>-</v>
      </c>
      <c r="J91" s="172" t="str">
        <f>IF($A$1="Peak","-",IF(BaseLoad!P90&gt;BaseLoad!$G90,J$8*$Z91,0))</f>
        <v>-</v>
      </c>
      <c r="K91" s="172" t="str">
        <f>IF($A$1="Peak","-",IF(BaseLoad!Q90&gt;BaseLoad!$G90,K$8*$Z91,0))</f>
        <v>-</v>
      </c>
      <c r="L91" s="172" t="str">
        <f>IF($A$1="Peak","-",IF(BaseLoad!R90&gt;BaseLoad!$G90,L$8*$Z91,0))</f>
        <v>-</v>
      </c>
      <c r="M91" s="172" t="str">
        <f>IF($A$1="Peak","-",IF(BaseLoad!S90&gt;BaseLoad!$G90,M$8*$Z91,0))</f>
        <v>-</v>
      </c>
      <c r="N91" s="172" t="str">
        <f>IF($A$1="Peak","-",IF(BaseLoad!T90&gt;BaseLoad!$G90,N$8*$Z91,0))</f>
        <v>-</v>
      </c>
      <c r="O91" s="172" t="str">
        <f>IF($A$1="Peak","-",IF(BaseLoad!U90&gt;BaseLoad!$G90,O$8*$Z91,0))</f>
        <v>-</v>
      </c>
      <c r="P91" s="172" t="str">
        <f>IF($A$1="Peak","-",IF(BaseLoad!V90&gt;BaseLoad!$G90,P$8*$Z91,0))</f>
        <v>-</v>
      </c>
      <c r="Q91" s="172" t="str">
        <f>IF($A$1="Peak","-",IF(BaseLoad!W90&gt;BaseLoad!$G90,Q$8*$Z91,0))</f>
        <v>-</v>
      </c>
      <c r="R91" s="172" t="str">
        <f>IF($A$1="Peak","-",IF(BaseLoad!X90&gt;BaseLoad!$G90,R$8*$Z91,0))</f>
        <v>-</v>
      </c>
      <c r="S91" s="172" t="str">
        <f>IF($A$1="Peak","-",IF(BaseLoad!Y90&gt;BaseLoad!$G90,S$8*$Z91,0))</f>
        <v>-</v>
      </c>
      <c r="T91" s="172" t="str">
        <f>IF($A$1="Peak","-",IF(BaseLoad!Z90&gt;BaseLoad!$G90,T$8*$Z91,0))</f>
        <v>-</v>
      </c>
      <c r="U91" s="172" t="str">
        <f>IF($A$1="Peak","-",IF(BaseLoad!AA90&gt;BaseLoad!$G90,U$8*$Z91,0))</f>
        <v>-</v>
      </c>
      <c r="V91" s="172">
        <f t="shared" si="3"/>
        <v>0</v>
      </c>
      <c r="W91" s="172"/>
      <c r="X91" s="172"/>
      <c r="Y91" s="172"/>
      <c r="Z91" s="172">
        <f>CHOOSE(QUOTIENT(MONTH($A91),3)+1,BaseLoad!$AM$9,BaseLoad!$AN$9,BaseLoad!$AL$9,BaseLoad!$AO$9,BaseLoad!$AM$9)</f>
        <v>0.95</v>
      </c>
      <c r="AA91" s="172">
        <f>CHOOSE(QUOTIENT(MONTH($A91),3)+1,BaseLoad!$AM$15,BaseLoad!$AN$15,BaseLoad!$AL$15,BaseLoad!$AO$15,BaseLoad!$AM$15)</f>
        <v>705</v>
      </c>
      <c r="AB91" s="471"/>
      <c r="AD91" s="471"/>
    </row>
    <row r="92" spans="1:30" x14ac:dyDescent="0.2">
      <c r="A92" s="1">
        <f t="shared" si="5"/>
        <v>39034.194000000105</v>
      </c>
      <c r="B92" s="172" t="str">
        <f>IF($A$1="Peak","-",IF(BaseLoad!H91&gt;BaseLoad!$G91,B$8*$Z92,0))</f>
        <v>-</v>
      </c>
      <c r="C92" s="172" t="str">
        <f>IF($A$1="Peak","-",IF(BaseLoad!I91&gt;BaseLoad!$G91,C$8*$Z92,0))</f>
        <v>-</v>
      </c>
      <c r="D92" s="172" t="str">
        <f>IF($A$1="Peak","-",IF(BaseLoad!J91&gt;BaseLoad!$G91,D$8*$Z92,0))</f>
        <v>-</v>
      </c>
      <c r="E92" s="172" t="str">
        <f>IF($A$1="Peak","-",IF(BaseLoad!K91&gt;BaseLoad!$G91,E$8*$Z92,0))</f>
        <v>-</v>
      </c>
      <c r="F92" s="172" t="str">
        <f>IF($A$1="Peak","-",IF(BaseLoad!L91&gt;BaseLoad!$G91,F$8*$Z92,0))</f>
        <v>-</v>
      </c>
      <c r="G92" s="172" t="str">
        <f>IF($A$1="Peak","-",IF(BaseLoad!M91&gt;BaseLoad!$G91,G$8*$Z92,0))</f>
        <v>-</v>
      </c>
      <c r="H92" s="172" t="str">
        <f>IF($A$1="Peak","-",IF(BaseLoad!N91&gt;BaseLoad!$G91,H$8*$Z92,0))</f>
        <v>-</v>
      </c>
      <c r="I92" s="172" t="str">
        <f>IF($A$1="Peak","-",IF(BaseLoad!O91&gt;BaseLoad!$G91,I$8*$Z92,0))</f>
        <v>-</v>
      </c>
      <c r="J92" s="172" t="str">
        <f>IF($A$1="Peak","-",IF(BaseLoad!P91&gt;BaseLoad!$G91,J$8*$Z92,0))</f>
        <v>-</v>
      </c>
      <c r="K92" s="172" t="str">
        <f>IF($A$1="Peak","-",IF(BaseLoad!Q91&gt;BaseLoad!$G91,K$8*$Z92,0))</f>
        <v>-</v>
      </c>
      <c r="L92" s="172" t="str">
        <f>IF($A$1="Peak","-",IF(BaseLoad!R91&gt;BaseLoad!$G91,L$8*$Z92,0))</f>
        <v>-</v>
      </c>
      <c r="M92" s="172" t="str">
        <f>IF($A$1="Peak","-",IF(BaseLoad!S91&gt;BaseLoad!$G91,M$8*$Z92,0))</f>
        <v>-</v>
      </c>
      <c r="N92" s="172" t="str">
        <f>IF($A$1="Peak","-",IF(BaseLoad!T91&gt;BaseLoad!$G91,N$8*$Z92,0))</f>
        <v>-</v>
      </c>
      <c r="O92" s="172" t="str">
        <f>IF($A$1="Peak","-",IF(BaseLoad!U91&gt;BaseLoad!$G91,O$8*$Z92,0))</f>
        <v>-</v>
      </c>
      <c r="P92" s="172" t="str">
        <f>IF($A$1="Peak","-",IF(BaseLoad!V91&gt;BaseLoad!$G91,P$8*$Z92,0))</f>
        <v>-</v>
      </c>
      <c r="Q92" s="172" t="str">
        <f>IF($A$1="Peak","-",IF(BaseLoad!W91&gt;BaseLoad!$G91,Q$8*$Z92,0))</f>
        <v>-</v>
      </c>
      <c r="R92" s="172" t="str">
        <f>IF($A$1="Peak","-",IF(BaseLoad!X91&gt;BaseLoad!$G91,R$8*$Z92,0))</f>
        <v>-</v>
      </c>
      <c r="S92" s="172" t="str">
        <f>IF($A$1="Peak","-",IF(BaseLoad!Y91&gt;BaseLoad!$G91,S$8*$Z92,0))</f>
        <v>-</v>
      </c>
      <c r="T92" s="172" t="str">
        <f>IF($A$1="Peak","-",IF(BaseLoad!Z91&gt;BaseLoad!$G91,T$8*$Z92,0))</f>
        <v>-</v>
      </c>
      <c r="U92" s="172" t="str">
        <f>IF($A$1="Peak","-",IF(BaseLoad!AA91&gt;BaseLoad!$G91,U$8*$Z92,0))</f>
        <v>-</v>
      </c>
      <c r="V92" s="172">
        <f t="shared" si="3"/>
        <v>0</v>
      </c>
      <c r="W92" s="172"/>
      <c r="X92" s="172"/>
      <c r="Y92" s="172"/>
      <c r="Z92" s="172">
        <f>CHOOSE(QUOTIENT(MONTH($A92),3)+1,BaseLoad!$AM$9,BaseLoad!$AN$9,BaseLoad!$AL$9,BaseLoad!$AO$9,BaseLoad!$AM$9)</f>
        <v>0.95</v>
      </c>
      <c r="AA92" s="172">
        <f>CHOOSE(QUOTIENT(MONTH($A92),3)+1,BaseLoad!$AM$15,BaseLoad!$AN$15,BaseLoad!$AL$15,BaseLoad!$AO$15,BaseLoad!$AM$15)</f>
        <v>705</v>
      </c>
      <c r="AB92" s="471"/>
      <c r="AD92" s="471"/>
    </row>
    <row r="93" spans="1:30" x14ac:dyDescent="0.2">
      <c r="A93" s="1">
        <f t="shared" si="5"/>
        <v>39064.611000000106</v>
      </c>
      <c r="B93" s="172" t="str">
        <f>IF($A$1="Peak","-",IF(BaseLoad!H92&gt;BaseLoad!$G92,B$8*$Z93,0))</f>
        <v>-</v>
      </c>
      <c r="C93" s="172" t="str">
        <f>IF($A$1="Peak","-",IF(BaseLoad!I92&gt;BaseLoad!$G92,C$8*$Z93,0))</f>
        <v>-</v>
      </c>
      <c r="D93" s="172" t="str">
        <f>IF($A$1="Peak","-",IF(BaseLoad!J92&gt;BaseLoad!$G92,D$8*$Z93,0))</f>
        <v>-</v>
      </c>
      <c r="E93" s="172" t="str">
        <f>IF($A$1="Peak","-",IF(BaseLoad!K92&gt;BaseLoad!$G92,E$8*$Z93,0))</f>
        <v>-</v>
      </c>
      <c r="F93" s="172" t="str">
        <f>IF($A$1="Peak","-",IF(BaseLoad!L92&gt;BaseLoad!$G92,F$8*$Z93,0))</f>
        <v>-</v>
      </c>
      <c r="G93" s="172" t="str">
        <f>IF($A$1="Peak","-",IF(BaseLoad!M92&gt;BaseLoad!$G92,G$8*$Z93,0))</f>
        <v>-</v>
      </c>
      <c r="H93" s="172" t="str">
        <f>IF($A$1="Peak","-",IF(BaseLoad!N92&gt;BaseLoad!$G92,H$8*$Z93,0))</f>
        <v>-</v>
      </c>
      <c r="I93" s="172" t="str">
        <f>IF($A$1="Peak","-",IF(BaseLoad!O92&gt;BaseLoad!$G92,I$8*$Z93,0))</f>
        <v>-</v>
      </c>
      <c r="J93" s="172" t="str">
        <f>IF($A$1="Peak","-",IF(BaseLoad!P92&gt;BaseLoad!$G92,J$8*$Z93,0))</f>
        <v>-</v>
      </c>
      <c r="K93" s="172" t="str">
        <f>IF($A$1="Peak","-",IF(BaseLoad!Q92&gt;BaseLoad!$G92,K$8*$Z93,0))</f>
        <v>-</v>
      </c>
      <c r="L93" s="172" t="str">
        <f>IF($A$1="Peak","-",IF(BaseLoad!R92&gt;BaseLoad!$G92,L$8*$Z93,0))</f>
        <v>-</v>
      </c>
      <c r="M93" s="172" t="str">
        <f>IF($A$1="Peak","-",IF(BaseLoad!S92&gt;BaseLoad!$G92,M$8*$Z93,0))</f>
        <v>-</v>
      </c>
      <c r="N93" s="172" t="str">
        <f>IF($A$1="Peak","-",IF(BaseLoad!T92&gt;BaseLoad!$G92,N$8*$Z93,0))</f>
        <v>-</v>
      </c>
      <c r="O93" s="172" t="str">
        <f>IF($A$1="Peak","-",IF(BaseLoad!U92&gt;BaseLoad!$G92,O$8*$Z93,0))</f>
        <v>-</v>
      </c>
      <c r="P93" s="172" t="str">
        <f>IF($A$1="Peak","-",IF(BaseLoad!V92&gt;BaseLoad!$G92,P$8*$Z93,0))</f>
        <v>-</v>
      </c>
      <c r="Q93" s="172" t="str">
        <f>IF($A$1="Peak","-",IF(BaseLoad!W92&gt;BaseLoad!$G92,Q$8*$Z93,0))</f>
        <v>-</v>
      </c>
      <c r="R93" s="172" t="str">
        <f>IF($A$1="Peak","-",IF(BaseLoad!X92&gt;BaseLoad!$G92,R$8*$Z93,0))</f>
        <v>-</v>
      </c>
      <c r="S93" s="172" t="str">
        <f>IF($A$1="Peak","-",IF(BaseLoad!Y92&gt;BaseLoad!$G92,S$8*$Z93,0))</f>
        <v>-</v>
      </c>
      <c r="T93" s="172" t="str">
        <f>IF($A$1="Peak","-",IF(BaseLoad!Z92&gt;BaseLoad!$G92,T$8*$Z93,0))</f>
        <v>-</v>
      </c>
      <c r="U93" s="172" t="str">
        <f>IF($A$1="Peak","-",IF(BaseLoad!AA92&gt;BaseLoad!$G92,U$8*$Z93,0))</f>
        <v>-</v>
      </c>
      <c r="V93" s="172">
        <f t="shared" si="3"/>
        <v>0</v>
      </c>
      <c r="W93" s="172"/>
      <c r="X93" s="172"/>
      <c r="Y93" s="172">
        <f>SUM(V82:V93)</f>
        <v>0</v>
      </c>
      <c r="Z93" s="172">
        <f>CHOOSE(QUOTIENT(MONTH($A93),3)+1,BaseLoad!$AM$9,BaseLoad!$AN$9,BaseLoad!$AL$9,BaseLoad!$AO$9,BaseLoad!$AM$9)</f>
        <v>0.92427661878611755</v>
      </c>
      <c r="AA93" s="172">
        <f>CHOOSE(QUOTIENT(MONTH($A93),3)+1,BaseLoad!$AM$15,BaseLoad!$AN$15,BaseLoad!$AL$15,BaseLoad!$AO$15,BaseLoad!$AM$15)</f>
        <v>705</v>
      </c>
      <c r="AB93" s="471"/>
      <c r="AD93" s="471"/>
    </row>
    <row r="94" spans="1:30" x14ac:dyDescent="0.2">
      <c r="A94" s="1">
        <f t="shared" si="5"/>
        <v>39095.028000000108</v>
      </c>
      <c r="B94" s="172" t="str">
        <f>IF($A$1="Peak","-",IF(BaseLoad!H93&gt;BaseLoad!$G93,B$8*$Z94,0))</f>
        <v>-</v>
      </c>
      <c r="C94" s="172" t="str">
        <f>IF($A$1="Peak","-",IF(BaseLoad!I93&gt;BaseLoad!$G93,C$8*$Z94,0))</f>
        <v>-</v>
      </c>
      <c r="D94" s="172" t="str">
        <f>IF($A$1="Peak","-",IF(BaseLoad!J93&gt;BaseLoad!$G93,D$8*$Z94,0))</f>
        <v>-</v>
      </c>
      <c r="E94" s="172" t="str">
        <f>IF($A$1="Peak","-",IF(BaseLoad!K93&gt;BaseLoad!$G93,E$8*$Z94,0))</f>
        <v>-</v>
      </c>
      <c r="F94" s="172" t="str">
        <f>IF($A$1="Peak","-",IF(BaseLoad!L93&gt;BaseLoad!$G93,F$8*$Z94,0))</f>
        <v>-</v>
      </c>
      <c r="G94" s="172" t="str">
        <f>IF($A$1="Peak","-",IF(BaseLoad!M93&gt;BaseLoad!$G93,G$8*$Z94,0))</f>
        <v>-</v>
      </c>
      <c r="H94" s="172" t="str">
        <f>IF($A$1="Peak","-",IF(BaseLoad!N93&gt;BaseLoad!$G93,H$8*$Z94,0))</f>
        <v>-</v>
      </c>
      <c r="I94" s="172" t="str">
        <f>IF($A$1="Peak","-",IF(BaseLoad!O93&gt;BaseLoad!$G93,I$8*$Z94,0))</f>
        <v>-</v>
      </c>
      <c r="J94" s="172" t="str">
        <f>IF($A$1="Peak","-",IF(BaseLoad!P93&gt;BaseLoad!$G93,J$8*$Z94,0))</f>
        <v>-</v>
      </c>
      <c r="K94" s="172" t="str">
        <f>IF($A$1="Peak","-",IF(BaseLoad!Q93&gt;BaseLoad!$G93,K$8*$Z94,0))</f>
        <v>-</v>
      </c>
      <c r="L94" s="172" t="str">
        <f>IF($A$1="Peak","-",IF(BaseLoad!R93&gt;BaseLoad!$G93,L$8*$Z94,0))</f>
        <v>-</v>
      </c>
      <c r="M94" s="172" t="str">
        <f>IF($A$1="Peak","-",IF(BaseLoad!S93&gt;BaseLoad!$G93,M$8*$Z94,0))</f>
        <v>-</v>
      </c>
      <c r="N94" s="172" t="str">
        <f>IF($A$1="Peak","-",IF(BaseLoad!T93&gt;BaseLoad!$G93,N$8*$Z94,0))</f>
        <v>-</v>
      </c>
      <c r="O94" s="172" t="str">
        <f>IF($A$1="Peak","-",IF(BaseLoad!U93&gt;BaseLoad!$G93,O$8*$Z94,0))</f>
        <v>-</v>
      </c>
      <c r="P94" s="172" t="str">
        <f>IF($A$1="Peak","-",IF(BaseLoad!V93&gt;BaseLoad!$G93,P$8*$Z94,0))</f>
        <v>-</v>
      </c>
      <c r="Q94" s="172" t="str">
        <f>IF($A$1="Peak","-",IF(BaseLoad!W93&gt;BaseLoad!$G93,Q$8*$Z94,0))</f>
        <v>-</v>
      </c>
      <c r="R94" s="172" t="str">
        <f>IF($A$1="Peak","-",IF(BaseLoad!X93&gt;BaseLoad!$G93,R$8*$Z94,0))</f>
        <v>-</v>
      </c>
      <c r="S94" s="172" t="str">
        <f>IF($A$1="Peak","-",IF(BaseLoad!Y93&gt;BaseLoad!$G93,S$8*$Z94,0))</f>
        <v>-</v>
      </c>
      <c r="T94" s="172" t="str">
        <f>IF($A$1="Peak","-",IF(BaseLoad!Z93&gt;BaseLoad!$G93,T$8*$Z94,0))</f>
        <v>-</v>
      </c>
      <c r="U94" s="172" t="str">
        <f>IF($A$1="Peak","-",IF(BaseLoad!AA93&gt;BaseLoad!$G93,U$8*$Z94,0))</f>
        <v>-</v>
      </c>
      <c r="V94" s="172">
        <f t="shared" si="3"/>
        <v>0</v>
      </c>
      <c r="W94" s="172"/>
      <c r="X94" s="172"/>
      <c r="Y94" s="172"/>
      <c r="Z94" s="172">
        <f>CHOOSE(QUOTIENT(MONTH($A94),3)+1,BaseLoad!$AM$9,BaseLoad!$AN$9,BaseLoad!$AL$9,BaseLoad!$AO$9,BaseLoad!$AM$9)</f>
        <v>0.92427661878611755</v>
      </c>
      <c r="AA94" s="172">
        <f>CHOOSE(QUOTIENT(MONTH($A94),3)+1,BaseLoad!$AM$15,BaseLoad!$AN$15,BaseLoad!$AL$15,BaseLoad!$AO$15,BaseLoad!$AM$15)</f>
        <v>705</v>
      </c>
      <c r="AB94" s="471"/>
      <c r="AD94" s="471"/>
    </row>
    <row r="95" spans="1:30" x14ac:dyDescent="0.2">
      <c r="A95" s="1">
        <f t="shared" si="5"/>
        <v>39125.445000000109</v>
      </c>
      <c r="B95" s="172" t="str">
        <f>IF($A$1="Peak","-",IF(BaseLoad!H94&gt;BaseLoad!$G94,B$8*$Z95,0))</f>
        <v>-</v>
      </c>
      <c r="C95" s="172" t="str">
        <f>IF($A$1="Peak","-",IF(BaseLoad!I94&gt;BaseLoad!$G94,C$8*$Z95,0))</f>
        <v>-</v>
      </c>
      <c r="D95" s="172" t="str">
        <f>IF($A$1="Peak","-",IF(BaseLoad!J94&gt;BaseLoad!$G94,D$8*$Z95,0))</f>
        <v>-</v>
      </c>
      <c r="E95" s="172" t="str">
        <f>IF($A$1="Peak","-",IF(BaseLoad!K94&gt;BaseLoad!$G94,E$8*$Z95,0))</f>
        <v>-</v>
      </c>
      <c r="F95" s="172" t="str">
        <f>IF($A$1="Peak","-",IF(BaseLoad!L94&gt;BaseLoad!$G94,F$8*$Z95,0))</f>
        <v>-</v>
      </c>
      <c r="G95" s="172" t="str">
        <f>IF($A$1="Peak","-",IF(BaseLoad!M94&gt;BaseLoad!$G94,G$8*$Z95,0))</f>
        <v>-</v>
      </c>
      <c r="H95" s="172" t="str">
        <f>IF($A$1="Peak","-",IF(BaseLoad!N94&gt;BaseLoad!$G94,H$8*$Z95,0))</f>
        <v>-</v>
      </c>
      <c r="I95" s="172" t="str">
        <f>IF($A$1="Peak","-",IF(BaseLoad!O94&gt;BaseLoad!$G94,I$8*$Z95,0))</f>
        <v>-</v>
      </c>
      <c r="J95" s="172" t="str">
        <f>IF($A$1="Peak","-",IF(BaseLoad!P94&gt;BaseLoad!$G94,J$8*$Z95,0))</f>
        <v>-</v>
      </c>
      <c r="K95" s="172" t="str">
        <f>IF($A$1="Peak","-",IF(BaseLoad!Q94&gt;BaseLoad!$G94,K$8*$Z95,0))</f>
        <v>-</v>
      </c>
      <c r="L95" s="172" t="str">
        <f>IF($A$1="Peak","-",IF(BaseLoad!R94&gt;BaseLoad!$G94,L$8*$Z95,0))</f>
        <v>-</v>
      </c>
      <c r="M95" s="172" t="str">
        <f>IF($A$1="Peak","-",IF(BaseLoad!S94&gt;BaseLoad!$G94,M$8*$Z95,0))</f>
        <v>-</v>
      </c>
      <c r="N95" s="172" t="str">
        <f>IF($A$1="Peak","-",IF(BaseLoad!T94&gt;BaseLoad!$G94,N$8*$Z95,0))</f>
        <v>-</v>
      </c>
      <c r="O95" s="172" t="str">
        <f>IF($A$1="Peak","-",IF(BaseLoad!U94&gt;BaseLoad!$G94,O$8*$Z95,0))</f>
        <v>-</v>
      </c>
      <c r="P95" s="172" t="str">
        <f>IF($A$1="Peak","-",IF(BaseLoad!V94&gt;BaseLoad!$G94,P$8*$Z95,0))</f>
        <v>-</v>
      </c>
      <c r="Q95" s="172" t="str">
        <f>IF($A$1="Peak","-",IF(BaseLoad!W94&gt;BaseLoad!$G94,Q$8*$Z95,0))</f>
        <v>-</v>
      </c>
      <c r="R95" s="172" t="str">
        <f>IF($A$1="Peak","-",IF(BaseLoad!X94&gt;BaseLoad!$G94,R$8*$Z95,0))</f>
        <v>-</v>
      </c>
      <c r="S95" s="172" t="str">
        <f>IF($A$1="Peak","-",IF(BaseLoad!Y94&gt;BaseLoad!$G94,S$8*$Z95,0))</f>
        <v>-</v>
      </c>
      <c r="T95" s="172" t="str">
        <f>IF($A$1="Peak","-",IF(BaseLoad!Z94&gt;BaseLoad!$G94,T$8*$Z95,0))</f>
        <v>-</v>
      </c>
      <c r="U95" s="172" t="str">
        <f>IF($A$1="Peak","-",IF(BaseLoad!AA94&gt;BaseLoad!$G94,U$8*$Z95,0))</f>
        <v>-</v>
      </c>
      <c r="V95" s="172">
        <f t="shared" si="3"/>
        <v>0</v>
      </c>
      <c r="W95" s="172"/>
      <c r="X95" s="172"/>
      <c r="Y95" s="172"/>
      <c r="Z95" s="172">
        <f>CHOOSE(QUOTIENT(MONTH($A95),3)+1,BaseLoad!$AM$9,BaseLoad!$AN$9,BaseLoad!$AL$9,BaseLoad!$AO$9,BaseLoad!$AM$9)</f>
        <v>0.92427661878611755</v>
      </c>
      <c r="AA95" s="172">
        <f>CHOOSE(QUOTIENT(MONTH($A95),3)+1,BaseLoad!$AM$15,BaseLoad!$AN$15,BaseLoad!$AL$15,BaseLoad!$AO$15,BaseLoad!$AM$15)</f>
        <v>705</v>
      </c>
      <c r="AB95" s="471"/>
      <c r="AD95" s="471"/>
    </row>
    <row r="96" spans="1:30" x14ac:dyDescent="0.2">
      <c r="A96" s="1">
        <f t="shared" si="5"/>
        <v>39155.86200000011</v>
      </c>
      <c r="B96" s="172" t="str">
        <f>IF($A$1="Peak","-",IF(BaseLoad!H95&gt;BaseLoad!$G95,B$8*$Z96,0))</f>
        <v>-</v>
      </c>
      <c r="C96" s="172" t="str">
        <f>IF($A$1="Peak","-",IF(BaseLoad!I95&gt;BaseLoad!$G95,C$8*$Z96,0))</f>
        <v>-</v>
      </c>
      <c r="D96" s="172" t="str">
        <f>IF($A$1="Peak","-",IF(BaseLoad!J95&gt;BaseLoad!$G95,D$8*$Z96,0))</f>
        <v>-</v>
      </c>
      <c r="E96" s="172" t="str">
        <f>IF($A$1="Peak","-",IF(BaseLoad!K95&gt;BaseLoad!$G95,E$8*$Z96,0))</f>
        <v>-</v>
      </c>
      <c r="F96" s="172" t="str">
        <f>IF($A$1="Peak","-",IF(BaseLoad!L95&gt;BaseLoad!$G95,F$8*$Z96,0))</f>
        <v>-</v>
      </c>
      <c r="G96" s="172" t="str">
        <f>IF($A$1="Peak","-",IF(BaseLoad!M95&gt;BaseLoad!$G95,G$8*$Z96,0))</f>
        <v>-</v>
      </c>
      <c r="H96" s="172" t="str">
        <f>IF($A$1="Peak","-",IF(BaseLoad!N95&gt;BaseLoad!$G95,H$8*$Z96,0))</f>
        <v>-</v>
      </c>
      <c r="I96" s="172" t="str">
        <f>IF($A$1="Peak","-",IF(BaseLoad!O95&gt;BaseLoad!$G95,I$8*$Z96,0))</f>
        <v>-</v>
      </c>
      <c r="J96" s="172" t="str">
        <f>IF($A$1="Peak","-",IF(BaseLoad!P95&gt;BaseLoad!$G95,J$8*$Z96,0))</f>
        <v>-</v>
      </c>
      <c r="K96" s="172" t="str">
        <f>IF($A$1="Peak","-",IF(BaseLoad!Q95&gt;BaseLoad!$G95,K$8*$Z96,0))</f>
        <v>-</v>
      </c>
      <c r="L96" s="172" t="str">
        <f>IF($A$1="Peak","-",IF(BaseLoad!R95&gt;BaseLoad!$G95,L$8*$Z96,0))</f>
        <v>-</v>
      </c>
      <c r="M96" s="172" t="str">
        <f>IF($A$1="Peak","-",IF(BaseLoad!S95&gt;BaseLoad!$G95,M$8*$Z96,0))</f>
        <v>-</v>
      </c>
      <c r="N96" s="172" t="str">
        <f>IF($A$1="Peak","-",IF(BaseLoad!T95&gt;BaseLoad!$G95,N$8*$Z96,0))</f>
        <v>-</v>
      </c>
      <c r="O96" s="172" t="str">
        <f>IF($A$1="Peak","-",IF(BaseLoad!U95&gt;BaseLoad!$G95,O$8*$Z96,0))</f>
        <v>-</v>
      </c>
      <c r="P96" s="172" t="str">
        <f>IF($A$1="Peak","-",IF(BaseLoad!V95&gt;BaseLoad!$G95,P$8*$Z96,0))</f>
        <v>-</v>
      </c>
      <c r="Q96" s="172" t="str">
        <f>IF($A$1="Peak","-",IF(BaseLoad!W95&gt;BaseLoad!$G95,Q$8*$Z96,0))</f>
        <v>-</v>
      </c>
      <c r="R96" s="172" t="str">
        <f>IF($A$1="Peak","-",IF(BaseLoad!X95&gt;BaseLoad!$G95,R$8*$Z96,0))</f>
        <v>-</v>
      </c>
      <c r="S96" s="172" t="str">
        <f>IF($A$1="Peak","-",IF(BaseLoad!Y95&gt;BaseLoad!$G95,S$8*$Z96,0))</f>
        <v>-</v>
      </c>
      <c r="T96" s="172" t="str">
        <f>IF($A$1="Peak","-",IF(BaseLoad!Z95&gt;BaseLoad!$G95,T$8*$Z96,0))</f>
        <v>-</v>
      </c>
      <c r="U96" s="172" t="str">
        <f>IF($A$1="Peak","-",IF(BaseLoad!AA95&gt;BaseLoad!$G95,U$8*$Z96,0))</f>
        <v>-</v>
      </c>
      <c r="V96" s="172">
        <f t="shared" si="3"/>
        <v>0</v>
      </c>
      <c r="W96" s="172"/>
      <c r="X96" s="172"/>
      <c r="Y96" s="172"/>
      <c r="Z96" s="172">
        <f>CHOOSE(QUOTIENT(MONTH($A96),3)+1,BaseLoad!$AM$9,BaseLoad!$AN$9,BaseLoad!$AL$9,BaseLoad!$AO$9,BaseLoad!$AM$9)</f>
        <v>0.95</v>
      </c>
      <c r="AA96" s="172">
        <f>CHOOSE(QUOTIENT(MONTH($A96),3)+1,BaseLoad!$AM$15,BaseLoad!$AN$15,BaseLoad!$AL$15,BaseLoad!$AO$15,BaseLoad!$AM$15)</f>
        <v>705</v>
      </c>
      <c r="AB96" s="471"/>
      <c r="AD96" s="471"/>
    </row>
    <row r="97" spans="1:30" x14ac:dyDescent="0.2">
      <c r="A97" s="1">
        <f t="shared" si="5"/>
        <v>39186.279000000111</v>
      </c>
      <c r="B97" s="172" t="str">
        <f>IF($A$1="Peak","-",IF(BaseLoad!H96&gt;BaseLoad!$G96,B$8*$Z97,0))</f>
        <v>-</v>
      </c>
      <c r="C97" s="172" t="str">
        <f>IF($A$1="Peak","-",IF(BaseLoad!I96&gt;BaseLoad!$G96,C$8*$Z97,0))</f>
        <v>-</v>
      </c>
      <c r="D97" s="172" t="str">
        <f>IF($A$1="Peak","-",IF(BaseLoad!J96&gt;BaseLoad!$G96,D$8*$Z97,0))</f>
        <v>-</v>
      </c>
      <c r="E97" s="172" t="str">
        <f>IF($A$1="Peak","-",IF(BaseLoad!K96&gt;BaseLoad!$G96,E$8*$Z97,0))</f>
        <v>-</v>
      </c>
      <c r="F97" s="172" t="str">
        <f>IF($A$1="Peak","-",IF(BaseLoad!L96&gt;BaseLoad!$G96,F$8*$Z97,0))</f>
        <v>-</v>
      </c>
      <c r="G97" s="172" t="str">
        <f>IF($A$1="Peak","-",IF(BaseLoad!M96&gt;BaseLoad!$G96,G$8*$Z97,0))</f>
        <v>-</v>
      </c>
      <c r="H97" s="172" t="str">
        <f>IF($A$1="Peak","-",IF(BaseLoad!N96&gt;BaseLoad!$G96,H$8*$Z97,0))</f>
        <v>-</v>
      </c>
      <c r="I97" s="172" t="str">
        <f>IF($A$1="Peak","-",IF(BaseLoad!O96&gt;BaseLoad!$G96,I$8*$Z97,0))</f>
        <v>-</v>
      </c>
      <c r="J97" s="172" t="str">
        <f>IF($A$1="Peak","-",IF(BaseLoad!P96&gt;BaseLoad!$G96,J$8*$Z97,0))</f>
        <v>-</v>
      </c>
      <c r="K97" s="172" t="str">
        <f>IF($A$1="Peak","-",IF(BaseLoad!Q96&gt;BaseLoad!$G96,K$8*$Z97,0))</f>
        <v>-</v>
      </c>
      <c r="L97" s="172" t="str">
        <f>IF($A$1="Peak","-",IF(BaseLoad!R96&gt;BaseLoad!$G96,L$8*$Z97,0))</f>
        <v>-</v>
      </c>
      <c r="M97" s="172" t="str">
        <f>IF($A$1="Peak","-",IF(BaseLoad!S96&gt;BaseLoad!$G96,M$8*$Z97,0))</f>
        <v>-</v>
      </c>
      <c r="N97" s="172" t="str">
        <f>IF($A$1="Peak","-",IF(BaseLoad!T96&gt;BaseLoad!$G96,N$8*$Z97,0))</f>
        <v>-</v>
      </c>
      <c r="O97" s="172" t="str">
        <f>IF($A$1="Peak","-",IF(BaseLoad!U96&gt;BaseLoad!$G96,O$8*$Z97,0))</f>
        <v>-</v>
      </c>
      <c r="P97" s="172" t="str">
        <f>IF($A$1="Peak","-",IF(BaseLoad!V96&gt;BaseLoad!$G96,P$8*$Z97,0))</f>
        <v>-</v>
      </c>
      <c r="Q97" s="172" t="str">
        <f>IF($A$1="Peak","-",IF(BaseLoad!W96&gt;BaseLoad!$G96,Q$8*$Z97,0))</f>
        <v>-</v>
      </c>
      <c r="R97" s="172" t="str">
        <f>IF($A$1="Peak","-",IF(BaseLoad!X96&gt;BaseLoad!$G96,R$8*$Z97,0))</f>
        <v>-</v>
      </c>
      <c r="S97" s="172" t="str">
        <f>IF($A$1="Peak","-",IF(BaseLoad!Y96&gt;BaseLoad!$G96,S$8*$Z97,0))</f>
        <v>-</v>
      </c>
      <c r="T97" s="172" t="str">
        <f>IF($A$1="Peak","-",IF(BaseLoad!Z96&gt;BaseLoad!$G96,T$8*$Z97,0))</f>
        <v>-</v>
      </c>
      <c r="U97" s="172" t="str">
        <f>IF($A$1="Peak","-",IF(BaseLoad!AA96&gt;BaseLoad!$G96,U$8*$Z97,0))</f>
        <v>-</v>
      </c>
      <c r="V97" s="172">
        <f t="shared" si="3"/>
        <v>0</v>
      </c>
      <c r="W97" s="172"/>
      <c r="X97" s="172"/>
      <c r="Y97" s="172"/>
      <c r="Z97" s="172">
        <f>CHOOSE(QUOTIENT(MONTH($A97),3)+1,BaseLoad!$AM$9,BaseLoad!$AN$9,BaseLoad!$AL$9,BaseLoad!$AO$9,BaseLoad!$AM$9)</f>
        <v>0.95</v>
      </c>
      <c r="AA97" s="172">
        <f>CHOOSE(QUOTIENT(MONTH($A97),3)+1,BaseLoad!$AM$15,BaseLoad!$AN$15,BaseLoad!$AL$15,BaseLoad!$AO$15,BaseLoad!$AM$15)</f>
        <v>705</v>
      </c>
      <c r="AB97" s="471"/>
      <c r="AD97" s="471"/>
    </row>
    <row r="98" spans="1:30" x14ac:dyDescent="0.2">
      <c r="A98" s="1">
        <f t="shared" si="5"/>
        <v>39216.696000000113</v>
      </c>
      <c r="B98" s="172" t="str">
        <f>IF($A$1="Peak","-",IF(BaseLoad!H97&gt;BaseLoad!$G97,B$8*$Z98,0))</f>
        <v>-</v>
      </c>
      <c r="C98" s="172" t="str">
        <f>IF($A$1="Peak","-",IF(BaseLoad!I97&gt;BaseLoad!$G97,C$8*$Z98,0))</f>
        <v>-</v>
      </c>
      <c r="D98" s="172" t="str">
        <f>IF($A$1="Peak","-",IF(BaseLoad!J97&gt;BaseLoad!$G97,D$8*$Z98,0))</f>
        <v>-</v>
      </c>
      <c r="E98" s="172" t="str">
        <f>IF($A$1="Peak","-",IF(BaseLoad!K97&gt;BaseLoad!$G97,E$8*$Z98,0))</f>
        <v>-</v>
      </c>
      <c r="F98" s="172" t="str">
        <f>IF($A$1="Peak","-",IF(BaseLoad!L97&gt;BaseLoad!$G97,F$8*$Z98,0))</f>
        <v>-</v>
      </c>
      <c r="G98" s="172" t="str">
        <f>IF($A$1="Peak","-",IF(BaseLoad!M97&gt;BaseLoad!$G97,G$8*$Z98,0))</f>
        <v>-</v>
      </c>
      <c r="H98" s="172" t="str">
        <f>IF($A$1="Peak","-",IF(BaseLoad!N97&gt;BaseLoad!$G97,H$8*$Z98,0))</f>
        <v>-</v>
      </c>
      <c r="I98" s="172" t="str">
        <f>IF($A$1="Peak","-",IF(BaseLoad!O97&gt;BaseLoad!$G97,I$8*$Z98,0))</f>
        <v>-</v>
      </c>
      <c r="J98" s="172" t="str">
        <f>IF($A$1="Peak","-",IF(BaseLoad!P97&gt;BaseLoad!$G97,J$8*$Z98,0))</f>
        <v>-</v>
      </c>
      <c r="K98" s="172" t="str">
        <f>IF($A$1="Peak","-",IF(BaseLoad!Q97&gt;BaseLoad!$G97,K$8*$Z98,0))</f>
        <v>-</v>
      </c>
      <c r="L98" s="172" t="str">
        <f>IF($A$1="Peak","-",IF(BaseLoad!R97&gt;BaseLoad!$G97,L$8*$Z98,0))</f>
        <v>-</v>
      </c>
      <c r="M98" s="172" t="str">
        <f>IF($A$1="Peak","-",IF(BaseLoad!S97&gt;BaseLoad!$G97,M$8*$Z98,0))</f>
        <v>-</v>
      </c>
      <c r="N98" s="172" t="str">
        <f>IF($A$1="Peak","-",IF(BaseLoad!T97&gt;BaseLoad!$G97,N$8*$Z98,0))</f>
        <v>-</v>
      </c>
      <c r="O98" s="172" t="str">
        <f>IF($A$1="Peak","-",IF(BaseLoad!U97&gt;BaseLoad!$G97,O$8*$Z98,0))</f>
        <v>-</v>
      </c>
      <c r="P98" s="172" t="str">
        <f>IF($A$1="Peak","-",IF(BaseLoad!V97&gt;BaseLoad!$G97,P$8*$Z98,0))</f>
        <v>-</v>
      </c>
      <c r="Q98" s="172" t="str">
        <f>IF($A$1="Peak","-",IF(BaseLoad!W97&gt;BaseLoad!$G97,Q$8*$Z98,0))</f>
        <v>-</v>
      </c>
      <c r="R98" s="172" t="str">
        <f>IF($A$1="Peak","-",IF(BaseLoad!X97&gt;BaseLoad!$G97,R$8*$Z98,0))</f>
        <v>-</v>
      </c>
      <c r="S98" s="172" t="str">
        <f>IF($A$1="Peak","-",IF(BaseLoad!Y97&gt;BaseLoad!$G97,S$8*$Z98,0))</f>
        <v>-</v>
      </c>
      <c r="T98" s="172" t="str">
        <f>IF($A$1="Peak","-",IF(BaseLoad!Z97&gt;BaseLoad!$G97,T$8*$Z98,0))</f>
        <v>-</v>
      </c>
      <c r="U98" s="172" t="str">
        <f>IF($A$1="Peak","-",IF(BaseLoad!AA97&gt;BaseLoad!$G97,U$8*$Z98,0))</f>
        <v>-</v>
      </c>
      <c r="V98" s="172">
        <f t="shared" si="3"/>
        <v>0</v>
      </c>
      <c r="W98" s="172"/>
      <c r="X98" s="172"/>
      <c r="Y98" s="172"/>
      <c r="Z98" s="172">
        <f>CHOOSE(QUOTIENT(MONTH($A98),3)+1,BaseLoad!$AM$9,BaseLoad!$AN$9,BaseLoad!$AL$9,BaseLoad!$AO$9,BaseLoad!$AM$9)</f>
        <v>0.95</v>
      </c>
      <c r="AA98" s="172">
        <f>CHOOSE(QUOTIENT(MONTH($A98),3)+1,BaseLoad!$AM$15,BaseLoad!$AN$15,BaseLoad!$AL$15,BaseLoad!$AO$15,BaseLoad!$AM$15)</f>
        <v>705</v>
      </c>
      <c r="AB98" s="471"/>
      <c r="AD98" s="471"/>
    </row>
    <row r="99" spans="1:30" x14ac:dyDescent="0.2">
      <c r="A99" s="1">
        <f t="shared" si="5"/>
        <v>39247.113000000114</v>
      </c>
      <c r="B99" s="172" t="str">
        <f>IF($A$1="Peak","-",IF(BaseLoad!H98&gt;BaseLoad!$G98,B$8*$Z99,0))</f>
        <v>-</v>
      </c>
      <c r="C99" s="172" t="str">
        <f>IF($A$1="Peak","-",IF(BaseLoad!I98&gt;BaseLoad!$G98,C$8*$Z99,0))</f>
        <v>-</v>
      </c>
      <c r="D99" s="172" t="str">
        <f>IF($A$1="Peak","-",IF(BaseLoad!J98&gt;BaseLoad!$G98,D$8*$Z99,0))</f>
        <v>-</v>
      </c>
      <c r="E99" s="172" t="str">
        <f>IF($A$1="Peak","-",IF(BaseLoad!K98&gt;BaseLoad!$G98,E$8*$Z99,0))</f>
        <v>-</v>
      </c>
      <c r="F99" s="172" t="str">
        <f>IF($A$1="Peak","-",IF(BaseLoad!L98&gt;BaseLoad!$G98,F$8*$Z99,0))</f>
        <v>-</v>
      </c>
      <c r="G99" s="172" t="str">
        <f>IF($A$1="Peak","-",IF(BaseLoad!M98&gt;BaseLoad!$G98,G$8*$Z99,0))</f>
        <v>-</v>
      </c>
      <c r="H99" s="172" t="str">
        <f>IF($A$1="Peak","-",IF(BaseLoad!N98&gt;BaseLoad!$G98,H$8*$Z99,0))</f>
        <v>-</v>
      </c>
      <c r="I99" s="172" t="str">
        <f>IF($A$1="Peak","-",IF(BaseLoad!O98&gt;BaseLoad!$G98,I$8*$Z99,0))</f>
        <v>-</v>
      </c>
      <c r="J99" s="172" t="str">
        <f>IF($A$1="Peak","-",IF(BaseLoad!P98&gt;BaseLoad!$G98,J$8*$Z99,0))</f>
        <v>-</v>
      </c>
      <c r="K99" s="172" t="str">
        <f>IF($A$1="Peak","-",IF(BaseLoad!Q98&gt;BaseLoad!$G98,K$8*$Z99,0))</f>
        <v>-</v>
      </c>
      <c r="L99" s="172" t="str">
        <f>IF($A$1="Peak","-",IF(BaseLoad!R98&gt;BaseLoad!$G98,L$8*$Z99,0))</f>
        <v>-</v>
      </c>
      <c r="M99" s="172" t="str">
        <f>IF($A$1="Peak","-",IF(BaseLoad!S98&gt;BaseLoad!$G98,M$8*$Z99,0))</f>
        <v>-</v>
      </c>
      <c r="N99" s="172" t="str">
        <f>IF($A$1="Peak","-",IF(BaseLoad!T98&gt;BaseLoad!$G98,N$8*$Z99,0))</f>
        <v>-</v>
      </c>
      <c r="O99" s="172" t="str">
        <f>IF($A$1="Peak","-",IF(BaseLoad!U98&gt;BaseLoad!$G98,O$8*$Z99,0))</f>
        <v>-</v>
      </c>
      <c r="P99" s="172" t="str">
        <f>IF($A$1="Peak","-",IF(BaseLoad!V98&gt;BaseLoad!$G98,P$8*$Z99,0))</f>
        <v>-</v>
      </c>
      <c r="Q99" s="172" t="str">
        <f>IF($A$1="Peak","-",IF(BaseLoad!W98&gt;BaseLoad!$G98,Q$8*$Z99,0))</f>
        <v>-</v>
      </c>
      <c r="R99" s="172" t="str">
        <f>IF($A$1="Peak","-",IF(BaseLoad!X98&gt;BaseLoad!$G98,R$8*$Z99,0))</f>
        <v>-</v>
      </c>
      <c r="S99" s="172" t="str">
        <f>IF($A$1="Peak","-",IF(BaseLoad!Y98&gt;BaseLoad!$G98,S$8*$Z99,0))</f>
        <v>-</v>
      </c>
      <c r="T99" s="172" t="str">
        <f>IF($A$1="Peak","-",IF(BaseLoad!Z98&gt;BaseLoad!$G98,T$8*$Z99,0))</f>
        <v>-</v>
      </c>
      <c r="U99" s="172" t="str">
        <f>IF($A$1="Peak","-",IF(BaseLoad!AA98&gt;BaseLoad!$G98,U$8*$Z99,0))</f>
        <v>-</v>
      </c>
      <c r="V99" s="172">
        <f t="shared" si="3"/>
        <v>0</v>
      </c>
      <c r="W99" s="172"/>
      <c r="X99" s="172"/>
      <c r="Y99" s="172"/>
      <c r="Z99" s="172">
        <f>CHOOSE(QUOTIENT(MONTH($A99),3)+1,BaseLoad!$AM$9,BaseLoad!$AN$9,BaseLoad!$AL$9,BaseLoad!$AO$9,BaseLoad!$AM$9)</f>
        <v>0.96612135909558572</v>
      </c>
      <c r="AA99" s="172">
        <f>CHOOSE(QUOTIENT(MONTH($A99),3)+1,BaseLoad!$AM$15,BaseLoad!$AN$15,BaseLoad!$AL$15,BaseLoad!$AO$15,BaseLoad!$AM$15)</f>
        <v>705</v>
      </c>
      <c r="AB99" s="471"/>
      <c r="AD99" s="471"/>
    </row>
    <row r="100" spans="1:30" x14ac:dyDescent="0.2">
      <c r="A100" s="1">
        <f t="shared" si="5"/>
        <v>39277.530000000115</v>
      </c>
      <c r="B100" s="172" t="str">
        <f>IF($A$1="Peak","-",IF(BaseLoad!H99&gt;BaseLoad!$G99,B$8*$Z100,0))</f>
        <v>-</v>
      </c>
      <c r="C100" s="172" t="str">
        <f>IF($A$1="Peak","-",IF(BaseLoad!I99&gt;BaseLoad!$G99,C$8*$Z100,0))</f>
        <v>-</v>
      </c>
      <c r="D100" s="172" t="str">
        <f>IF($A$1="Peak","-",IF(BaseLoad!J99&gt;BaseLoad!$G99,D$8*$Z100,0))</f>
        <v>-</v>
      </c>
      <c r="E100" s="172" t="str">
        <f>IF($A$1="Peak","-",IF(BaseLoad!K99&gt;BaseLoad!$G99,E$8*$Z100,0))</f>
        <v>-</v>
      </c>
      <c r="F100" s="172" t="str">
        <f>IF($A$1="Peak","-",IF(BaseLoad!L99&gt;BaseLoad!$G99,F$8*$Z100,0))</f>
        <v>-</v>
      </c>
      <c r="G100" s="172" t="str">
        <f>IF($A$1="Peak","-",IF(BaseLoad!M99&gt;BaseLoad!$G99,G$8*$Z100,0))</f>
        <v>-</v>
      </c>
      <c r="H100" s="172" t="str">
        <f>IF($A$1="Peak","-",IF(BaseLoad!N99&gt;BaseLoad!$G99,H$8*$Z100,0))</f>
        <v>-</v>
      </c>
      <c r="I100" s="172" t="str">
        <f>IF($A$1="Peak","-",IF(BaseLoad!O99&gt;BaseLoad!$G99,I$8*$Z100,0))</f>
        <v>-</v>
      </c>
      <c r="J100" s="172" t="str">
        <f>IF($A$1="Peak","-",IF(BaseLoad!P99&gt;BaseLoad!$G99,J$8*$Z100,0))</f>
        <v>-</v>
      </c>
      <c r="K100" s="172" t="str">
        <f>IF($A$1="Peak","-",IF(BaseLoad!Q99&gt;BaseLoad!$G99,K$8*$Z100,0))</f>
        <v>-</v>
      </c>
      <c r="L100" s="172" t="str">
        <f>IF($A$1="Peak","-",IF(BaseLoad!R99&gt;BaseLoad!$G99,L$8*$Z100,0))</f>
        <v>-</v>
      </c>
      <c r="M100" s="172" t="str">
        <f>IF($A$1="Peak","-",IF(BaseLoad!S99&gt;BaseLoad!$G99,M$8*$Z100,0))</f>
        <v>-</v>
      </c>
      <c r="N100" s="172" t="str">
        <f>IF($A$1="Peak","-",IF(BaseLoad!T99&gt;BaseLoad!$G99,N$8*$Z100,0))</f>
        <v>-</v>
      </c>
      <c r="O100" s="172" t="str">
        <f>IF($A$1="Peak","-",IF(BaseLoad!U99&gt;BaseLoad!$G99,O$8*$Z100,0))</f>
        <v>-</v>
      </c>
      <c r="P100" s="172" t="str">
        <f>IF($A$1="Peak","-",IF(BaseLoad!V99&gt;BaseLoad!$G99,P$8*$Z100,0))</f>
        <v>-</v>
      </c>
      <c r="Q100" s="172" t="str">
        <f>IF($A$1="Peak","-",IF(BaseLoad!W99&gt;BaseLoad!$G99,Q$8*$Z100,0))</f>
        <v>-</v>
      </c>
      <c r="R100" s="172" t="str">
        <f>IF($A$1="Peak","-",IF(BaseLoad!X99&gt;BaseLoad!$G99,R$8*$Z100,0))</f>
        <v>-</v>
      </c>
      <c r="S100" s="172" t="str">
        <f>IF($A$1="Peak","-",IF(BaseLoad!Y99&gt;BaseLoad!$G99,S$8*$Z100,0))</f>
        <v>-</v>
      </c>
      <c r="T100" s="172" t="str">
        <f>IF($A$1="Peak","-",IF(BaseLoad!Z99&gt;BaseLoad!$G99,T$8*$Z100,0))</f>
        <v>-</v>
      </c>
      <c r="U100" s="172" t="str">
        <f>IF($A$1="Peak","-",IF(BaseLoad!AA99&gt;BaseLoad!$G99,U$8*$Z100,0))</f>
        <v>-</v>
      </c>
      <c r="V100" s="172">
        <f t="shared" si="3"/>
        <v>0</v>
      </c>
      <c r="W100" s="172"/>
      <c r="X100" s="172"/>
      <c r="Y100" s="172"/>
      <c r="Z100" s="172">
        <f>CHOOSE(QUOTIENT(MONTH($A100),3)+1,BaseLoad!$AM$9,BaseLoad!$AN$9,BaseLoad!$AL$9,BaseLoad!$AO$9,BaseLoad!$AM$9)</f>
        <v>0.96612135909558572</v>
      </c>
      <c r="AA100" s="172">
        <f>CHOOSE(QUOTIENT(MONTH($A100),3)+1,BaseLoad!$AM$15,BaseLoad!$AN$15,BaseLoad!$AL$15,BaseLoad!$AO$15,BaseLoad!$AM$15)</f>
        <v>705</v>
      </c>
      <c r="AB100" s="471"/>
      <c r="AD100" s="471"/>
    </row>
    <row r="101" spans="1:30" x14ac:dyDescent="0.2">
      <c r="A101" s="1">
        <f t="shared" si="5"/>
        <v>39307.947000000117</v>
      </c>
      <c r="B101" s="172" t="str">
        <f>IF($A$1="Peak","-",IF(BaseLoad!H100&gt;BaseLoad!$G100,B$8*$Z101,0))</f>
        <v>-</v>
      </c>
      <c r="C101" s="172" t="str">
        <f>IF($A$1="Peak","-",IF(BaseLoad!I100&gt;BaseLoad!$G100,C$8*$Z101,0))</f>
        <v>-</v>
      </c>
      <c r="D101" s="172" t="str">
        <f>IF($A$1="Peak","-",IF(BaseLoad!J100&gt;BaseLoad!$G100,D$8*$Z101,0))</f>
        <v>-</v>
      </c>
      <c r="E101" s="172" t="str">
        <f>IF($A$1="Peak","-",IF(BaseLoad!K100&gt;BaseLoad!$G100,E$8*$Z101,0))</f>
        <v>-</v>
      </c>
      <c r="F101" s="172" t="str">
        <f>IF($A$1="Peak","-",IF(BaseLoad!L100&gt;BaseLoad!$G100,F$8*$Z101,0))</f>
        <v>-</v>
      </c>
      <c r="G101" s="172" t="str">
        <f>IF($A$1="Peak","-",IF(BaseLoad!M100&gt;BaseLoad!$G100,G$8*$Z101,0))</f>
        <v>-</v>
      </c>
      <c r="H101" s="172" t="str">
        <f>IF($A$1="Peak","-",IF(BaseLoad!N100&gt;BaseLoad!$G100,H$8*$Z101,0))</f>
        <v>-</v>
      </c>
      <c r="I101" s="172" t="str">
        <f>IF($A$1="Peak","-",IF(BaseLoad!O100&gt;BaseLoad!$G100,I$8*$Z101,0))</f>
        <v>-</v>
      </c>
      <c r="J101" s="172" t="str">
        <f>IF($A$1="Peak","-",IF(BaseLoad!P100&gt;BaseLoad!$G100,J$8*$Z101,0))</f>
        <v>-</v>
      </c>
      <c r="K101" s="172" t="str">
        <f>IF($A$1="Peak","-",IF(BaseLoad!Q100&gt;BaseLoad!$G100,K$8*$Z101,0))</f>
        <v>-</v>
      </c>
      <c r="L101" s="172" t="str">
        <f>IF($A$1="Peak","-",IF(BaseLoad!R100&gt;BaseLoad!$G100,L$8*$Z101,0))</f>
        <v>-</v>
      </c>
      <c r="M101" s="172" t="str">
        <f>IF($A$1="Peak","-",IF(BaseLoad!S100&gt;BaseLoad!$G100,M$8*$Z101,0))</f>
        <v>-</v>
      </c>
      <c r="N101" s="172" t="str">
        <f>IF($A$1="Peak","-",IF(BaseLoad!T100&gt;BaseLoad!$G100,N$8*$Z101,0))</f>
        <v>-</v>
      </c>
      <c r="O101" s="172" t="str">
        <f>IF($A$1="Peak","-",IF(BaseLoad!U100&gt;BaseLoad!$G100,O$8*$Z101,0))</f>
        <v>-</v>
      </c>
      <c r="P101" s="172" t="str">
        <f>IF($A$1="Peak","-",IF(BaseLoad!V100&gt;BaseLoad!$G100,P$8*$Z101,0))</f>
        <v>-</v>
      </c>
      <c r="Q101" s="172" t="str">
        <f>IF($A$1="Peak","-",IF(BaseLoad!W100&gt;BaseLoad!$G100,Q$8*$Z101,0))</f>
        <v>-</v>
      </c>
      <c r="R101" s="172" t="str">
        <f>IF($A$1="Peak","-",IF(BaseLoad!X100&gt;BaseLoad!$G100,R$8*$Z101,0))</f>
        <v>-</v>
      </c>
      <c r="S101" s="172" t="str">
        <f>IF($A$1="Peak","-",IF(BaseLoad!Y100&gt;BaseLoad!$G100,S$8*$Z101,0))</f>
        <v>-</v>
      </c>
      <c r="T101" s="172" t="str">
        <f>IF($A$1="Peak","-",IF(BaseLoad!Z100&gt;BaseLoad!$G100,T$8*$Z101,0))</f>
        <v>-</v>
      </c>
      <c r="U101" s="172" t="str">
        <f>IF($A$1="Peak","-",IF(BaseLoad!AA100&gt;BaseLoad!$G100,U$8*$Z101,0))</f>
        <v>-</v>
      </c>
      <c r="V101" s="172">
        <f t="shared" si="3"/>
        <v>0</v>
      </c>
      <c r="W101" s="172"/>
      <c r="X101" s="172"/>
      <c r="Y101" s="172"/>
      <c r="Z101" s="172">
        <f>CHOOSE(QUOTIENT(MONTH($A101),3)+1,BaseLoad!$AM$9,BaseLoad!$AN$9,BaseLoad!$AL$9,BaseLoad!$AO$9,BaseLoad!$AM$9)</f>
        <v>0.96612135909558572</v>
      </c>
      <c r="AA101" s="172">
        <f>CHOOSE(QUOTIENT(MONTH($A101),3)+1,BaseLoad!$AM$15,BaseLoad!$AN$15,BaseLoad!$AL$15,BaseLoad!$AO$15,BaseLoad!$AM$15)</f>
        <v>705</v>
      </c>
      <c r="AB101" s="471"/>
      <c r="AD101" s="471"/>
    </row>
    <row r="102" spans="1:30" x14ac:dyDescent="0.2">
      <c r="A102" s="1">
        <f t="shared" si="5"/>
        <v>39338.364000000118</v>
      </c>
      <c r="B102" s="172" t="str">
        <f>IF($A$1="Peak","-",IF(BaseLoad!H101&gt;BaseLoad!$G101,B$8*$Z102,0))</f>
        <v>-</v>
      </c>
      <c r="C102" s="172" t="str">
        <f>IF($A$1="Peak","-",IF(BaseLoad!I101&gt;BaseLoad!$G101,C$8*$Z102,0))</f>
        <v>-</v>
      </c>
      <c r="D102" s="172" t="str">
        <f>IF($A$1="Peak","-",IF(BaseLoad!J101&gt;BaseLoad!$G101,D$8*$Z102,0))</f>
        <v>-</v>
      </c>
      <c r="E102" s="172" t="str">
        <f>IF($A$1="Peak","-",IF(BaseLoad!K101&gt;BaseLoad!$G101,E$8*$Z102,0))</f>
        <v>-</v>
      </c>
      <c r="F102" s="172" t="str">
        <f>IF($A$1="Peak","-",IF(BaseLoad!L101&gt;BaseLoad!$G101,F$8*$Z102,0))</f>
        <v>-</v>
      </c>
      <c r="G102" s="172" t="str">
        <f>IF($A$1="Peak","-",IF(BaseLoad!M101&gt;BaseLoad!$G101,G$8*$Z102,0))</f>
        <v>-</v>
      </c>
      <c r="H102" s="172" t="str">
        <f>IF($A$1="Peak","-",IF(BaseLoad!N101&gt;BaseLoad!$G101,H$8*$Z102,0))</f>
        <v>-</v>
      </c>
      <c r="I102" s="172" t="str">
        <f>IF($A$1="Peak","-",IF(BaseLoad!O101&gt;BaseLoad!$G101,I$8*$Z102,0))</f>
        <v>-</v>
      </c>
      <c r="J102" s="172" t="str">
        <f>IF($A$1="Peak","-",IF(BaseLoad!P101&gt;BaseLoad!$G101,J$8*$Z102,0))</f>
        <v>-</v>
      </c>
      <c r="K102" s="172" t="str">
        <f>IF($A$1="Peak","-",IF(BaseLoad!Q101&gt;BaseLoad!$G101,K$8*$Z102,0))</f>
        <v>-</v>
      </c>
      <c r="L102" s="172" t="str">
        <f>IF($A$1="Peak","-",IF(BaseLoad!R101&gt;BaseLoad!$G101,L$8*$Z102,0))</f>
        <v>-</v>
      </c>
      <c r="M102" s="172" t="str">
        <f>IF($A$1="Peak","-",IF(BaseLoad!S101&gt;BaseLoad!$G101,M$8*$Z102,0))</f>
        <v>-</v>
      </c>
      <c r="N102" s="172" t="str">
        <f>IF($A$1="Peak","-",IF(BaseLoad!T101&gt;BaseLoad!$G101,N$8*$Z102,0))</f>
        <v>-</v>
      </c>
      <c r="O102" s="172" t="str">
        <f>IF($A$1="Peak","-",IF(BaseLoad!U101&gt;BaseLoad!$G101,O$8*$Z102,0))</f>
        <v>-</v>
      </c>
      <c r="P102" s="172" t="str">
        <f>IF($A$1="Peak","-",IF(BaseLoad!V101&gt;BaseLoad!$G101,P$8*$Z102,0))</f>
        <v>-</v>
      </c>
      <c r="Q102" s="172" t="str">
        <f>IF($A$1="Peak","-",IF(BaseLoad!W101&gt;BaseLoad!$G101,Q$8*$Z102,0))</f>
        <v>-</v>
      </c>
      <c r="R102" s="172" t="str">
        <f>IF($A$1="Peak","-",IF(BaseLoad!X101&gt;BaseLoad!$G101,R$8*$Z102,0))</f>
        <v>-</v>
      </c>
      <c r="S102" s="172" t="str">
        <f>IF($A$1="Peak","-",IF(BaseLoad!Y101&gt;BaseLoad!$G101,S$8*$Z102,0))</f>
        <v>-</v>
      </c>
      <c r="T102" s="172" t="str">
        <f>IF($A$1="Peak","-",IF(BaseLoad!Z101&gt;BaseLoad!$G101,T$8*$Z102,0))</f>
        <v>-</v>
      </c>
      <c r="U102" s="172" t="str">
        <f>IF($A$1="Peak","-",IF(BaseLoad!AA101&gt;BaseLoad!$G101,U$8*$Z102,0))</f>
        <v>-</v>
      </c>
      <c r="V102" s="172">
        <f t="shared" si="3"/>
        <v>0</v>
      </c>
      <c r="W102" s="172"/>
      <c r="X102" s="172"/>
      <c r="Y102" s="172"/>
      <c r="Z102" s="172">
        <f>CHOOSE(QUOTIENT(MONTH($A102),3)+1,BaseLoad!$AM$9,BaseLoad!$AN$9,BaseLoad!$AL$9,BaseLoad!$AO$9,BaseLoad!$AM$9)</f>
        <v>0.95</v>
      </c>
      <c r="AA102" s="172">
        <f>CHOOSE(QUOTIENT(MONTH($A102),3)+1,BaseLoad!$AM$15,BaseLoad!$AN$15,BaseLoad!$AL$15,BaseLoad!$AO$15,BaseLoad!$AM$15)</f>
        <v>705</v>
      </c>
      <c r="AB102" s="471"/>
      <c r="AD102" s="471"/>
    </row>
    <row r="103" spans="1:30" x14ac:dyDescent="0.2">
      <c r="A103" s="1">
        <f t="shared" si="5"/>
        <v>39368.781000000119</v>
      </c>
      <c r="B103" s="172" t="str">
        <f>IF($A$1="Peak","-",IF(BaseLoad!H102&gt;BaseLoad!$G102,B$8*$Z103,0))</f>
        <v>-</v>
      </c>
      <c r="C103" s="172" t="str">
        <f>IF($A$1="Peak","-",IF(BaseLoad!I102&gt;BaseLoad!$G102,C$8*$Z103,0))</f>
        <v>-</v>
      </c>
      <c r="D103" s="172" t="str">
        <f>IF($A$1="Peak","-",IF(BaseLoad!J102&gt;BaseLoad!$G102,D$8*$Z103,0))</f>
        <v>-</v>
      </c>
      <c r="E103" s="172" t="str">
        <f>IF($A$1="Peak","-",IF(BaseLoad!K102&gt;BaseLoad!$G102,E$8*$Z103,0))</f>
        <v>-</v>
      </c>
      <c r="F103" s="172" t="str">
        <f>IF($A$1="Peak","-",IF(BaseLoad!L102&gt;BaseLoad!$G102,F$8*$Z103,0))</f>
        <v>-</v>
      </c>
      <c r="G103" s="172" t="str">
        <f>IF($A$1="Peak","-",IF(BaseLoad!M102&gt;BaseLoad!$G102,G$8*$Z103,0))</f>
        <v>-</v>
      </c>
      <c r="H103" s="172" t="str">
        <f>IF($A$1="Peak","-",IF(BaseLoad!N102&gt;BaseLoad!$G102,H$8*$Z103,0))</f>
        <v>-</v>
      </c>
      <c r="I103" s="172" t="str">
        <f>IF($A$1="Peak","-",IF(BaseLoad!O102&gt;BaseLoad!$G102,I$8*$Z103,0))</f>
        <v>-</v>
      </c>
      <c r="J103" s="172" t="str">
        <f>IF($A$1="Peak","-",IF(BaseLoad!P102&gt;BaseLoad!$G102,J$8*$Z103,0))</f>
        <v>-</v>
      </c>
      <c r="K103" s="172" t="str">
        <f>IF($A$1="Peak","-",IF(BaseLoad!Q102&gt;BaseLoad!$G102,K$8*$Z103,0))</f>
        <v>-</v>
      </c>
      <c r="L103" s="172" t="str">
        <f>IF($A$1="Peak","-",IF(BaseLoad!R102&gt;BaseLoad!$G102,L$8*$Z103,0))</f>
        <v>-</v>
      </c>
      <c r="M103" s="172" t="str">
        <f>IF($A$1="Peak","-",IF(BaseLoad!S102&gt;BaseLoad!$G102,M$8*$Z103,0))</f>
        <v>-</v>
      </c>
      <c r="N103" s="172" t="str">
        <f>IF($A$1="Peak","-",IF(BaseLoad!T102&gt;BaseLoad!$G102,N$8*$Z103,0))</f>
        <v>-</v>
      </c>
      <c r="O103" s="172" t="str">
        <f>IF($A$1="Peak","-",IF(BaseLoad!U102&gt;BaseLoad!$G102,O$8*$Z103,0))</f>
        <v>-</v>
      </c>
      <c r="P103" s="172" t="str">
        <f>IF($A$1="Peak","-",IF(BaseLoad!V102&gt;BaseLoad!$G102,P$8*$Z103,0))</f>
        <v>-</v>
      </c>
      <c r="Q103" s="172" t="str">
        <f>IF($A$1="Peak","-",IF(BaseLoad!W102&gt;BaseLoad!$G102,Q$8*$Z103,0))</f>
        <v>-</v>
      </c>
      <c r="R103" s="172" t="str">
        <f>IF($A$1="Peak","-",IF(BaseLoad!X102&gt;BaseLoad!$G102,R$8*$Z103,0))</f>
        <v>-</v>
      </c>
      <c r="S103" s="172" t="str">
        <f>IF($A$1="Peak","-",IF(BaseLoad!Y102&gt;BaseLoad!$G102,S$8*$Z103,0))</f>
        <v>-</v>
      </c>
      <c r="T103" s="172" t="str">
        <f>IF($A$1="Peak","-",IF(BaseLoad!Z102&gt;BaseLoad!$G102,T$8*$Z103,0))</f>
        <v>-</v>
      </c>
      <c r="U103" s="172" t="str">
        <f>IF($A$1="Peak","-",IF(BaseLoad!AA102&gt;BaseLoad!$G102,U$8*$Z103,0))</f>
        <v>-</v>
      </c>
      <c r="V103" s="172">
        <f t="shared" si="3"/>
        <v>0</v>
      </c>
      <c r="W103" s="172"/>
      <c r="X103" s="172"/>
      <c r="Y103" s="172"/>
      <c r="Z103" s="172">
        <f>CHOOSE(QUOTIENT(MONTH($A103),3)+1,BaseLoad!$AM$9,BaseLoad!$AN$9,BaseLoad!$AL$9,BaseLoad!$AO$9,BaseLoad!$AM$9)</f>
        <v>0.95</v>
      </c>
      <c r="AA103" s="172">
        <f>CHOOSE(QUOTIENT(MONTH($A103),3)+1,BaseLoad!$AM$15,BaseLoad!$AN$15,BaseLoad!$AL$15,BaseLoad!$AO$15,BaseLoad!$AM$15)</f>
        <v>705</v>
      </c>
      <c r="AB103" s="471"/>
      <c r="AD103" s="471"/>
    </row>
    <row r="104" spans="1:30" x14ac:dyDescent="0.2">
      <c r="A104" s="1">
        <f t="shared" si="5"/>
        <v>39399.19800000012</v>
      </c>
      <c r="B104" s="172" t="str">
        <f>IF($A$1="Peak","-",IF(BaseLoad!H103&gt;BaseLoad!$G103,B$8*$Z104,0))</f>
        <v>-</v>
      </c>
      <c r="C104" s="172" t="str">
        <f>IF($A$1="Peak","-",IF(BaseLoad!I103&gt;BaseLoad!$G103,C$8*$Z104,0))</f>
        <v>-</v>
      </c>
      <c r="D104" s="172" t="str">
        <f>IF($A$1="Peak","-",IF(BaseLoad!J103&gt;BaseLoad!$G103,D$8*$Z104,0))</f>
        <v>-</v>
      </c>
      <c r="E104" s="172" t="str">
        <f>IF($A$1="Peak","-",IF(BaseLoad!K103&gt;BaseLoad!$G103,E$8*$Z104,0))</f>
        <v>-</v>
      </c>
      <c r="F104" s="172" t="str">
        <f>IF($A$1="Peak","-",IF(BaseLoad!L103&gt;BaseLoad!$G103,F$8*$Z104,0))</f>
        <v>-</v>
      </c>
      <c r="G104" s="172" t="str">
        <f>IF($A$1="Peak","-",IF(BaseLoad!M103&gt;BaseLoad!$G103,G$8*$Z104,0))</f>
        <v>-</v>
      </c>
      <c r="H104" s="172" t="str">
        <f>IF($A$1="Peak","-",IF(BaseLoad!N103&gt;BaseLoad!$G103,H$8*$Z104,0))</f>
        <v>-</v>
      </c>
      <c r="I104" s="172" t="str">
        <f>IF($A$1="Peak","-",IF(BaseLoad!O103&gt;BaseLoad!$G103,I$8*$Z104,0))</f>
        <v>-</v>
      </c>
      <c r="J104" s="172" t="str">
        <f>IF($A$1="Peak","-",IF(BaseLoad!P103&gt;BaseLoad!$G103,J$8*$Z104,0))</f>
        <v>-</v>
      </c>
      <c r="K104" s="172" t="str">
        <f>IF($A$1="Peak","-",IF(BaseLoad!Q103&gt;BaseLoad!$G103,K$8*$Z104,0))</f>
        <v>-</v>
      </c>
      <c r="L104" s="172" t="str">
        <f>IF($A$1="Peak","-",IF(BaseLoad!R103&gt;BaseLoad!$G103,L$8*$Z104,0))</f>
        <v>-</v>
      </c>
      <c r="M104" s="172" t="str">
        <f>IF($A$1="Peak","-",IF(BaseLoad!S103&gt;BaseLoad!$G103,M$8*$Z104,0))</f>
        <v>-</v>
      </c>
      <c r="N104" s="172" t="str">
        <f>IF($A$1="Peak","-",IF(BaseLoad!T103&gt;BaseLoad!$G103,N$8*$Z104,0))</f>
        <v>-</v>
      </c>
      <c r="O104" s="172" t="str">
        <f>IF($A$1="Peak","-",IF(BaseLoad!U103&gt;BaseLoad!$G103,O$8*$Z104,0))</f>
        <v>-</v>
      </c>
      <c r="P104" s="172" t="str">
        <f>IF($A$1="Peak","-",IF(BaseLoad!V103&gt;BaseLoad!$G103,P$8*$Z104,0))</f>
        <v>-</v>
      </c>
      <c r="Q104" s="172" t="str">
        <f>IF($A$1="Peak","-",IF(BaseLoad!W103&gt;BaseLoad!$G103,Q$8*$Z104,0))</f>
        <v>-</v>
      </c>
      <c r="R104" s="172" t="str">
        <f>IF($A$1="Peak","-",IF(BaseLoad!X103&gt;BaseLoad!$G103,R$8*$Z104,0))</f>
        <v>-</v>
      </c>
      <c r="S104" s="172" t="str">
        <f>IF($A$1="Peak","-",IF(BaseLoad!Y103&gt;BaseLoad!$G103,S$8*$Z104,0))</f>
        <v>-</v>
      </c>
      <c r="T104" s="172" t="str">
        <f>IF($A$1="Peak","-",IF(BaseLoad!Z103&gt;BaseLoad!$G103,T$8*$Z104,0))</f>
        <v>-</v>
      </c>
      <c r="U104" s="172" t="str">
        <f>IF($A$1="Peak","-",IF(BaseLoad!AA103&gt;BaseLoad!$G103,U$8*$Z104,0))</f>
        <v>-</v>
      </c>
      <c r="V104" s="172">
        <f t="shared" si="3"/>
        <v>0</v>
      </c>
      <c r="W104" s="172"/>
      <c r="X104" s="172"/>
      <c r="Y104" s="172"/>
      <c r="Z104" s="172">
        <f>CHOOSE(QUOTIENT(MONTH($A104),3)+1,BaseLoad!$AM$9,BaseLoad!$AN$9,BaseLoad!$AL$9,BaseLoad!$AO$9,BaseLoad!$AM$9)</f>
        <v>0.95</v>
      </c>
      <c r="AA104" s="172">
        <f>CHOOSE(QUOTIENT(MONTH($A104),3)+1,BaseLoad!$AM$15,BaseLoad!$AN$15,BaseLoad!$AL$15,BaseLoad!$AO$15,BaseLoad!$AM$15)</f>
        <v>705</v>
      </c>
      <c r="AB104" s="471"/>
      <c r="AD104" s="471"/>
    </row>
    <row r="105" spans="1:30" x14ac:dyDescent="0.2">
      <c r="A105" s="1">
        <f t="shared" si="5"/>
        <v>39429.615000000122</v>
      </c>
      <c r="B105" s="172" t="str">
        <f>IF($A$1="Peak","-",IF(BaseLoad!H104&gt;BaseLoad!$G104,B$8*$Z105,0))</f>
        <v>-</v>
      </c>
      <c r="C105" s="172" t="str">
        <f>IF($A$1="Peak","-",IF(BaseLoad!I104&gt;BaseLoad!$G104,C$8*$Z105,0))</f>
        <v>-</v>
      </c>
      <c r="D105" s="172" t="str">
        <f>IF($A$1="Peak","-",IF(BaseLoad!J104&gt;BaseLoad!$G104,D$8*$Z105,0))</f>
        <v>-</v>
      </c>
      <c r="E105" s="172" t="str">
        <f>IF($A$1="Peak","-",IF(BaseLoad!K104&gt;BaseLoad!$G104,E$8*$Z105,0))</f>
        <v>-</v>
      </c>
      <c r="F105" s="172" t="str">
        <f>IF($A$1="Peak","-",IF(BaseLoad!L104&gt;BaseLoad!$G104,F$8*$Z105,0))</f>
        <v>-</v>
      </c>
      <c r="G105" s="172" t="str">
        <f>IF($A$1="Peak","-",IF(BaseLoad!M104&gt;BaseLoad!$G104,G$8*$Z105,0))</f>
        <v>-</v>
      </c>
      <c r="H105" s="172" t="str">
        <f>IF($A$1="Peak","-",IF(BaseLoad!N104&gt;BaseLoad!$G104,H$8*$Z105,0))</f>
        <v>-</v>
      </c>
      <c r="I105" s="172" t="str">
        <f>IF($A$1="Peak","-",IF(BaseLoad!O104&gt;BaseLoad!$G104,I$8*$Z105,0))</f>
        <v>-</v>
      </c>
      <c r="J105" s="172" t="str">
        <f>IF($A$1="Peak","-",IF(BaseLoad!P104&gt;BaseLoad!$G104,J$8*$Z105,0))</f>
        <v>-</v>
      </c>
      <c r="K105" s="172" t="str">
        <f>IF($A$1="Peak","-",IF(BaseLoad!Q104&gt;BaseLoad!$G104,K$8*$Z105,0))</f>
        <v>-</v>
      </c>
      <c r="L105" s="172" t="str">
        <f>IF($A$1="Peak","-",IF(BaseLoad!R104&gt;BaseLoad!$G104,L$8*$Z105,0))</f>
        <v>-</v>
      </c>
      <c r="M105" s="172" t="str">
        <f>IF($A$1="Peak","-",IF(BaseLoad!S104&gt;BaseLoad!$G104,M$8*$Z105,0))</f>
        <v>-</v>
      </c>
      <c r="N105" s="172" t="str">
        <f>IF($A$1="Peak","-",IF(BaseLoad!T104&gt;BaseLoad!$G104,N$8*$Z105,0))</f>
        <v>-</v>
      </c>
      <c r="O105" s="172" t="str">
        <f>IF($A$1="Peak","-",IF(BaseLoad!U104&gt;BaseLoad!$G104,O$8*$Z105,0))</f>
        <v>-</v>
      </c>
      <c r="P105" s="172" t="str">
        <f>IF($A$1="Peak","-",IF(BaseLoad!V104&gt;BaseLoad!$G104,P$8*$Z105,0))</f>
        <v>-</v>
      </c>
      <c r="Q105" s="172" t="str">
        <f>IF($A$1="Peak","-",IF(BaseLoad!W104&gt;BaseLoad!$G104,Q$8*$Z105,0))</f>
        <v>-</v>
      </c>
      <c r="R105" s="172" t="str">
        <f>IF($A$1="Peak","-",IF(BaseLoad!X104&gt;BaseLoad!$G104,R$8*$Z105,0))</f>
        <v>-</v>
      </c>
      <c r="S105" s="172" t="str">
        <f>IF($A$1="Peak","-",IF(BaseLoad!Y104&gt;BaseLoad!$G104,S$8*$Z105,0))</f>
        <v>-</v>
      </c>
      <c r="T105" s="172" t="str">
        <f>IF($A$1="Peak","-",IF(BaseLoad!Z104&gt;BaseLoad!$G104,T$8*$Z105,0))</f>
        <v>-</v>
      </c>
      <c r="U105" s="172" t="str">
        <f>IF($A$1="Peak","-",IF(BaseLoad!AA104&gt;BaseLoad!$G104,U$8*$Z105,0))</f>
        <v>-</v>
      </c>
      <c r="V105" s="172">
        <f t="shared" si="3"/>
        <v>0</v>
      </c>
      <c r="W105" s="172"/>
      <c r="X105" s="172"/>
      <c r="Y105" s="172">
        <f>SUM(V94:V105)</f>
        <v>0</v>
      </c>
      <c r="Z105" s="172">
        <f>CHOOSE(QUOTIENT(MONTH($A105),3)+1,BaseLoad!$AM$9,BaseLoad!$AN$9,BaseLoad!$AL$9,BaseLoad!$AO$9,BaseLoad!$AM$9)</f>
        <v>0.92427661878611755</v>
      </c>
      <c r="AA105" s="172">
        <f>CHOOSE(QUOTIENT(MONTH($A105),3)+1,BaseLoad!$AM$15,BaseLoad!$AN$15,BaseLoad!$AL$15,BaseLoad!$AO$15,BaseLoad!$AM$15)</f>
        <v>705</v>
      </c>
      <c r="AB105" s="471"/>
      <c r="AD105" s="471"/>
    </row>
    <row r="106" spans="1:30" x14ac:dyDescent="0.2">
      <c r="A106" s="1">
        <f t="shared" si="5"/>
        <v>39460.032000000123</v>
      </c>
      <c r="B106" s="172" t="str">
        <f>IF($A$1="Peak","-",IF(BaseLoad!H105&gt;BaseLoad!$G105,B$8*$Z106,0))</f>
        <v>-</v>
      </c>
      <c r="C106" s="172" t="str">
        <f>IF($A$1="Peak","-",IF(BaseLoad!I105&gt;BaseLoad!$G105,C$8*$Z106,0))</f>
        <v>-</v>
      </c>
      <c r="D106" s="172" t="str">
        <f>IF($A$1="Peak","-",IF(BaseLoad!J105&gt;BaseLoad!$G105,D$8*$Z106,0))</f>
        <v>-</v>
      </c>
      <c r="E106" s="172" t="str">
        <f>IF($A$1="Peak","-",IF(BaseLoad!K105&gt;BaseLoad!$G105,E$8*$Z106,0))</f>
        <v>-</v>
      </c>
      <c r="F106" s="172" t="str">
        <f>IF($A$1="Peak","-",IF(BaseLoad!L105&gt;BaseLoad!$G105,F$8*$Z106,0))</f>
        <v>-</v>
      </c>
      <c r="G106" s="172" t="str">
        <f>IF($A$1="Peak","-",IF(BaseLoad!M105&gt;BaseLoad!$G105,G$8*$Z106,0))</f>
        <v>-</v>
      </c>
      <c r="H106" s="172" t="str">
        <f>IF($A$1="Peak","-",IF(BaseLoad!N105&gt;BaseLoad!$G105,H$8*$Z106,0))</f>
        <v>-</v>
      </c>
      <c r="I106" s="172" t="str">
        <f>IF($A$1="Peak","-",IF(BaseLoad!O105&gt;BaseLoad!$G105,I$8*$Z106,0))</f>
        <v>-</v>
      </c>
      <c r="J106" s="172" t="str">
        <f>IF($A$1="Peak","-",IF(BaseLoad!P105&gt;BaseLoad!$G105,J$8*$Z106,0))</f>
        <v>-</v>
      </c>
      <c r="K106" s="172" t="str">
        <f>IF($A$1="Peak","-",IF(BaseLoad!Q105&gt;BaseLoad!$G105,K$8*$Z106,0))</f>
        <v>-</v>
      </c>
      <c r="L106" s="172" t="str">
        <f>IF($A$1="Peak","-",IF(BaseLoad!R105&gt;BaseLoad!$G105,L$8*$Z106,0))</f>
        <v>-</v>
      </c>
      <c r="M106" s="172" t="str">
        <f>IF($A$1="Peak","-",IF(BaseLoad!S105&gt;BaseLoad!$G105,M$8*$Z106,0))</f>
        <v>-</v>
      </c>
      <c r="N106" s="172" t="str">
        <f>IF($A$1="Peak","-",IF(BaseLoad!T105&gt;BaseLoad!$G105,N$8*$Z106,0))</f>
        <v>-</v>
      </c>
      <c r="O106" s="172" t="str">
        <f>IF($A$1="Peak","-",IF(BaseLoad!U105&gt;BaseLoad!$G105,O$8*$Z106,0))</f>
        <v>-</v>
      </c>
      <c r="P106" s="172" t="str">
        <f>IF($A$1="Peak","-",IF(BaseLoad!V105&gt;BaseLoad!$G105,P$8*$Z106,0))</f>
        <v>-</v>
      </c>
      <c r="Q106" s="172" t="str">
        <f>IF($A$1="Peak","-",IF(BaseLoad!W105&gt;BaseLoad!$G105,Q$8*$Z106,0))</f>
        <v>-</v>
      </c>
      <c r="R106" s="172" t="str">
        <f>IF($A$1="Peak","-",IF(BaseLoad!X105&gt;BaseLoad!$G105,R$8*$Z106,0))</f>
        <v>-</v>
      </c>
      <c r="S106" s="172" t="str">
        <f>IF($A$1="Peak","-",IF(BaseLoad!Y105&gt;BaseLoad!$G105,S$8*$Z106,0))</f>
        <v>-</v>
      </c>
      <c r="T106" s="172" t="str">
        <f>IF($A$1="Peak","-",IF(BaseLoad!Z105&gt;BaseLoad!$G105,T$8*$Z106,0))</f>
        <v>-</v>
      </c>
      <c r="U106" s="172" t="str">
        <f>IF($A$1="Peak","-",IF(BaseLoad!AA105&gt;BaseLoad!$G105,U$8*$Z106,0))</f>
        <v>-</v>
      </c>
      <c r="V106" s="172">
        <f t="shared" si="3"/>
        <v>0</v>
      </c>
      <c r="W106" s="172"/>
      <c r="X106" s="172"/>
      <c r="Y106" s="172"/>
      <c r="Z106" s="172">
        <f>CHOOSE(QUOTIENT(MONTH($A106),3)+1,BaseLoad!$AM$9,BaseLoad!$AN$9,BaseLoad!$AL$9,BaseLoad!$AO$9,BaseLoad!$AM$9)</f>
        <v>0.92427661878611755</v>
      </c>
      <c r="AA106" s="172">
        <f>CHOOSE(QUOTIENT(MONTH($A106),3)+1,BaseLoad!$AM$15,BaseLoad!$AN$15,BaseLoad!$AL$15,BaseLoad!$AO$15,BaseLoad!$AM$15)</f>
        <v>705</v>
      </c>
      <c r="AB106" s="471"/>
      <c r="AD106" s="471"/>
    </row>
    <row r="107" spans="1:30" x14ac:dyDescent="0.2">
      <c r="A107" s="1">
        <f t="shared" si="5"/>
        <v>39490.449000000124</v>
      </c>
      <c r="B107" s="172" t="str">
        <f>IF($A$1="Peak","-",IF(BaseLoad!H106&gt;BaseLoad!$G106,B$8*$Z107,0))</f>
        <v>-</v>
      </c>
      <c r="C107" s="172" t="str">
        <f>IF($A$1="Peak","-",IF(BaseLoad!I106&gt;BaseLoad!$G106,C$8*$Z107,0))</f>
        <v>-</v>
      </c>
      <c r="D107" s="172" t="str">
        <f>IF($A$1="Peak","-",IF(BaseLoad!J106&gt;BaseLoad!$G106,D$8*$Z107,0))</f>
        <v>-</v>
      </c>
      <c r="E107" s="172" t="str">
        <f>IF($A$1="Peak","-",IF(BaseLoad!K106&gt;BaseLoad!$G106,E$8*$Z107,0))</f>
        <v>-</v>
      </c>
      <c r="F107" s="172" t="str">
        <f>IF($A$1="Peak","-",IF(BaseLoad!L106&gt;BaseLoad!$G106,F$8*$Z107,0))</f>
        <v>-</v>
      </c>
      <c r="G107" s="172" t="str">
        <f>IF($A$1="Peak","-",IF(BaseLoad!M106&gt;BaseLoad!$G106,G$8*$Z107,0))</f>
        <v>-</v>
      </c>
      <c r="H107" s="172" t="str">
        <f>IF($A$1="Peak","-",IF(BaseLoad!N106&gt;BaseLoad!$G106,H$8*$Z107,0))</f>
        <v>-</v>
      </c>
      <c r="I107" s="172" t="str">
        <f>IF($A$1="Peak","-",IF(BaseLoad!O106&gt;BaseLoad!$G106,I$8*$Z107,0))</f>
        <v>-</v>
      </c>
      <c r="J107" s="172" t="str">
        <f>IF($A$1="Peak","-",IF(BaseLoad!P106&gt;BaseLoad!$G106,J$8*$Z107,0))</f>
        <v>-</v>
      </c>
      <c r="K107" s="172" t="str">
        <f>IF($A$1="Peak","-",IF(BaseLoad!Q106&gt;BaseLoad!$G106,K$8*$Z107,0))</f>
        <v>-</v>
      </c>
      <c r="L107" s="172" t="str">
        <f>IF($A$1="Peak","-",IF(BaseLoad!R106&gt;BaseLoad!$G106,L$8*$Z107,0))</f>
        <v>-</v>
      </c>
      <c r="M107" s="172" t="str">
        <f>IF($A$1="Peak","-",IF(BaseLoad!S106&gt;BaseLoad!$G106,M$8*$Z107,0))</f>
        <v>-</v>
      </c>
      <c r="N107" s="172" t="str">
        <f>IF($A$1="Peak","-",IF(BaseLoad!T106&gt;BaseLoad!$G106,N$8*$Z107,0))</f>
        <v>-</v>
      </c>
      <c r="O107" s="172" t="str">
        <f>IF($A$1="Peak","-",IF(BaseLoad!U106&gt;BaseLoad!$G106,O$8*$Z107,0))</f>
        <v>-</v>
      </c>
      <c r="P107" s="172" t="str">
        <f>IF($A$1="Peak","-",IF(BaseLoad!V106&gt;BaseLoad!$G106,P$8*$Z107,0))</f>
        <v>-</v>
      </c>
      <c r="Q107" s="172" t="str">
        <f>IF($A$1="Peak","-",IF(BaseLoad!W106&gt;BaseLoad!$G106,Q$8*$Z107,0))</f>
        <v>-</v>
      </c>
      <c r="R107" s="172" t="str">
        <f>IF($A$1="Peak","-",IF(BaseLoad!X106&gt;BaseLoad!$G106,R$8*$Z107,0))</f>
        <v>-</v>
      </c>
      <c r="S107" s="172" t="str">
        <f>IF($A$1="Peak","-",IF(BaseLoad!Y106&gt;BaseLoad!$G106,S$8*$Z107,0))</f>
        <v>-</v>
      </c>
      <c r="T107" s="172" t="str">
        <f>IF($A$1="Peak","-",IF(BaseLoad!Z106&gt;BaseLoad!$G106,T$8*$Z107,0))</f>
        <v>-</v>
      </c>
      <c r="U107" s="172" t="str">
        <f>IF($A$1="Peak","-",IF(BaseLoad!AA106&gt;BaseLoad!$G106,U$8*$Z107,0))</f>
        <v>-</v>
      </c>
      <c r="V107" s="172">
        <f t="shared" si="3"/>
        <v>0</v>
      </c>
      <c r="W107" s="172"/>
      <c r="X107" s="172"/>
      <c r="Y107" s="172"/>
      <c r="Z107" s="172">
        <f>CHOOSE(QUOTIENT(MONTH($A107),3)+1,BaseLoad!$AM$9,BaseLoad!$AN$9,BaseLoad!$AL$9,BaseLoad!$AO$9,BaseLoad!$AM$9)</f>
        <v>0.92427661878611755</v>
      </c>
      <c r="AA107" s="172">
        <f>CHOOSE(QUOTIENT(MONTH($A107),3)+1,BaseLoad!$AM$15,BaseLoad!$AN$15,BaseLoad!$AL$15,BaseLoad!$AO$15,BaseLoad!$AM$15)</f>
        <v>705</v>
      </c>
      <c r="AB107" s="471"/>
      <c r="AD107" s="471"/>
    </row>
    <row r="108" spans="1:30" x14ac:dyDescent="0.2">
      <c r="A108" s="1">
        <f t="shared" si="5"/>
        <v>39520.866000000125</v>
      </c>
      <c r="B108" s="172" t="str">
        <f>IF($A$1="Peak","-",IF(BaseLoad!H107&gt;BaseLoad!$G107,B$8*$Z108,0))</f>
        <v>-</v>
      </c>
      <c r="C108" s="172" t="str">
        <f>IF($A$1="Peak","-",IF(BaseLoad!I107&gt;BaseLoad!$G107,C$8*$Z108,0))</f>
        <v>-</v>
      </c>
      <c r="D108" s="172" t="str">
        <f>IF($A$1="Peak","-",IF(BaseLoad!J107&gt;BaseLoad!$G107,D$8*$Z108,0))</f>
        <v>-</v>
      </c>
      <c r="E108" s="172" t="str">
        <f>IF($A$1="Peak","-",IF(BaseLoad!K107&gt;BaseLoad!$G107,E$8*$Z108,0))</f>
        <v>-</v>
      </c>
      <c r="F108" s="172" t="str">
        <f>IF($A$1="Peak","-",IF(BaseLoad!L107&gt;BaseLoad!$G107,F$8*$Z108,0))</f>
        <v>-</v>
      </c>
      <c r="G108" s="172" t="str">
        <f>IF($A$1="Peak","-",IF(BaseLoad!M107&gt;BaseLoad!$G107,G$8*$Z108,0))</f>
        <v>-</v>
      </c>
      <c r="H108" s="172" t="str">
        <f>IF($A$1="Peak","-",IF(BaseLoad!N107&gt;BaseLoad!$G107,H$8*$Z108,0))</f>
        <v>-</v>
      </c>
      <c r="I108" s="172" t="str">
        <f>IF($A$1="Peak","-",IF(BaseLoad!O107&gt;BaseLoad!$G107,I$8*$Z108,0))</f>
        <v>-</v>
      </c>
      <c r="J108" s="172" t="str">
        <f>IF($A$1="Peak","-",IF(BaseLoad!P107&gt;BaseLoad!$G107,J$8*$Z108,0))</f>
        <v>-</v>
      </c>
      <c r="K108" s="172" t="str">
        <f>IF($A$1="Peak","-",IF(BaseLoad!Q107&gt;BaseLoad!$G107,K$8*$Z108,0))</f>
        <v>-</v>
      </c>
      <c r="L108" s="172" t="str">
        <f>IF($A$1="Peak","-",IF(BaseLoad!R107&gt;BaseLoad!$G107,L$8*$Z108,0))</f>
        <v>-</v>
      </c>
      <c r="M108" s="172" t="str">
        <f>IF($A$1="Peak","-",IF(BaseLoad!S107&gt;BaseLoad!$G107,M$8*$Z108,0))</f>
        <v>-</v>
      </c>
      <c r="N108" s="172" t="str">
        <f>IF($A$1="Peak","-",IF(BaseLoad!T107&gt;BaseLoad!$G107,N$8*$Z108,0))</f>
        <v>-</v>
      </c>
      <c r="O108" s="172" t="str">
        <f>IF($A$1="Peak","-",IF(BaseLoad!U107&gt;BaseLoad!$G107,O$8*$Z108,0))</f>
        <v>-</v>
      </c>
      <c r="P108" s="172" t="str">
        <f>IF($A$1="Peak","-",IF(BaseLoad!V107&gt;BaseLoad!$G107,P$8*$Z108,0))</f>
        <v>-</v>
      </c>
      <c r="Q108" s="172" t="str">
        <f>IF($A$1="Peak","-",IF(BaseLoad!W107&gt;BaseLoad!$G107,Q$8*$Z108,0))</f>
        <v>-</v>
      </c>
      <c r="R108" s="172" t="str">
        <f>IF($A$1="Peak","-",IF(BaseLoad!X107&gt;BaseLoad!$G107,R$8*$Z108,0))</f>
        <v>-</v>
      </c>
      <c r="S108" s="172" t="str">
        <f>IF($A$1="Peak","-",IF(BaseLoad!Y107&gt;BaseLoad!$G107,S$8*$Z108,0))</f>
        <v>-</v>
      </c>
      <c r="T108" s="172" t="str">
        <f>IF($A$1="Peak","-",IF(BaseLoad!Z107&gt;BaseLoad!$G107,T$8*$Z108,0))</f>
        <v>-</v>
      </c>
      <c r="U108" s="172" t="str">
        <f>IF($A$1="Peak","-",IF(BaseLoad!AA107&gt;BaseLoad!$G107,U$8*$Z108,0))</f>
        <v>-</v>
      </c>
      <c r="V108" s="172">
        <f t="shared" si="3"/>
        <v>0</v>
      </c>
      <c r="W108" s="172"/>
      <c r="X108" s="172"/>
      <c r="Y108" s="172"/>
      <c r="Z108" s="172">
        <f>CHOOSE(QUOTIENT(MONTH($A108),3)+1,BaseLoad!$AM$9,BaseLoad!$AN$9,BaseLoad!$AL$9,BaseLoad!$AO$9,BaseLoad!$AM$9)</f>
        <v>0.95</v>
      </c>
      <c r="AA108" s="172">
        <f>CHOOSE(QUOTIENT(MONTH($A108),3)+1,BaseLoad!$AM$15,BaseLoad!$AN$15,BaseLoad!$AL$15,BaseLoad!$AO$15,BaseLoad!$AM$15)</f>
        <v>705</v>
      </c>
      <c r="AB108" s="471"/>
      <c r="AD108" s="471"/>
    </row>
    <row r="109" spans="1:30" x14ac:dyDescent="0.2">
      <c r="A109" s="1">
        <f t="shared" si="5"/>
        <v>39551.283000000127</v>
      </c>
      <c r="B109" s="172" t="str">
        <f>IF($A$1="Peak","-",IF(BaseLoad!H108&gt;BaseLoad!$G108,B$8*$Z109,0))</f>
        <v>-</v>
      </c>
      <c r="C109" s="172" t="str">
        <f>IF($A$1="Peak","-",IF(BaseLoad!I108&gt;BaseLoad!$G108,C$8*$Z109,0))</f>
        <v>-</v>
      </c>
      <c r="D109" s="172" t="str">
        <f>IF($A$1="Peak","-",IF(BaseLoad!J108&gt;BaseLoad!$G108,D$8*$Z109,0))</f>
        <v>-</v>
      </c>
      <c r="E109" s="172" t="str">
        <f>IF($A$1="Peak","-",IF(BaseLoad!K108&gt;BaseLoad!$G108,E$8*$Z109,0))</f>
        <v>-</v>
      </c>
      <c r="F109" s="172" t="str">
        <f>IF($A$1="Peak","-",IF(BaseLoad!L108&gt;BaseLoad!$G108,F$8*$Z109,0))</f>
        <v>-</v>
      </c>
      <c r="G109" s="172" t="str">
        <f>IF($A$1="Peak","-",IF(BaseLoad!M108&gt;BaseLoad!$G108,G$8*$Z109,0))</f>
        <v>-</v>
      </c>
      <c r="H109" s="172" t="str">
        <f>IF($A$1="Peak","-",IF(BaseLoad!N108&gt;BaseLoad!$G108,H$8*$Z109,0))</f>
        <v>-</v>
      </c>
      <c r="I109" s="172" t="str">
        <f>IF($A$1="Peak","-",IF(BaseLoad!O108&gt;BaseLoad!$G108,I$8*$Z109,0))</f>
        <v>-</v>
      </c>
      <c r="J109" s="172" t="str">
        <f>IF($A$1="Peak","-",IF(BaseLoad!P108&gt;BaseLoad!$G108,J$8*$Z109,0))</f>
        <v>-</v>
      </c>
      <c r="K109" s="172" t="str">
        <f>IF($A$1="Peak","-",IF(BaseLoad!Q108&gt;BaseLoad!$G108,K$8*$Z109,0))</f>
        <v>-</v>
      </c>
      <c r="L109" s="172" t="str">
        <f>IF($A$1="Peak","-",IF(BaseLoad!R108&gt;BaseLoad!$G108,L$8*$Z109,0))</f>
        <v>-</v>
      </c>
      <c r="M109" s="172" t="str">
        <f>IF($A$1="Peak","-",IF(BaseLoad!S108&gt;BaseLoad!$G108,M$8*$Z109,0))</f>
        <v>-</v>
      </c>
      <c r="N109" s="172" t="str">
        <f>IF($A$1="Peak","-",IF(BaseLoad!T108&gt;BaseLoad!$G108,N$8*$Z109,0))</f>
        <v>-</v>
      </c>
      <c r="O109" s="172" t="str">
        <f>IF($A$1="Peak","-",IF(BaseLoad!U108&gt;BaseLoad!$G108,O$8*$Z109,0))</f>
        <v>-</v>
      </c>
      <c r="P109" s="172" t="str">
        <f>IF($A$1="Peak","-",IF(BaseLoad!V108&gt;BaseLoad!$G108,P$8*$Z109,0))</f>
        <v>-</v>
      </c>
      <c r="Q109" s="172" t="str">
        <f>IF($A$1="Peak","-",IF(BaseLoad!W108&gt;BaseLoad!$G108,Q$8*$Z109,0))</f>
        <v>-</v>
      </c>
      <c r="R109" s="172" t="str">
        <f>IF($A$1="Peak","-",IF(BaseLoad!X108&gt;BaseLoad!$G108,R$8*$Z109,0))</f>
        <v>-</v>
      </c>
      <c r="S109" s="172" t="str">
        <f>IF($A$1="Peak","-",IF(BaseLoad!Y108&gt;BaseLoad!$G108,S$8*$Z109,0))</f>
        <v>-</v>
      </c>
      <c r="T109" s="172" t="str">
        <f>IF($A$1="Peak","-",IF(BaseLoad!Z108&gt;BaseLoad!$G108,T$8*$Z109,0))</f>
        <v>-</v>
      </c>
      <c r="U109" s="172" t="str">
        <f>IF($A$1="Peak","-",IF(BaseLoad!AA108&gt;BaseLoad!$G108,U$8*$Z109,0))</f>
        <v>-</v>
      </c>
      <c r="V109" s="172">
        <f t="shared" si="3"/>
        <v>0</v>
      </c>
      <c r="W109" s="172"/>
      <c r="X109" s="172"/>
      <c r="Y109" s="172"/>
      <c r="Z109" s="172">
        <f>CHOOSE(QUOTIENT(MONTH($A109),3)+1,BaseLoad!$AM$9,BaseLoad!$AN$9,BaseLoad!$AL$9,BaseLoad!$AO$9,BaseLoad!$AM$9)</f>
        <v>0.95</v>
      </c>
      <c r="AA109" s="172">
        <f>CHOOSE(QUOTIENT(MONTH($A109),3)+1,BaseLoad!$AM$15,BaseLoad!$AN$15,BaseLoad!$AL$15,BaseLoad!$AO$15,BaseLoad!$AM$15)</f>
        <v>705</v>
      </c>
      <c r="AB109" s="471"/>
      <c r="AD109" s="471"/>
    </row>
    <row r="110" spans="1:30" x14ac:dyDescent="0.2">
      <c r="A110" s="1">
        <f t="shared" si="5"/>
        <v>39581.700000000128</v>
      </c>
      <c r="B110" s="172" t="str">
        <f>IF($A$1="Peak","-",IF(BaseLoad!H109&gt;BaseLoad!$G109,B$8*$Z110,0))</f>
        <v>-</v>
      </c>
      <c r="C110" s="172" t="str">
        <f>IF($A$1="Peak","-",IF(BaseLoad!I109&gt;BaseLoad!$G109,C$8*$Z110,0))</f>
        <v>-</v>
      </c>
      <c r="D110" s="172" t="str">
        <f>IF($A$1="Peak","-",IF(BaseLoad!J109&gt;BaseLoad!$G109,D$8*$Z110,0))</f>
        <v>-</v>
      </c>
      <c r="E110" s="172" t="str">
        <f>IF($A$1="Peak","-",IF(BaseLoad!K109&gt;BaseLoad!$G109,E$8*$Z110,0))</f>
        <v>-</v>
      </c>
      <c r="F110" s="172" t="str">
        <f>IF($A$1="Peak","-",IF(BaseLoad!L109&gt;BaseLoad!$G109,F$8*$Z110,0))</f>
        <v>-</v>
      </c>
      <c r="G110" s="172" t="str">
        <f>IF($A$1="Peak","-",IF(BaseLoad!M109&gt;BaseLoad!$G109,G$8*$Z110,0))</f>
        <v>-</v>
      </c>
      <c r="H110" s="172" t="str">
        <f>IF($A$1="Peak","-",IF(BaseLoad!N109&gt;BaseLoad!$G109,H$8*$Z110,0))</f>
        <v>-</v>
      </c>
      <c r="I110" s="172" t="str">
        <f>IF($A$1="Peak","-",IF(BaseLoad!O109&gt;BaseLoad!$G109,I$8*$Z110,0))</f>
        <v>-</v>
      </c>
      <c r="J110" s="172" t="str">
        <f>IF($A$1="Peak","-",IF(BaseLoad!P109&gt;BaseLoad!$G109,J$8*$Z110,0))</f>
        <v>-</v>
      </c>
      <c r="K110" s="172" t="str">
        <f>IF($A$1="Peak","-",IF(BaseLoad!Q109&gt;BaseLoad!$G109,K$8*$Z110,0))</f>
        <v>-</v>
      </c>
      <c r="L110" s="172" t="str">
        <f>IF($A$1="Peak","-",IF(BaseLoad!R109&gt;BaseLoad!$G109,L$8*$Z110,0))</f>
        <v>-</v>
      </c>
      <c r="M110" s="172" t="str">
        <f>IF($A$1="Peak","-",IF(BaseLoad!S109&gt;BaseLoad!$G109,M$8*$Z110,0))</f>
        <v>-</v>
      </c>
      <c r="N110" s="172" t="str">
        <f>IF($A$1="Peak","-",IF(BaseLoad!T109&gt;BaseLoad!$G109,N$8*$Z110,0))</f>
        <v>-</v>
      </c>
      <c r="O110" s="172" t="str">
        <f>IF($A$1="Peak","-",IF(BaseLoad!U109&gt;BaseLoad!$G109,O$8*$Z110,0))</f>
        <v>-</v>
      </c>
      <c r="P110" s="172" t="str">
        <f>IF($A$1="Peak","-",IF(BaseLoad!V109&gt;BaseLoad!$G109,P$8*$Z110,0))</f>
        <v>-</v>
      </c>
      <c r="Q110" s="172" t="str">
        <f>IF($A$1="Peak","-",IF(BaseLoad!W109&gt;BaseLoad!$G109,Q$8*$Z110,0))</f>
        <v>-</v>
      </c>
      <c r="R110" s="172" t="str">
        <f>IF($A$1="Peak","-",IF(BaseLoad!X109&gt;BaseLoad!$G109,R$8*$Z110,0))</f>
        <v>-</v>
      </c>
      <c r="S110" s="172" t="str">
        <f>IF($A$1="Peak","-",IF(BaseLoad!Y109&gt;BaseLoad!$G109,S$8*$Z110,0))</f>
        <v>-</v>
      </c>
      <c r="T110" s="172" t="str">
        <f>IF($A$1="Peak","-",IF(BaseLoad!Z109&gt;BaseLoad!$G109,T$8*$Z110,0))</f>
        <v>-</v>
      </c>
      <c r="U110" s="172" t="str">
        <f>IF($A$1="Peak","-",IF(BaseLoad!AA109&gt;BaseLoad!$G109,U$8*$Z110,0))</f>
        <v>-</v>
      </c>
      <c r="V110" s="172">
        <f t="shared" si="3"/>
        <v>0</v>
      </c>
      <c r="W110" s="172"/>
      <c r="X110" s="172"/>
      <c r="Y110" s="172"/>
      <c r="Z110" s="172">
        <f>CHOOSE(QUOTIENT(MONTH($A110),3)+1,BaseLoad!$AM$9,BaseLoad!$AN$9,BaseLoad!$AL$9,BaseLoad!$AO$9,BaseLoad!$AM$9)</f>
        <v>0.95</v>
      </c>
      <c r="AA110" s="172">
        <f>CHOOSE(QUOTIENT(MONTH($A110),3)+1,BaseLoad!$AM$15,BaseLoad!$AN$15,BaseLoad!$AL$15,BaseLoad!$AO$15,BaseLoad!$AM$15)</f>
        <v>705</v>
      </c>
      <c r="AB110" s="471"/>
      <c r="AD110" s="471"/>
    </row>
    <row r="111" spans="1:30" x14ac:dyDescent="0.2">
      <c r="A111" s="1">
        <f t="shared" si="5"/>
        <v>39612.117000000129</v>
      </c>
      <c r="B111" s="172" t="str">
        <f>IF($A$1="Peak","-",IF(BaseLoad!H110&gt;BaseLoad!$G110,B$8*$Z111,0))</f>
        <v>-</v>
      </c>
      <c r="C111" s="172" t="str">
        <f>IF($A$1="Peak","-",IF(BaseLoad!I110&gt;BaseLoad!$G110,C$8*$Z111,0))</f>
        <v>-</v>
      </c>
      <c r="D111" s="172" t="str">
        <f>IF($A$1="Peak","-",IF(BaseLoad!J110&gt;BaseLoad!$G110,D$8*$Z111,0))</f>
        <v>-</v>
      </c>
      <c r="E111" s="172" t="str">
        <f>IF($A$1="Peak","-",IF(BaseLoad!K110&gt;BaseLoad!$G110,E$8*$Z111,0))</f>
        <v>-</v>
      </c>
      <c r="F111" s="172" t="str">
        <f>IF($A$1="Peak","-",IF(BaseLoad!L110&gt;BaseLoad!$G110,F$8*$Z111,0))</f>
        <v>-</v>
      </c>
      <c r="G111" s="172" t="str">
        <f>IF($A$1="Peak","-",IF(BaseLoad!M110&gt;BaseLoad!$G110,G$8*$Z111,0))</f>
        <v>-</v>
      </c>
      <c r="H111" s="172" t="str">
        <f>IF($A$1="Peak","-",IF(BaseLoad!N110&gt;BaseLoad!$G110,H$8*$Z111,0))</f>
        <v>-</v>
      </c>
      <c r="I111" s="172" t="str">
        <f>IF($A$1="Peak","-",IF(BaseLoad!O110&gt;BaseLoad!$G110,I$8*$Z111,0))</f>
        <v>-</v>
      </c>
      <c r="J111" s="172" t="str">
        <f>IF($A$1="Peak","-",IF(BaseLoad!P110&gt;BaseLoad!$G110,J$8*$Z111,0))</f>
        <v>-</v>
      </c>
      <c r="K111" s="172" t="str">
        <f>IF($A$1="Peak","-",IF(BaseLoad!Q110&gt;BaseLoad!$G110,K$8*$Z111,0))</f>
        <v>-</v>
      </c>
      <c r="L111" s="172" t="str">
        <f>IF($A$1="Peak","-",IF(BaseLoad!R110&gt;BaseLoad!$G110,L$8*$Z111,0))</f>
        <v>-</v>
      </c>
      <c r="M111" s="172" t="str">
        <f>IF($A$1="Peak","-",IF(BaseLoad!S110&gt;BaseLoad!$G110,M$8*$Z111,0))</f>
        <v>-</v>
      </c>
      <c r="N111" s="172" t="str">
        <f>IF($A$1="Peak","-",IF(BaseLoad!T110&gt;BaseLoad!$G110,N$8*$Z111,0))</f>
        <v>-</v>
      </c>
      <c r="O111" s="172" t="str">
        <f>IF($A$1="Peak","-",IF(BaseLoad!U110&gt;BaseLoad!$G110,O$8*$Z111,0))</f>
        <v>-</v>
      </c>
      <c r="P111" s="172" t="str">
        <f>IF($A$1="Peak","-",IF(BaseLoad!V110&gt;BaseLoad!$G110,P$8*$Z111,0))</f>
        <v>-</v>
      </c>
      <c r="Q111" s="172" t="str">
        <f>IF($A$1="Peak","-",IF(BaseLoad!W110&gt;BaseLoad!$G110,Q$8*$Z111,0))</f>
        <v>-</v>
      </c>
      <c r="R111" s="172" t="str">
        <f>IF($A$1="Peak","-",IF(BaseLoad!X110&gt;BaseLoad!$G110,R$8*$Z111,0))</f>
        <v>-</v>
      </c>
      <c r="S111" s="172" t="str">
        <f>IF($A$1="Peak","-",IF(BaseLoad!Y110&gt;BaseLoad!$G110,S$8*$Z111,0))</f>
        <v>-</v>
      </c>
      <c r="T111" s="172" t="str">
        <f>IF($A$1="Peak","-",IF(BaseLoad!Z110&gt;BaseLoad!$G110,T$8*$Z111,0))</f>
        <v>-</v>
      </c>
      <c r="U111" s="172" t="str">
        <f>IF($A$1="Peak","-",IF(BaseLoad!AA110&gt;BaseLoad!$G110,U$8*$Z111,0))</f>
        <v>-</v>
      </c>
      <c r="V111" s="172">
        <f t="shared" si="3"/>
        <v>0</v>
      </c>
      <c r="W111" s="172"/>
      <c r="X111" s="172"/>
      <c r="Y111" s="172"/>
      <c r="Z111" s="172">
        <f>CHOOSE(QUOTIENT(MONTH($A111),3)+1,BaseLoad!$AM$9,BaseLoad!$AN$9,BaseLoad!$AL$9,BaseLoad!$AO$9,BaseLoad!$AM$9)</f>
        <v>0.96612135909558572</v>
      </c>
      <c r="AA111" s="172">
        <f>CHOOSE(QUOTIENT(MONTH($A111),3)+1,BaseLoad!$AM$15,BaseLoad!$AN$15,BaseLoad!$AL$15,BaseLoad!$AO$15,BaseLoad!$AM$15)</f>
        <v>705</v>
      </c>
      <c r="AB111" s="471"/>
      <c r="AD111" s="471"/>
    </row>
    <row r="112" spans="1:30" x14ac:dyDescent="0.2">
      <c r="A112" s="1">
        <f t="shared" si="5"/>
        <v>39642.534000000131</v>
      </c>
      <c r="B112" s="172" t="str">
        <f>IF($A$1="Peak","-",IF(BaseLoad!H111&gt;BaseLoad!$G111,B$8*$Z112,0))</f>
        <v>-</v>
      </c>
      <c r="C112" s="172" t="str">
        <f>IF($A$1="Peak","-",IF(BaseLoad!I111&gt;BaseLoad!$G111,C$8*$Z112,0))</f>
        <v>-</v>
      </c>
      <c r="D112" s="172" t="str">
        <f>IF($A$1="Peak","-",IF(BaseLoad!J111&gt;BaseLoad!$G111,D$8*$Z112,0))</f>
        <v>-</v>
      </c>
      <c r="E112" s="172" t="str">
        <f>IF($A$1="Peak","-",IF(BaseLoad!K111&gt;BaseLoad!$G111,E$8*$Z112,0))</f>
        <v>-</v>
      </c>
      <c r="F112" s="172" t="str">
        <f>IF($A$1="Peak","-",IF(BaseLoad!L111&gt;BaseLoad!$G111,F$8*$Z112,0))</f>
        <v>-</v>
      </c>
      <c r="G112" s="172" t="str">
        <f>IF($A$1="Peak","-",IF(BaseLoad!M111&gt;BaseLoad!$G111,G$8*$Z112,0))</f>
        <v>-</v>
      </c>
      <c r="H112" s="172" t="str">
        <f>IF($A$1="Peak","-",IF(BaseLoad!N111&gt;BaseLoad!$G111,H$8*$Z112,0))</f>
        <v>-</v>
      </c>
      <c r="I112" s="172" t="str">
        <f>IF($A$1="Peak","-",IF(BaseLoad!O111&gt;BaseLoad!$G111,I$8*$Z112,0))</f>
        <v>-</v>
      </c>
      <c r="J112" s="172" t="str">
        <f>IF($A$1="Peak","-",IF(BaseLoad!P111&gt;BaseLoad!$G111,J$8*$Z112,0))</f>
        <v>-</v>
      </c>
      <c r="K112" s="172" t="str">
        <f>IF($A$1="Peak","-",IF(BaseLoad!Q111&gt;BaseLoad!$G111,K$8*$Z112,0))</f>
        <v>-</v>
      </c>
      <c r="L112" s="172" t="str">
        <f>IF($A$1="Peak","-",IF(BaseLoad!R111&gt;BaseLoad!$G111,L$8*$Z112,0))</f>
        <v>-</v>
      </c>
      <c r="M112" s="172" t="str">
        <f>IF($A$1="Peak","-",IF(BaseLoad!S111&gt;BaseLoad!$G111,M$8*$Z112,0))</f>
        <v>-</v>
      </c>
      <c r="N112" s="172" t="str">
        <f>IF($A$1="Peak","-",IF(BaseLoad!T111&gt;BaseLoad!$G111,N$8*$Z112,0))</f>
        <v>-</v>
      </c>
      <c r="O112" s="172" t="str">
        <f>IF($A$1="Peak","-",IF(BaseLoad!U111&gt;BaseLoad!$G111,O$8*$Z112,0))</f>
        <v>-</v>
      </c>
      <c r="P112" s="172" t="str">
        <f>IF($A$1="Peak","-",IF(BaseLoad!V111&gt;BaseLoad!$G111,P$8*$Z112,0))</f>
        <v>-</v>
      </c>
      <c r="Q112" s="172" t="str">
        <f>IF($A$1="Peak","-",IF(BaseLoad!W111&gt;BaseLoad!$G111,Q$8*$Z112,0))</f>
        <v>-</v>
      </c>
      <c r="R112" s="172" t="str">
        <f>IF($A$1="Peak","-",IF(BaseLoad!X111&gt;BaseLoad!$G111,R$8*$Z112,0))</f>
        <v>-</v>
      </c>
      <c r="S112" s="172" t="str">
        <f>IF($A$1="Peak","-",IF(BaseLoad!Y111&gt;BaseLoad!$G111,S$8*$Z112,0))</f>
        <v>-</v>
      </c>
      <c r="T112" s="172" t="str">
        <f>IF($A$1="Peak","-",IF(BaseLoad!Z111&gt;BaseLoad!$G111,T$8*$Z112,0))</f>
        <v>-</v>
      </c>
      <c r="U112" s="172" t="str">
        <f>IF($A$1="Peak","-",IF(BaseLoad!AA111&gt;BaseLoad!$G111,U$8*$Z112,0))</f>
        <v>-</v>
      </c>
      <c r="V112" s="172">
        <f t="shared" si="3"/>
        <v>0</v>
      </c>
      <c r="W112" s="172"/>
      <c r="X112" s="172"/>
      <c r="Y112" s="172"/>
      <c r="Z112" s="172">
        <f>CHOOSE(QUOTIENT(MONTH($A112),3)+1,BaseLoad!$AM$9,BaseLoad!$AN$9,BaseLoad!$AL$9,BaseLoad!$AO$9,BaseLoad!$AM$9)</f>
        <v>0.96612135909558572</v>
      </c>
      <c r="AA112" s="172">
        <f>CHOOSE(QUOTIENT(MONTH($A112),3)+1,BaseLoad!$AM$15,BaseLoad!$AN$15,BaseLoad!$AL$15,BaseLoad!$AO$15,BaseLoad!$AM$15)</f>
        <v>705</v>
      </c>
      <c r="AB112" s="471"/>
      <c r="AD112" s="471"/>
    </row>
    <row r="113" spans="1:30" x14ac:dyDescent="0.2">
      <c r="A113" s="1">
        <f t="shared" si="5"/>
        <v>39672.951000000132</v>
      </c>
      <c r="B113" s="172" t="str">
        <f>IF($A$1="Peak","-",IF(BaseLoad!H112&gt;BaseLoad!$G112,B$8*$Z113,0))</f>
        <v>-</v>
      </c>
      <c r="C113" s="172" t="str">
        <f>IF($A$1="Peak","-",IF(BaseLoad!I112&gt;BaseLoad!$G112,C$8*$Z113,0))</f>
        <v>-</v>
      </c>
      <c r="D113" s="172" t="str">
        <f>IF($A$1="Peak","-",IF(BaseLoad!J112&gt;BaseLoad!$G112,D$8*$Z113,0))</f>
        <v>-</v>
      </c>
      <c r="E113" s="172" t="str">
        <f>IF($A$1="Peak","-",IF(BaseLoad!K112&gt;BaseLoad!$G112,E$8*$Z113,0))</f>
        <v>-</v>
      </c>
      <c r="F113" s="172" t="str">
        <f>IF($A$1="Peak","-",IF(BaseLoad!L112&gt;BaseLoad!$G112,F$8*$Z113,0))</f>
        <v>-</v>
      </c>
      <c r="G113" s="172" t="str">
        <f>IF($A$1="Peak","-",IF(BaseLoad!M112&gt;BaseLoad!$G112,G$8*$Z113,0))</f>
        <v>-</v>
      </c>
      <c r="H113" s="172" t="str">
        <f>IF($A$1="Peak","-",IF(BaseLoad!N112&gt;BaseLoad!$G112,H$8*$Z113,0))</f>
        <v>-</v>
      </c>
      <c r="I113" s="172" t="str">
        <f>IF($A$1="Peak","-",IF(BaseLoad!O112&gt;BaseLoad!$G112,I$8*$Z113,0))</f>
        <v>-</v>
      </c>
      <c r="J113" s="172" t="str">
        <f>IF($A$1="Peak","-",IF(BaseLoad!P112&gt;BaseLoad!$G112,J$8*$Z113,0))</f>
        <v>-</v>
      </c>
      <c r="K113" s="172" t="str">
        <f>IF($A$1="Peak","-",IF(BaseLoad!Q112&gt;BaseLoad!$G112,K$8*$Z113,0))</f>
        <v>-</v>
      </c>
      <c r="L113" s="172" t="str">
        <f>IF($A$1="Peak","-",IF(BaseLoad!R112&gt;BaseLoad!$G112,L$8*$Z113,0))</f>
        <v>-</v>
      </c>
      <c r="M113" s="172" t="str">
        <f>IF($A$1="Peak","-",IF(BaseLoad!S112&gt;BaseLoad!$G112,M$8*$Z113,0))</f>
        <v>-</v>
      </c>
      <c r="N113" s="172" t="str">
        <f>IF($A$1="Peak","-",IF(BaseLoad!T112&gt;BaseLoad!$G112,N$8*$Z113,0))</f>
        <v>-</v>
      </c>
      <c r="O113" s="172" t="str">
        <f>IF($A$1="Peak","-",IF(BaseLoad!U112&gt;BaseLoad!$G112,O$8*$Z113,0))</f>
        <v>-</v>
      </c>
      <c r="P113" s="172" t="str">
        <f>IF($A$1="Peak","-",IF(BaseLoad!V112&gt;BaseLoad!$G112,P$8*$Z113,0))</f>
        <v>-</v>
      </c>
      <c r="Q113" s="172" t="str">
        <f>IF($A$1="Peak","-",IF(BaseLoad!W112&gt;BaseLoad!$G112,Q$8*$Z113,0))</f>
        <v>-</v>
      </c>
      <c r="R113" s="172" t="str">
        <f>IF($A$1="Peak","-",IF(BaseLoad!X112&gt;BaseLoad!$G112,R$8*$Z113,0))</f>
        <v>-</v>
      </c>
      <c r="S113" s="172" t="str">
        <f>IF($A$1="Peak","-",IF(BaseLoad!Y112&gt;BaseLoad!$G112,S$8*$Z113,0))</f>
        <v>-</v>
      </c>
      <c r="T113" s="172" t="str">
        <f>IF($A$1="Peak","-",IF(BaseLoad!Z112&gt;BaseLoad!$G112,T$8*$Z113,0))</f>
        <v>-</v>
      </c>
      <c r="U113" s="172" t="str">
        <f>IF($A$1="Peak","-",IF(BaseLoad!AA112&gt;BaseLoad!$G112,U$8*$Z113,0))</f>
        <v>-</v>
      </c>
      <c r="V113" s="172">
        <f t="shared" si="3"/>
        <v>0</v>
      </c>
      <c r="W113" s="172"/>
      <c r="X113" s="172"/>
      <c r="Y113" s="172"/>
      <c r="Z113" s="172">
        <f>CHOOSE(QUOTIENT(MONTH($A113),3)+1,BaseLoad!$AM$9,BaseLoad!$AN$9,BaseLoad!$AL$9,BaseLoad!$AO$9,BaseLoad!$AM$9)</f>
        <v>0.96612135909558572</v>
      </c>
      <c r="AA113" s="172">
        <f>CHOOSE(QUOTIENT(MONTH($A113),3)+1,BaseLoad!$AM$15,BaseLoad!$AN$15,BaseLoad!$AL$15,BaseLoad!$AO$15,BaseLoad!$AM$15)</f>
        <v>705</v>
      </c>
      <c r="AB113" s="471"/>
      <c r="AD113" s="471"/>
    </row>
    <row r="114" spans="1:30" x14ac:dyDescent="0.2">
      <c r="A114" s="1">
        <f t="shared" si="5"/>
        <v>39703.368000000133</v>
      </c>
      <c r="B114" s="172" t="str">
        <f>IF($A$1="Peak","-",IF(BaseLoad!H113&gt;BaseLoad!$G113,B$8*$Z114,0))</f>
        <v>-</v>
      </c>
      <c r="C114" s="172" t="str">
        <f>IF($A$1="Peak","-",IF(BaseLoad!I113&gt;BaseLoad!$G113,C$8*$Z114,0))</f>
        <v>-</v>
      </c>
      <c r="D114" s="172" t="str">
        <f>IF($A$1="Peak","-",IF(BaseLoad!J113&gt;BaseLoad!$G113,D$8*$Z114,0))</f>
        <v>-</v>
      </c>
      <c r="E114" s="172" t="str">
        <f>IF($A$1="Peak","-",IF(BaseLoad!K113&gt;BaseLoad!$G113,E$8*$Z114,0))</f>
        <v>-</v>
      </c>
      <c r="F114" s="172" t="str">
        <f>IF($A$1="Peak","-",IF(BaseLoad!L113&gt;BaseLoad!$G113,F$8*$Z114,0))</f>
        <v>-</v>
      </c>
      <c r="G114" s="172" t="str">
        <f>IF($A$1="Peak","-",IF(BaseLoad!M113&gt;BaseLoad!$G113,G$8*$Z114,0))</f>
        <v>-</v>
      </c>
      <c r="H114" s="172" t="str">
        <f>IF($A$1="Peak","-",IF(BaseLoad!N113&gt;BaseLoad!$G113,H$8*$Z114,0))</f>
        <v>-</v>
      </c>
      <c r="I114" s="172" t="str">
        <f>IF($A$1="Peak","-",IF(BaseLoad!O113&gt;BaseLoad!$G113,I$8*$Z114,0))</f>
        <v>-</v>
      </c>
      <c r="J114" s="172" t="str">
        <f>IF($A$1="Peak","-",IF(BaseLoad!P113&gt;BaseLoad!$G113,J$8*$Z114,0))</f>
        <v>-</v>
      </c>
      <c r="K114" s="172" t="str">
        <f>IF($A$1="Peak","-",IF(BaseLoad!Q113&gt;BaseLoad!$G113,K$8*$Z114,0))</f>
        <v>-</v>
      </c>
      <c r="L114" s="172" t="str">
        <f>IF($A$1="Peak","-",IF(BaseLoad!R113&gt;BaseLoad!$G113,L$8*$Z114,0))</f>
        <v>-</v>
      </c>
      <c r="M114" s="172" t="str">
        <f>IF($A$1="Peak","-",IF(BaseLoad!S113&gt;BaseLoad!$G113,M$8*$Z114,0))</f>
        <v>-</v>
      </c>
      <c r="N114" s="172" t="str">
        <f>IF($A$1="Peak","-",IF(BaseLoad!T113&gt;BaseLoad!$G113,N$8*$Z114,0))</f>
        <v>-</v>
      </c>
      <c r="O114" s="172" t="str">
        <f>IF($A$1="Peak","-",IF(BaseLoad!U113&gt;BaseLoad!$G113,O$8*$Z114,0))</f>
        <v>-</v>
      </c>
      <c r="P114" s="172" t="str">
        <f>IF($A$1="Peak","-",IF(BaseLoad!V113&gt;BaseLoad!$G113,P$8*$Z114,0))</f>
        <v>-</v>
      </c>
      <c r="Q114" s="172" t="str">
        <f>IF($A$1="Peak","-",IF(BaseLoad!W113&gt;BaseLoad!$G113,Q$8*$Z114,0))</f>
        <v>-</v>
      </c>
      <c r="R114" s="172" t="str">
        <f>IF($A$1="Peak","-",IF(BaseLoad!X113&gt;BaseLoad!$G113,R$8*$Z114,0))</f>
        <v>-</v>
      </c>
      <c r="S114" s="172" t="str">
        <f>IF($A$1="Peak","-",IF(BaseLoad!Y113&gt;BaseLoad!$G113,S$8*$Z114,0))</f>
        <v>-</v>
      </c>
      <c r="T114" s="172" t="str">
        <f>IF($A$1="Peak","-",IF(BaseLoad!Z113&gt;BaseLoad!$G113,T$8*$Z114,0))</f>
        <v>-</v>
      </c>
      <c r="U114" s="172" t="str">
        <f>IF($A$1="Peak","-",IF(BaseLoad!AA113&gt;BaseLoad!$G113,U$8*$Z114,0))</f>
        <v>-</v>
      </c>
      <c r="V114" s="172">
        <f t="shared" si="3"/>
        <v>0</v>
      </c>
      <c r="W114" s="172"/>
      <c r="X114" s="172"/>
      <c r="Y114" s="172"/>
      <c r="Z114" s="172">
        <f>CHOOSE(QUOTIENT(MONTH($A114),3)+1,BaseLoad!$AM$9,BaseLoad!$AN$9,BaseLoad!$AL$9,BaseLoad!$AO$9,BaseLoad!$AM$9)</f>
        <v>0.95</v>
      </c>
      <c r="AA114" s="172">
        <f>CHOOSE(QUOTIENT(MONTH($A114),3)+1,BaseLoad!$AM$15,BaseLoad!$AN$15,BaseLoad!$AL$15,BaseLoad!$AO$15,BaseLoad!$AM$15)</f>
        <v>705</v>
      </c>
      <c r="AB114" s="471"/>
      <c r="AD114" s="471"/>
    </row>
    <row r="115" spans="1:30" x14ac:dyDescent="0.2">
      <c r="A115" s="1">
        <f t="shared" si="5"/>
        <v>39733.785000000134</v>
      </c>
      <c r="B115" s="172" t="str">
        <f>IF($A$1="Peak","-",IF(BaseLoad!H114&gt;BaseLoad!$G114,B$8*$Z115,0))</f>
        <v>-</v>
      </c>
      <c r="C115" s="172" t="str">
        <f>IF($A$1="Peak","-",IF(BaseLoad!I114&gt;BaseLoad!$G114,C$8*$Z115,0))</f>
        <v>-</v>
      </c>
      <c r="D115" s="172" t="str">
        <f>IF($A$1="Peak","-",IF(BaseLoad!J114&gt;BaseLoad!$G114,D$8*$Z115,0))</f>
        <v>-</v>
      </c>
      <c r="E115" s="172" t="str">
        <f>IF($A$1="Peak","-",IF(BaseLoad!K114&gt;BaseLoad!$G114,E$8*$Z115,0))</f>
        <v>-</v>
      </c>
      <c r="F115" s="172" t="str">
        <f>IF($A$1="Peak","-",IF(BaseLoad!L114&gt;BaseLoad!$G114,F$8*$Z115,0))</f>
        <v>-</v>
      </c>
      <c r="G115" s="172" t="str">
        <f>IF($A$1="Peak","-",IF(BaseLoad!M114&gt;BaseLoad!$G114,G$8*$Z115,0))</f>
        <v>-</v>
      </c>
      <c r="H115" s="172" t="str">
        <f>IF($A$1="Peak","-",IF(BaseLoad!N114&gt;BaseLoad!$G114,H$8*$Z115,0))</f>
        <v>-</v>
      </c>
      <c r="I115" s="172" t="str">
        <f>IF($A$1="Peak","-",IF(BaseLoad!O114&gt;BaseLoad!$G114,I$8*$Z115,0))</f>
        <v>-</v>
      </c>
      <c r="J115" s="172" t="str">
        <f>IF($A$1="Peak","-",IF(BaseLoad!P114&gt;BaseLoad!$G114,J$8*$Z115,0))</f>
        <v>-</v>
      </c>
      <c r="K115" s="172" t="str">
        <f>IF($A$1="Peak","-",IF(BaseLoad!Q114&gt;BaseLoad!$G114,K$8*$Z115,0))</f>
        <v>-</v>
      </c>
      <c r="L115" s="172" t="str">
        <f>IF($A$1="Peak","-",IF(BaseLoad!R114&gt;BaseLoad!$G114,L$8*$Z115,0))</f>
        <v>-</v>
      </c>
      <c r="M115" s="172" t="str">
        <f>IF($A$1="Peak","-",IF(BaseLoad!S114&gt;BaseLoad!$G114,M$8*$Z115,0))</f>
        <v>-</v>
      </c>
      <c r="N115" s="172" t="str">
        <f>IF($A$1="Peak","-",IF(BaseLoad!T114&gt;BaseLoad!$G114,N$8*$Z115,0))</f>
        <v>-</v>
      </c>
      <c r="O115" s="172" t="str">
        <f>IF($A$1="Peak","-",IF(BaseLoad!U114&gt;BaseLoad!$G114,O$8*$Z115,0))</f>
        <v>-</v>
      </c>
      <c r="P115" s="172" t="str">
        <f>IF($A$1="Peak","-",IF(BaseLoad!V114&gt;BaseLoad!$G114,P$8*$Z115,0))</f>
        <v>-</v>
      </c>
      <c r="Q115" s="172" t="str">
        <f>IF($A$1="Peak","-",IF(BaseLoad!W114&gt;BaseLoad!$G114,Q$8*$Z115,0))</f>
        <v>-</v>
      </c>
      <c r="R115" s="172" t="str">
        <f>IF($A$1="Peak","-",IF(BaseLoad!X114&gt;BaseLoad!$G114,R$8*$Z115,0))</f>
        <v>-</v>
      </c>
      <c r="S115" s="172" t="str">
        <f>IF($A$1="Peak","-",IF(BaseLoad!Y114&gt;BaseLoad!$G114,S$8*$Z115,0))</f>
        <v>-</v>
      </c>
      <c r="T115" s="172" t="str">
        <f>IF($A$1="Peak","-",IF(BaseLoad!Z114&gt;BaseLoad!$G114,T$8*$Z115,0))</f>
        <v>-</v>
      </c>
      <c r="U115" s="172" t="str">
        <f>IF($A$1="Peak","-",IF(BaseLoad!AA114&gt;BaseLoad!$G114,U$8*$Z115,0))</f>
        <v>-</v>
      </c>
      <c r="V115" s="172">
        <f t="shared" si="3"/>
        <v>0</v>
      </c>
      <c r="W115" s="172"/>
      <c r="X115" s="172"/>
      <c r="Y115" s="172"/>
      <c r="Z115" s="172">
        <f>CHOOSE(QUOTIENT(MONTH($A115),3)+1,BaseLoad!$AM$9,BaseLoad!$AN$9,BaseLoad!$AL$9,BaseLoad!$AO$9,BaseLoad!$AM$9)</f>
        <v>0.95</v>
      </c>
      <c r="AA115" s="172">
        <f>CHOOSE(QUOTIENT(MONTH($A115),3)+1,BaseLoad!$AM$15,BaseLoad!$AN$15,BaseLoad!$AL$15,BaseLoad!$AO$15,BaseLoad!$AM$15)</f>
        <v>705</v>
      </c>
      <c r="AB115" s="471"/>
      <c r="AD115" s="471"/>
    </row>
    <row r="116" spans="1:30" x14ac:dyDescent="0.2">
      <c r="A116" s="1">
        <f t="shared" si="5"/>
        <v>39764.202000000136</v>
      </c>
      <c r="B116" s="172" t="str">
        <f>IF($A$1="Peak","-",IF(BaseLoad!H115&gt;BaseLoad!$G115,B$8*$Z116,0))</f>
        <v>-</v>
      </c>
      <c r="C116" s="172" t="str">
        <f>IF($A$1="Peak","-",IF(BaseLoad!I115&gt;BaseLoad!$G115,C$8*$Z116,0))</f>
        <v>-</v>
      </c>
      <c r="D116" s="172" t="str">
        <f>IF($A$1="Peak","-",IF(BaseLoad!J115&gt;BaseLoad!$G115,D$8*$Z116,0))</f>
        <v>-</v>
      </c>
      <c r="E116" s="172" t="str">
        <f>IF($A$1="Peak","-",IF(BaseLoad!K115&gt;BaseLoad!$G115,E$8*$Z116,0))</f>
        <v>-</v>
      </c>
      <c r="F116" s="172" t="str">
        <f>IF($A$1="Peak","-",IF(BaseLoad!L115&gt;BaseLoad!$G115,F$8*$Z116,0))</f>
        <v>-</v>
      </c>
      <c r="G116" s="172" t="str">
        <f>IF($A$1="Peak","-",IF(BaseLoad!M115&gt;BaseLoad!$G115,G$8*$Z116,0))</f>
        <v>-</v>
      </c>
      <c r="H116" s="172" t="str">
        <f>IF($A$1="Peak","-",IF(BaseLoad!N115&gt;BaseLoad!$G115,H$8*$Z116,0))</f>
        <v>-</v>
      </c>
      <c r="I116" s="172" t="str">
        <f>IF($A$1="Peak","-",IF(BaseLoad!O115&gt;BaseLoad!$G115,I$8*$Z116,0))</f>
        <v>-</v>
      </c>
      <c r="J116" s="172" t="str">
        <f>IF($A$1="Peak","-",IF(BaseLoad!P115&gt;BaseLoad!$G115,J$8*$Z116,0))</f>
        <v>-</v>
      </c>
      <c r="K116" s="172" t="str">
        <f>IF($A$1="Peak","-",IF(BaseLoad!Q115&gt;BaseLoad!$G115,K$8*$Z116,0))</f>
        <v>-</v>
      </c>
      <c r="L116" s="172" t="str">
        <f>IF($A$1="Peak","-",IF(BaseLoad!R115&gt;BaseLoad!$G115,L$8*$Z116,0))</f>
        <v>-</v>
      </c>
      <c r="M116" s="172" t="str">
        <f>IF($A$1="Peak","-",IF(BaseLoad!S115&gt;BaseLoad!$G115,M$8*$Z116,0))</f>
        <v>-</v>
      </c>
      <c r="N116" s="172" t="str">
        <f>IF($A$1="Peak","-",IF(BaseLoad!T115&gt;BaseLoad!$G115,N$8*$Z116,0))</f>
        <v>-</v>
      </c>
      <c r="O116" s="172" t="str">
        <f>IF($A$1="Peak","-",IF(BaseLoad!U115&gt;BaseLoad!$G115,O$8*$Z116,0))</f>
        <v>-</v>
      </c>
      <c r="P116" s="172" t="str">
        <f>IF($A$1="Peak","-",IF(BaseLoad!V115&gt;BaseLoad!$G115,P$8*$Z116,0))</f>
        <v>-</v>
      </c>
      <c r="Q116" s="172" t="str">
        <f>IF($A$1="Peak","-",IF(BaseLoad!W115&gt;BaseLoad!$G115,Q$8*$Z116,0))</f>
        <v>-</v>
      </c>
      <c r="R116" s="172" t="str">
        <f>IF($A$1="Peak","-",IF(BaseLoad!X115&gt;BaseLoad!$G115,R$8*$Z116,0))</f>
        <v>-</v>
      </c>
      <c r="S116" s="172" t="str">
        <f>IF($A$1="Peak","-",IF(BaseLoad!Y115&gt;BaseLoad!$G115,S$8*$Z116,0))</f>
        <v>-</v>
      </c>
      <c r="T116" s="172" t="str">
        <f>IF($A$1="Peak","-",IF(BaseLoad!Z115&gt;BaseLoad!$G115,T$8*$Z116,0))</f>
        <v>-</v>
      </c>
      <c r="U116" s="172" t="str">
        <f>IF($A$1="Peak","-",IF(BaseLoad!AA115&gt;BaseLoad!$G115,U$8*$Z116,0))</f>
        <v>-</v>
      </c>
      <c r="V116" s="172">
        <f t="shared" si="3"/>
        <v>0</v>
      </c>
      <c r="W116" s="172"/>
      <c r="X116" s="172"/>
      <c r="Y116" s="172"/>
      <c r="Z116" s="172">
        <f>CHOOSE(QUOTIENT(MONTH($A116),3)+1,BaseLoad!$AM$9,BaseLoad!$AN$9,BaseLoad!$AL$9,BaseLoad!$AO$9,BaseLoad!$AM$9)</f>
        <v>0.95</v>
      </c>
      <c r="AA116" s="172">
        <f>CHOOSE(QUOTIENT(MONTH($A116),3)+1,BaseLoad!$AM$15,BaseLoad!$AN$15,BaseLoad!$AL$15,BaseLoad!$AO$15,BaseLoad!$AM$15)</f>
        <v>705</v>
      </c>
      <c r="AB116" s="471"/>
      <c r="AD116" s="471"/>
    </row>
    <row r="117" spans="1:30" x14ac:dyDescent="0.2">
      <c r="A117" s="1">
        <f t="shared" si="5"/>
        <v>39794.619000000137</v>
      </c>
      <c r="B117" s="172" t="str">
        <f>IF($A$1="Peak","-",IF(BaseLoad!H116&gt;BaseLoad!$G116,B$8*$Z117,0))</f>
        <v>-</v>
      </c>
      <c r="C117" s="172" t="str">
        <f>IF($A$1="Peak","-",IF(BaseLoad!I116&gt;BaseLoad!$G116,C$8*$Z117,0))</f>
        <v>-</v>
      </c>
      <c r="D117" s="172" t="str">
        <f>IF($A$1="Peak","-",IF(BaseLoad!J116&gt;BaseLoad!$G116,D$8*$Z117,0))</f>
        <v>-</v>
      </c>
      <c r="E117" s="172" t="str">
        <f>IF($A$1="Peak","-",IF(BaseLoad!K116&gt;BaseLoad!$G116,E$8*$Z117,0))</f>
        <v>-</v>
      </c>
      <c r="F117" s="172" t="str">
        <f>IF($A$1="Peak","-",IF(BaseLoad!L116&gt;BaseLoad!$G116,F$8*$Z117,0))</f>
        <v>-</v>
      </c>
      <c r="G117" s="172" t="str">
        <f>IF($A$1="Peak","-",IF(BaseLoad!M116&gt;BaseLoad!$G116,G$8*$Z117,0))</f>
        <v>-</v>
      </c>
      <c r="H117" s="172" t="str">
        <f>IF($A$1="Peak","-",IF(BaseLoad!N116&gt;BaseLoad!$G116,H$8*$Z117,0))</f>
        <v>-</v>
      </c>
      <c r="I117" s="172" t="str">
        <f>IF($A$1="Peak","-",IF(BaseLoad!O116&gt;BaseLoad!$G116,I$8*$Z117,0))</f>
        <v>-</v>
      </c>
      <c r="J117" s="172" t="str">
        <f>IF($A$1="Peak","-",IF(BaseLoad!P116&gt;BaseLoad!$G116,J$8*$Z117,0))</f>
        <v>-</v>
      </c>
      <c r="K117" s="172" t="str">
        <f>IF($A$1="Peak","-",IF(BaseLoad!Q116&gt;BaseLoad!$G116,K$8*$Z117,0))</f>
        <v>-</v>
      </c>
      <c r="L117" s="172" t="str">
        <f>IF($A$1="Peak","-",IF(BaseLoad!R116&gt;BaseLoad!$G116,L$8*$Z117,0))</f>
        <v>-</v>
      </c>
      <c r="M117" s="172" t="str">
        <f>IF($A$1="Peak","-",IF(BaseLoad!S116&gt;BaseLoad!$G116,M$8*$Z117,0))</f>
        <v>-</v>
      </c>
      <c r="N117" s="172" t="str">
        <f>IF($A$1="Peak","-",IF(BaseLoad!T116&gt;BaseLoad!$G116,N$8*$Z117,0))</f>
        <v>-</v>
      </c>
      <c r="O117" s="172" t="str">
        <f>IF($A$1="Peak","-",IF(BaseLoad!U116&gt;BaseLoad!$G116,O$8*$Z117,0))</f>
        <v>-</v>
      </c>
      <c r="P117" s="172" t="str">
        <f>IF($A$1="Peak","-",IF(BaseLoad!V116&gt;BaseLoad!$G116,P$8*$Z117,0))</f>
        <v>-</v>
      </c>
      <c r="Q117" s="172" t="str">
        <f>IF($A$1="Peak","-",IF(BaseLoad!W116&gt;BaseLoad!$G116,Q$8*$Z117,0))</f>
        <v>-</v>
      </c>
      <c r="R117" s="172" t="str">
        <f>IF($A$1="Peak","-",IF(BaseLoad!X116&gt;BaseLoad!$G116,R$8*$Z117,0))</f>
        <v>-</v>
      </c>
      <c r="S117" s="172" t="str">
        <f>IF($A$1="Peak","-",IF(BaseLoad!Y116&gt;BaseLoad!$G116,S$8*$Z117,0))</f>
        <v>-</v>
      </c>
      <c r="T117" s="172" t="str">
        <f>IF($A$1="Peak","-",IF(BaseLoad!Z116&gt;BaseLoad!$G116,T$8*$Z117,0))</f>
        <v>-</v>
      </c>
      <c r="U117" s="172" t="str">
        <f>IF($A$1="Peak","-",IF(BaseLoad!AA116&gt;BaseLoad!$G116,U$8*$Z117,0))</f>
        <v>-</v>
      </c>
      <c r="V117" s="172">
        <f t="shared" si="3"/>
        <v>0</v>
      </c>
      <c r="W117" s="172"/>
      <c r="X117" s="172"/>
      <c r="Y117" s="172">
        <f>SUM(V106:V117)</f>
        <v>0</v>
      </c>
      <c r="Z117" s="172">
        <f>CHOOSE(QUOTIENT(MONTH($A117),3)+1,BaseLoad!$AM$9,BaseLoad!$AN$9,BaseLoad!$AL$9,BaseLoad!$AO$9,BaseLoad!$AM$9)</f>
        <v>0.92427661878611755</v>
      </c>
      <c r="AA117" s="172">
        <f>CHOOSE(QUOTIENT(MONTH($A117),3)+1,BaseLoad!$AM$15,BaseLoad!$AN$15,BaseLoad!$AL$15,BaseLoad!$AO$15,BaseLoad!$AM$15)</f>
        <v>705</v>
      </c>
      <c r="AB117" s="471"/>
      <c r="AD117" s="471"/>
    </row>
    <row r="118" spans="1:30" x14ac:dyDescent="0.2">
      <c r="A118" s="1">
        <f t="shared" si="5"/>
        <v>39825.036000000138</v>
      </c>
      <c r="B118" s="172" t="str">
        <f>IF($A$1="Peak","-",IF(BaseLoad!H117&gt;BaseLoad!$G117,B$8*$Z118,0))</f>
        <v>-</v>
      </c>
      <c r="C118" s="172" t="str">
        <f>IF($A$1="Peak","-",IF(BaseLoad!I117&gt;BaseLoad!$G117,C$8*$Z118,0))</f>
        <v>-</v>
      </c>
      <c r="D118" s="172" t="str">
        <f>IF($A$1="Peak","-",IF(BaseLoad!J117&gt;BaseLoad!$G117,D$8*$Z118,0))</f>
        <v>-</v>
      </c>
      <c r="E118" s="172" t="str">
        <f>IF($A$1="Peak","-",IF(BaseLoad!K117&gt;BaseLoad!$G117,E$8*$Z118,0))</f>
        <v>-</v>
      </c>
      <c r="F118" s="172" t="str">
        <f>IF($A$1="Peak","-",IF(BaseLoad!L117&gt;BaseLoad!$G117,F$8*$Z118,0))</f>
        <v>-</v>
      </c>
      <c r="G118" s="172" t="str">
        <f>IF($A$1="Peak","-",IF(BaseLoad!M117&gt;BaseLoad!$G117,G$8*$Z118,0))</f>
        <v>-</v>
      </c>
      <c r="H118" s="172" t="str">
        <f>IF($A$1="Peak","-",IF(BaseLoad!N117&gt;BaseLoad!$G117,H$8*$Z118,0))</f>
        <v>-</v>
      </c>
      <c r="I118" s="172" t="str">
        <f>IF($A$1="Peak","-",IF(BaseLoad!O117&gt;BaseLoad!$G117,I$8*$Z118,0))</f>
        <v>-</v>
      </c>
      <c r="J118" s="172" t="str">
        <f>IF($A$1="Peak","-",IF(BaseLoad!P117&gt;BaseLoad!$G117,J$8*$Z118,0))</f>
        <v>-</v>
      </c>
      <c r="K118" s="172" t="str">
        <f>IF($A$1="Peak","-",IF(BaseLoad!Q117&gt;BaseLoad!$G117,K$8*$Z118,0))</f>
        <v>-</v>
      </c>
      <c r="L118" s="172" t="str">
        <f>IF($A$1="Peak","-",IF(BaseLoad!R117&gt;BaseLoad!$G117,L$8*$Z118,0))</f>
        <v>-</v>
      </c>
      <c r="M118" s="172" t="str">
        <f>IF($A$1="Peak","-",IF(BaseLoad!S117&gt;BaseLoad!$G117,M$8*$Z118,0))</f>
        <v>-</v>
      </c>
      <c r="N118" s="172" t="str">
        <f>IF($A$1="Peak","-",IF(BaseLoad!T117&gt;BaseLoad!$G117,N$8*$Z118,0))</f>
        <v>-</v>
      </c>
      <c r="O118" s="172" t="str">
        <f>IF($A$1="Peak","-",IF(BaseLoad!U117&gt;BaseLoad!$G117,O$8*$Z118,0))</f>
        <v>-</v>
      </c>
      <c r="P118" s="172" t="str">
        <f>IF($A$1="Peak","-",IF(BaseLoad!V117&gt;BaseLoad!$G117,P$8*$Z118,0))</f>
        <v>-</v>
      </c>
      <c r="Q118" s="172" t="str">
        <f>IF($A$1="Peak","-",IF(BaseLoad!W117&gt;BaseLoad!$G117,Q$8*$Z118,0))</f>
        <v>-</v>
      </c>
      <c r="R118" s="172" t="str">
        <f>IF($A$1="Peak","-",IF(BaseLoad!X117&gt;BaseLoad!$G117,R$8*$Z118,0))</f>
        <v>-</v>
      </c>
      <c r="S118" s="172" t="str">
        <f>IF($A$1="Peak","-",IF(BaseLoad!Y117&gt;BaseLoad!$G117,S$8*$Z118,0))</f>
        <v>-</v>
      </c>
      <c r="T118" s="172" t="str">
        <f>IF($A$1="Peak","-",IF(BaseLoad!Z117&gt;BaseLoad!$G117,T$8*$Z118,0))</f>
        <v>-</v>
      </c>
      <c r="U118" s="172" t="str">
        <f>IF($A$1="Peak","-",IF(BaseLoad!AA117&gt;BaseLoad!$G117,U$8*$Z118,0))</f>
        <v>-</v>
      </c>
      <c r="V118" s="172">
        <f t="shared" si="3"/>
        <v>0</v>
      </c>
      <c r="W118" s="172"/>
      <c r="X118" s="172"/>
      <c r="Y118" s="172"/>
      <c r="Z118" s="172">
        <f>CHOOSE(QUOTIENT(MONTH($A118),3)+1,BaseLoad!$AM$9,BaseLoad!$AN$9,BaseLoad!$AL$9,BaseLoad!$AO$9,BaseLoad!$AM$9)</f>
        <v>0.92427661878611755</v>
      </c>
      <c r="AA118" s="172">
        <f>CHOOSE(QUOTIENT(MONTH($A118),3)+1,BaseLoad!$AM$15,BaseLoad!$AN$15,BaseLoad!$AL$15,BaseLoad!$AO$15,BaseLoad!$AM$15)</f>
        <v>705</v>
      </c>
      <c r="AB118" s="471"/>
      <c r="AD118" s="471"/>
    </row>
    <row r="119" spans="1:30" x14ac:dyDescent="0.2">
      <c r="A119" s="1">
        <f t="shared" si="5"/>
        <v>39855.45300000014</v>
      </c>
      <c r="B119" s="172" t="str">
        <f>IF($A$1="Peak","-",IF(BaseLoad!H118&gt;BaseLoad!$G118,B$8*$Z119,0))</f>
        <v>-</v>
      </c>
      <c r="C119" s="172" t="str">
        <f>IF($A$1="Peak","-",IF(BaseLoad!I118&gt;BaseLoad!$G118,C$8*$Z119,0))</f>
        <v>-</v>
      </c>
      <c r="D119" s="172" t="str">
        <f>IF($A$1="Peak","-",IF(BaseLoad!J118&gt;BaseLoad!$G118,D$8*$Z119,0))</f>
        <v>-</v>
      </c>
      <c r="E119" s="172" t="str">
        <f>IF($A$1="Peak","-",IF(BaseLoad!K118&gt;BaseLoad!$G118,E$8*$Z119,0))</f>
        <v>-</v>
      </c>
      <c r="F119" s="172" t="str">
        <f>IF($A$1="Peak","-",IF(BaseLoad!L118&gt;BaseLoad!$G118,F$8*$Z119,0))</f>
        <v>-</v>
      </c>
      <c r="G119" s="172" t="str">
        <f>IF($A$1="Peak","-",IF(BaseLoad!M118&gt;BaseLoad!$G118,G$8*$Z119,0))</f>
        <v>-</v>
      </c>
      <c r="H119" s="172" t="str">
        <f>IF($A$1="Peak","-",IF(BaseLoad!N118&gt;BaseLoad!$G118,H$8*$Z119,0))</f>
        <v>-</v>
      </c>
      <c r="I119" s="172" t="str">
        <f>IF($A$1="Peak","-",IF(BaseLoad!O118&gt;BaseLoad!$G118,I$8*$Z119,0))</f>
        <v>-</v>
      </c>
      <c r="J119" s="172" t="str">
        <f>IF($A$1="Peak","-",IF(BaseLoad!P118&gt;BaseLoad!$G118,J$8*$Z119,0))</f>
        <v>-</v>
      </c>
      <c r="K119" s="172" t="str">
        <f>IF($A$1="Peak","-",IF(BaseLoad!Q118&gt;BaseLoad!$G118,K$8*$Z119,0))</f>
        <v>-</v>
      </c>
      <c r="L119" s="172" t="str">
        <f>IF($A$1="Peak","-",IF(BaseLoad!R118&gt;BaseLoad!$G118,L$8*$Z119,0))</f>
        <v>-</v>
      </c>
      <c r="M119" s="172" t="str">
        <f>IF($A$1="Peak","-",IF(BaseLoad!S118&gt;BaseLoad!$G118,M$8*$Z119,0))</f>
        <v>-</v>
      </c>
      <c r="N119" s="172" t="str">
        <f>IF($A$1="Peak","-",IF(BaseLoad!T118&gt;BaseLoad!$G118,N$8*$Z119,0))</f>
        <v>-</v>
      </c>
      <c r="O119" s="172" t="str">
        <f>IF($A$1="Peak","-",IF(BaseLoad!U118&gt;BaseLoad!$G118,O$8*$Z119,0))</f>
        <v>-</v>
      </c>
      <c r="P119" s="172" t="str">
        <f>IF($A$1="Peak","-",IF(BaseLoad!V118&gt;BaseLoad!$G118,P$8*$Z119,0))</f>
        <v>-</v>
      </c>
      <c r="Q119" s="172" t="str">
        <f>IF($A$1="Peak","-",IF(BaseLoad!W118&gt;BaseLoad!$G118,Q$8*$Z119,0))</f>
        <v>-</v>
      </c>
      <c r="R119" s="172" t="str">
        <f>IF($A$1="Peak","-",IF(BaseLoad!X118&gt;BaseLoad!$G118,R$8*$Z119,0))</f>
        <v>-</v>
      </c>
      <c r="S119" s="172" t="str">
        <f>IF($A$1="Peak","-",IF(BaseLoad!Y118&gt;BaseLoad!$G118,S$8*$Z119,0))</f>
        <v>-</v>
      </c>
      <c r="T119" s="172" t="str">
        <f>IF($A$1="Peak","-",IF(BaseLoad!Z118&gt;BaseLoad!$G118,T$8*$Z119,0))</f>
        <v>-</v>
      </c>
      <c r="U119" s="172" t="str">
        <f>IF($A$1="Peak","-",IF(BaseLoad!AA118&gt;BaseLoad!$G118,U$8*$Z119,0))</f>
        <v>-</v>
      </c>
      <c r="V119" s="172">
        <f t="shared" si="3"/>
        <v>0</v>
      </c>
      <c r="W119" s="172"/>
      <c r="X119" s="172"/>
      <c r="Y119" s="172"/>
      <c r="Z119" s="172">
        <f>CHOOSE(QUOTIENT(MONTH($A119),3)+1,BaseLoad!$AM$9,BaseLoad!$AN$9,BaseLoad!$AL$9,BaseLoad!$AO$9,BaseLoad!$AM$9)</f>
        <v>0.92427661878611755</v>
      </c>
      <c r="AA119" s="172">
        <f>CHOOSE(QUOTIENT(MONTH($A119),3)+1,BaseLoad!$AM$15,BaseLoad!$AN$15,BaseLoad!$AL$15,BaseLoad!$AO$15,BaseLoad!$AM$15)</f>
        <v>705</v>
      </c>
      <c r="AB119" s="471"/>
      <c r="AD119" s="471"/>
    </row>
    <row r="120" spans="1:30" x14ac:dyDescent="0.2">
      <c r="A120" s="1">
        <f t="shared" si="5"/>
        <v>39885.870000000141</v>
      </c>
      <c r="B120" s="172" t="str">
        <f>IF($A$1="Peak","-",IF(BaseLoad!H119&gt;BaseLoad!$G119,B$8*$Z120,0))</f>
        <v>-</v>
      </c>
      <c r="C120" s="172" t="str">
        <f>IF($A$1="Peak","-",IF(BaseLoad!I119&gt;BaseLoad!$G119,C$8*$Z120,0))</f>
        <v>-</v>
      </c>
      <c r="D120" s="172" t="str">
        <f>IF($A$1="Peak","-",IF(BaseLoad!J119&gt;BaseLoad!$G119,D$8*$Z120,0))</f>
        <v>-</v>
      </c>
      <c r="E120" s="172" t="str">
        <f>IF($A$1="Peak","-",IF(BaseLoad!K119&gt;BaseLoad!$G119,E$8*$Z120,0))</f>
        <v>-</v>
      </c>
      <c r="F120" s="172" t="str">
        <f>IF($A$1="Peak","-",IF(BaseLoad!L119&gt;BaseLoad!$G119,F$8*$Z120,0))</f>
        <v>-</v>
      </c>
      <c r="G120" s="172" t="str">
        <f>IF($A$1="Peak","-",IF(BaseLoad!M119&gt;BaseLoad!$G119,G$8*$Z120,0))</f>
        <v>-</v>
      </c>
      <c r="H120" s="172" t="str">
        <f>IF($A$1="Peak","-",IF(BaseLoad!N119&gt;BaseLoad!$G119,H$8*$Z120,0))</f>
        <v>-</v>
      </c>
      <c r="I120" s="172" t="str">
        <f>IF($A$1="Peak","-",IF(BaseLoad!O119&gt;BaseLoad!$G119,I$8*$Z120,0))</f>
        <v>-</v>
      </c>
      <c r="J120" s="172" t="str">
        <f>IF($A$1="Peak","-",IF(BaseLoad!P119&gt;BaseLoad!$G119,J$8*$Z120,0))</f>
        <v>-</v>
      </c>
      <c r="K120" s="172" t="str">
        <f>IF($A$1="Peak","-",IF(BaseLoad!Q119&gt;BaseLoad!$G119,K$8*$Z120,0))</f>
        <v>-</v>
      </c>
      <c r="L120" s="172" t="str">
        <f>IF($A$1="Peak","-",IF(BaseLoad!R119&gt;BaseLoad!$G119,L$8*$Z120,0))</f>
        <v>-</v>
      </c>
      <c r="M120" s="172" t="str">
        <f>IF($A$1="Peak","-",IF(BaseLoad!S119&gt;BaseLoad!$G119,M$8*$Z120,0))</f>
        <v>-</v>
      </c>
      <c r="N120" s="172" t="str">
        <f>IF($A$1="Peak","-",IF(BaseLoad!T119&gt;BaseLoad!$G119,N$8*$Z120,0))</f>
        <v>-</v>
      </c>
      <c r="O120" s="172" t="str">
        <f>IF($A$1="Peak","-",IF(BaseLoad!U119&gt;BaseLoad!$G119,O$8*$Z120,0))</f>
        <v>-</v>
      </c>
      <c r="P120" s="172" t="str">
        <f>IF($A$1="Peak","-",IF(BaseLoad!V119&gt;BaseLoad!$G119,P$8*$Z120,0))</f>
        <v>-</v>
      </c>
      <c r="Q120" s="172" t="str">
        <f>IF($A$1="Peak","-",IF(BaseLoad!W119&gt;BaseLoad!$G119,Q$8*$Z120,0))</f>
        <v>-</v>
      </c>
      <c r="R120" s="172" t="str">
        <f>IF($A$1="Peak","-",IF(BaseLoad!X119&gt;BaseLoad!$G119,R$8*$Z120,0))</f>
        <v>-</v>
      </c>
      <c r="S120" s="172" t="str">
        <f>IF($A$1="Peak","-",IF(BaseLoad!Y119&gt;BaseLoad!$G119,S$8*$Z120,0))</f>
        <v>-</v>
      </c>
      <c r="T120" s="172" t="str">
        <f>IF($A$1="Peak","-",IF(BaseLoad!Z119&gt;BaseLoad!$G119,T$8*$Z120,0))</f>
        <v>-</v>
      </c>
      <c r="U120" s="172" t="str">
        <f>IF($A$1="Peak","-",IF(BaseLoad!AA119&gt;BaseLoad!$G119,U$8*$Z120,0))</f>
        <v>-</v>
      </c>
      <c r="V120" s="172">
        <f t="shared" si="3"/>
        <v>0</v>
      </c>
      <c r="W120" s="172"/>
      <c r="X120" s="172"/>
      <c r="Y120" s="172"/>
      <c r="Z120" s="172">
        <f>CHOOSE(QUOTIENT(MONTH($A120),3)+1,BaseLoad!$AM$9,BaseLoad!$AN$9,BaseLoad!$AL$9,BaseLoad!$AO$9,BaseLoad!$AM$9)</f>
        <v>0.95</v>
      </c>
      <c r="AA120" s="172">
        <f>CHOOSE(QUOTIENT(MONTH($A120),3)+1,BaseLoad!$AM$15,BaseLoad!$AN$15,BaseLoad!$AL$15,BaseLoad!$AO$15,BaseLoad!$AM$15)</f>
        <v>705</v>
      </c>
      <c r="AB120" s="471"/>
      <c r="AD120" s="471"/>
    </row>
    <row r="121" spans="1:30" x14ac:dyDescent="0.2">
      <c r="A121" s="1">
        <f t="shared" si="5"/>
        <v>39916.287000000142</v>
      </c>
      <c r="B121" s="172" t="str">
        <f>IF($A$1="Peak","-",IF(BaseLoad!H120&gt;BaseLoad!$G120,B$8*$Z121,0))</f>
        <v>-</v>
      </c>
      <c r="C121" s="172" t="str">
        <f>IF($A$1="Peak","-",IF(BaseLoad!I120&gt;BaseLoad!$G120,C$8*$Z121,0))</f>
        <v>-</v>
      </c>
      <c r="D121" s="172" t="str">
        <f>IF($A$1="Peak","-",IF(BaseLoad!J120&gt;BaseLoad!$G120,D$8*$Z121,0))</f>
        <v>-</v>
      </c>
      <c r="E121" s="172" t="str">
        <f>IF($A$1="Peak","-",IF(BaseLoad!K120&gt;BaseLoad!$G120,E$8*$Z121,0))</f>
        <v>-</v>
      </c>
      <c r="F121" s="172" t="str">
        <f>IF($A$1="Peak","-",IF(BaseLoad!L120&gt;BaseLoad!$G120,F$8*$Z121,0))</f>
        <v>-</v>
      </c>
      <c r="G121" s="172" t="str">
        <f>IF($A$1="Peak","-",IF(BaseLoad!M120&gt;BaseLoad!$G120,G$8*$Z121,0))</f>
        <v>-</v>
      </c>
      <c r="H121" s="172" t="str">
        <f>IF($A$1="Peak","-",IF(BaseLoad!N120&gt;BaseLoad!$G120,H$8*$Z121,0))</f>
        <v>-</v>
      </c>
      <c r="I121" s="172" t="str">
        <f>IF($A$1="Peak","-",IF(BaseLoad!O120&gt;BaseLoad!$G120,I$8*$Z121,0))</f>
        <v>-</v>
      </c>
      <c r="J121" s="172" t="str">
        <f>IF($A$1="Peak","-",IF(BaseLoad!P120&gt;BaseLoad!$G120,J$8*$Z121,0))</f>
        <v>-</v>
      </c>
      <c r="K121" s="172" t="str">
        <f>IF($A$1="Peak","-",IF(BaseLoad!Q120&gt;BaseLoad!$G120,K$8*$Z121,0))</f>
        <v>-</v>
      </c>
      <c r="L121" s="172" t="str">
        <f>IF($A$1="Peak","-",IF(BaseLoad!R120&gt;BaseLoad!$G120,L$8*$Z121,0))</f>
        <v>-</v>
      </c>
      <c r="M121" s="172" t="str">
        <f>IF($A$1="Peak","-",IF(BaseLoad!S120&gt;BaseLoad!$G120,M$8*$Z121,0))</f>
        <v>-</v>
      </c>
      <c r="N121" s="172" t="str">
        <f>IF($A$1="Peak","-",IF(BaseLoad!T120&gt;BaseLoad!$G120,N$8*$Z121,0))</f>
        <v>-</v>
      </c>
      <c r="O121" s="172" t="str">
        <f>IF($A$1="Peak","-",IF(BaseLoad!U120&gt;BaseLoad!$G120,O$8*$Z121,0))</f>
        <v>-</v>
      </c>
      <c r="P121" s="172" t="str">
        <f>IF($A$1="Peak","-",IF(BaseLoad!V120&gt;BaseLoad!$G120,P$8*$Z121,0))</f>
        <v>-</v>
      </c>
      <c r="Q121" s="172" t="str">
        <f>IF($A$1="Peak","-",IF(BaseLoad!W120&gt;BaseLoad!$G120,Q$8*$Z121,0))</f>
        <v>-</v>
      </c>
      <c r="R121" s="172" t="str">
        <f>IF($A$1="Peak","-",IF(BaseLoad!X120&gt;BaseLoad!$G120,R$8*$Z121,0))</f>
        <v>-</v>
      </c>
      <c r="S121" s="172" t="str">
        <f>IF($A$1="Peak","-",IF(BaseLoad!Y120&gt;BaseLoad!$G120,S$8*$Z121,0))</f>
        <v>-</v>
      </c>
      <c r="T121" s="172" t="str">
        <f>IF($A$1="Peak","-",IF(BaseLoad!Z120&gt;BaseLoad!$G120,T$8*$Z121,0))</f>
        <v>-</v>
      </c>
      <c r="U121" s="172" t="str">
        <f>IF($A$1="Peak","-",IF(BaseLoad!AA120&gt;BaseLoad!$G120,U$8*$Z121,0))</f>
        <v>-</v>
      </c>
      <c r="V121" s="172">
        <f t="shared" si="3"/>
        <v>0</v>
      </c>
      <c r="W121" s="172"/>
      <c r="X121" s="172"/>
      <c r="Y121" s="172"/>
      <c r="Z121" s="172">
        <f>CHOOSE(QUOTIENT(MONTH($A121),3)+1,BaseLoad!$AM$9,BaseLoad!$AN$9,BaseLoad!$AL$9,BaseLoad!$AO$9,BaseLoad!$AM$9)</f>
        <v>0.95</v>
      </c>
      <c r="AA121" s="172">
        <f>CHOOSE(QUOTIENT(MONTH($A121),3)+1,BaseLoad!$AM$15,BaseLoad!$AN$15,BaseLoad!$AL$15,BaseLoad!$AO$15,BaseLoad!$AM$15)</f>
        <v>705</v>
      </c>
      <c r="AB121" s="471"/>
      <c r="AD121" s="471"/>
    </row>
    <row r="122" spans="1:30" x14ac:dyDescent="0.2">
      <c r="A122" s="1">
        <f t="shared" si="5"/>
        <v>39946.704000000143</v>
      </c>
      <c r="B122" s="172" t="str">
        <f>IF($A$1="Peak","-",IF(BaseLoad!H121&gt;BaseLoad!$G121,B$8*$Z122,0))</f>
        <v>-</v>
      </c>
      <c r="C122" s="172" t="str">
        <f>IF($A$1="Peak","-",IF(BaseLoad!I121&gt;BaseLoad!$G121,C$8*$Z122,0))</f>
        <v>-</v>
      </c>
      <c r="D122" s="172" t="str">
        <f>IF($A$1="Peak","-",IF(BaseLoad!J121&gt;BaseLoad!$G121,D$8*$Z122,0))</f>
        <v>-</v>
      </c>
      <c r="E122" s="172" t="str">
        <f>IF($A$1="Peak","-",IF(BaseLoad!K121&gt;BaseLoad!$G121,E$8*$Z122,0))</f>
        <v>-</v>
      </c>
      <c r="F122" s="172" t="str">
        <f>IF($A$1="Peak","-",IF(BaseLoad!L121&gt;BaseLoad!$G121,F$8*$Z122,0))</f>
        <v>-</v>
      </c>
      <c r="G122" s="172" t="str">
        <f>IF($A$1="Peak","-",IF(BaseLoad!M121&gt;BaseLoad!$G121,G$8*$Z122,0))</f>
        <v>-</v>
      </c>
      <c r="H122" s="172" t="str">
        <f>IF($A$1="Peak","-",IF(BaseLoad!N121&gt;BaseLoad!$G121,H$8*$Z122,0))</f>
        <v>-</v>
      </c>
      <c r="I122" s="172" t="str">
        <f>IF($A$1="Peak","-",IF(BaseLoad!O121&gt;BaseLoad!$G121,I$8*$Z122,0))</f>
        <v>-</v>
      </c>
      <c r="J122" s="172" t="str">
        <f>IF($A$1="Peak","-",IF(BaseLoad!P121&gt;BaseLoad!$G121,J$8*$Z122,0))</f>
        <v>-</v>
      </c>
      <c r="K122" s="172" t="str">
        <f>IF($A$1="Peak","-",IF(BaseLoad!Q121&gt;BaseLoad!$G121,K$8*$Z122,0))</f>
        <v>-</v>
      </c>
      <c r="L122" s="172" t="str">
        <f>IF($A$1="Peak","-",IF(BaseLoad!R121&gt;BaseLoad!$G121,L$8*$Z122,0))</f>
        <v>-</v>
      </c>
      <c r="M122" s="172" t="str">
        <f>IF($A$1="Peak","-",IF(BaseLoad!S121&gt;BaseLoad!$G121,M$8*$Z122,0))</f>
        <v>-</v>
      </c>
      <c r="N122" s="172" t="str">
        <f>IF($A$1="Peak","-",IF(BaseLoad!T121&gt;BaseLoad!$G121,N$8*$Z122,0))</f>
        <v>-</v>
      </c>
      <c r="O122" s="172" t="str">
        <f>IF($A$1="Peak","-",IF(BaseLoad!U121&gt;BaseLoad!$G121,O$8*$Z122,0))</f>
        <v>-</v>
      </c>
      <c r="P122" s="172" t="str">
        <f>IF($A$1="Peak","-",IF(BaseLoad!V121&gt;BaseLoad!$G121,P$8*$Z122,0))</f>
        <v>-</v>
      </c>
      <c r="Q122" s="172" t="str">
        <f>IF($A$1="Peak","-",IF(BaseLoad!W121&gt;BaseLoad!$G121,Q$8*$Z122,0))</f>
        <v>-</v>
      </c>
      <c r="R122" s="172" t="str">
        <f>IF($A$1="Peak","-",IF(BaseLoad!X121&gt;BaseLoad!$G121,R$8*$Z122,0))</f>
        <v>-</v>
      </c>
      <c r="S122" s="172" t="str">
        <f>IF($A$1="Peak","-",IF(BaseLoad!Y121&gt;BaseLoad!$G121,S$8*$Z122,0))</f>
        <v>-</v>
      </c>
      <c r="T122" s="172" t="str">
        <f>IF($A$1="Peak","-",IF(BaseLoad!Z121&gt;BaseLoad!$G121,T$8*$Z122,0))</f>
        <v>-</v>
      </c>
      <c r="U122" s="172" t="str">
        <f>IF($A$1="Peak","-",IF(BaseLoad!AA121&gt;BaseLoad!$G121,U$8*$Z122,0))</f>
        <v>-</v>
      </c>
      <c r="V122" s="172">
        <f t="shared" si="3"/>
        <v>0</v>
      </c>
      <c r="W122" s="172"/>
      <c r="X122" s="172"/>
      <c r="Y122" s="172"/>
      <c r="Z122" s="172">
        <f>CHOOSE(QUOTIENT(MONTH($A122),3)+1,BaseLoad!$AM$9,BaseLoad!$AN$9,BaseLoad!$AL$9,BaseLoad!$AO$9,BaseLoad!$AM$9)</f>
        <v>0.95</v>
      </c>
      <c r="AA122" s="172">
        <f>CHOOSE(QUOTIENT(MONTH($A122),3)+1,BaseLoad!$AM$15,BaseLoad!$AN$15,BaseLoad!$AL$15,BaseLoad!$AO$15,BaseLoad!$AM$15)</f>
        <v>705</v>
      </c>
      <c r="AB122" s="471"/>
      <c r="AD122" s="471"/>
    </row>
    <row r="123" spans="1:30" x14ac:dyDescent="0.2">
      <c r="A123" s="1">
        <f t="shared" si="5"/>
        <v>39977.121000000145</v>
      </c>
      <c r="B123" s="172" t="str">
        <f>IF($A$1="Peak","-",IF(BaseLoad!H122&gt;BaseLoad!$G122,B$8*$Z123,0))</f>
        <v>-</v>
      </c>
      <c r="C123" s="172" t="str">
        <f>IF($A$1="Peak","-",IF(BaseLoad!I122&gt;BaseLoad!$G122,C$8*$Z123,0))</f>
        <v>-</v>
      </c>
      <c r="D123" s="172" t="str">
        <f>IF($A$1="Peak","-",IF(BaseLoad!J122&gt;BaseLoad!$G122,D$8*$Z123,0))</f>
        <v>-</v>
      </c>
      <c r="E123" s="172" t="str">
        <f>IF($A$1="Peak","-",IF(BaseLoad!K122&gt;BaseLoad!$G122,E$8*$Z123,0))</f>
        <v>-</v>
      </c>
      <c r="F123" s="172" t="str">
        <f>IF($A$1="Peak","-",IF(BaseLoad!L122&gt;BaseLoad!$G122,F$8*$Z123,0))</f>
        <v>-</v>
      </c>
      <c r="G123" s="172" t="str">
        <f>IF($A$1="Peak","-",IF(BaseLoad!M122&gt;BaseLoad!$G122,G$8*$Z123,0))</f>
        <v>-</v>
      </c>
      <c r="H123" s="172" t="str">
        <f>IF($A$1="Peak","-",IF(BaseLoad!N122&gt;BaseLoad!$G122,H$8*$Z123,0))</f>
        <v>-</v>
      </c>
      <c r="I123" s="172" t="str">
        <f>IF($A$1="Peak","-",IF(BaseLoad!O122&gt;BaseLoad!$G122,I$8*$Z123,0))</f>
        <v>-</v>
      </c>
      <c r="J123" s="172" t="str">
        <f>IF($A$1="Peak","-",IF(BaseLoad!P122&gt;BaseLoad!$G122,J$8*$Z123,0))</f>
        <v>-</v>
      </c>
      <c r="K123" s="172" t="str">
        <f>IF($A$1="Peak","-",IF(BaseLoad!Q122&gt;BaseLoad!$G122,K$8*$Z123,0))</f>
        <v>-</v>
      </c>
      <c r="L123" s="172" t="str">
        <f>IF($A$1="Peak","-",IF(BaseLoad!R122&gt;BaseLoad!$G122,L$8*$Z123,0))</f>
        <v>-</v>
      </c>
      <c r="M123" s="172" t="str">
        <f>IF($A$1="Peak","-",IF(BaseLoad!S122&gt;BaseLoad!$G122,M$8*$Z123,0))</f>
        <v>-</v>
      </c>
      <c r="N123" s="172" t="str">
        <f>IF($A$1="Peak","-",IF(BaseLoad!T122&gt;BaseLoad!$G122,N$8*$Z123,0))</f>
        <v>-</v>
      </c>
      <c r="O123" s="172" t="str">
        <f>IF($A$1="Peak","-",IF(BaseLoad!U122&gt;BaseLoad!$G122,O$8*$Z123,0))</f>
        <v>-</v>
      </c>
      <c r="P123" s="172" t="str">
        <f>IF($A$1="Peak","-",IF(BaseLoad!V122&gt;BaseLoad!$G122,P$8*$Z123,0))</f>
        <v>-</v>
      </c>
      <c r="Q123" s="172" t="str">
        <f>IF($A$1="Peak","-",IF(BaseLoad!W122&gt;BaseLoad!$G122,Q$8*$Z123,0))</f>
        <v>-</v>
      </c>
      <c r="R123" s="172" t="str">
        <f>IF($A$1="Peak","-",IF(BaseLoad!X122&gt;BaseLoad!$G122,R$8*$Z123,0))</f>
        <v>-</v>
      </c>
      <c r="S123" s="172" t="str">
        <f>IF($A$1="Peak","-",IF(BaseLoad!Y122&gt;BaseLoad!$G122,S$8*$Z123,0))</f>
        <v>-</v>
      </c>
      <c r="T123" s="172" t="str">
        <f>IF($A$1="Peak","-",IF(BaseLoad!Z122&gt;BaseLoad!$G122,T$8*$Z123,0))</f>
        <v>-</v>
      </c>
      <c r="U123" s="172" t="str">
        <f>IF($A$1="Peak","-",IF(BaseLoad!AA122&gt;BaseLoad!$G122,U$8*$Z123,0))</f>
        <v>-</v>
      </c>
      <c r="V123" s="172">
        <f t="shared" si="3"/>
        <v>0</v>
      </c>
      <c r="W123" s="172"/>
      <c r="X123" s="172"/>
      <c r="Y123" s="172"/>
      <c r="Z123" s="172">
        <f>CHOOSE(QUOTIENT(MONTH($A123),3)+1,BaseLoad!$AM$9,BaseLoad!$AN$9,BaseLoad!$AL$9,BaseLoad!$AO$9,BaseLoad!$AM$9)</f>
        <v>0.96612135909558572</v>
      </c>
      <c r="AA123" s="172">
        <f>CHOOSE(QUOTIENT(MONTH($A123),3)+1,BaseLoad!$AM$15,BaseLoad!$AN$15,BaseLoad!$AL$15,BaseLoad!$AO$15,BaseLoad!$AM$15)</f>
        <v>705</v>
      </c>
      <c r="AB123" s="471"/>
      <c r="AD123" s="471"/>
    </row>
    <row r="124" spans="1:30" x14ac:dyDescent="0.2">
      <c r="A124" s="1">
        <f t="shared" si="5"/>
        <v>40007.538000000146</v>
      </c>
      <c r="B124" s="172" t="str">
        <f>IF($A$1="Peak","-",IF(BaseLoad!H123&gt;BaseLoad!$G123,B$8*$Z124,0))</f>
        <v>-</v>
      </c>
      <c r="C124" s="172" t="str">
        <f>IF($A$1="Peak","-",IF(BaseLoad!I123&gt;BaseLoad!$G123,C$8*$Z124,0))</f>
        <v>-</v>
      </c>
      <c r="D124" s="172" t="str">
        <f>IF($A$1="Peak","-",IF(BaseLoad!J123&gt;BaseLoad!$G123,D$8*$Z124,0))</f>
        <v>-</v>
      </c>
      <c r="E124" s="172" t="str">
        <f>IF($A$1="Peak","-",IF(BaseLoad!K123&gt;BaseLoad!$G123,E$8*$Z124,0))</f>
        <v>-</v>
      </c>
      <c r="F124" s="172" t="str">
        <f>IF($A$1="Peak","-",IF(BaseLoad!L123&gt;BaseLoad!$G123,F$8*$Z124,0))</f>
        <v>-</v>
      </c>
      <c r="G124" s="172" t="str">
        <f>IF($A$1="Peak","-",IF(BaseLoad!M123&gt;BaseLoad!$G123,G$8*$Z124,0))</f>
        <v>-</v>
      </c>
      <c r="H124" s="172" t="str">
        <f>IF($A$1="Peak","-",IF(BaseLoad!N123&gt;BaseLoad!$G123,H$8*$Z124,0))</f>
        <v>-</v>
      </c>
      <c r="I124" s="172" t="str">
        <f>IF($A$1="Peak","-",IF(BaseLoad!O123&gt;BaseLoad!$G123,I$8*$Z124,0))</f>
        <v>-</v>
      </c>
      <c r="J124" s="172" t="str">
        <f>IF($A$1="Peak","-",IF(BaseLoad!P123&gt;BaseLoad!$G123,J$8*$Z124,0))</f>
        <v>-</v>
      </c>
      <c r="K124" s="172" t="str">
        <f>IF($A$1="Peak","-",IF(BaseLoad!Q123&gt;BaseLoad!$G123,K$8*$Z124,0))</f>
        <v>-</v>
      </c>
      <c r="L124" s="172" t="str">
        <f>IF($A$1="Peak","-",IF(BaseLoad!R123&gt;BaseLoad!$G123,L$8*$Z124,0))</f>
        <v>-</v>
      </c>
      <c r="M124" s="172" t="str">
        <f>IF($A$1="Peak","-",IF(BaseLoad!S123&gt;BaseLoad!$G123,M$8*$Z124,0))</f>
        <v>-</v>
      </c>
      <c r="N124" s="172" t="str">
        <f>IF($A$1="Peak","-",IF(BaseLoad!T123&gt;BaseLoad!$G123,N$8*$Z124,0))</f>
        <v>-</v>
      </c>
      <c r="O124" s="172" t="str">
        <f>IF($A$1="Peak","-",IF(BaseLoad!U123&gt;BaseLoad!$G123,O$8*$Z124,0))</f>
        <v>-</v>
      </c>
      <c r="P124" s="172" t="str">
        <f>IF($A$1="Peak","-",IF(BaseLoad!V123&gt;BaseLoad!$G123,P$8*$Z124,0))</f>
        <v>-</v>
      </c>
      <c r="Q124" s="172" t="str">
        <f>IF($A$1="Peak","-",IF(BaseLoad!W123&gt;BaseLoad!$G123,Q$8*$Z124,0))</f>
        <v>-</v>
      </c>
      <c r="R124" s="172" t="str">
        <f>IF($A$1="Peak","-",IF(BaseLoad!X123&gt;BaseLoad!$G123,R$8*$Z124,0))</f>
        <v>-</v>
      </c>
      <c r="S124" s="172" t="str">
        <f>IF($A$1="Peak","-",IF(BaseLoad!Y123&gt;BaseLoad!$G123,S$8*$Z124,0))</f>
        <v>-</v>
      </c>
      <c r="T124" s="172" t="str">
        <f>IF($A$1="Peak","-",IF(BaseLoad!Z123&gt;BaseLoad!$G123,T$8*$Z124,0))</f>
        <v>-</v>
      </c>
      <c r="U124" s="172" t="str">
        <f>IF($A$1="Peak","-",IF(BaseLoad!AA123&gt;BaseLoad!$G123,U$8*$Z124,0))</f>
        <v>-</v>
      </c>
      <c r="V124" s="172">
        <f t="shared" si="3"/>
        <v>0</v>
      </c>
      <c r="W124" s="172"/>
      <c r="X124" s="172"/>
      <c r="Y124" s="172"/>
      <c r="Z124" s="172">
        <f>CHOOSE(QUOTIENT(MONTH($A124),3)+1,BaseLoad!$AM$9,BaseLoad!$AN$9,BaseLoad!$AL$9,BaseLoad!$AO$9,BaseLoad!$AM$9)</f>
        <v>0.96612135909558572</v>
      </c>
      <c r="AA124" s="172">
        <f>CHOOSE(QUOTIENT(MONTH($A124),3)+1,BaseLoad!$AM$15,BaseLoad!$AN$15,BaseLoad!$AL$15,BaseLoad!$AO$15,BaseLoad!$AM$15)</f>
        <v>705</v>
      </c>
      <c r="AB124" s="471"/>
      <c r="AD124" s="471"/>
    </row>
    <row r="125" spans="1:30" x14ac:dyDescent="0.2">
      <c r="A125" s="1">
        <f t="shared" si="5"/>
        <v>40037.955000000147</v>
      </c>
      <c r="B125" s="172" t="str">
        <f>IF($A$1="Peak","-",IF(BaseLoad!H124&gt;BaseLoad!$G124,B$8*$Z125,0))</f>
        <v>-</v>
      </c>
      <c r="C125" s="172" t="str">
        <f>IF($A$1="Peak","-",IF(BaseLoad!I124&gt;BaseLoad!$G124,C$8*$Z125,0))</f>
        <v>-</v>
      </c>
      <c r="D125" s="172" t="str">
        <f>IF($A$1="Peak","-",IF(BaseLoad!J124&gt;BaseLoad!$G124,D$8*$Z125,0))</f>
        <v>-</v>
      </c>
      <c r="E125" s="172" t="str">
        <f>IF($A$1="Peak","-",IF(BaseLoad!K124&gt;BaseLoad!$G124,E$8*$Z125,0))</f>
        <v>-</v>
      </c>
      <c r="F125" s="172" t="str">
        <f>IF($A$1="Peak","-",IF(BaseLoad!L124&gt;BaseLoad!$G124,F$8*$Z125,0))</f>
        <v>-</v>
      </c>
      <c r="G125" s="172" t="str">
        <f>IF($A$1="Peak","-",IF(BaseLoad!M124&gt;BaseLoad!$G124,G$8*$Z125,0))</f>
        <v>-</v>
      </c>
      <c r="H125" s="172" t="str">
        <f>IF($A$1="Peak","-",IF(BaseLoad!N124&gt;BaseLoad!$G124,H$8*$Z125,0))</f>
        <v>-</v>
      </c>
      <c r="I125" s="172" t="str">
        <f>IF($A$1="Peak","-",IF(BaseLoad!O124&gt;BaseLoad!$G124,I$8*$Z125,0))</f>
        <v>-</v>
      </c>
      <c r="J125" s="172" t="str">
        <f>IF($A$1="Peak","-",IF(BaseLoad!P124&gt;BaseLoad!$G124,J$8*$Z125,0))</f>
        <v>-</v>
      </c>
      <c r="K125" s="172" t="str">
        <f>IF($A$1="Peak","-",IF(BaseLoad!Q124&gt;BaseLoad!$G124,K$8*$Z125,0))</f>
        <v>-</v>
      </c>
      <c r="L125" s="172" t="str">
        <f>IF($A$1="Peak","-",IF(BaseLoad!R124&gt;BaseLoad!$G124,L$8*$Z125,0))</f>
        <v>-</v>
      </c>
      <c r="M125" s="172" t="str">
        <f>IF($A$1="Peak","-",IF(BaseLoad!S124&gt;BaseLoad!$G124,M$8*$Z125,0))</f>
        <v>-</v>
      </c>
      <c r="N125" s="172" t="str">
        <f>IF($A$1="Peak","-",IF(BaseLoad!T124&gt;BaseLoad!$G124,N$8*$Z125,0))</f>
        <v>-</v>
      </c>
      <c r="O125" s="172" t="str">
        <f>IF($A$1="Peak","-",IF(BaseLoad!U124&gt;BaseLoad!$G124,O$8*$Z125,0))</f>
        <v>-</v>
      </c>
      <c r="P125" s="172" t="str">
        <f>IF($A$1="Peak","-",IF(BaseLoad!V124&gt;BaseLoad!$G124,P$8*$Z125,0))</f>
        <v>-</v>
      </c>
      <c r="Q125" s="172" t="str">
        <f>IF($A$1="Peak","-",IF(BaseLoad!W124&gt;BaseLoad!$G124,Q$8*$Z125,0))</f>
        <v>-</v>
      </c>
      <c r="R125" s="172" t="str">
        <f>IF($A$1="Peak","-",IF(BaseLoad!X124&gt;BaseLoad!$G124,R$8*$Z125,0))</f>
        <v>-</v>
      </c>
      <c r="S125" s="172" t="str">
        <f>IF($A$1="Peak","-",IF(BaseLoad!Y124&gt;BaseLoad!$G124,S$8*$Z125,0))</f>
        <v>-</v>
      </c>
      <c r="T125" s="172" t="str">
        <f>IF($A$1="Peak","-",IF(BaseLoad!Z124&gt;BaseLoad!$G124,T$8*$Z125,0))</f>
        <v>-</v>
      </c>
      <c r="U125" s="172" t="str">
        <f>IF($A$1="Peak","-",IF(BaseLoad!AA124&gt;BaseLoad!$G124,U$8*$Z125,0))</f>
        <v>-</v>
      </c>
      <c r="V125" s="172">
        <f t="shared" si="3"/>
        <v>0</v>
      </c>
      <c r="W125" s="172"/>
      <c r="X125" s="172"/>
      <c r="Y125" s="172"/>
      <c r="Z125" s="172">
        <f>CHOOSE(QUOTIENT(MONTH($A125),3)+1,BaseLoad!$AM$9,BaseLoad!$AN$9,BaseLoad!$AL$9,BaseLoad!$AO$9,BaseLoad!$AM$9)</f>
        <v>0.96612135909558572</v>
      </c>
      <c r="AA125" s="172">
        <f>CHOOSE(QUOTIENT(MONTH($A125),3)+1,BaseLoad!$AM$15,BaseLoad!$AN$15,BaseLoad!$AL$15,BaseLoad!$AO$15,BaseLoad!$AM$15)</f>
        <v>705</v>
      </c>
      <c r="AB125" s="471"/>
      <c r="AD125" s="471"/>
    </row>
    <row r="126" spans="1:30" x14ac:dyDescent="0.2">
      <c r="A126" s="1">
        <f t="shared" si="5"/>
        <v>40068.372000000149</v>
      </c>
      <c r="B126" s="172" t="str">
        <f>IF($A$1="Peak","-",IF(BaseLoad!H125&gt;BaseLoad!$G125,B$8*$Z126,0))</f>
        <v>-</v>
      </c>
      <c r="C126" s="172" t="str">
        <f>IF($A$1="Peak","-",IF(BaseLoad!I125&gt;BaseLoad!$G125,C$8*$Z126,0))</f>
        <v>-</v>
      </c>
      <c r="D126" s="172" t="str">
        <f>IF($A$1="Peak","-",IF(BaseLoad!J125&gt;BaseLoad!$G125,D$8*$Z126,0))</f>
        <v>-</v>
      </c>
      <c r="E126" s="172" t="str">
        <f>IF($A$1="Peak","-",IF(BaseLoad!K125&gt;BaseLoad!$G125,E$8*$Z126,0))</f>
        <v>-</v>
      </c>
      <c r="F126" s="172" t="str">
        <f>IF($A$1="Peak","-",IF(BaseLoad!L125&gt;BaseLoad!$G125,F$8*$Z126,0))</f>
        <v>-</v>
      </c>
      <c r="G126" s="172" t="str">
        <f>IF($A$1="Peak","-",IF(BaseLoad!M125&gt;BaseLoad!$G125,G$8*$Z126,0))</f>
        <v>-</v>
      </c>
      <c r="H126" s="172" t="str">
        <f>IF($A$1="Peak","-",IF(BaseLoad!N125&gt;BaseLoad!$G125,H$8*$Z126,0))</f>
        <v>-</v>
      </c>
      <c r="I126" s="172" t="str">
        <f>IF($A$1="Peak","-",IF(BaseLoad!O125&gt;BaseLoad!$G125,I$8*$Z126,0))</f>
        <v>-</v>
      </c>
      <c r="J126" s="172" t="str">
        <f>IF($A$1="Peak","-",IF(BaseLoad!P125&gt;BaseLoad!$G125,J$8*$Z126,0))</f>
        <v>-</v>
      </c>
      <c r="K126" s="172" t="str">
        <f>IF($A$1="Peak","-",IF(BaseLoad!Q125&gt;BaseLoad!$G125,K$8*$Z126,0))</f>
        <v>-</v>
      </c>
      <c r="L126" s="172" t="str">
        <f>IF($A$1="Peak","-",IF(BaseLoad!R125&gt;BaseLoad!$G125,L$8*$Z126,0))</f>
        <v>-</v>
      </c>
      <c r="M126" s="172" t="str">
        <f>IF($A$1="Peak","-",IF(BaseLoad!S125&gt;BaseLoad!$G125,M$8*$Z126,0))</f>
        <v>-</v>
      </c>
      <c r="N126" s="172" t="str">
        <f>IF($A$1="Peak","-",IF(BaseLoad!T125&gt;BaseLoad!$G125,N$8*$Z126,0))</f>
        <v>-</v>
      </c>
      <c r="O126" s="172" t="str">
        <f>IF($A$1="Peak","-",IF(BaseLoad!U125&gt;BaseLoad!$G125,O$8*$Z126,0))</f>
        <v>-</v>
      </c>
      <c r="P126" s="172" t="str">
        <f>IF($A$1="Peak","-",IF(BaseLoad!V125&gt;BaseLoad!$G125,P$8*$Z126,0))</f>
        <v>-</v>
      </c>
      <c r="Q126" s="172" t="str">
        <f>IF($A$1="Peak","-",IF(BaseLoad!W125&gt;BaseLoad!$G125,Q$8*$Z126,0))</f>
        <v>-</v>
      </c>
      <c r="R126" s="172" t="str">
        <f>IF($A$1="Peak","-",IF(BaseLoad!X125&gt;BaseLoad!$G125,R$8*$Z126,0))</f>
        <v>-</v>
      </c>
      <c r="S126" s="172" t="str">
        <f>IF($A$1="Peak","-",IF(BaseLoad!Y125&gt;BaseLoad!$G125,S$8*$Z126,0))</f>
        <v>-</v>
      </c>
      <c r="T126" s="172" t="str">
        <f>IF($A$1="Peak","-",IF(BaseLoad!Z125&gt;BaseLoad!$G125,T$8*$Z126,0))</f>
        <v>-</v>
      </c>
      <c r="U126" s="172" t="str">
        <f>IF($A$1="Peak","-",IF(BaseLoad!AA125&gt;BaseLoad!$G125,U$8*$Z126,0))</f>
        <v>-</v>
      </c>
      <c r="V126" s="172">
        <f t="shared" si="3"/>
        <v>0</v>
      </c>
      <c r="W126" s="172"/>
      <c r="X126" s="172"/>
      <c r="Y126" s="172"/>
      <c r="Z126" s="172">
        <f>CHOOSE(QUOTIENT(MONTH($A126),3)+1,BaseLoad!$AM$9,BaseLoad!$AN$9,BaseLoad!$AL$9,BaseLoad!$AO$9,BaseLoad!$AM$9)</f>
        <v>0.95</v>
      </c>
      <c r="AA126" s="172">
        <f>CHOOSE(QUOTIENT(MONTH($A126),3)+1,BaseLoad!$AM$15,BaseLoad!$AN$15,BaseLoad!$AL$15,BaseLoad!$AO$15,BaseLoad!$AM$15)</f>
        <v>705</v>
      </c>
      <c r="AB126" s="471"/>
      <c r="AD126" s="471"/>
    </row>
    <row r="127" spans="1:30" x14ac:dyDescent="0.2">
      <c r="A127" s="1">
        <f t="shared" si="5"/>
        <v>40098.78900000015</v>
      </c>
      <c r="B127" s="172" t="str">
        <f>IF($A$1="Peak","-",IF(BaseLoad!H126&gt;BaseLoad!$G126,B$8*$Z127,0))</f>
        <v>-</v>
      </c>
      <c r="C127" s="172" t="str">
        <f>IF($A$1="Peak","-",IF(BaseLoad!I126&gt;BaseLoad!$G126,C$8*$Z127,0))</f>
        <v>-</v>
      </c>
      <c r="D127" s="172" t="str">
        <f>IF($A$1="Peak","-",IF(BaseLoad!J126&gt;BaseLoad!$G126,D$8*$Z127,0))</f>
        <v>-</v>
      </c>
      <c r="E127" s="172" t="str">
        <f>IF($A$1="Peak","-",IF(BaseLoad!K126&gt;BaseLoad!$G126,E$8*$Z127,0))</f>
        <v>-</v>
      </c>
      <c r="F127" s="172" t="str">
        <f>IF($A$1="Peak","-",IF(BaseLoad!L126&gt;BaseLoad!$G126,F$8*$Z127,0))</f>
        <v>-</v>
      </c>
      <c r="G127" s="172" t="str">
        <f>IF($A$1="Peak","-",IF(BaseLoad!M126&gt;BaseLoad!$G126,G$8*$Z127,0))</f>
        <v>-</v>
      </c>
      <c r="H127" s="172" t="str">
        <f>IF($A$1="Peak","-",IF(BaseLoad!N126&gt;BaseLoad!$G126,H$8*$Z127,0))</f>
        <v>-</v>
      </c>
      <c r="I127" s="172" t="str">
        <f>IF($A$1="Peak","-",IF(BaseLoad!O126&gt;BaseLoad!$G126,I$8*$Z127,0))</f>
        <v>-</v>
      </c>
      <c r="J127" s="172" t="str">
        <f>IF($A$1="Peak","-",IF(BaseLoad!P126&gt;BaseLoad!$G126,J$8*$Z127,0))</f>
        <v>-</v>
      </c>
      <c r="K127" s="172" t="str">
        <f>IF($A$1="Peak","-",IF(BaseLoad!Q126&gt;BaseLoad!$G126,K$8*$Z127,0))</f>
        <v>-</v>
      </c>
      <c r="L127" s="172" t="str">
        <f>IF($A$1="Peak","-",IF(BaseLoad!R126&gt;BaseLoad!$G126,L$8*$Z127,0))</f>
        <v>-</v>
      </c>
      <c r="M127" s="172" t="str">
        <f>IF($A$1="Peak","-",IF(BaseLoad!S126&gt;BaseLoad!$G126,M$8*$Z127,0))</f>
        <v>-</v>
      </c>
      <c r="N127" s="172" t="str">
        <f>IF($A$1="Peak","-",IF(BaseLoad!T126&gt;BaseLoad!$G126,N$8*$Z127,0))</f>
        <v>-</v>
      </c>
      <c r="O127" s="172" t="str">
        <f>IF($A$1="Peak","-",IF(BaseLoad!U126&gt;BaseLoad!$G126,O$8*$Z127,0))</f>
        <v>-</v>
      </c>
      <c r="P127" s="172" t="str">
        <f>IF($A$1="Peak","-",IF(BaseLoad!V126&gt;BaseLoad!$G126,P$8*$Z127,0))</f>
        <v>-</v>
      </c>
      <c r="Q127" s="172" t="str">
        <f>IF($A$1="Peak","-",IF(BaseLoad!W126&gt;BaseLoad!$G126,Q$8*$Z127,0))</f>
        <v>-</v>
      </c>
      <c r="R127" s="172" t="str">
        <f>IF($A$1="Peak","-",IF(BaseLoad!X126&gt;BaseLoad!$G126,R$8*$Z127,0))</f>
        <v>-</v>
      </c>
      <c r="S127" s="172" t="str">
        <f>IF($A$1="Peak","-",IF(BaseLoad!Y126&gt;BaseLoad!$G126,S$8*$Z127,0))</f>
        <v>-</v>
      </c>
      <c r="T127" s="172" t="str">
        <f>IF($A$1="Peak","-",IF(BaseLoad!Z126&gt;BaseLoad!$G126,T$8*$Z127,0))</f>
        <v>-</v>
      </c>
      <c r="U127" s="172" t="str">
        <f>IF($A$1="Peak","-",IF(BaseLoad!AA126&gt;BaseLoad!$G126,U$8*$Z127,0))</f>
        <v>-</v>
      </c>
      <c r="V127" s="172">
        <f t="shared" si="3"/>
        <v>0</v>
      </c>
      <c r="W127" s="172"/>
      <c r="X127" s="172"/>
      <c r="Y127" s="172"/>
      <c r="Z127" s="172">
        <f>CHOOSE(QUOTIENT(MONTH($A127),3)+1,BaseLoad!$AM$9,BaseLoad!$AN$9,BaseLoad!$AL$9,BaseLoad!$AO$9,BaseLoad!$AM$9)</f>
        <v>0.95</v>
      </c>
      <c r="AA127" s="172">
        <f>CHOOSE(QUOTIENT(MONTH($A127),3)+1,BaseLoad!$AM$15,BaseLoad!$AN$15,BaseLoad!$AL$15,BaseLoad!$AO$15,BaseLoad!$AM$15)</f>
        <v>705</v>
      </c>
      <c r="AB127" s="471"/>
      <c r="AD127" s="471"/>
    </row>
    <row r="128" spans="1:30" x14ac:dyDescent="0.2">
      <c r="A128" s="1">
        <f t="shared" si="5"/>
        <v>40129.206000000151</v>
      </c>
      <c r="B128" s="172" t="str">
        <f>IF($A$1="Peak","-",IF(BaseLoad!H127&gt;BaseLoad!$G127,B$8*$Z128,0))</f>
        <v>-</v>
      </c>
      <c r="C128" s="172" t="str">
        <f>IF($A$1="Peak","-",IF(BaseLoad!I127&gt;BaseLoad!$G127,C$8*$Z128,0))</f>
        <v>-</v>
      </c>
      <c r="D128" s="172" t="str">
        <f>IF($A$1="Peak","-",IF(BaseLoad!J127&gt;BaseLoad!$G127,D$8*$Z128,0))</f>
        <v>-</v>
      </c>
      <c r="E128" s="172" t="str">
        <f>IF($A$1="Peak","-",IF(BaseLoad!K127&gt;BaseLoad!$G127,E$8*$Z128,0))</f>
        <v>-</v>
      </c>
      <c r="F128" s="172" t="str">
        <f>IF($A$1="Peak","-",IF(BaseLoad!L127&gt;BaseLoad!$G127,F$8*$Z128,0))</f>
        <v>-</v>
      </c>
      <c r="G128" s="172" t="str">
        <f>IF($A$1="Peak","-",IF(BaseLoad!M127&gt;BaseLoad!$G127,G$8*$Z128,0))</f>
        <v>-</v>
      </c>
      <c r="H128" s="172" t="str">
        <f>IF($A$1="Peak","-",IF(BaseLoad!N127&gt;BaseLoad!$G127,H$8*$Z128,0))</f>
        <v>-</v>
      </c>
      <c r="I128" s="172" t="str">
        <f>IF($A$1="Peak","-",IF(BaseLoad!O127&gt;BaseLoad!$G127,I$8*$Z128,0))</f>
        <v>-</v>
      </c>
      <c r="J128" s="172" t="str">
        <f>IF($A$1="Peak","-",IF(BaseLoad!P127&gt;BaseLoad!$G127,J$8*$Z128,0))</f>
        <v>-</v>
      </c>
      <c r="K128" s="172" t="str">
        <f>IF($A$1="Peak","-",IF(BaseLoad!Q127&gt;BaseLoad!$G127,K$8*$Z128,0))</f>
        <v>-</v>
      </c>
      <c r="L128" s="172" t="str">
        <f>IF($A$1="Peak","-",IF(BaseLoad!R127&gt;BaseLoad!$G127,L$8*$Z128,0))</f>
        <v>-</v>
      </c>
      <c r="M128" s="172" t="str">
        <f>IF($A$1="Peak","-",IF(BaseLoad!S127&gt;BaseLoad!$G127,M$8*$Z128,0))</f>
        <v>-</v>
      </c>
      <c r="N128" s="172" t="str">
        <f>IF($A$1="Peak","-",IF(BaseLoad!T127&gt;BaseLoad!$G127,N$8*$Z128,0))</f>
        <v>-</v>
      </c>
      <c r="O128" s="172" t="str">
        <f>IF($A$1="Peak","-",IF(BaseLoad!U127&gt;BaseLoad!$G127,O$8*$Z128,0))</f>
        <v>-</v>
      </c>
      <c r="P128" s="172" t="str">
        <f>IF($A$1="Peak","-",IF(BaseLoad!V127&gt;BaseLoad!$G127,P$8*$Z128,0))</f>
        <v>-</v>
      </c>
      <c r="Q128" s="172" t="str">
        <f>IF($A$1="Peak","-",IF(BaseLoad!W127&gt;BaseLoad!$G127,Q$8*$Z128,0))</f>
        <v>-</v>
      </c>
      <c r="R128" s="172" t="str">
        <f>IF($A$1="Peak","-",IF(BaseLoad!X127&gt;BaseLoad!$G127,R$8*$Z128,0))</f>
        <v>-</v>
      </c>
      <c r="S128" s="172" t="str">
        <f>IF($A$1="Peak","-",IF(BaseLoad!Y127&gt;BaseLoad!$G127,S$8*$Z128,0))</f>
        <v>-</v>
      </c>
      <c r="T128" s="172" t="str">
        <f>IF($A$1="Peak","-",IF(BaseLoad!Z127&gt;BaseLoad!$G127,T$8*$Z128,0))</f>
        <v>-</v>
      </c>
      <c r="U128" s="172" t="str">
        <f>IF($A$1="Peak","-",IF(BaseLoad!AA127&gt;BaseLoad!$G127,U$8*$Z128,0))</f>
        <v>-</v>
      </c>
      <c r="V128" s="172">
        <f t="shared" si="3"/>
        <v>0</v>
      </c>
      <c r="W128" s="172"/>
      <c r="X128" s="172"/>
      <c r="Y128" s="172"/>
      <c r="Z128" s="172">
        <f>CHOOSE(QUOTIENT(MONTH($A128),3)+1,BaseLoad!$AM$9,BaseLoad!$AN$9,BaseLoad!$AL$9,BaseLoad!$AO$9,BaseLoad!$AM$9)</f>
        <v>0.95</v>
      </c>
      <c r="AA128" s="172">
        <f>CHOOSE(QUOTIENT(MONTH($A128),3)+1,BaseLoad!$AM$15,BaseLoad!$AN$15,BaseLoad!$AL$15,BaseLoad!$AO$15,BaseLoad!$AM$15)</f>
        <v>705</v>
      </c>
      <c r="AB128" s="471"/>
      <c r="AD128" s="471"/>
    </row>
    <row r="129" spans="1:30" x14ac:dyDescent="0.2">
      <c r="A129" s="1">
        <f t="shared" si="5"/>
        <v>40159.623000000152</v>
      </c>
      <c r="B129" s="172" t="str">
        <f>IF($A$1="Peak","-",IF(BaseLoad!H128&gt;BaseLoad!$G128,B$8*$Z129,0))</f>
        <v>-</v>
      </c>
      <c r="C129" s="172" t="str">
        <f>IF($A$1="Peak","-",IF(BaseLoad!I128&gt;BaseLoad!$G128,C$8*$Z129,0))</f>
        <v>-</v>
      </c>
      <c r="D129" s="172" t="str">
        <f>IF($A$1="Peak","-",IF(BaseLoad!J128&gt;BaseLoad!$G128,D$8*$Z129,0))</f>
        <v>-</v>
      </c>
      <c r="E129" s="172" t="str">
        <f>IF($A$1="Peak","-",IF(BaseLoad!K128&gt;BaseLoad!$G128,E$8*$Z129,0))</f>
        <v>-</v>
      </c>
      <c r="F129" s="172" t="str">
        <f>IF($A$1="Peak","-",IF(BaseLoad!L128&gt;BaseLoad!$G128,F$8*$Z129,0))</f>
        <v>-</v>
      </c>
      <c r="G129" s="172" t="str">
        <f>IF($A$1="Peak","-",IF(BaseLoad!M128&gt;BaseLoad!$G128,G$8*$Z129,0))</f>
        <v>-</v>
      </c>
      <c r="H129" s="172" t="str">
        <f>IF($A$1="Peak","-",IF(BaseLoad!N128&gt;BaseLoad!$G128,H$8*$Z129,0))</f>
        <v>-</v>
      </c>
      <c r="I129" s="172" t="str">
        <f>IF($A$1="Peak","-",IF(BaseLoad!O128&gt;BaseLoad!$G128,I$8*$Z129,0))</f>
        <v>-</v>
      </c>
      <c r="J129" s="172" t="str">
        <f>IF($A$1="Peak","-",IF(BaseLoad!P128&gt;BaseLoad!$G128,J$8*$Z129,0))</f>
        <v>-</v>
      </c>
      <c r="K129" s="172" t="str">
        <f>IF($A$1="Peak","-",IF(BaseLoad!Q128&gt;BaseLoad!$G128,K$8*$Z129,0))</f>
        <v>-</v>
      </c>
      <c r="L129" s="172" t="str">
        <f>IF($A$1="Peak","-",IF(BaseLoad!R128&gt;BaseLoad!$G128,L$8*$Z129,0))</f>
        <v>-</v>
      </c>
      <c r="M129" s="172" t="str">
        <f>IF($A$1="Peak","-",IF(BaseLoad!S128&gt;BaseLoad!$G128,M$8*$Z129,0))</f>
        <v>-</v>
      </c>
      <c r="N129" s="172" t="str">
        <f>IF($A$1="Peak","-",IF(BaseLoad!T128&gt;BaseLoad!$G128,N$8*$Z129,0))</f>
        <v>-</v>
      </c>
      <c r="O129" s="172" t="str">
        <f>IF($A$1="Peak","-",IF(BaseLoad!U128&gt;BaseLoad!$G128,O$8*$Z129,0))</f>
        <v>-</v>
      </c>
      <c r="P129" s="172" t="str">
        <f>IF($A$1="Peak","-",IF(BaseLoad!V128&gt;BaseLoad!$G128,P$8*$Z129,0))</f>
        <v>-</v>
      </c>
      <c r="Q129" s="172" t="str">
        <f>IF($A$1="Peak","-",IF(BaseLoad!W128&gt;BaseLoad!$G128,Q$8*$Z129,0))</f>
        <v>-</v>
      </c>
      <c r="R129" s="172" t="str">
        <f>IF($A$1="Peak","-",IF(BaseLoad!X128&gt;BaseLoad!$G128,R$8*$Z129,0))</f>
        <v>-</v>
      </c>
      <c r="S129" s="172" t="str">
        <f>IF($A$1="Peak","-",IF(BaseLoad!Y128&gt;BaseLoad!$G128,S$8*$Z129,0))</f>
        <v>-</v>
      </c>
      <c r="T129" s="172" t="str">
        <f>IF($A$1="Peak","-",IF(BaseLoad!Z128&gt;BaseLoad!$G128,T$8*$Z129,0))</f>
        <v>-</v>
      </c>
      <c r="U129" s="172" t="str">
        <f>IF($A$1="Peak","-",IF(BaseLoad!AA128&gt;BaseLoad!$G128,U$8*$Z129,0))</f>
        <v>-</v>
      </c>
      <c r="V129" s="172">
        <f t="shared" si="3"/>
        <v>0</v>
      </c>
      <c r="W129" s="172"/>
      <c r="X129" s="172"/>
      <c r="Y129" s="172">
        <f>SUM(V118:V129)</f>
        <v>0</v>
      </c>
      <c r="Z129" s="172">
        <f>CHOOSE(QUOTIENT(MONTH($A129),3)+1,BaseLoad!$AM$9,BaseLoad!$AN$9,BaseLoad!$AL$9,BaseLoad!$AO$9,BaseLoad!$AM$9)</f>
        <v>0.92427661878611755</v>
      </c>
      <c r="AA129" s="172">
        <f>CHOOSE(QUOTIENT(MONTH($A129),3)+1,BaseLoad!$AM$15,BaseLoad!$AN$15,BaseLoad!$AL$15,BaseLoad!$AO$15,BaseLoad!$AM$15)</f>
        <v>705</v>
      </c>
      <c r="AB129" s="471"/>
      <c r="AD129" s="471"/>
    </row>
    <row r="130" spans="1:30" x14ac:dyDescent="0.2">
      <c r="A130" s="1">
        <f t="shared" si="5"/>
        <v>40190.040000000154</v>
      </c>
      <c r="B130" s="172" t="str">
        <f>IF($A$1="Peak","-",IF(BaseLoad!H129&gt;BaseLoad!$G129,B$8*$Z130,0))</f>
        <v>-</v>
      </c>
      <c r="C130" s="172" t="str">
        <f>IF($A$1="Peak","-",IF(BaseLoad!I129&gt;BaseLoad!$G129,C$8*$Z130,0))</f>
        <v>-</v>
      </c>
      <c r="D130" s="172" t="str">
        <f>IF($A$1="Peak","-",IF(BaseLoad!J129&gt;BaseLoad!$G129,D$8*$Z130,0))</f>
        <v>-</v>
      </c>
      <c r="E130" s="172" t="str">
        <f>IF($A$1="Peak","-",IF(BaseLoad!K129&gt;BaseLoad!$G129,E$8*$Z130,0))</f>
        <v>-</v>
      </c>
      <c r="F130" s="172" t="str">
        <f>IF($A$1="Peak","-",IF(BaseLoad!L129&gt;BaseLoad!$G129,F$8*$Z130,0))</f>
        <v>-</v>
      </c>
      <c r="G130" s="172" t="str">
        <f>IF($A$1="Peak","-",IF(BaseLoad!M129&gt;BaseLoad!$G129,G$8*$Z130,0))</f>
        <v>-</v>
      </c>
      <c r="H130" s="172" t="str">
        <f>IF($A$1="Peak","-",IF(BaseLoad!N129&gt;BaseLoad!$G129,H$8*$Z130,0))</f>
        <v>-</v>
      </c>
      <c r="I130" s="172" t="str">
        <f>IF($A$1="Peak","-",IF(BaseLoad!O129&gt;BaseLoad!$G129,I$8*$Z130,0))</f>
        <v>-</v>
      </c>
      <c r="J130" s="172" t="str">
        <f>IF($A$1="Peak","-",IF(BaseLoad!P129&gt;BaseLoad!$G129,J$8*$Z130,0))</f>
        <v>-</v>
      </c>
      <c r="K130" s="172" t="str">
        <f>IF($A$1="Peak","-",IF(BaseLoad!Q129&gt;BaseLoad!$G129,K$8*$Z130,0))</f>
        <v>-</v>
      </c>
      <c r="L130" s="172" t="str">
        <f>IF($A$1="Peak","-",IF(BaseLoad!R129&gt;BaseLoad!$G129,L$8*$Z130,0))</f>
        <v>-</v>
      </c>
      <c r="M130" s="172" t="str">
        <f>IF($A$1="Peak","-",IF(BaseLoad!S129&gt;BaseLoad!$G129,M$8*$Z130,0))</f>
        <v>-</v>
      </c>
      <c r="N130" s="172" t="str">
        <f>IF($A$1="Peak","-",IF(BaseLoad!T129&gt;BaseLoad!$G129,N$8*$Z130,0))</f>
        <v>-</v>
      </c>
      <c r="O130" s="172" t="str">
        <f>IF($A$1="Peak","-",IF(BaseLoad!U129&gt;BaseLoad!$G129,O$8*$Z130,0))</f>
        <v>-</v>
      </c>
      <c r="P130" s="172" t="str">
        <f>IF($A$1="Peak","-",IF(BaseLoad!V129&gt;BaseLoad!$G129,P$8*$Z130,0))</f>
        <v>-</v>
      </c>
      <c r="Q130" s="172" t="str">
        <f>IF($A$1="Peak","-",IF(BaseLoad!W129&gt;BaseLoad!$G129,Q$8*$Z130,0))</f>
        <v>-</v>
      </c>
      <c r="R130" s="172" t="str">
        <f>IF($A$1="Peak","-",IF(BaseLoad!X129&gt;BaseLoad!$G129,R$8*$Z130,0))</f>
        <v>-</v>
      </c>
      <c r="S130" s="172" t="str">
        <f>IF($A$1="Peak","-",IF(BaseLoad!Y129&gt;BaseLoad!$G129,S$8*$Z130,0))</f>
        <v>-</v>
      </c>
      <c r="T130" s="172" t="str">
        <f>IF($A$1="Peak","-",IF(BaseLoad!Z129&gt;BaseLoad!$G129,T$8*$Z130,0))</f>
        <v>-</v>
      </c>
      <c r="U130" s="172" t="str">
        <f>IF($A$1="Peak","-",IF(BaseLoad!AA129&gt;BaseLoad!$G129,U$8*$Z130,0))</f>
        <v>-</v>
      </c>
      <c r="V130" s="172">
        <f t="shared" si="3"/>
        <v>0</v>
      </c>
      <c r="W130" s="172"/>
      <c r="X130" s="172"/>
      <c r="Y130" s="172"/>
      <c r="Z130" s="172">
        <f>CHOOSE(QUOTIENT(MONTH($A130),3)+1,BaseLoad!$AM$9,BaseLoad!$AN$9,BaseLoad!$AL$9,BaseLoad!$AO$9,BaseLoad!$AM$9)</f>
        <v>0.92427661878611755</v>
      </c>
      <c r="AA130" s="172">
        <f>CHOOSE(QUOTIENT(MONTH($A130),3)+1,BaseLoad!$AM$15,BaseLoad!$AN$15,BaseLoad!$AL$15,BaseLoad!$AO$15,BaseLoad!$AM$15)</f>
        <v>705</v>
      </c>
      <c r="AB130" s="471"/>
      <c r="AD130" s="471"/>
    </row>
    <row r="131" spans="1:30" x14ac:dyDescent="0.2">
      <c r="A131" s="1">
        <f t="shared" si="5"/>
        <v>40220.457000000155</v>
      </c>
      <c r="B131" s="172" t="str">
        <f>IF($A$1="Peak","-",IF(BaseLoad!H130&gt;BaseLoad!$G130,B$8*$Z131,0))</f>
        <v>-</v>
      </c>
      <c r="C131" s="172" t="str">
        <f>IF($A$1="Peak","-",IF(BaseLoad!I130&gt;BaseLoad!$G130,C$8*$Z131,0))</f>
        <v>-</v>
      </c>
      <c r="D131" s="172" t="str">
        <f>IF($A$1="Peak","-",IF(BaseLoad!J130&gt;BaseLoad!$G130,D$8*$Z131,0))</f>
        <v>-</v>
      </c>
      <c r="E131" s="172" t="str">
        <f>IF($A$1="Peak","-",IF(BaseLoad!K130&gt;BaseLoad!$G130,E$8*$Z131,0))</f>
        <v>-</v>
      </c>
      <c r="F131" s="172" t="str">
        <f>IF($A$1="Peak","-",IF(BaseLoad!L130&gt;BaseLoad!$G130,F$8*$Z131,0))</f>
        <v>-</v>
      </c>
      <c r="G131" s="172" t="str">
        <f>IF($A$1="Peak","-",IF(BaseLoad!M130&gt;BaseLoad!$G130,G$8*$Z131,0))</f>
        <v>-</v>
      </c>
      <c r="H131" s="172" t="str">
        <f>IF($A$1="Peak","-",IF(BaseLoad!N130&gt;BaseLoad!$G130,H$8*$Z131,0))</f>
        <v>-</v>
      </c>
      <c r="I131" s="172" t="str">
        <f>IF($A$1="Peak","-",IF(BaseLoad!O130&gt;BaseLoad!$G130,I$8*$Z131,0))</f>
        <v>-</v>
      </c>
      <c r="J131" s="172" t="str">
        <f>IF($A$1="Peak","-",IF(BaseLoad!P130&gt;BaseLoad!$G130,J$8*$Z131,0))</f>
        <v>-</v>
      </c>
      <c r="K131" s="172" t="str">
        <f>IF($A$1="Peak","-",IF(BaseLoad!Q130&gt;BaseLoad!$G130,K$8*$Z131,0))</f>
        <v>-</v>
      </c>
      <c r="L131" s="172" t="str">
        <f>IF($A$1="Peak","-",IF(BaseLoad!R130&gt;BaseLoad!$G130,L$8*$Z131,0))</f>
        <v>-</v>
      </c>
      <c r="M131" s="172" t="str">
        <f>IF($A$1="Peak","-",IF(BaseLoad!S130&gt;BaseLoad!$G130,M$8*$Z131,0))</f>
        <v>-</v>
      </c>
      <c r="N131" s="172" t="str">
        <f>IF($A$1="Peak","-",IF(BaseLoad!T130&gt;BaseLoad!$G130,N$8*$Z131,0))</f>
        <v>-</v>
      </c>
      <c r="O131" s="172" t="str">
        <f>IF($A$1="Peak","-",IF(BaseLoad!U130&gt;BaseLoad!$G130,O$8*$Z131,0))</f>
        <v>-</v>
      </c>
      <c r="P131" s="172" t="str">
        <f>IF($A$1="Peak","-",IF(BaseLoad!V130&gt;BaseLoad!$G130,P$8*$Z131,0))</f>
        <v>-</v>
      </c>
      <c r="Q131" s="172" t="str">
        <f>IF($A$1="Peak","-",IF(BaseLoad!W130&gt;BaseLoad!$G130,Q$8*$Z131,0))</f>
        <v>-</v>
      </c>
      <c r="R131" s="172" t="str">
        <f>IF($A$1="Peak","-",IF(BaseLoad!X130&gt;BaseLoad!$G130,R$8*$Z131,0))</f>
        <v>-</v>
      </c>
      <c r="S131" s="172" t="str">
        <f>IF($A$1="Peak","-",IF(BaseLoad!Y130&gt;BaseLoad!$G130,S$8*$Z131,0))</f>
        <v>-</v>
      </c>
      <c r="T131" s="172" t="str">
        <f>IF($A$1="Peak","-",IF(BaseLoad!Z130&gt;BaseLoad!$G130,T$8*$Z131,0))</f>
        <v>-</v>
      </c>
      <c r="U131" s="172" t="str">
        <f>IF($A$1="Peak","-",IF(BaseLoad!AA130&gt;BaseLoad!$G130,U$8*$Z131,0))</f>
        <v>-</v>
      </c>
      <c r="V131" s="172">
        <f t="shared" si="3"/>
        <v>0</v>
      </c>
      <c r="W131" s="172"/>
      <c r="X131" s="172"/>
      <c r="Y131" s="172"/>
      <c r="Z131" s="172">
        <f>CHOOSE(QUOTIENT(MONTH($A131),3)+1,BaseLoad!$AM$9,BaseLoad!$AN$9,BaseLoad!$AL$9,BaseLoad!$AO$9,BaseLoad!$AM$9)</f>
        <v>0.92427661878611755</v>
      </c>
      <c r="AA131" s="172">
        <f>CHOOSE(QUOTIENT(MONTH($A131),3)+1,BaseLoad!$AM$15,BaseLoad!$AN$15,BaseLoad!$AL$15,BaseLoad!$AO$15,BaseLoad!$AM$15)</f>
        <v>705</v>
      </c>
      <c r="AB131" s="471"/>
      <c r="AD131" s="471"/>
    </row>
    <row r="132" spans="1:30" x14ac:dyDescent="0.2">
      <c r="A132" s="1">
        <f t="shared" si="5"/>
        <v>40250.874000000156</v>
      </c>
      <c r="B132" s="172" t="str">
        <f>IF($A$1="Peak","-",IF(BaseLoad!H131&gt;BaseLoad!$G131,B$8*$Z132,0))</f>
        <v>-</v>
      </c>
      <c r="C132" s="172" t="str">
        <f>IF($A$1="Peak","-",IF(BaseLoad!I131&gt;BaseLoad!$G131,C$8*$Z132,0))</f>
        <v>-</v>
      </c>
      <c r="D132" s="172" t="str">
        <f>IF($A$1="Peak","-",IF(BaseLoad!J131&gt;BaseLoad!$G131,D$8*$Z132,0))</f>
        <v>-</v>
      </c>
      <c r="E132" s="172" t="str">
        <f>IF($A$1="Peak","-",IF(BaseLoad!K131&gt;BaseLoad!$G131,E$8*$Z132,0))</f>
        <v>-</v>
      </c>
      <c r="F132" s="172" t="str">
        <f>IF($A$1="Peak","-",IF(BaseLoad!L131&gt;BaseLoad!$G131,F$8*$Z132,0))</f>
        <v>-</v>
      </c>
      <c r="G132" s="172" t="str">
        <f>IF($A$1="Peak","-",IF(BaseLoad!M131&gt;BaseLoad!$G131,G$8*$Z132,0))</f>
        <v>-</v>
      </c>
      <c r="H132" s="172" t="str">
        <f>IF($A$1="Peak","-",IF(BaseLoad!N131&gt;BaseLoad!$G131,H$8*$Z132,0))</f>
        <v>-</v>
      </c>
      <c r="I132" s="172" t="str">
        <f>IF($A$1="Peak","-",IF(BaseLoad!O131&gt;BaseLoad!$G131,I$8*$Z132,0))</f>
        <v>-</v>
      </c>
      <c r="J132" s="172" t="str">
        <f>IF($A$1="Peak","-",IF(BaseLoad!P131&gt;BaseLoad!$G131,J$8*$Z132,0))</f>
        <v>-</v>
      </c>
      <c r="K132" s="172" t="str">
        <f>IF($A$1="Peak","-",IF(BaseLoad!Q131&gt;BaseLoad!$G131,K$8*$Z132,0))</f>
        <v>-</v>
      </c>
      <c r="L132" s="172" t="str">
        <f>IF($A$1="Peak","-",IF(BaseLoad!R131&gt;BaseLoad!$G131,L$8*$Z132,0))</f>
        <v>-</v>
      </c>
      <c r="M132" s="172" t="str">
        <f>IF($A$1="Peak","-",IF(BaseLoad!S131&gt;BaseLoad!$G131,M$8*$Z132,0))</f>
        <v>-</v>
      </c>
      <c r="N132" s="172" t="str">
        <f>IF($A$1="Peak","-",IF(BaseLoad!T131&gt;BaseLoad!$G131,N$8*$Z132,0))</f>
        <v>-</v>
      </c>
      <c r="O132" s="172" t="str">
        <f>IF($A$1="Peak","-",IF(BaseLoad!U131&gt;BaseLoad!$G131,O$8*$Z132,0))</f>
        <v>-</v>
      </c>
      <c r="P132" s="172" t="str">
        <f>IF($A$1="Peak","-",IF(BaseLoad!V131&gt;BaseLoad!$G131,P$8*$Z132,0))</f>
        <v>-</v>
      </c>
      <c r="Q132" s="172" t="str">
        <f>IF($A$1="Peak","-",IF(BaseLoad!W131&gt;BaseLoad!$G131,Q$8*$Z132,0))</f>
        <v>-</v>
      </c>
      <c r="R132" s="172" t="str">
        <f>IF($A$1="Peak","-",IF(BaseLoad!X131&gt;BaseLoad!$G131,R$8*$Z132,0))</f>
        <v>-</v>
      </c>
      <c r="S132" s="172" t="str">
        <f>IF($A$1="Peak","-",IF(BaseLoad!Y131&gt;BaseLoad!$G131,S$8*$Z132,0))</f>
        <v>-</v>
      </c>
      <c r="T132" s="172" t="str">
        <f>IF($A$1="Peak","-",IF(BaseLoad!Z131&gt;BaseLoad!$G131,T$8*$Z132,0))</f>
        <v>-</v>
      </c>
      <c r="U132" s="172" t="str">
        <f>IF($A$1="Peak","-",IF(BaseLoad!AA131&gt;BaseLoad!$G131,U$8*$Z132,0))</f>
        <v>-</v>
      </c>
      <c r="V132" s="172">
        <f t="shared" si="3"/>
        <v>0</v>
      </c>
      <c r="W132" s="172"/>
      <c r="X132" s="172"/>
      <c r="Y132" s="172"/>
      <c r="Z132" s="172">
        <f>CHOOSE(QUOTIENT(MONTH($A132),3)+1,BaseLoad!$AM$9,BaseLoad!$AN$9,BaseLoad!$AL$9,BaseLoad!$AO$9,BaseLoad!$AM$9)</f>
        <v>0.95</v>
      </c>
      <c r="AA132" s="172">
        <f>CHOOSE(QUOTIENT(MONTH($A132),3)+1,BaseLoad!$AM$15,BaseLoad!$AN$15,BaseLoad!$AL$15,BaseLoad!$AO$15,BaseLoad!$AM$15)</f>
        <v>705</v>
      </c>
      <c r="AB132" s="471"/>
      <c r="AD132" s="471"/>
    </row>
    <row r="133" spans="1:30" x14ac:dyDescent="0.2">
      <c r="A133" s="1">
        <f t="shared" si="5"/>
        <v>40281.291000000158</v>
      </c>
      <c r="B133" s="172" t="str">
        <f>IF($A$1="Peak","-",IF(BaseLoad!H132&gt;BaseLoad!$G132,B$8*$Z133,0))</f>
        <v>-</v>
      </c>
      <c r="C133" s="172" t="str">
        <f>IF($A$1="Peak","-",IF(BaseLoad!I132&gt;BaseLoad!$G132,C$8*$Z133,0))</f>
        <v>-</v>
      </c>
      <c r="D133" s="172" t="str">
        <f>IF($A$1="Peak","-",IF(BaseLoad!J132&gt;BaseLoad!$G132,D$8*$Z133,0))</f>
        <v>-</v>
      </c>
      <c r="E133" s="172" t="str">
        <f>IF($A$1="Peak","-",IF(BaseLoad!K132&gt;BaseLoad!$G132,E$8*$Z133,0))</f>
        <v>-</v>
      </c>
      <c r="F133" s="172" t="str">
        <f>IF($A$1="Peak","-",IF(BaseLoad!L132&gt;BaseLoad!$G132,F$8*$Z133,0))</f>
        <v>-</v>
      </c>
      <c r="G133" s="172" t="str">
        <f>IF($A$1="Peak","-",IF(BaseLoad!M132&gt;BaseLoad!$G132,G$8*$Z133,0))</f>
        <v>-</v>
      </c>
      <c r="H133" s="172" t="str">
        <f>IF($A$1="Peak","-",IF(BaseLoad!N132&gt;BaseLoad!$G132,H$8*$Z133,0))</f>
        <v>-</v>
      </c>
      <c r="I133" s="172" t="str">
        <f>IF($A$1="Peak","-",IF(BaseLoad!O132&gt;BaseLoad!$G132,I$8*$Z133,0))</f>
        <v>-</v>
      </c>
      <c r="J133" s="172" t="str">
        <f>IF($A$1="Peak","-",IF(BaseLoad!P132&gt;BaseLoad!$G132,J$8*$Z133,0))</f>
        <v>-</v>
      </c>
      <c r="K133" s="172" t="str">
        <f>IF($A$1="Peak","-",IF(BaseLoad!Q132&gt;BaseLoad!$G132,K$8*$Z133,0))</f>
        <v>-</v>
      </c>
      <c r="L133" s="172" t="str">
        <f>IF($A$1="Peak","-",IF(BaseLoad!R132&gt;BaseLoad!$G132,L$8*$Z133,0))</f>
        <v>-</v>
      </c>
      <c r="M133" s="172" t="str">
        <f>IF($A$1="Peak","-",IF(BaseLoad!S132&gt;BaseLoad!$G132,M$8*$Z133,0))</f>
        <v>-</v>
      </c>
      <c r="N133" s="172" t="str">
        <f>IF($A$1="Peak","-",IF(BaseLoad!T132&gt;BaseLoad!$G132,N$8*$Z133,0))</f>
        <v>-</v>
      </c>
      <c r="O133" s="172" t="str">
        <f>IF($A$1="Peak","-",IF(BaseLoad!U132&gt;BaseLoad!$G132,O$8*$Z133,0))</f>
        <v>-</v>
      </c>
      <c r="P133" s="172" t="str">
        <f>IF($A$1="Peak","-",IF(BaseLoad!V132&gt;BaseLoad!$G132,P$8*$Z133,0))</f>
        <v>-</v>
      </c>
      <c r="Q133" s="172" t="str">
        <f>IF($A$1="Peak","-",IF(BaseLoad!W132&gt;BaseLoad!$G132,Q$8*$Z133,0))</f>
        <v>-</v>
      </c>
      <c r="R133" s="172" t="str">
        <f>IF($A$1="Peak","-",IF(BaseLoad!X132&gt;BaseLoad!$G132,R$8*$Z133,0))</f>
        <v>-</v>
      </c>
      <c r="S133" s="172" t="str">
        <f>IF($A$1="Peak","-",IF(BaseLoad!Y132&gt;BaseLoad!$G132,S$8*$Z133,0))</f>
        <v>-</v>
      </c>
      <c r="T133" s="172" t="str">
        <f>IF($A$1="Peak","-",IF(BaseLoad!Z132&gt;BaseLoad!$G132,T$8*$Z133,0))</f>
        <v>-</v>
      </c>
      <c r="U133" s="172" t="str">
        <f>IF($A$1="Peak","-",IF(BaseLoad!AA132&gt;BaseLoad!$G132,U$8*$Z133,0))</f>
        <v>-</v>
      </c>
      <c r="V133" s="172">
        <f t="shared" si="3"/>
        <v>0</v>
      </c>
      <c r="W133" s="172"/>
      <c r="X133" s="172"/>
      <c r="Y133" s="172"/>
      <c r="Z133" s="172">
        <f>CHOOSE(QUOTIENT(MONTH($A133),3)+1,BaseLoad!$AM$9,BaseLoad!$AN$9,BaseLoad!$AL$9,BaseLoad!$AO$9,BaseLoad!$AM$9)</f>
        <v>0.95</v>
      </c>
      <c r="AA133" s="172">
        <f>CHOOSE(QUOTIENT(MONTH($A133),3)+1,BaseLoad!$AM$15,BaseLoad!$AN$15,BaseLoad!$AL$15,BaseLoad!$AO$15,BaseLoad!$AM$15)</f>
        <v>705</v>
      </c>
      <c r="AB133" s="471"/>
      <c r="AD133" s="471"/>
    </row>
    <row r="134" spans="1:30" x14ac:dyDescent="0.2">
      <c r="A134" s="1">
        <f t="shared" si="5"/>
        <v>40311.708000000159</v>
      </c>
      <c r="B134" s="172" t="str">
        <f>IF($A$1="Peak","-",IF(BaseLoad!H133&gt;BaseLoad!$G133,B$8*$Z134,0))</f>
        <v>-</v>
      </c>
      <c r="C134" s="172" t="str">
        <f>IF($A$1="Peak","-",IF(BaseLoad!I133&gt;BaseLoad!$G133,C$8*$Z134,0))</f>
        <v>-</v>
      </c>
      <c r="D134" s="172" t="str">
        <f>IF($A$1="Peak","-",IF(BaseLoad!J133&gt;BaseLoad!$G133,D$8*$Z134,0))</f>
        <v>-</v>
      </c>
      <c r="E134" s="172" t="str">
        <f>IF($A$1="Peak","-",IF(BaseLoad!K133&gt;BaseLoad!$G133,E$8*$Z134,0))</f>
        <v>-</v>
      </c>
      <c r="F134" s="172" t="str">
        <f>IF($A$1="Peak","-",IF(BaseLoad!L133&gt;BaseLoad!$G133,F$8*$Z134,0))</f>
        <v>-</v>
      </c>
      <c r="G134" s="172" t="str">
        <f>IF($A$1="Peak","-",IF(BaseLoad!M133&gt;BaseLoad!$G133,G$8*$Z134,0))</f>
        <v>-</v>
      </c>
      <c r="H134" s="172" t="str">
        <f>IF($A$1="Peak","-",IF(BaseLoad!N133&gt;BaseLoad!$G133,H$8*$Z134,0))</f>
        <v>-</v>
      </c>
      <c r="I134" s="172" t="str">
        <f>IF($A$1="Peak","-",IF(BaseLoad!O133&gt;BaseLoad!$G133,I$8*$Z134,0))</f>
        <v>-</v>
      </c>
      <c r="J134" s="172" t="str">
        <f>IF($A$1="Peak","-",IF(BaseLoad!P133&gt;BaseLoad!$G133,J$8*$Z134,0))</f>
        <v>-</v>
      </c>
      <c r="K134" s="172" t="str">
        <f>IF($A$1="Peak","-",IF(BaseLoad!Q133&gt;BaseLoad!$G133,K$8*$Z134,0))</f>
        <v>-</v>
      </c>
      <c r="L134" s="172" t="str">
        <f>IF($A$1="Peak","-",IF(BaseLoad!R133&gt;BaseLoad!$G133,L$8*$Z134,0))</f>
        <v>-</v>
      </c>
      <c r="M134" s="172" t="str">
        <f>IF($A$1="Peak","-",IF(BaseLoad!S133&gt;BaseLoad!$G133,M$8*$Z134,0))</f>
        <v>-</v>
      </c>
      <c r="N134" s="172" t="str">
        <f>IF($A$1="Peak","-",IF(BaseLoad!T133&gt;BaseLoad!$G133,N$8*$Z134,0))</f>
        <v>-</v>
      </c>
      <c r="O134" s="172" t="str">
        <f>IF($A$1="Peak","-",IF(BaseLoad!U133&gt;BaseLoad!$G133,O$8*$Z134,0))</f>
        <v>-</v>
      </c>
      <c r="P134" s="172" t="str">
        <f>IF($A$1="Peak","-",IF(BaseLoad!V133&gt;BaseLoad!$G133,P$8*$Z134,0))</f>
        <v>-</v>
      </c>
      <c r="Q134" s="172" t="str">
        <f>IF($A$1="Peak","-",IF(BaseLoad!W133&gt;BaseLoad!$G133,Q$8*$Z134,0))</f>
        <v>-</v>
      </c>
      <c r="R134" s="172" t="str">
        <f>IF($A$1="Peak","-",IF(BaseLoad!X133&gt;BaseLoad!$G133,R$8*$Z134,0))</f>
        <v>-</v>
      </c>
      <c r="S134" s="172" t="str">
        <f>IF($A$1="Peak","-",IF(BaseLoad!Y133&gt;BaseLoad!$G133,S$8*$Z134,0))</f>
        <v>-</v>
      </c>
      <c r="T134" s="172" t="str">
        <f>IF($A$1="Peak","-",IF(BaseLoad!Z133&gt;BaseLoad!$G133,T$8*$Z134,0))</f>
        <v>-</v>
      </c>
      <c r="U134" s="172" t="str">
        <f>IF($A$1="Peak","-",IF(BaseLoad!AA133&gt;BaseLoad!$G133,U$8*$Z134,0))</f>
        <v>-</v>
      </c>
      <c r="V134" s="172">
        <f t="shared" si="3"/>
        <v>0</v>
      </c>
      <c r="W134" s="172"/>
      <c r="X134" s="172"/>
      <c r="Y134" s="172"/>
      <c r="Z134" s="172">
        <f>CHOOSE(QUOTIENT(MONTH($A134),3)+1,BaseLoad!$AM$9,BaseLoad!$AN$9,BaseLoad!$AL$9,BaseLoad!$AO$9,BaseLoad!$AM$9)</f>
        <v>0.95</v>
      </c>
      <c r="AA134" s="172">
        <f>CHOOSE(QUOTIENT(MONTH($A134),3)+1,BaseLoad!$AM$15,BaseLoad!$AN$15,BaseLoad!$AL$15,BaseLoad!$AO$15,BaseLoad!$AM$15)</f>
        <v>705</v>
      </c>
      <c r="AB134" s="471"/>
      <c r="AD134" s="471"/>
    </row>
    <row r="135" spans="1:30" x14ac:dyDescent="0.2">
      <c r="A135" s="1">
        <f t="shared" si="5"/>
        <v>40342.12500000016</v>
      </c>
      <c r="B135" s="172" t="str">
        <f>IF($A$1="Peak","-",IF(BaseLoad!H134&gt;BaseLoad!$G134,B$8*$Z135,0))</f>
        <v>-</v>
      </c>
      <c r="C135" s="172" t="str">
        <f>IF($A$1="Peak","-",IF(BaseLoad!I134&gt;BaseLoad!$G134,C$8*$Z135,0))</f>
        <v>-</v>
      </c>
      <c r="D135" s="172" t="str">
        <f>IF($A$1="Peak","-",IF(BaseLoad!J134&gt;BaseLoad!$G134,D$8*$Z135,0))</f>
        <v>-</v>
      </c>
      <c r="E135" s="172" t="str">
        <f>IF($A$1="Peak","-",IF(BaseLoad!K134&gt;BaseLoad!$G134,E$8*$Z135,0))</f>
        <v>-</v>
      </c>
      <c r="F135" s="172" t="str">
        <f>IF($A$1="Peak","-",IF(BaseLoad!L134&gt;BaseLoad!$G134,F$8*$Z135,0))</f>
        <v>-</v>
      </c>
      <c r="G135" s="172" t="str">
        <f>IF($A$1="Peak","-",IF(BaseLoad!M134&gt;BaseLoad!$G134,G$8*$Z135,0))</f>
        <v>-</v>
      </c>
      <c r="H135" s="172" t="str">
        <f>IF($A$1="Peak","-",IF(BaseLoad!N134&gt;BaseLoad!$G134,H$8*$Z135,0))</f>
        <v>-</v>
      </c>
      <c r="I135" s="172" t="str">
        <f>IF($A$1="Peak","-",IF(BaseLoad!O134&gt;BaseLoad!$G134,I$8*$Z135,0))</f>
        <v>-</v>
      </c>
      <c r="J135" s="172" t="str">
        <f>IF($A$1="Peak","-",IF(BaseLoad!P134&gt;BaseLoad!$G134,J$8*$Z135,0))</f>
        <v>-</v>
      </c>
      <c r="K135" s="172" t="str">
        <f>IF($A$1="Peak","-",IF(BaseLoad!Q134&gt;BaseLoad!$G134,K$8*$Z135,0))</f>
        <v>-</v>
      </c>
      <c r="L135" s="172" t="str">
        <f>IF($A$1="Peak","-",IF(BaseLoad!R134&gt;BaseLoad!$G134,L$8*$Z135,0))</f>
        <v>-</v>
      </c>
      <c r="M135" s="172" t="str">
        <f>IF($A$1="Peak","-",IF(BaseLoad!S134&gt;BaseLoad!$G134,M$8*$Z135,0))</f>
        <v>-</v>
      </c>
      <c r="N135" s="172" t="str">
        <f>IF($A$1="Peak","-",IF(BaseLoad!T134&gt;BaseLoad!$G134,N$8*$Z135,0))</f>
        <v>-</v>
      </c>
      <c r="O135" s="172" t="str">
        <f>IF($A$1="Peak","-",IF(BaseLoad!U134&gt;BaseLoad!$G134,O$8*$Z135,0))</f>
        <v>-</v>
      </c>
      <c r="P135" s="172" t="str">
        <f>IF($A$1="Peak","-",IF(BaseLoad!V134&gt;BaseLoad!$G134,P$8*$Z135,0))</f>
        <v>-</v>
      </c>
      <c r="Q135" s="172" t="str">
        <f>IF($A$1="Peak","-",IF(BaseLoad!W134&gt;BaseLoad!$G134,Q$8*$Z135,0))</f>
        <v>-</v>
      </c>
      <c r="R135" s="172" t="str">
        <f>IF($A$1="Peak","-",IF(BaseLoad!X134&gt;BaseLoad!$G134,R$8*$Z135,0))</f>
        <v>-</v>
      </c>
      <c r="S135" s="172" t="str">
        <f>IF($A$1="Peak","-",IF(BaseLoad!Y134&gt;BaseLoad!$G134,S$8*$Z135,0))</f>
        <v>-</v>
      </c>
      <c r="T135" s="172" t="str">
        <f>IF($A$1="Peak","-",IF(BaseLoad!Z134&gt;BaseLoad!$G134,T$8*$Z135,0))</f>
        <v>-</v>
      </c>
      <c r="U135" s="172" t="str">
        <f>IF($A$1="Peak","-",IF(BaseLoad!AA134&gt;BaseLoad!$G134,U$8*$Z135,0))</f>
        <v>-</v>
      </c>
      <c r="V135" s="172">
        <f t="shared" si="3"/>
        <v>0</v>
      </c>
      <c r="W135" s="172"/>
      <c r="X135" s="172"/>
      <c r="Y135" s="172"/>
      <c r="Z135" s="172">
        <f>CHOOSE(QUOTIENT(MONTH($A135),3)+1,BaseLoad!$AM$9,BaseLoad!$AN$9,BaseLoad!$AL$9,BaseLoad!$AO$9,BaseLoad!$AM$9)</f>
        <v>0.96612135909558572</v>
      </c>
      <c r="AA135" s="172">
        <f>CHOOSE(QUOTIENT(MONTH($A135),3)+1,BaseLoad!$AM$15,BaseLoad!$AN$15,BaseLoad!$AL$15,BaseLoad!$AO$15,BaseLoad!$AM$15)</f>
        <v>705</v>
      </c>
      <c r="AB135" s="471"/>
      <c r="AD135" s="471"/>
    </row>
    <row r="136" spans="1:30" x14ac:dyDescent="0.2">
      <c r="A136" s="1">
        <f t="shared" si="5"/>
        <v>40372.542000000161</v>
      </c>
      <c r="B136" s="172" t="str">
        <f>IF($A$1="Peak","-",IF(BaseLoad!H135&gt;BaseLoad!$G135,B$8*$Z136,0))</f>
        <v>-</v>
      </c>
      <c r="C136" s="172" t="str">
        <f>IF($A$1="Peak","-",IF(BaseLoad!I135&gt;BaseLoad!$G135,C$8*$Z136,0))</f>
        <v>-</v>
      </c>
      <c r="D136" s="172" t="str">
        <f>IF($A$1="Peak","-",IF(BaseLoad!J135&gt;BaseLoad!$G135,D$8*$Z136,0))</f>
        <v>-</v>
      </c>
      <c r="E136" s="172" t="str">
        <f>IF($A$1="Peak","-",IF(BaseLoad!K135&gt;BaseLoad!$G135,E$8*$Z136,0))</f>
        <v>-</v>
      </c>
      <c r="F136" s="172" t="str">
        <f>IF($A$1="Peak","-",IF(BaseLoad!L135&gt;BaseLoad!$G135,F$8*$Z136,0))</f>
        <v>-</v>
      </c>
      <c r="G136" s="172" t="str">
        <f>IF($A$1="Peak","-",IF(BaseLoad!M135&gt;BaseLoad!$G135,G$8*$Z136,0))</f>
        <v>-</v>
      </c>
      <c r="H136" s="172" t="str">
        <f>IF($A$1="Peak","-",IF(BaseLoad!N135&gt;BaseLoad!$G135,H$8*$Z136,0))</f>
        <v>-</v>
      </c>
      <c r="I136" s="172" t="str">
        <f>IF($A$1="Peak","-",IF(BaseLoad!O135&gt;BaseLoad!$G135,I$8*$Z136,0))</f>
        <v>-</v>
      </c>
      <c r="J136" s="172" t="str">
        <f>IF($A$1="Peak","-",IF(BaseLoad!P135&gt;BaseLoad!$G135,J$8*$Z136,0))</f>
        <v>-</v>
      </c>
      <c r="K136" s="172" t="str">
        <f>IF($A$1="Peak","-",IF(BaseLoad!Q135&gt;BaseLoad!$G135,K$8*$Z136,0))</f>
        <v>-</v>
      </c>
      <c r="L136" s="172" t="str">
        <f>IF($A$1="Peak","-",IF(BaseLoad!R135&gt;BaseLoad!$G135,L$8*$Z136,0))</f>
        <v>-</v>
      </c>
      <c r="M136" s="172" t="str">
        <f>IF($A$1="Peak","-",IF(BaseLoad!S135&gt;BaseLoad!$G135,M$8*$Z136,0))</f>
        <v>-</v>
      </c>
      <c r="N136" s="172" t="str">
        <f>IF($A$1="Peak","-",IF(BaseLoad!T135&gt;BaseLoad!$G135,N$8*$Z136,0))</f>
        <v>-</v>
      </c>
      <c r="O136" s="172" t="str">
        <f>IF($A$1="Peak","-",IF(BaseLoad!U135&gt;BaseLoad!$G135,O$8*$Z136,0))</f>
        <v>-</v>
      </c>
      <c r="P136" s="172" t="str">
        <f>IF($A$1="Peak","-",IF(BaseLoad!V135&gt;BaseLoad!$G135,P$8*$Z136,0))</f>
        <v>-</v>
      </c>
      <c r="Q136" s="172" t="str">
        <f>IF($A$1="Peak","-",IF(BaseLoad!W135&gt;BaseLoad!$G135,Q$8*$Z136,0))</f>
        <v>-</v>
      </c>
      <c r="R136" s="172" t="str">
        <f>IF($A$1="Peak","-",IF(BaseLoad!X135&gt;BaseLoad!$G135,R$8*$Z136,0))</f>
        <v>-</v>
      </c>
      <c r="S136" s="172" t="str">
        <f>IF($A$1="Peak","-",IF(BaseLoad!Y135&gt;BaseLoad!$G135,S$8*$Z136,0))</f>
        <v>-</v>
      </c>
      <c r="T136" s="172" t="str">
        <f>IF($A$1="Peak","-",IF(BaseLoad!Z135&gt;BaseLoad!$G135,T$8*$Z136,0))</f>
        <v>-</v>
      </c>
      <c r="U136" s="172" t="str">
        <f>IF($A$1="Peak","-",IF(BaseLoad!AA135&gt;BaseLoad!$G135,U$8*$Z136,0))</f>
        <v>-</v>
      </c>
      <c r="V136" s="172">
        <f t="shared" si="3"/>
        <v>0</v>
      </c>
      <c r="W136" s="172"/>
      <c r="X136" s="172"/>
      <c r="Y136" s="172"/>
      <c r="Z136" s="172">
        <f>CHOOSE(QUOTIENT(MONTH($A136),3)+1,BaseLoad!$AM$9,BaseLoad!$AN$9,BaseLoad!$AL$9,BaseLoad!$AO$9,BaseLoad!$AM$9)</f>
        <v>0.96612135909558572</v>
      </c>
      <c r="AA136" s="172">
        <f>CHOOSE(QUOTIENT(MONTH($A136),3)+1,BaseLoad!$AM$15,BaseLoad!$AN$15,BaseLoad!$AL$15,BaseLoad!$AO$15,BaseLoad!$AM$15)</f>
        <v>705</v>
      </c>
      <c r="AB136" s="471"/>
      <c r="AD136" s="471"/>
    </row>
    <row r="137" spans="1:30" x14ac:dyDescent="0.2">
      <c r="A137" s="1">
        <f t="shared" si="5"/>
        <v>40402.959000000163</v>
      </c>
      <c r="B137" s="172" t="str">
        <f>IF($A$1="Peak","-",IF(BaseLoad!H136&gt;BaseLoad!$G136,B$8*$Z137,0))</f>
        <v>-</v>
      </c>
      <c r="C137" s="172" t="str">
        <f>IF($A$1="Peak","-",IF(BaseLoad!I136&gt;BaseLoad!$G136,C$8*$Z137,0))</f>
        <v>-</v>
      </c>
      <c r="D137" s="172" t="str">
        <f>IF($A$1="Peak","-",IF(BaseLoad!J136&gt;BaseLoad!$G136,D$8*$Z137,0))</f>
        <v>-</v>
      </c>
      <c r="E137" s="172" t="str">
        <f>IF($A$1="Peak","-",IF(BaseLoad!K136&gt;BaseLoad!$G136,E$8*$Z137,0))</f>
        <v>-</v>
      </c>
      <c r="F137" s="172" t="str">
        <f>IF($A$1="Peak","-",IF(BaseLoad!L136&gt;BaseLoad!$G136,F$8*$Z137,0))</f>
        <v>-</v>
      </c>
      <c r="G137" s="172" t="str">
        <f>IF($A$1="Peak","-",IF(BaseLoad!M136&gt;BaseLoad!$G136,G$8*$Z137,0))</f>
        <v>-</v>
      </c>
      <c r="H137" s="172" t="str">
        <f>IF($A$1="Peak","-",IF(BaseLoad!N136&gt;BaseLoad!$G136,H$8*$Z137,0))</f>
        <v>-</v>
      </c>
      <c r="I137" s="172" t="str">
        <f>IF($A$1="Peak","-",IF(BaseLoad!O136&gt;BaseLoad!$G136,I$8*$Z137,0))</f>
        <v>-</v>
      </c>
      <c r="J137" s="172" t="str">
        <f>IF($A$1="Peak","-",IF(BaseLoad!P136&gt;BaseLoad!$G136,J$8*$Z137,0))</f>
        <v>-</v>
      </c>
      <c r="K137" s="172" t="str">
        <f>IF($A$1="Peak","-",IF(BaseLoad!Q136&gt;BaseLoad!$G136,K$8*$Z137,0))</f>
        <v>-</v>
      </c>
      <c r="L137" s="172" t="str">
        <f>IF($A$1="Peak","-",IF(BaseLoad!R136&gt;BaseLoad!$G136,L$8*$Z137,0))</f>
        <v>-</v>
      </c>
      <c r="M137" s="172" t="str">
        <f>IF($A$1="Peak","-",IF(BaseLoad!S136&gt;BaseLoad!$G136,M$8*$Z137,0))</f>
        <v>-</v>
      </c>
      <c r="N137" s="172" t="str">
        <f>IF($A$1="Peak","-",IF(BaseLoad!T136&gt;BaseLoad!$G136,N$8*$Z137,0))</f>
        <v>-</v>
      </c>
      <c r="O137" s="172" t="str">
        <f>IF($A$1="Peak","-",IF(BaseLoad!U136&gt;BaseLoad!$G136,O$8*$Z137,0))</f>
        <v>-</v>
      </c>
      <c r="P137" s="172" t="str">
        <f>IF($A$1="Peak","-",IF(BaseLoad!V136&gt;BaseLoad!$G136,P$8*$Z137,0))</f>
        <v>-</v>
      </c>
      <c r="Q137" s="172" t="str">
        <f>IF($A$1="Peak","-",IF(BaseLoad!W136&gt;BaseLoad!$G136,Q$8*$Z137,0))</f>
        <v>-</v>
      </c>
      <c r="R137" s="172" t="str">
        <f>IF($A$1="Peak","-",IF(BaseLoad!X136&gt;BaseLoad!$G136,R$8*$Z137,0))</f>
        <v>-</v>
      </c>
      <c r="S137" s="172" t="str">
        <f>IF($A$1="Peak","-",IF(BaseLoad!Y136&gt;BaseLoad!$G136,S$8*$Z137,0))</f>
        <v>-</v>
      </c>
      <c r="T137" s="172" t="str">
        <f>IF($A$1="Peak","-",IF(BaseLoad!Z136&gt;BaseLoad!$G136,T$8*$Z137,0))</f>
        <v>-</v>
      </c>
      <c r="U137" s="172" t="str">
        <f>IF($A$1="Peak","-",IF(BaseLoad!AA136&gt;BaseLoad!$G136,U$8*$Z137,0))</f>
        <v>-</v>
      </c>
      <c r="V137" s="172">
        <f t="shared" si="3"/>
        <v>0</v>
      </c>
      <c r="W137" s="172"/>
      <c r="X137" s="172"/>
      <c r="Y137" s="172"/>
      <c r="Z137" s="172">
        <f>CHOOSE(QUOTIENT(MONTH($A137),3)+1,BaseLoad!$AM$9,BaseLoad!$AN$9,BaseLoad!$AL$9,BaseLoad!$AO$9,BaseLoad!$AM$9)</f>
        <v>0.96612135909558572</v>
      </c>
      <c r="AA137" s="172">
        <f>CHOOSE(QUOTIENT(MONTH($A137),3)+1,BaseLoad!$AM$15,BaseLoad!$AN$15,BaseLoad!$AL$15,BaseLoad!$AO$15,BaseLoad!$AM$15)</f>
        <v>705</v>
      </c>
      <c r="AB137" s="471"/>
      <c r="AD137" s="471"/>
    </row>
    <row r="138" spans="1:30" x14ac:dyDescent="0.2">
      <c r="A138" s="1">
        <f t="shared" si="5"/>
        <v>40433.376000000164</v>
      </c>
      <c r="B138" s="172" t="str">
        <f>IF($A$1="Peak","-",IF(BaseLoad!H137&gt;BaseLoad!$G137,B$8*$Z138,0))</f>
        <v>-</v>
      </c>
      <c r="C138" s="172" t="str">
        <f>IF($A$1="Peak","-",IF(BaseLoad!I137&gt;BaseLoad!$G137,C$8*$Z138,0))</f>
        <v>-</v>
      </c>
      <c r="D138" s="172" t="str">
        <f>IF($A$1="Peak","-",IF(BaseLoad!J137&gt;BaseLoad!$G137,D$8*$Z138,0))</f>
        <v>-</v>
      </c>
      <c r="E138" s="172" t="str">
        <f>IF($A$1="Peak","-",IF(BaseLoad!K137&gt;BaseLoad!$G137,E$8*$Z138,0))</f>
        <v>-</v>
      </c>
      <c r="F138" s="172" t="str">
        <f>IF($A$1="Peak","-",IF(BaseLoad!L137&gt;BaseLoad!$G137,F$8*$Z138,0))</f>
        <v>-</v>
      </c>
      <c r="G138" s="172" t="str">
        <f>IF($A$1="Peak","-",IF(BaseLoad!M137&gt;BaseLoad!$G137,G$8*$Z138,0))</f>
        <v>-</v>
      </c>
      <c r="H138" s="172" t="str">
        <f>IF($A$1="Peak","-",IF(BaseLoad!N137&gt;BaseLoad!$G137,H$8*$Z138,0))</f>
        <v>-</v>
      </c>
      <c r="I138" s="172" t="str">
        <f>IF($A$1="Peak","-",IF(BaseLoad!O137&gt;BaseLoad!$G137,I$8*$Z138,0))</f>
        <v>-</v>
      </c>
      <c r="J138" s="172" t="str">
        <f>IF($A$1="Peak","-",IF(BaseLoad!P137&gt;BaseLoad!$G137,J$8*$Z138,0))</f>
        <v>-</v>
      </c>
      <c r="K138" s="172" t="str">
        <f>IF($A$1="Peak","-",IF(BaseLoad!Q137&gt;BaseLoad!$G137,K$8*$Z138,0))</f>
        <v>-</v>
      </c>
      <c r="L138" s="172" t="str">
        <f>IF($A$1="Peak","-",IF(BaseLoad!R137&gt;BaseLoad!$G137,L$8*$Z138,0))</f>
        <v>-</v>
      </c>
      <c r="M138" s="172" t="str">
        <f>IF($A$1="Peak","-",IF(BaseLoad!S137&gt;BaseLoad!$G137,M$8*$Z138,0))</f>
        <v>-</v>
      </c>
      <c r="N138" s="172" t="str">
        <f>IF($A$1="Peak","-",IF(BaseLoad!T137&gt;BaseLoad!$G137,N$8*$Z138,0))</f>
        <v>-</v>
      </c>
      <c r="O138" s="172" t="str">
        <f>IF($A$1="Peak","-",IF(BaseLoad!U137&gt;BaseLoad!$G137,O$8*$Z138,0))</f>
        <v>-</v>
      </c>
      <c r="P138" s="172" t="str">
        <f>IF($A$1="Peak","-",IF(BaseLoad!V137&gt;BaseLoad!$G137,P$8*$Z138,0))</f>
        <v>-</v>
      </c>
      <c r="Q138" s="172" t="str">
        <f>IF($A$1="Peak","-",IF(BaseLoad!W137&gt;BaseLoad!$G137,Q$8*$Z138,0))</f>
        <v>-</v>
      </c>
      <c r="R138" s="172" t="str">
        <f>IF($A$1="Peak","-",IF(BaseLoad!X137&gt;BaseLoad!$G137,R$8*$Z138,0))</f>
        <v>-</v>
      </c>
      <c r="S138" s="172" t="str">
        <f>IF($A$1="Peak","-",IF(BaseLoad!Y137&gt;BaseLoad!$G137,S$8*$Z138,0))</f>
        <v>-</v>
      </c>
      <c r="T138" s="172" t="str">
        <f>IF($A$1="Peak","-",IF(BaseLoad!Z137&gt;BaseLoad!$G137,T$8*$Z138,0))</f>
        <v>-</v>
      </c>
      <c r="U138" s="172" t="str">
        <f>IF($A$1="Peak","-",IF(BaseLoad!AA137&gt;BaseLoad!$G137,U$8*$Z138,0))</f>
        <v>-</v>
      </c>
      <c r="V138" s="172">
        <f t="shared" si="3"/>
        <v>0</v>
      </c>
      <c r="W138" s="172"/>
      <c r="X138" s="172"/>
      <c r="Y138" s="172"/>
      <c r="Z138" s="172">
        <f>CHOOSE(QUOTIENT(MONTH($A138),3)+1,BaseLoad!$AM$9,BaseLoad!$AN$9,BaseLoad!$AL$9,BaseLoad!$AO$9,BaseLoad!$AM$9)</f>
        <v>0.95</v>
      </c>
      <c r="AA138" s="172">
        <f>CHOOSE(QUOTIENT(MONTH($A138),3)+1,BaseLoad!$AM$15,BaseLoad!$AN$15,BaseLoad!$AL$15,BaseLoad!$AO$15,BaseLoad!$AM$15)</f>
        <v>705</v>
      </c>
      <c r="AB138" s="471"/>
      <c r="AD138" s="471"/>
    </row>
    <row r="139" spans="1:30" x14ac:dyDescent="0.2">
      <c r="A139" s="1">
        <f t="shared" si="5"/>
        <v>40463.793000000165</v>
      </c>
      <c r="B139" s="172" t="str">
        <f>IF($A$1="Peak","-",IF(BaseLoad!H138&gt;BaseLoad!$G138,B$8*$Z139,0))</f>
        <v>-</v>
      </c>
      <c r="C139" s="172" t="str">
        <f>IF($A$1="Peak","-",IF(BaseLoad!I138&gt;BaseLoad!$G138,C$8*$Z139,0))</f>
        <v>-</v>
      </c>
      <c r="D139" s="172" t="str">
        <f>IF($A$1="Peak","-",IF(BaseLoad!J138&gt;BaseLoad!$G138,D$8*$Z139,0))</f>
        <v>-</v>
      </c>
      <c r="E139" s="172" t="str">
        <f>IF($A$1="Peak","-",IF(BaseLoad!K138&gt;BaseLoad!$G138,E$8*$Z139,0))</f>
        <v>-</v>
      </c>
      <c r="F139" s="172" t="str">
        <f>IF($A$1="Peak","-",IF(BaseLoad!L138&gt;BaseLoad!$G138,F$8*$Z139,0))</f>
        <v>-</v>
      </c>
      <c r="G139" s="172" t="str">
        <f>IF($A$1="Peak","-",IF(BaseLoad!M138&gt;BaseLoad!$G138,G$8*$Z139,0))</f>
        <v>-</v>
      </c>
      <c r="H139" s="172" t="str">
        <f>IF($A$1="Peak","-",IF(BaseLoad!N138&gt;BaseLoad!$G138,H$8*$Z139,0))</f>
        <v>-</v>
      </c>
      <c r="I139" s="172" t="str">
        <f>IF($A$1="Peak","-",IF(BaseLoad!O138&gt;BaseLoad!$G138,I$8*$Z139,0))</f>
        <v>-</v>
      </c>
      <c r="J139" s="172" t="str">
        <f>IF($A$1="Peak","-",IF(BaseLoad!P138&gt;BaseLoad!$G138,J$8*$Z139,0))</f>
        <v>-</v>
      </c>
      <c r="K139" s="172" t="str">
        <f>IF($A$1="Peak","-",IF(BaseLoad!Q138&gt;BaseLoad!$G138,K$8*$Z139,0))</f>
        <v>-</v>
      </c>
      <c r="L139" s="172" t="str">
        <f>IF($A$1="Peak","-",IF(BaseLoad!R138&gt;BaseLoad!$G138,L$8*$Z139,0))</f>
        <v>-</v>
      </c>
      <c r="M139" s="172" t="str">
        <f>IF($A$1="Peak","-",IF(BaseLoad!S138&gt;BaseLoad!$G138,M$8*$Z139,0))</f>
        <v>-</v>
      </c>
      <c r="N139" s="172" t="str">
        <f>IF($A$1="Peak","-",IF(BaseLoad!T138&gt;BaseLoad!$G138,N$8*$Z139,0))</f>
        <v>-</v>
      </c>
      <c r="O139" s="172" t="str">
        <f>IF($A$1="Peak","-",IF(BaseLoad!U138&gt;BaseLoad!$G138,O$8*$Z139,0))</f>
        <v>-</v>
      </c>
      <c r="P139" s="172" t="str">
        <f>IF($A$1="Peak","-",IF(BaseLoad!V138&gt;BaseLoad!$G138,P$8*$Z139,0))</f>
        <v>-</v>
      </c>
      <c r="Q139" s="172" t="str">
        <f>IF($A$1="Peak","-",IF(BaseLoad!W138&gt;BaseLoad!$G138,Q$8*$Z139,0))</f>
        <v>-</v>
      </c>
      <c r="R139" s="172" t="str">
        <f>IF($A$1="Peak","-",IF(BaseLoad!X138&gt;BaseLoad!$G138,R$8*$Z139,0))</f>
        <v>-</v>
      </c>
      <c r="S139" s="172" t="str">
        <f>IF($A$1="Peak","-",IF(BaseLoad!Y138&gt;BaseLoad!$G138,S$8*$Z139,0))</f>
        <v>-</v>
      </c>
      <c r="T139" s="172" t="str">
        <f>IF($A$1="Peak","-",IF(BaseLoad!Z138&gt;BaseLoad!$G138,T$8*$Z139,0))</f>
        <v>-</v>
      </c>
      <c r="U139" s="172" t="str">
        <f>IF($A$1="Peak","-",IF(BaseLoad!AA138&gt;BaseLoad!$G138,U$8*$Z139,0))</f>
        <v>-</v>
      </c>
      <c r="V139" s="172">
        <f t="shared" ref="V139:V202" si="6">SUM(B139:U139)</f>
        <v>0</v>
      </c>
      <c r="W139" s="172"/>
      <c r="X139" s="172"/>
      <c r="Y139" s="172"/>
      <c r="Z139" s="172">
        <f>CHOOSE(QUOTIENT(MONTH($A139),3)+1,BaseLoad!$AM$9,BaseLoad!$AN$9,BaseLoad!$AL$9,BaseLoad!$AO$9,BaseLoad!$AM$9)</f>
        <v>0.95</v>
      </c>
      <c r="AA139" s="172">
        <f>CHOOSE(QUOTIENT(MONTH($A139),3)+1,BaseLoad!$AM$15,BaseLoad!$AN$15,BaseLoad!$AL$15,BaseLoad!$AO$15,BaseLoad!$AM$15)</f>
        <v>705</v>
      </c>
      <c r="AB139" s="471"/>
      <c r="AD139" s="471"/>
    </row>
    <row r="140" spans="1:30" x14ac:dyDescent="0.2">
      <c r="A140" s="1">
        <f t="shared" ref="A140:A203" si="7">A139+30.417</f>
        <v>40494.210000000166</v>
      </c>
      <c r="B140" s="172" t="str">
        <f>IF($A$1="Peak","-",IF(BaseLoad!H139&gt;BaseLoad!$G139,B$8*$Z140,0))</f>
        <v>-</v>
      </c>
      <c r="C140" s="172" t="str">
        <f>IF($A$1="Peak","-",IF(BaseLoad!I139&gt;BaseLoad!$G139,C$8*$Z140,0))</f>
        <v>-</v>
      </c>
      <c r="D140" s="172" t="str">
        <f>IF($A$1="Peak","-",IF(BaseLoad!J139&gt;BaseLoad!$G139,D$8*$Z140,0))</f>
        <v>-</v>
      </c>
      <c r="E140" s="172" t="str">
        <f>IF($A$1="Peak","-",IF(BaseLoad!K139&gt;BaseLoad!$G139,E$8*$Z140,0))</f>
        <v>-</v>
      </c>
      <c r="F140" s="172" t="str">
        <f>IF($A$1="Peak","-",IF(BaseLoad!L139&gt;BaseLoad!$G139,F$8*$Z140,0))</f>
        <v>-</v>
      </c>
      <c r="G140" s="172" t="str">
        <f>IF($A$1="Peak","-",IF(BaseLoad!M139&gt;BaseLoad!$G139,G$8*$Z140,0))</f>
        <v>-</v>
      </c>
      <c r="H140" s="172" t="str">
        <f>IF($A$1="Peak","-",IF(BaseLoad!N139&gt;BaseLoad!$G139,H$8*$Z140,0))</f>
        <v>-</v>
      </c>
      <c r="I140" s="172" t="str">
        <f>IF($A$1="Peak","-",IF(BaseLoad!O139&gt;BaseLoad!$G139,I$8*$Z140,0))</f>
        <v>-</v>
      </c>
      <c r="J140" s="172" t="str">
        <f>IF($A$1="Peak","-",IF(BaseLoad!P139&gt;BaseLoad!$G139,J$8*$Z140,0))</f>
        <v>-</v>
      </c>
      <c r="K140" s="172" t="str">
        <f>IF($A$1="Peak","-",IF(BaseLoad!Q139&gt;BaseLoad!$G139,K$8*$Z140,0))</f>
        <v>-</v>
      </c>
      <c r="L140" s="172" t="str">
        <f>IF($A$1="Peak","-",IF(BaseLoad!R139&gt;BaseLoad!$G139,L$8*$Z140,0))</f>
        <v>-</v>
      </c>
      <c r="M140" s="172" t="str">
        <f>IF($A$1="Peak","-",IF(BaseLoad!S139&gt;BaseLoad!$G139,M$8*$Z140,0))</f>
        <v>-</v>
      </c>
      <c r="N140" s="172" t="str">
        <f>IF($A$1="Peak","-",IF(BaseLoad!T139&gt;BaseLoad!$G139,N$8*$Z140,0))</f>
        <v>-</v>
      </c>
      <c r="O140" s="172" t="str">
        <f>IF($A$1="Peak","-",IF(BaseLoad!U139&gt;BaseLoad!$G139,O$8*$Z140,0))</f>
        <v>-</v>
      </c>
      <c r="P140" s="172" t="str">
        <f>IF($A$1="Peak","-",IF(BaseLoad!V139&gt;BaseLoad!$G139,P$8*$Z140,0))</f>
        <v>-</v>
      </c>
      <c r="Q140" s="172" t="str">
        <f>IF($A$1="Peak","-",IF(BaseLoad!W139&gt;BaseLoad!$G139,Q$8*$Z140,0))</f>
        <v>-</v>
      </c>
      <c r="R140" s="172" t="str">
        <f>IF($A$1="Peak","-",IF(BaseLoad!X139&gt;BaseLoad!$G139,R$8*$Z140,0))</f>
        <v>-</v>
      </c>
      <c r="S140" s="172" t="str">
        <f>IF($A$1="Peak","-",IF(BaseLoad!Y139&gt;BaseLoad!$G139,S$8*$Z140,0))</f>
        <v>-</v>
      </c>
      <c r="T140" s="172" t="str">
        <f>IF($A$1="Peak","-",IF(BaseLoad!Z139&gt;BaseLoad!$G139,T$8*$Z140,0))</f>
        <v>-</v>
      </c>
      <c r="U140" s="172" t="str">
        <f>IF($A$1="Peak","-",IF(BaseLoad!AA139&gt;BaseLoad!$G139,U$8*$Z140,0))</f>
        <v>-</v>
      </c>
      <c r="V140" s="172">
        <f t="shared" si="6"/>
        <v>0</v>
      </c>
      <c r="W140" s="172"/>
      <c r="X140" s="172"/>
      <c r="Y140" s="172"/>
      <c r="Z140" s="172">
        <f>CHOOSE(QUOTIENT(MONTH($A140),3)+1,BaseLoad!$AM$9,BaseLoad!$AN$9,BaseLoad!$AL$9,BaseLoad!$AO$9,BaseLoad!$AM$9)</f>
        <v>0.95</v>
      </c>
      <c r="AA140" s="172">
        <f>CHOOSE(QUOTIENT(MONTH($A140),3)+1,BaseLoad!$AM$15,BaseLoad!$AN$15,BaseLoad!$AL$15,BaseLoad!$AO$15,BaseLoad!$AM$15)</f>
        <v>705</v>
      </c>
      <c r="AB140" s="471"/>
      <c r="AD140" s="471"/>
    </row>
    <row r="141" spans="1:30" x14ac:dyDescent="0.2">
      <c r="A141" s="1">
        <f t="shared" si="7"/>
        <v>40524.627000000168</v>
      </c>
      <c r="B141" s="172" t="str">
        <f>IF($A$1="Peak","-",IF(BaseLoad!H140&gt;BaseLoad!$G140,B$8*$Z141,0))</f>
        <v>-</v>
      </c>
      <c r="C141" s="172" t="str">
        <f>IF($A$1="Peak","-",IF(BaseLoad!I140&gt;BaseLoad!$G140,C$8*$Z141,0))</f>
        <v>-</v>
      </c>
      <c r="D141" s="172" t="str">
        <f>IF($A$1="Peak","-",IF(BaseLoad!J140&gt;BaseLoad!$G140,D$8*$Z141,0))</f>
        <v>-</v>
      </c>
      <c r="E141" s="172" t="str">
        <f>IF($A$1="Peak","-",IF(BaseLoad!K140&gt;BaseLoad!$G140,E$8*$Z141,0))</f>
        <v>-</v>
      </c>
      <c r="F141" s="172" t="str">
        <f>IF($A$1="Peak","-",IF(BaseLoad!L140&gt;BaseLoad!$G140,F$8*$Z141,0))</f>
        <v>-</v>
      </c>
      <c r="G141" s="172" t="str">
        <f>IF($A$1="Peak","-",IF(BaseLoad!M140&gt;BaseLoad!$G140,G$8*$Z141,0))</f>
        <v>-</v>
      </c>
      <c r="H141" s="172" t="str">
        <f>IF($A$1="Peak","-",IF(BaseLoad!N140&gt;BaseLoad!$G140,H$8*$Z141,0))</f>
        <v>-</v>
      </c>
      <c r="I141" s="172" t="str">
        <f>IF($A$1="Peak","-",IF(BaseLoad!O140&gt;BaseLoad!$G140,I$8*$Z141,0))</f>
        <v>-</v>
      </c>
      <c r="J141" s="172" t="str">
        <f>IF($A$1="Peak","-",IF(BaseLoad!P140&gt;BaseLoad!$G140,J$8*$Z141,0))</f>
        <v>-</v>
      </c>
      <c r="K141" s="172" t="str">
        <f>IF($A$1="Peak","-",IF(BaseLoad!Q140&gt;BaseLoad!$G140,K$8*$Z141,0))</f>
        <v>-</v>
      </c>
      <c r="L141" s="172" t="str">
        <f>IF($A$1="Peak","-",IF(BaseLoad!R140&gt;BaseLoad!$G140,L$8*$Z141,0))</f>
        <v>-</v>
      </c>
      <c r="M141" s="172" t="str">
        <f>IF($A$1="Peak","-",IF(BaseLoad!S140&gt;BaseLoad!$G140,M$8*$Z141,0))</f>
        <v>-</v>
      </c>
      <c r="N141" s="172" t="str">
        <f>IF($A$1="Peak","-",IF(BaseLoad!T140&gt;BaseLoad!$G140,N$8*$Z141,0))</f>
        <v>-</v>
      </c>
      <c r="O141" s="172" t="str">
        <f>IF($A$1="Peak","-",IF(BaseLoad!U140&gt;BaseLoad!$G140,O$8*$Z141,0))</f>
        <v>-</v>
      </c>
      <c r="P141" s="172" t="str">
        <f>IF($A$1="Peak","-",IF(BaseLoad!V140&gt;BaseLoad!$G140,P$8*$Z141,0))</f>
        <v>-</v>
      </c>
      <c r="Q141" s="172" t="str">
        <f>IF($A$1="Peak","-",IF(BaseLoad!W140&gt;BaseLoad!$G140,Q$8*$Z141,0))</f>
        <v>-</v>
      </c>
      <c r="R141" s="172" t="str">
        <f>IF($A$1="Peak","-",IF(BaseLoad!X140&gt;BaseLoad!$G140,R$8*$Z141,0))</f>
        <v>-</v>
      </c>
      <c r="S141" s="172" t="str">
        <f>IF($A$1="Peak","-",IF(BaseLoad!Y140&gt;BaseLoad!$G140,S$8*$Z141,0))</f>
        <v>-</v>
      </c>
      <c r="T141" s="172" t="str">
        <f>IF($A$1="Peak","-",IF(BaseLoad!Z140&gt;BaseLoad!$G140,T$8*$Z141,0))</f>
        <v>-</v>
      </c>
      <c r="U141" s="172" t="str">
        <f>IF($A$1="Peak","-",IF(BaseLoad!AA140&gt;BaseLoad!$G140,U$8*$Z141,0))</f>
        <v>-</v>
      </c>
      <c r="V141" s="172">
        <f t="shared" si="6"/>
        <v>0</v>
      </c>
      <c r="W141" s="172"/>
      <c r="X141" s="172"/>
      <c r="Y141" s="172">
        <f>SUM(V130:V141)</f>
        <v>0</v>
      </c>
      <c r="Z141" s="172">
        <f>CHOOSE(QUOTIENT(MONTH($A141),3)+1,BaseLoad!$AM$9,BaseLoad!$AN$9,BaseLoad!$AL$9,BaseLoad!$AO$9,BaseLoad!$AM$9)</f>
        <v>0.92427661878611755</v>
      </c>
      <c r="AA141" s="172">
        <f>CHOOSE(QUOTIENT(MONTH($A141),3)+1,BaseLoad!$AM$15,BaseLoad!$AN$15,BaseLoad!$AL$15,BaseLoad!$AO$15,BaseLoad!$AM$15)</f>
        <v>705</v>
      </c>
      <c r="AB141" s="471"/>
      <c r="AD141" s="471"/>
    </row>
    <row r="142" spans="1:30" x14ac:dyDescent="0.2">
      <c r="A142" s="1">
        <f t="shared" si="7"/>
        <v>40555.044000000169</v>
      </c>
      <c r="B142" s="172" t="str">
        <f>IF($A$1="Peak","-",IF(BaseLoad!H141&gt;BaseLoad!$G141,B$8*$Z142,0))</f>
        <v>-</v>
      </c>
      <c r="C142" s="172" t="str">
        <f>IF($A$1="Peak","-",IF(BaseLoad!I141&gt;BaseLoad!$G141,C$8*$Z142,0))</f>
        <v>-</v>
      </c>
      <c r="D142" s="172" t="str">
        <f>IF($A$1="Peak","-",IF(BaseLoad!J141&gt;BaseLoad!$G141,D$8*$Z142,0))</f>
        <v>-</v>
      </c>
      <c r="E142" s="172" t="str">
        <f>IF($A$1="Peak","-",IF(BaseLoad!K141&gt;BaseLoad!$G141,E$8*$Z142,0))</f>
        <v>-</v>
      </c>
      <c r="F142" s="172" t="str">
        <f>IF($A$1="Peak","-",IF(BaseLoad!L141&gt;BaseLoad!$G141,F$8*$Z142,0))</f>
        <v>-</v>
      </c>
      <c r="G142" s="172" t="str">
        <f>IF($A$1="Peak","-",IF(BaseLoad!M141&gt;BaseLoad!$G141,G$8*$Z142,0))</f>
        <v>-</v>
      </c>
      <c r="H142" s="172" t="str">
        <f>IF($A$1="Peak","-",IF(BaseLoad!N141&gt;BaseLoad!$G141,H$8*$Z142,0))</f>
        <v>-</v>
      </c>
      <c r="I142" s="172" t="str">
        <f>IF($A$1="Peak","-",IF(BaseLoad!O141&gt;BaseLoad!$G141,I$8*$Z142,0))</f>
        <v>-</v>
      </c>
      <c r="J142" s="172" t="str">
        <f>IF($A$1="Peak","-",IF(BaseLoad!P141&gt;BaseLoad!$G141,J$8*$Z142,0))</f>
        <v>-</v>
      </c>
      <c r="K142" s="172" t="str">
        <f>IF($A$1="Peak","-",IF(BaseLoad!Q141&gt;BaseLoad!$G141,K$8*$Z142,0))</f>
        <v>-</v>
      </c>
      <c r="L142" s="172" t="str">
        <f>IF($A$1="Peak","-",IF(BaseLoad!R141&gt;BaseLoad!$G141,L$8*$Z142,0))</f>
        <v>-</v>
      </c>
      <c r="M142" s="172" t="str">
        <f>IF($A$1="Peak","-",IF(BaseLoad!S141&gt;BaseLoad!$G141,M$8*$Z142,0))</f>
        <v>-</v>
      </c>
      <c r="N142" s="172" t="str">
        <f>IF($A$1="Peak","-",IF(BaseLoad!T141&gt;BaseLoad!$G141,N$8*$Z142,0))</f>
        <v>-</v>
      </c>
      <c r="O142" s="172" t="str">
        <f>IF($A$1="Peak","-",IF(BaseLoad!U141&gt;BaseLoad!$G141,O$8*$Z142,0))</f>
        <v>-</v>
      </c>
      <c r="P142" s="172" t="str">
        <f>IF($A$1="Peak","-",IF(BaseLoad!V141&gt;BaseLoad!$G141,P$8*$Z142,0))</f>
        <v>-</v>
      </c>
      <c r="Q142" s="172" t="str">
        <f>IF($A$1="Peak","-",IF(BaseLoad!W141&gt;BaseLoad!$G141,Q$8*$Z142,0))</f>
        <v>-</v>
      </c>
      <c r="R142" s="172" t="str">
        <f>IF($A$1="Peak","-",IF(BaseLoad!X141&gt;BaseLoad!$G141,R$8*$Z142,0))</f>
        <v>-</v>
      </c>
      <c r="S142" s="172" t="str">
        <f>IF($A$1="Peak","-",IF(BaseLoad!Y141&gt;BaseLoad!$G141,S$8*$Z142,0))</f>
        <v>-</v>
      </c>
      <c r="T142" s="172" t="str">
        <f>IF($A$1="Peak","-",IF(BaseLoad!Z141&gt;BaseLoad!$G141,T$8*$Z142,0))</f>
        <v>-</v>
      </c>
      <c r="U142" s="172" t="str">
        <f>IF($A$1="Peak","-",IF(BaseLoad!AA141&gt;BaseLoad!$G141,U$8*$Z142,0))</f>
        <v>-</v>
      </c>
      <c r="V142" s="172">
        <f t="shared" si="6"/>
        <v>0</v>
      </c>
      <c r="W142" s="172"/>
      <c r="X142" s="172"/>
      <c r="Y142" s="172"/>
      <c r="Z142" s="172">
        <f>CHOOSE(QUOTIENT(MONTH($A142),3)+1,BaseLoad!$AM$9,BaseLoad!$AN$9,BaseLoad!$AL$9,BaseLoad!$AO$9,BaseLoad!$AM$9)</f>
        <v>0.92427661878611755</v>
      </c>
      <c r="AA142" s="172">
        <f>CHOOSE(QUOTIENT(MONTH($A142),3)+1,BaseLoad!$AM$15,BaseLoad!$AN$15,BaseLoad!$AL$15,BaseLoad!$AO$15,BaseLoad!$AM$15)</f>
        <v>705</v>
      </c>
      <c r="AB142" s="471"/>
      <c r="AD142" s="471"/>
    </row>
    <row r="143" spans="1:30" x14ac:dyDescent="0.2">
      <c r="A143" s="1">
        <f t="shared" si="7"/>
        <v>40585.46100000017</v>
      </c>
      <c r="B143" s="172" t="str">
        <f>IF($A$1="Peak","-",IF(BaseLoad!H142&gt;BaseLoad!$G142,B$8*$Z143,0))</f>
        <v>-</v>
      </c>
      <c r="C143" s="172" t="str">
        <f>IF($A$1="Peak","-",IF(BaseLoad!I142&gt;BaseLoad!$G142,C$8*$Z143,0))</f>
        <v>-</v>
      </c>
      <c r="D143" s="172" t="str">
        <f>IF($A$1="Peak","-",IF(BaseLoad!J142&gt;BaseLoad!$G142,D$8*$Z143,0))</f>
        <v>-</v>
      </c>
      <c r="E143" s="172" t="str">
        <f>IF($A$1="Peak","-",IF(BaseLoad!K142&gt;BaseLoad!$G142,E$8*$Z143,0))</f>
        <v>-</v>
      </c>
      <c r="F143" s="172" t="str">
        <f>IF($A$1="Peak","-",IF(BaseLoad!L142&gt;BaseLoad!$G142,F$8*$Z143,0))</f>
        <v>-</v>
      </c>
      <c r="G143" s="172" t="str">
        <f>IF($A$1="Peak","-",IF(BaseLoad!M142&gt;BaseLoad!$G142,G$8*$Z143,0))</f>
        <v>-</v>
      </c>
      <c r="H143" s="172" t="str">
        <f>IF($A$1="Peak","-",IF(BaseLoad!N142&gt;BaseLoad!$G142,H$8*$Z143,0))</f>
        <v>-</v>
      </c>
      <c r="I143" s="172" t="str">
        <f>IF($A$1="Peak","-",IF(BaseLoad!O142&gt;BaseLoad!$G142,I$8*$Z143,0))</f>
        <v>-</v>
      </c>
      <c r="J143" s="172" t="str">
        <f>IF($A$1="Peak","-",IF(BaseLoad!P142&gt;BaseLoad!$G142,J$8*$Z143,0))</f>
        <v>-</v>
      </c>
      <c r="K143" s="172" t="str">
        <f>IF($A$1="Peak","-",IF(BaseLoad!Q142&gt;BaseLoad!$G142,K$8*$Z143,0))</f>
        <v>-</v>
      </c>
      <c r="L143" s="172" t="str">
        <f>IF($A$1="Peak","-",IF(BaseLoad!R142&gt;BaseLoad!$G142,L$8*$Z143,0))</f>
        <v>-</v>
      </c>
      <c r="M143" s="172" t="str">
        <f>IF($A$1="Peak","-",IF(BaseLoad!S142&gt;BaseLoad!$G142,M$8*$Z143,0))</f>
        <v>-</v>
      </c>
      <c r="N143" s="172" t="str">
        <f>IF($A$1="Peak","-",IF(BaseLoad!T142&gt;BaseLoad!$G142,N$8*$Z143,0))</f>
        <v>-</v>
      </c>
      <c r="O143" s="172" t="str">
        <f>IF($A$1="Peak","-",IF(BaseLoad!U142&gt;BaseLoad!$G142,O$8*$Z143,0))</f>
        <v>-</v>
      </c>
      <c r="P143" s="172" t="str">
        <f>IF($A$1="Peak","-",IF(BaseLoad!V142&gt;BaseLoad!$G142,P$8*$Z143,0))</f>
        <v>-</v>
      </c>
      <c r="Q143" s="172" t="str">
        <f>IF($A$1="Peak","-",IF(BaseLoad!W142&gt;BaseLoad!$G142,Q$8*$Z143,0))</f>
        <v>-</v>
      </c>
      <c r="R143" s="172" t="str">
        <f>IF($A$1="Peak","-",IF(BaseLoad!X142&gt;BaseLoad!$G142,R$8*$Z143,0))</f>
        <v>-</v>
      </c>
      <c r="S143" s="172" t="str">
        <f>IF($A$1="Peak","-",IF(BaseLoad!Y142&gt;BaseLoad!$G142,S$8*$Z143,0))</f>
        <v>-</v>
      </c>
      <c r="T143" s="172" t="str">
        <f>IF($A$1="Peak","-",IF(BaseLoad!Z142&gt;BaseLoad!$G142,T$8*$Z143,0))</f>
        <v>-</v>
      </c>
      <c r="U143" s="172" t="str">
        <f>IF($A$1="Peak","-",IF(BaseLoad!AA142&gt;BaseLoad!$G142,U$8*$Z143,0))</f>
        <v>-</v>
      </c>
      <c r="V143" s="172">
        <f t="shared" si="6"/>
        <v>0</v>
      </c>
      <c r="W143" s="172"/>
      <c r="X143" s="172"/>
      <c r="Y143" s="172"/>
      <c r="Z143" s="172">
        <f>CHOOSE(QUOTIENT(MONTH($A143),3)+1,BaseLoad!$AM$9,BaseLoad!$AN$9,BaseLoad!$AL$9,BaseLoad!$AO$9,BaseLoad!$AM$9)</f>
        <v>0.92427661878611755</v>
      </c>
      <c r="AA143" s="172">
        <f>CHOOSE(QUOTIENT(MONTH($A143),3)+1,BaseLoad!$AM$15,BaseLoad!$AN$15,BaseLoad!$AL$15,BaseLoad!$AO$15,BaseLoad!$AM$15)</f>
        <v>705</v>
      </c>
      <c r="AB143" s="471"/>
      <c r="AD143" s="471"/>
    </row>
    <row r="144" spans="1:30" x14ac:dyDescent="0.2">
      <c r="A144" s="1">
        <f t="shared" si="7"/>
        <v>40615.878000000172</v>
      </c>
      <c r="B144" s="172" t="str">
        <f>IF($A$1="Peak","-",IF(BaseLoad!H143&gt;BaseLoad!$G143,B$8*$Z144,0))</f>
        <v>-</v>
      </c>
      <c r="C144" s="172" t="str">
        <f>IF($A$1="Peak","-",IF(BaseLoad!I143&gt;BaseLoad!$G143,C$8*$Z144,0))</f>
        <v>-</v>
      </c>
      <c r="D144" s="172" t="str">
        <f>IF($A$1="Peak","-",IF(BaseLoad!J143&gt;BaseLoad!$G143,D$8*$Z144,0))</f>
        <v>-</v>
      </c>
      <c r="E144" s="172" t="str">
        <f>IF($A$1="Peak","-",IF(BaseLoad!K143&gt;BaseLoad!$G143,E$8*$Z144,0))</f>
        <v>-</v>
      </c>
      <c r="F144" s="172" t="str">
        <f>IF($A$1="Peak","-",IF(BaseLoad!L143&gt;BaseLoad!$G143,F$8*$Z144,0))</f>
        <v>-</v>
      </c>
      <c r="G144" s="172" t="str">
        <f>IF($A$1="Peak","-",IF(BaseLoad!M143&gt;BaseLoad!$G143,G$8*$Z144,0))</f>
        <v>-</v>
      </c>
      <c r="H144" s="172" t="str">
        <f>IF($A$1="Peak","-",IF(BaseLoad!N143&gt;BaseLoad!$G143,H$8*$Z144,0))</f>
        <v>-</v>
      </c>
      <c r="I144" s="172" t="str">
        <f>IF($A$1="Peak","-",IF(BaseLoad!O143&gt;BaseLoad!$G143,I$8*$Z144,0))</f>
        <v>-</v>
      </c>
      <c r="J144" s="172" t="str">
        <f>IF($A$1="Peak","-",IF(BaseLoad!P143&gt;BaseLoad!$G143,J$8*$Z144,0))</f>
        <v>-</v>
      </c>
      <c r="K144" s="172" t="str">
        <f>IF($A$1="Peak","-",IF(BaseLoad!Q143&gt;BaseLoad!$G143,K$8*$Z144,0))</f>
        <v>-</v>
      </c>
      <c r="L144" s="172" t="str">
        <f>IF($A$1="Peak","-",IF(BaseLoad!R143&gt;BaseLoad!$G143,L$8*$Z144,0))</f>
        <v>-</v>
      </c>
      <c r="M144" s="172" t="str">
        <f>IF($A$1="Peak","-",IF(BaseLoad!S143&gt;BaseLoad!$G143,M$8*$Z144,0))</f>
        <v>-</v>
      </c>
      <c r="N144" s="172" t="str">
        <f>IF($A$1="Peak","-",IF(BaseLoad!T143&gt;BaseLoad!$G143,N$8*$Z144,0))</f>
        <v>-</v>
      </c>
      <c r="O144" s="172" t="str">
        <f>IF($A$1="Peak","-",IF(BaseLoad!U143&gt;BaseLoad!$G143,O$8*$Z144,0))</f>
        <v>-</v>
      </c>
      <c r="P144" s="172" t="str">
        <f>IF($A$1="Peak","-",IF(BaseLoad!V143&gt;BaseLoad!$G143,P$8*$Z144,0))</f>
        <v>-</v>
      </c>
      <c r="Q144" s="172" t="str">
        <f>IF($A$1="Peak","-",IF(BaseLoad!W143&gt;BaseLoad!$G143,Q$8*$Z144,0))</f>
        <v>-</v>
      </c>
      <c r="R144" s="172" t="str">
        <f>IF($A$1="Peak","-",IF(BaseLoad!X143&gt;BaseLoad!$G143,R$8*$Z144,0))</f>
        <v>-</v>
      </c>
      <c r="S144" s="172" t="str">
        <f>IF($A$1="Peak","-",IF(BaseLoad!Y143&gt;BaseLoad!$G143,S$8*$Z144,0))</f>
        <v>-</v>
      </c>
      <c r="T144" s="172" t="str">
        <f>IF($A$1="Peak","-",IF(BaseLoad!Z143&gt;BaseLoad!$G143,T$8*$Z144,0))</f>
        <v>-</v>
      </c>
      <c r="U144" s="172" t="str">
        <f>IF($A$1="Peak","-",IF(BaseLoad!AA143&gt;BaseLoad!$G143,U$8*$Z144,0))</f>
        <v>-</v>
      </c>
      <c r="V144" s="172">
        <f t="shared" si="6"/>
        <v>0</v>
      </c>
      <c r="W144" s="172"/>
      <c r="X144" s="172"/>
      <c r="Y144" s="172"/>
      <c r="Z144" s="172">
        <f>CHOOSE(QUOTIENT(MONTH($A144),3)+1,BaseLoad!$AM$9,BaseLoad!$AN$9,BaseLoad!$AL$9,BaseLoad!$AO$9,BaseLoad!$AM$9)</f>
        <v>0.95</v>
      </c>
      <c r="AA144" s="172">
        <f>CHOOSE(QUOTIENT(MONTH($A144),3)+1,BaseLoad!$AM$15,BaseLoad!$AN$15,BaseLoad!$AL$15,BaseLoad!$AO$15,BaseLoad!$AM$15)</f>
        <v>705</v>
      </c>
      <c r="AB144" s="471"/>
      <c r="AD144" s="471"/>
    </row>
    <row r="145" spans="1:30" x14ac:dyDescent="0.2">
      <c r="A145" s="1">
        <f t="shared" si="7"/>
        <v>40646.295000000173</v>
      </c>
      <c r="B145" s="172" t="str">
        <f>IF($A$1="Peak","-",IF(BaseLoad!H144&gt;BaseLoad!$G144,B$8*$Z145,0))</f>
        <v>-</v>
      </c>
      <c r="C145" s="172" t="str">
        <f>IF($A$1="Peak","-",IF(BaseLoad!I144&gt;BaseLoad!$G144,C$8*$Z145,0))</f>
        <v>-</v>
      </c>
      <c r="D145" s="172" t="str">
        <f>IF($A$1="Peak","-",IF(BaseLoad!J144&gt;BaseLoad!$G144,D$8*$Z145,0))</f>
        <v>-</v>
      </c>
      <c r="E145" s="172" t="str">
        <f>IF($A$1="Peak","-",IF(BaseLoad!K144&gt;BaseLoad!$G144,E$8*$Z145,0))</f>
        <v>-</v>
      </c>
      <c r="F145" s="172" t="str">
        <f>IF($A$1="Peak","-",IF(BaseLoad!L144&gt;BaseLoad!$G144,F$8*$Z145,0))</f>
        <v>-</v>
      </c>
      <c r="G145" s="172" t="str">
        <f>IF($A$1="Peak","-",IF(BaseLoad!M144&gt;BaseLoad!$G144,G$8*$Z145,0))</f>
        <v>-</v>
      </c>
      <c r="H145" s="172" t="str">
        <f>IF($A$1="Peak","-",IF(BaseLoad!N144&gt;BaseLoad!$G144,H$8*$Z145,0))</f>
        <v>-</v>
      </c>
      <c r="I145" s="172" t="str">
        <f>IF($A$1="Peak","-",IF(BaseLoad!O144&gt;BaseLoad!$G144,I$8*$Z145,0))</f>
        <v>-</v>
      </c>
      <c r="J145" s="172" t="str">
        <f>IF($A$1="Peak","-",IF(BaseLoad!P144&gt;BaseLoad!$G144,J$8*$Z145,0))</f>
        <v>-</v>
      </c>
      <c r="K145" s="172" t="str">
        <f>IF($A$1="Peak","-",IF(BaseLoad!Q144&gt;BaseLoad!$G144,K$8*$Z145,0))</f>
        <v>-</v>
      </c>
      <c r="L145" s="172" t="str">
        <f>IF($A$1="Peak","-",IF(BaseLoad!R144&gt;BaseLoad!$G144,L$8*$Z145,0))</f>
        <v>-</v>
      </c>
      <c r="M145" s="172" t="str">
        <f>IF($A$1="Peak","-",IF(BaseLoad!S144&gt;BaseLoad!$G144,M$8*$Z145,0))</f>
        <v>-</v>
      </c>
      <c r="N145" s="172" t="str">
        <f>IF($A$1="Peak","-",IF(BaseLoad!T144&gt;BaseLoad!$G144,N$8*$Z145,0))</f>
        <v>-</v>
      </c>
      <c r="O145" s="172" t="str">
        <f>IF($A$1="Peak","-",IF(BaseLoad!U144&gt;BaseLoad!$G144,O$8*$Z145,0))</f>
        <v>-</v>
      </c>
      <c r="P145" s="172" t="str">
        <f>IF($A$1="Peak","-",IF(BaseLoad!V144&gt;BaseLoad!$G144,P$8*$Z145,0))</f>
        <v>-</v>
      </c>
      <c r="Q145" s="172" t="str">
        <f>IF($A$1="Peak","-",IF(BaseLoad!W144&gt;BaseLoad!$G144,Q$8*$Z145,0))</f>
        <v>-</v>
      </c>
      <c r="R145" s="172" t="str">
        <f>IF($A$1="Peak","-",IF(BaseLoad!X144&gt;BaseLoad!$G144,R$8*$Z145,0))</f>
        <v>-</v>
      </c>
      <c r="S145" s="172" t="str">
        <f>IF($A$1="Peak","-",IF(BaseLoad!Y144&gt;BaseLoad!$G144,S$8*$Z145,0))</f>
        <v>-</v>
      </c>
      <c r="T145" s="172" t="str">
        <f>IF($A$1="Peak","-",IF(BaseLoad!Z144&gt;BaseLoad!$G144,T$8*$Z145,0))</f>
        <v>-</v>
      </c>
      <c r="U145" s="172" t="str">
        <f>IF($A$1="Peak","-",IF(BaseLoad!AA144&gt;BaseLoad!$G144,U$8*$Z145,0))</f>
        <v>-</v>
      </c>
      <c r="V145" s="172">
        <f t="shared" si="6"/>
        <v>0</v>
      </c>
      <c r="W145" s="172"/>
      <c r="X145" s="172"/>
      <c r="Y145" s="172"/>
      <c r="Z145" s="172">
        <f>CHOOSE(QUOTIENT(MONTH($A145),3)+1,BaseLoad!$AM$9,BaseLoad!$AN$9,BaseLoad!$AL$9,BaseLoad!$AO$9,BaseLoad!$AM$9)</f>
        <v>0.95</v>
      </c>
      <c r="AA145" s="172">
        <f>CHOOSE(QUOTIENT(MONTH($A145),3)+1,BaseLoad!$AM$15,BaseLoad!$AN$15,BaseLoad!$AL$15,BaseLoad!$AO$15,BaseLoad!$AM$15)</f>
        <v>705</v>
      </c>
      <c r="AB145" s="471"/>
      <c r="AD145" s="471"/>
    </row>
    <row r="146" spans="1:30" x14ac:dyDescent="0.2">
      <c r="A146" s="1">
        <f t="shared" si="7"/>
        <v>40676.712000000174</v>
      </c>
      <c r="B146" s="172" t="str">
        <f>IF($A$1="Peak","-",IF(BaseLoad!H145&gt;BaseLoad!$G145,B$8*$Z146,0))</f>
        <v>-</v>
      </c>
      <c r="C146" s="172" t="str">
        <f>IF($A$1="Peak","-",IF(BaseLoad!I145&gt;BaseLoad!$G145,C$8*$Z146,0))</f>
        <v>-</v>
      </c>
      <c r="D146" s="172" t="str">
        <f>IF($A$1="Peak","-",IF(BaseLoad!J145&gt;BaseLoad!$G145,D$8*$Z146,0))</f>
        <v>-</v>
      </c>
      <c r="E146" s="172" t="str">
        <f>IF($A$1="Peak","-",IF(BaseLoad!K145&gt;BaseLoad!$G145,E$8*$Z146,0))</f>
        <v>-</v>
      </c>
      <c r="F146" s="172" t="str">
        <f>IF($A$1="Peak","-",IF(BaseLoad!L145&gt;BaseLoad!$G145,F$8*$Z146,0))</f>
        <v>-</v>
      </c>
      <c r="G146" s="172" t="str">
        <f>IF($A$1="Peak","-",IF(BaseLoad!M145&gt;BaseLoad!$G145,G$8*$Z146,0))</f>
        <v>-</v>
      </c>
      <c r="H146" s="172" t="str">
        <f>IF($A$1="Peak","-",IF(BaseLoad!N145&gt;BaseLoad!$G145,H$8*$Z146,0))</f>
        <v>-</v>
      </c>
      <c r="I146" s="172" t="str">
        <f>IF($A$1="Peak","-",IF(BaseLoad!O145&gt;BaseLoad!$G145,I$8*$Z146,0))</f>
        <v>-</v>
      </c>
      <c r="J146" s="172" t="str">
        <f>IF($A$1="Peak","-",IF(BaseLoad!P145&gt;BaseLoad!$G145,J$8*$Z146,0))</f>
        <v>-</v>
      </c>
      <c r="K146" s="172" t="str">
        <f>IF($A$1="Peak","-",IF(BaseLoad!Q145&gt;BaseLoad!$G145,K$8*$Z146,0))</f>
        <v>-</v>
      </c>
      <c r="L146" s="172" t="str">
        <f>IF($A$1="Peak","-",IF(BaseLoad!R145&gt;BaseLoad!$G145,L$8*$Z146,0))</f>
        <v>-</v>
      </c>
      <c r="M146" s="172" t="str">
        <f>IF($A$1="Peak","-",IF(BaseLoad!S145&gt;BaseLoad!$G145,M$8*$Z146,0))</f>
        <v>-</v>
      </c>
      <c r="N146" s="172" t="str">
        <f>IF($A$1="Peak","-",IF(BaseLoad!T145&gt;BaseLoad!$G145,N$8*$Z146,0))</f>
        <v>-</v>
      </c>
      <c r="O146" s="172" t="str">
        <f>IF($A$1="Peak","-",IF(BaseLoad!U145&gt;BaseLoad!$G145,O$8*$Z146,0))</f>
        <v>-</v>
      </c>
      <c r="P146" s="172" t="str">
        <f>IF($A$1="Peak","-",IF(BaseLoad!V145&gt;BaseLoad!$G145,P$8*$Z146,0))</f>
        <v>-</v>
      </c>
      <c r="Q146" s="172" t="str">
        <f>IF($A$1="Peak","-",IF(BaseLoad!W145&gt;BaseLoad!$G145,Q$8*$Z146,0))</f>
        <v>-</v>
      </c>
      <c r="R146" s="172" t="str">
        <f>IF($A$1="Peak","-",IF(BaseLoad!X145&gt;BaseLoad!$G145,R$8*$Z146,0))</f>
        <v>-</v>
      </c>
      <c r="S146" s="172" t="str">
        <f>IF($A$1="Peak","-",IF(BaseLoad!Y145&gt;BaseLoad!$G145,S$8*$Z146,0))</f>
        <v>-</v>
      </c>
      <c r="T146" s="172" t="str">
        <f>IF($A$1="Peak","-",IF(BaseLoad!Z145&gt;BaseLoad!$G145,T$8*$Z146,0))</f>
        <v>-</v>
      </c>
      <c r="U146" s="172" t="str">
        <f>IF($A$1="Peak","-",IF(BaseLoad!AA145&gt;BaseLoad!$G145,U$8*$Z146,0))</f>
        <v>-</v>
      </c>
      <c r="V146" s="172">
        <f t="shared" si="6"/>
        <v>0</v>
      </c>
      <c r="W146" s="172"/>
      <c r="X146" s="172"/>
      <c r="Y146" s="172"/>
      <c r="Z146" s="172">
        <f>CHOOSE(QUOTIENT(MONTH($A146),3)+1,BaseLoad!$AM$9,BaseLoad!$AN$9,BaseLoad!$AL$9,BaseLoad!$AO$9,BaseLoad!$AM$9)</f>
        <v>0.95</v>
      </c>
      <c r="AA146" s="172">
        <f>CHOOSE(QUOTIENT(MONTH($A146),3)+1,BaseLoad!$AM$15,BaseLoad!$AN$15,BaseLoad!$AL$15,BaseLoad!$AO$15,BaseLoad!$AM$15)</f>
        <v>705</v>
      </c>
      <c r="AB146" s="471"/>
      <c r="AD146" s="471"/>
    </row>
    <row r="147" spans="1:30" x14ac:dyDescent="0.2">
      <c r="A147" s="1">
        <f t="shared" si="7"/>
        <v>40707.129000000175</v>
      </c>
      <c r="B147" s="172" t="str">
        <f>IF($A$1="Peak","-",IF(BaseLoad!H146&gt;BaseLoad!$G146,B$8*$Z147,0))</f>
        <v>-</v>
      </c>
      <c r="C147" s="172" t="str">
        <f>IF($A$1="Peak","-",IF(BaseLoad!I146&gt;BaseLoad!$G146,C$8*$Z147,0))</f>
        <v>-</v>
      </c>
      <c r="D147" s="172" t="str">
        <f>IF($A$1="Peak","-",IF(BaseLoad!J146&gt;BaseLoad!$G146,D$8*$Z147,0))</f>
        <v>-</v>
      </c>
      <c r="E147" s="172" t="str">
        <f>IF($A$1="Peak","-",IF(BaseLoad!K146&gt;BaseLoad!$G146,E$8*$Z147,0))</f>
        <v>-</v>
      </c>
      <c r="F147" s="172" t="str">
        <f>IF($A$1="Peak","-",IF(BaseLoad!L146&gt;BaseLoad!$G146,F$8*$Z147,0))</f>
        <v>-</v>
      </c>
      <c r="G147" s="172" t="str">
        <f>IF($A$1="Peak","-",IF(BaseLoad!M146&gt;BaseLoad!$G146,G$8*$Z147,0))</f>
        <v>-</v>
      </c>
      <c r="H147" s="172" t="str">
        <f>IF($A$1="Peak","-",IF(BaseLoad!N146&gt;BaseLoad!$G146,H$8*$Z147,0))</f>
        <v>-</v>
      </c>
      <c r="I147" s="172" t="str">
        <f>IF($A$1="Peak","-",IF(BaseLoad!O146&gt;BaseLoad!$G146,I$8*$Z147,0))</f>
        <v>-</v>
      </c>
      <c r="J147" s="172" t="str">
        <f>IF($A$1="Peak","-",IF(BaseLoad!P146&gt;BaseLoad!$G146,J$8*$Z147,0))</f>
        <v>-</v>
      </c>
      <c r="K147" s="172" t="str">
        <f>IF($A$1="Peak","-",IF(BaseLoad!Q146&gt;BaseLoad!$G146,K$8*$Z147,0))</f>
        <v>-</v>
      </c>
      <c r="L147" s="172" t="str">
        <f>IF($A$1="Peak","-",IF(BaseLoad!R146&gt;BaseLoad!$G146,L$8*$Z147,0))</f>
        <v>-</v>
      </c>
      <c r="M147" s="172" t="str">
        <f>IF($A$1="Peak","-",IF(BaseLoad!S146&gt;BaseLoad!$G146,M$8*$Z147,0))</f>
        <v>-</v>
      </c>
      <c r="N147" s="172" t="str">
        <f>IF($A$1="Peak","-",IF(BaseLoad!T146&gt;BaseLoad!$G146,N$8*$Z147,0))</f>
        <v>-</v>
      </c>
      <c r="O147" s="172" t="str">
        <f>IF($A$1="Peak","-",IF(BaseLoad!U146&gt;BaseLoad!$G146,O$8*$Z147,0))</f>
        <v>-</v>
      </c>
      <c r="P147" s="172" t="str">
        <f>IF($A$1="Peak","-",IF(BaseLoad!V146&gt;BaseLoad!$G146,P$8*$Z147,0))</f>
        <v>-</v>
      </c>
      <c r="Q147" s="172" t="str">
        <f>IF($A$1="Peak","-",IF(BaseLoad!W146&gt;BaseLoad!$G146,Q$8*$Z147,0))</f>
        <v>-</v>
      </c>
      <c r="R147" s="172" t="str">
        <f>IF($A$1="Peak","-",IF(BaseLoad!X146&gt;BaseLoad!$G146,R$8*$Z147,0))</f>
        <v>-</v>
      </c>
      <c r="S147" s="172" t="str">
        <f>IF($A$1="Peak","-",IF(BaseLoad!Y146&gt;BaseLoad!$G146,S$8*$Z147,0))</f>
        <v>-</v>
      </c>
      <c r="T147" s="172" t="str">
        <f>IF($A$1="Peak","-",IF(BaseLoad!Z146&gt;BaseLoad!$G146,T$8*$Z147,0))</f>
        <v>-</v>
      </c>
      <c r="U147" s="172" t="str">
        <f>IF($A$1="Peak","-",IF(BaseLoad!AA146&gt;BaseLoad!$G146,U$8*$Z147,0))</f>
        <v>-</v>
      </c>
      <c r="V147" s="172">
        <f t="shared" si="6"/>
        <v>0</v>
      </c>
      <c r="W147" s="172"/>
      <c r="X147" s="172"/>
      <c r="Y147" s="172"/>
      <c r="Z147" s="172">
        <f>CHOOSE(QUOTIENT(MONTH($A147),3)+1,BaseLoad!$AM$9,BaseLoad!$AN$9,BaseLoad!$AL$9,BaseLoad!$AO$9,BaseLoad!$AM$9)</f>
        <v>0.96612135909558572</v>
      </c>
      <c r="AA147" s="172">
        <f>CHOOSE(QUOTIENT(MONTH($A147),3)+1,BaseLoad!$AM$15,BaseLoad!$AN$15,BaseLoad!$AL$15,BaseLoad!$AO$15,BaseLoad!$AM$15)</f>
        <v>705</v>
      </c>
      <c r="AB147" s="471"/>
      <c r="AD147" s="471"/>
    </row>
    <row r="148" spans="1:30" x14ac:dyDescent="0.2">
      <c r="A148" s="1">
        <f t="shared" si="7"/>
        <v>40737.546000000177</v>
      </c>
      <c r="B148" s="172" t="str">
        <f>IF($A$1="Peak","-",IF(BaseLoad!H147&gt;BaseLoad!$G147,B$8*$Z148,0))</f>
        <v>-</v>
      </c>
      <c r="C148" s="172" t="str">
        <f>IF($A$1="Peak","-",IF(BaseLoad!I147&gt;BaseLoad!$G147,C$8*$Z148,0))</f>
        <v>-</v>
      </c>
      <c r="D148" s="172" t="str">
        <f>IF($A$1="Peak","-",IF(BaseLoad!J147&gt;BaseLoad!$G147,D$8*$Z148,0))</f>
        <v>-</v>
      </c>
      <c r="E148" s="172" t="str">
        <f>IF($A$1="Peak","-",IF(BaseLoad!K147&gt;BaseLoad!$G147,E$8*$Z148,0))</f>
        <v>-</v>
      </c>
      <c r="F148" s="172" t="str">
        <f>IF($A$1="Peak","-",IF(BaseLoad!L147&gt;BaseLoad!$G147,F$8*$Z148,0))</f>
        <v>-</v>
      </c>
      <c r="G148" s="172" t="str">
        <f>IF($A$1="Peak","-",IF(BaseLoad!M147&gt;BaseLoad!$G147,G$8*$Z148,0))</f>
        <v>-</v>
      </c>
      <c r="H148" s="172" t="str">
        <f>IF($A$1="Peak","-",IF(BaseLoad!N147&gt;BaseLoad!$G147,H$8*$Z148,0))</f>
        <v>-</v>
      </c>
      <c r="I148" s="172" t="str">
        <f>IF($A$1="Peak","-",IF(BaseLoad!O147&gt;BaseLoad!$G147,I$8*$Z148,0))</f>
        <v>-</v>
      </c>
      <c r="J148" s="172" t="str">
        <f>IF($A$1="Peak","-",IF(BaseLoad!P147&gt;BaseLoad!$G147,J$8*$Z148,0))</f>
        <v>-</v>
      </c>
      <c r="K148" s="172" t="str">
        <f>IF($A$1="Peak","-",IF(BaseLoad!Q147&gt;BaseLoad!$G147,K$8*$Z148,0))</f>
        <v>-</v>
      </c>
      <c r="L148" s="172" t="str">
        <f>IF($A$1="Peak","-",IF(BaseLoad!R147&gt;BaseLoad!$G147,L$8*$Z148,0))</f>
        <v>-</v>
      </c>
      <c r="M148" s="172" t="str">
        <f>IF($A$1="Peak","-",IF(BaseLoad!S147&gt;BaseLoad!$G147,M$8*$Z148,0))</f>
        <v>-</v>
      </c>
      <c r="N148" s="172" t="str">
        <f>IF($A$1="Peak","-",IF(BaseLoad!T147&gt;BaseLoad!$G147,N$8*$Z148,0))</f>
        <v>-</v>
      </c>
      <c r="O148" s="172" t="str">
        <f>IF($A$1="Peak","-",IF(BaseLoad!U147&gt;BaseLoad!$G147,O$8*$Z148,0))</f>
        <v>-</v>
      </c>
      <c r="P148" s="172" t="str">
        <f>IF($A$1="Peak","-",IF(BaseLoad!V147&gt;BaseLoad!$G147,P$8*$Z148,0))</f>
        <v>-</v>
      </c>
      <c r="Q148" s="172" t="str">
        <f>IF($A$1="Peak","-",IF(BaseLoad!W147&gt;BaseLoad!$G147,Q$8*$Z148,0))</f>
        <v>-</v>
      </c>
      <c r="R148" s="172" t="str">
        <f>IF($A$1="Peak","-",IF(BaseLoad!X147&gt;BaseLoad!$G147,R$8*$Z148,0))</f>
        <v>-</v>
      </c>
      <c r="S148" s="172" t="str">
        <f>IF($A$1="Peak","-",IF(BaseLoad!Y147&gt;BaseLoad!$G147,S$8*$Z148,0))</f>
        <v>-</v>
      </c>
      <c r="T148" s="172" t="str">
        <f>IF($A$1="Peak","-",IF(BaseLoad!Z147&gt;BaseLoad!$G147,T$8*$Z148,0))</f>
        <v>-</v>
      </c>
      <c r="U148" s="172" t="str">
        <f>IF($A$1="Peak","-",IF(BaseLoad!AA147&gt;BaseLoad!$G147,U$8*$Z148,0))</f>
        <v>-</v>
      </c>
      <c r="V148" s="172">
        <f t="shared" si="6"/>
        <v>0</v>
      </c>
      <c r="W148" s="172"/>
      <c r="X148" s="172"/>
      <c r="Y148" s="172"/>
      <c r="Z148" s="172">
        <f>CHOOSE(QUOTIENT(MONTH($A148),3)+1,BaseLoad!$AM$9,BaseLoad!$AN$9,BaseLoad!$AL$9,BaseLoad!$AO$9,BaseLoad!$AM$9)</f>
        <v>0.96612135909558572</v>
      </c>
      <c r="AA148" s="172">
        <f>CHOOSE(QUOTIENT(MONTH($A148),3)+1,BaseLoad!$AM$15,BaseLoad!$AN$15,BaseLoad!$AL$15,BaseLoad!$AO$15,BaseLoad!$AM$15)</f>
        <v>705</v>
      </c>
      <c r="AB148" s="471"/>
      <c r="AD148" s="471"/>
    </row>
    <row r="149" spans="1:30" x14ac:dyDescent="0.2">
      <c r="A149" s="1">
        <f t="shared" si="7"/>
        <v>40767.963000000178</v>
      </c>
      <c r="B149" s="172" t="str">
        <f>IF($A$1="Peak","-",IF(BaseLoad!H148&gt;BaseLoad!$G148,B$8*$Z149,0))</f>
        <v>-</v>
      </c>
      <c r="C149" s="172" t="str">
        <f>IF($A$1="Peak","-",IF(BaseLoad!I148&gt;BaseLoad!$G148,C$8*$Z149,0))</f>
        <v>-</v>
      </c>
      <c r="D149" s="172" t="str">
        <f>IF($A$1="Peak","-",IF(BaseLoad!J148&gt;BaseLoad!$G148,D$8*$Z149,0))</f>
        <v>-</v>
      </c>
      <c r="E149" s="172" t="str">
        <f>IF($A$1="Peak","-",IF(BaseLoad!K148&gt;BaseLoad!$G148,E$8*$Z149,0))</f>
        <v>-</v>
      </c>
      <c r="F149" s="172" t="str">
        <f>IF($A$1="Peak","-",IF(BaseLoad!L148&gt;BaseLoad!$G148,F$8*$Z149,0))</f>
        <v>-</v>
      </c>
      <c r="G149" s="172" t="str">
        <f>IF($A$1="Peak","-",IF(BaseLoad!M148&gt;BaseLoad!$G148,G$8*$Z149,0))</f>
        <v>-</v>
      </c>
      <c r="H149" s="172" t="str">
        <f>IF($A$1="Peak","-",IF(BaseLoad!N148&gt;BaseLoad!$G148,H$8*$Z149,0))</f>
        <v>-</v>
      </c>
      <c r="I149" s="172" t="str">
        <f>IF($A$1="Peak","-",IF(BaseLoad!O148&gt;BaseLoad!$G148,I$8*$Z149,0))</f>
        <v>-</v>
      </c>
      <c r="J149" s="172" t="str">
        <f>IF($A$1="Peak","-",IF(BaseLoad!P148&gt;BaseLoad!$G148,J$8*$Z149,0))</f>
        <v>-</v>
      </c>
      <c r="K149" s="172" t="str">
        <f>IF($A$1="Peak","-",IF(BaseLoad!Q148&gt;BaseLoad!$G148,K$8*$Z149,0))</f>
        <v>-</v>
      </c>
      <c r="L149" s="172" t="str">
        <f>IF($A$1="Peak","-",IF(BaseLoad!R148&gt;BaseLoad!$G148,L$8*$Z149,0))</f>
        <v>-</v>
      </c>
      <c r="M149" s="172" t="str">
        <f>IF($A$1="Peak","-",IF(BaseLoad!S148&gt;BaseLoad!$G148,M$8*$Z149,0))</f>
        <v>-</v>
      </c>
      <c r="N149" s="172" t="str">
        <f>IF($A$1="Peak","-",IF(BaseLoad!T148&gt;BaseLoad!$G148,N$8*$Z149,0))</f>
        <v>-</v>
      </c>
      <c r="O149" s="172" t="str">
        <f>IF($A$1="Peak","-",IF(BaseLoad!U148&gt;BaseLoad!$G148,O$8*$Z149,0))</f>
        <v>-</v>
      </c>
      <c r="P149" s="172" t="str">
        <f>IF($A$1="Peak","-",IF(BaseLoad!V148&gt;BaseLoad!$G148,P$8*$Z149,0))</f>
        <v>-</v>
      </c>
      <c r="Q149" s="172" t="str">
        <f>IF($A$1="Peak","-",IF(BaseLoad!W148&gt;BaseLoad!$G148,Q$8*$Z149,0))</f>
        <v>-</v>
      </c>
      <c r="R149" s="172" t="str">
        <f>IF($A$1="Peak","-",IF(BaseLoad!X148&gt;BaseLoad!$G148,R$8*$Z149,0))</f>
        <v>-</v>
      </c>
      <c r="S149" s="172" t="str">
        <f>IF($A$1="Peak","-",IF(BaseLoad!Y148&gt;BaseLoad!$G148,S$8*$Z149,0))</f>
        <v>-</v>
      </c>
      <c r="T149" s="172" t="str">
        <f>IF($A$1="Peak","-",IF(BaseLoad!Z148&gt;BaseLoad!$G148,T$8*$Z149,0))</f>
        <v>-</v>
      </c>
      <c r="U149" s="172" t="str">
        <f>IF($A$1="Peak","-",IF(BaseLoad!AA148&gt;BaseLoad!$G148,U$8*$Z149,0))</f>
        <v>-</v>
      </c>
      <c r="V149" s="172">
        <f t="shared" si="6"/>
        <v>0</v>
      </c>
      <c r="W149" s="172"/>
      <c r="X149" s="172"/>
      <c r="Y149" s="172"/>
      <c r="Z149" s="172">
        <f>CHOOSE(QUOTIENT(MONTH($A149),3)+1,BaseLoad!$AM$9,BaseLoad!$AN$9,BaseLoad!$AL$9,BaseLoad!$AO$9,BaseLoad!$AM$9)</f>
        <v>0.96612135909558572</v>
      </c>
      <c r="AA149" s="172">
        <f>CHOOSE(QUOTIENT(MONTH($A149),3)+1,BaseLoad!$AM$15,BaseLoad!$AN$15,BaseLoad!$AL$15,BaseLoad!$AO$15,BaseLoad!$AM$15)</f>
        <v>705</v>
      </c>
      <c r="AB149" s="471"/>
      <c r="AD149" s="471"/>
    </row>
    <row r="150" spans="1:30" x14ac:dyDescent="0.2">
      <c r="A150" s="1">
        <f t="shared" si="7"/>
        <v>40798.380000000179</v>
      </c>
      <c r="B150" s="172" t="str">
        <f>IF($A$1="Peak","-",IF(BaseLoad!H149&gt;BaseLoad!$G149,B$8*$Z150,0))</f>
        <v>-</v>
      </c>
      <c r="C150" s="172" t="str">
        <f>IF($A$1="Peak","-",IF(BaseLoad!I149&gt;BaseLoad!$G149,C$8*$Z150,0))</f>
        <v>-</v>
      </c>
      <c r="D150" s="172" t="str">
        <f>IF($A$1="Peak","-",IF(BaseLoad!J149&gt;BaseLoad!$G149,D$8*$Z150,0))</f>
        <v>-</v>
      </c>
      <c r="E150" s="172" t="str">
        <f>IF($A$1="Peak","-",IF(BaseLoad!K149&gt;BaseLoad!$G149,E$8*$Z150,0))</f>
        <v>-</v>
      </c>
      <c r="F150" s="172" t="str">
        <f>IF($A$1="Peak","-",IF(BaseLoad!L149&gt;BaseLoad!$G149,F$8*$Z150,0))</f>
        <v>-</v>
      </c>
      <c r="G150" s="172" t="str">
        <f>IF($A$1="Peak","-",IF(BaseLoad!M149&gt;BaseLoad!$G149,G$8*$Z150,0))</f>
        <v>-</v>
      </c>
      <c r="H150" s="172" t="str">
        <f>IF($A$1="Peak","-",IF(BaseLoad!N149&gt;BaseLoad!$G149,H$8*$Z150,0))</f>
        <v>-</v>
      </c>
      <c r="I150" s="172" t="str">
        <f>IF($A$1="Peak","-",IF(BaseLoad!O149&gt;BaseLoad!$G149,I$8*$Z150,0))</f>
        <v>-</v>
      </c>
      <c r="J150" s="172" t="str">
        <f>IF($A$1="Peak","-",IF(BaseLoad!P149&gt;BaseLoad!$G149,J$8*$Z150,0))</f>
        <v>-</v>
      </c>
      <c r="K150" s="172" t="str">
        <f>IF($A$1="Peak","-",IF(BaseLoad!Q149&gt;BaseLoad!$G149,K$8*$Z150,0))</f>
        <v>-</v>
      </c>
      <c r="L150" s="172" t="str">
        <f>IF($A$1="Peak","-",IF(BaseLoad!R149&gt;BaseLoad!$G149,L$8*$Z150,0))</f>
        <v>-</v>
      </c>
      <c r="M150" s="172" t="str">
        <f>IF($A$1="Peak","-",IF(BaseLoad!S149&gt;BaseLoad!$G149,M$8*$Z150,0))</f>
        <v>-</v>
      </c>
      <c r="N150" s="172" t="str">
        <f>IF($A$1="Peak","-",IF(BaseLoad!T149&gt;BaseLoad!$G149,N$8*$Z150,0))</f>
        <v>-</v>
      </c>
      <c r="O150" s="172" t="str">
        <f>IF($A$1="Peak","-",IF(BaseLoad!U149&gt;BaseLoad!$G149,O$8*$Z150,0))</f>
        <v>-</v>
      </c>
      <c r="P150" s="172" t="str">
        <f>IF($A$1="Peak","-",IF(BaseLoad!V149&gt;BaseLoad!$G149,P$8*$Z150,0))</f>
        <v>-</v>
      </c>
      <c r="Q150" s="172" t="str">
        <f>IF($A$1="Peak","-",IF(BaseLoad!W149&gt;BaseLoad!$G149,Q$8*$Z150,0))</f>
        <v>-</v>
      </c>
      <c r="R150" s="172" t="str">
        <f>IF($A$1="Peak","-",IF(BaseLoad!X149&gt;BaseLoad!$G149,R$8*$Z150,0))</f>
        <v>-</v>
      </c>
      <c r="S150" s="172" t="str">
        <f>IF($A$1="Peak","-",IF(BaseLoad!Y149&gt;BaseLoad!$G149,S$8*$Z150,0))</f>
        <v>-</v>
      </c>
      <c r="T150" s="172" t="str">
        <f>IF($A$1="Peak","-",IF(BaseLoad!Z149&gt;BaseLoad!$G149,T$8*$Z150,0))</f>
        <v>-</v>
      </c>
      <c r="U150" s="172" t="str">
        <f>IF($A$1="Peak","-",IF(BaseLoad!AA149&gt;BaseLoad!$G149,U$8*$Z150,0))</f>
        <v>-</v>
      </c>
      <c r="V150" s="172">
        <f t="shared" si="6"/>
        <v>0</v>
      </c>
      <c r="W150" s="172"/>
      <c r="X150" s="172"/>
      <c r="Y150" s="172"/>
      <c r="Z150" s="172">
        <f>CHOOSE(QUOTIENT(MONTH($A150),3)+1,BaseLoad!$AM$9,BaseLoad!$AN$9,BaseLoad!$AL$9,BaseLoad!$AO$9,BaseLoad!$AM$9)</f>
        <v>0.95</v>
      </c>
      <c r="AA150" s="172">
        <f>CHOOSE(QUOTIENT(MONTH($A150),3)+1,BaseLoad!$AM$15,BaseLoad!$AN$15,BaseLoad!$AL$15,BaseLoad!$AO$15,BaseLoad!$AM$15)</f>
        <v>705</v>
      </c>
      <c r="AB150" s="471"/>
      <c r="AD150" s="471"/>
    </row>
    <row r="151" spans="1:30" x14ac:dyDescent="0.2">
      <c r="A151" s="1">
        <f t="shared" si="7"/>
        <v>40828.797000000181</v>
      </c>
      <c r="B151" s="172" t="str">
        <f>IF($A$1="Peak","-",IF(BaseLoad!H150&gt;BaseLoad!$G150,B$8*$Z151,0))</f>
        <v>-</v>
      </c>
      <c r="C151" s="172" t="str">
        <f>IF($A$1="Peak","-",IF(BaseLoad!I150&gt;BaseLoad!$G150,C$8*$Z151,0))</f>
        <v>-</v>
      </c>
      <c r="D151" s="172" t="str">
        <f>IF($A$1="Peak","-",IF(BaseLoad!J150&gt;BaseLoad!$G150,D$8*$Z151,0))</f>
        <v>-</v>
      </c>
      <c r="E151" s="172" t="str">
        <f>IF($A$1="Peak","-",IF(BaseLoad!K150&gt;BaseLoad!$G150,E$8*$Z151,0))</f>
        <v>-</v>
      </c>
      <c r="F151" s="172" t="str">
        <f>IF($A$1="Peak","-",IF(BaseLoad!L150&gt;BaseLoad!$G150,F$8*$Z151,0))</f>
        <v>-</v>
      </c>
      <c r="G151" s="172" t="str">
        <f>IF($A$1="Peak","-",IF(BaseLoad!M150&gt;BaseLoad!$G150,G$8*$Z151,0))</f>
        <v>-</v>
      </c>
      <c r="H151" s="172" t="str">
        <f>IF($A$1="Peak","-",IF(BaseLoad!N150&gt;BaseLoad!$G150,H$8*$Z151,0))</f>
        <v>-</v>
      </c>
      <c r="I151" s="172" t="str">
        <f>IF($A$1="Peak","-",IF(BaseLoad!O150&gt;BaseLoad!$G150,I$8*$Z151,0))</f>
        <v>-</v>
      </c>
      <c r="J151" s="172" t="str">
        <f>IF($A$1="Peak","-",IF(BaseLoad!P150&gt;BaseLoad!$G150,J$8*$Z151,0))</f>
        <v>-</v>
      </c>
      <c r="K151" s="172" t="str">
        <f>IF($A$1="Peak","-",IF(BaseLoad!Q150&gt;BaseLoad!$G150,K$8*$Z151,0))</f>
        <v>-</v>
      </c>
      <c r="L151" s="172" t="str">
        <f>IF($A$1="Peak","-",IF(BaseLoad!R150&gt;BaseLoad!$G150,L$8*$Z151,0))</f>
        <v>-</v>
      </c>
      <c r="M151" s="172" t="str">
        <f>IF($A$1="Peak","-",IF(BaseLoad!S150&gt;BaseLoad!$G150,M$8*$Z151,0))</f>
        <v>-</v>
      </c>
      <c r="N151" s="172" t="str">
        <f>IF($A$1="Peak","-",IF(BaseLoad!T150&gt;BaseLoad!$G150,N$8*$Z151,0))</f>
        <v>-</v>
      </c>
      <c r="O151" s="172" t="str">
        <f>IF($A$1="Peak","-",IF(BaseLoad!U150&gt;BaseLoad!$G150,O$8*$Z151,0))</f>
        <v>-</v>
      </c>
      <c r="P151" s="172" t="str">
        <f>IF($A$1="Peak","-",IF(BaseLoad!V150&gt;BaseLoad!$G150,P$8*$Z151,0))</f>
        <v>-</v>
      </c>
      <c r="Q151" s="172" t="str">
        <f>IF($A$1="Peak","-",IF(BaseLoad!W150&gt;BaseLoad!$G150,Q$8*$Z151,0))</f>
        <v>-</v>
      </c>
      <c r="R151" s="172" t="str">
        <f>IF($A$1="Peak","-",IF(BaseLoad!X150&gt;BaseLoad!$G150,R$8*$Z151,0))</f>
        <v>-</v>
      </c>
      <c r="S151" s="172" t="str">
        <f>IF($A$1="Peak","-",IF(BaseLoad!Y150&gt;BaseLoad!$G150,S$8*$Z151,0))</f>
        <v>-</v>
      </c>
      <c r="T151" s="172" t="str">
        <f>IF($A$1="Peak","-",IF(BaseLoad!Z150&gt;BaseLoad!$G150,T$8*$Z151,0))</f>
        <v>-</v>
      </c>
      <c r="U151" s="172" t="str">
        <f>IF($A$1="Peak","-",IF(BaseLoad!AA150&gt;BaseLoad!$G150,U$8*$Z151,0))</f>
        <v>-</v>
      </c>
      <c r="V151" s="172">
        <f t="shared" si="6"/>
        <v>0</v>
      </c>
      <c r="W151" s="172"/>
      <c r="X151" s="172"/>
      <c r="Y151" s="172"/>
      <c r="Z151" s="172">
        <f>CHOOSE(QUOTIENT(MONTH($A151),3)+1,BaseLoad!$AM$9,BaseLoad!$AN$9,BaseLoad!$AL$9,BaseLoad!$AO$9,BaseLoad!$AM$9)</f>
        <v>0.95</v>
      </c>
      <c r="AA151" s="172">
        <f>CHOOSE(QUOTIENT(MONTH($A151),3)+1,BaseLoad!$AM$15,BaseLoad!$AN$15,BaseLoad!$AL$15,BaseLoad!$AO$15,BaseLoad!$AM$15)</f>
        <v>705</v>
      </c>
      <c r="AB151" s="471"/>
      <c r="AD151" s="471"/>
    </row>
    <row r="152" spans="1:30" x14ac:dyDescent="0.2">
      <c r="A152" s="1">
        <f t="shared" si="7"/>
        <v>40859.214000000182</v>
      </c>
      <c r="B152" s="172" t="str">
        <f>IF($A$1="Peak","-",IF(BaseLoad!H151&gt;BaseLoad!$G151,B$8*$Z152,0))</f>
        <v>-</v>
      </c>
      <c r="C152" s="172" t="str">
        <f>IF($A$1="Peak","-",IF(BaseLoad!I151&gt;BaseLoad!$G151,C$8*$Z152,0))</f>
        <v>-</v>
      </c>
      <c r="D152" s="172" t="str">
        <f>IF($A$1="Peak","-",IF(BaseLoad!J151&gt;BaseLoad!$G151,D$8*$Z152,0))</f>
        <v>-</v>
      </c>
      <c r="E152" s="172" t="str">
        <f>IF($A$1="Peak","-",IF(BaseLoad!K151&gt;BaseLoad!$G151,E$8*$Z152,0))</f>
        <v>-</v>
      </c>
      <c r="F152" s="172" t="str">
        <f>IF($A$1="Peak","-",IF(BaseLoad!L151&gt;BaseLoad!$G151,F$8*$Z152,0))</f>
        <v>-</v>
      </c>
      <c r="G152" s="172" t="str">
        <f>IF($A$1="Peak","-",IF(BaseLoad!M151&gt;BaseLoad!$G151,G$8*$Z152,0))</f>
        <v>-</v>
      </c>
      <c r="H152" s="172" t="str">
        <f>IF($A$1="Peak","-",IF(BaseLoad!N151&gt;BaseLoad!$G151,H$8*$Z152,0))</f>
        <v>-</v>
      </c>
      <c r="I152" s="172" t="str">
        <f>IF($A$1="Peak","-",IF(BaseLoad!O151&gt;BaseLoad!$G151,I$8*$Z152,0))</f>
        <v>-</v>
      </c>
      <c r="J152" s="172" t="str">
        <f>IF($A$1="Peak","-",IF(BaseLoad!P151&gt;BaseLoad!$G151,J$8*$Z152,0))</f>
        <v>-</v>
      </c>
      <c r="K152" s="172" t="str">
        <f>IF($A$1="Peak","-",IF(BaseLoad!Q151&gt;BaseLoad!$G151,K$8*$Z152,0))</f>
        <v>-</v>
      </c>
      <c r="L152" s="172" t="str">
        <f>IF($A$1="Peak","-",IF(BaseLoad!R151&gt;BaseLoad!$G151,L$8*$Z152,0))</f>
        <v>-</v>
      </c>
      <c r="M152" s="172" t="str">
        <f>IF($A$1="Peak","-",IF(BaseLoad!S151&gt;BaseLoad!$G151,M$8*$Z152,0))</f>
        <v>-</v>
      </c>
      <c r="N152" s="172" t="str">
        <f>IF($A$1="Peak","-",IF(BaseLoad!T151&gt;BaseLoad!$G151,N$8*$Z152,0))</f>
        <v>-</v>
      </c>
      <c r="O152" s="172" t="str">
        <f>IF($A$1="Peak","-",IF(BaseLoad!U151&gt;BaseLoad!$G151,O$8*$Z152,0))</f>
        <v>-</v>
      </c>
      <c r="P152" s="172" t="str">
        <f>IF($A$1="Peak","-",IF(BaseLoad!V151&gt;BaseLoad!$G151,P$8*$Z152,0))</f>
        <v>-</v>
      </c>
      <c r="Q152" s="172" t="str">
        <f>IF($A$1="Peak","-",IF(BaseLoad!W151&gt;BaseLoad!$G151,Q$8*$Z152,0))</f>
        <v>-</v>
      </c>
      <c r="R152" s="172" t="str">
        <f>IF($A$1="Peak","-",IF(BaseLoad!X151&gt;BaseLoad!$G151,R$8*$Z152,0))</f>
        <v>-</v>
      </c>
      <c r="S152" s="172" t="str">
        <f>IF($A$1="Peak","-",IF(BaseLoad!Y151&gt;BaseLoad!$G151,S$8*$Z152,0))</f>
        <v>-</v>
      </c>
      <c r="T152" s="172" t="str">
        <f>IF($A$1="Peak","-",IF(BaseLoad!Z151&gt;BaseLoad!$G151,T$8*$Z152,0))</f>
        <v>-</v>
      </c>
      <c r="U152" s="172" t="str">
        <f>IF($A$1="Peak","-",IF(BaseLoad!AA151&gt;BaseLoad!$G151,U$8*$Z152,0))</f>
        <v>-</v>
      </c>
      <c r="V152" s="172">
        <f t="shared" si="6"/>
        <v>0</v>
      </c>
      <c r="W152" s="172"/>
      <c r="X152" s="172"/>
      <c r="Y152" s="172"/>
      <c r="Z152" s="172">
        <f>CHOOSE(QUOTIENT(MONTH($A152),3)+1,BaseLoad!$AM$9,BaseLoad!$AN$9,BaseLoad!$AL$9,BaseLoad!$AO$9,BaseLoad!$AM$9)</f>
        <v>0.95</v>
      </c>
      <c r="AA152" s="172">
        <f>CHOOSE(QUOTIENT(MONTH($A152),3)+1,BaseLoad!$AM$15,BaseLoad!$AN$15,BaseLoad!$AL$15,BaseLoad!$AO$15,BaseLoad!$AM$15)</f>
        <v>705</v>
      </c>
      <c r="AB152" s="471"/>
      <c r="AD152" s="471"/>
    </row>
    <row r="153" spans="1:30" x14ac:dyDescent="0.2">
      <c r="A153" s="1">
        <f t="shared" si="7"/>
        <v>40889.631000000183</v>
      </c>
      <c r="B153" s="172" t="str">
        <f>IF($A$1="Peak","-",IF(BaseLoad!H152&gt;BaseLoad!$G152,B$8*$Z153,0))</f>
        <v>-</v>
      </c>
      <c r="C153" s="172" t="str">
        <f>IF($A$1="Peak","-",IF(BaseLoad!I152&gt;BaseLoad!$G152,C$8*$Z153,0))</f>
        <v>-</v>
      </c>
      <c r="D153" s="172" t="str">
        <f>IF($A$1="Peak","-",IF(BaseLoad!J152&gt;BaseLoad!$G152,D$8*$Z153,0))</f>
        <v>-</v>
      </c>
      <c r="E153" s="172" t="str">
        <f>IF($A$1="Peak","-",IF(BaseLoad!K152&gt;BaseLoad!$G152,E$8*$Z153,0))</f>
        <v>-</v>
      </c>
      <c r="F153" s="172" t="str">
        <f>IF($A$1="Peak","-",IF(BaseLoad!L152&gt;BaseLoad!$G152,F$8*$Z153,0))</f>
        <v>-</v>
      </c>
      <c r="G153" s="172" t="str">
        <f>IF($A$1="Peak","-",IF(BaseLoad!M152&gt;BaseLoad!$G152,G$8*$Z153,0))</f>
        <v>-</v>
      </c>
      <c r="H153" s="172" t="str">
        <f>IF($A$1="Peak","-",IF(BaseLoad!N152&gt;BaseLoad!$G152,H$8*$Z153,0))</f>
        <v>-</v>
      </c>
      <c r="I153" s="172" t="str">
        <f>IF($A$1="Peak","-",IF(BaseLoad!O152&gt;BaseLoad!$G152,I$8*$Z153,0))</f>
        <v>-</v>
      </c>
      <c r="J153" s="172" t="str">
        <f>IF($A$1="Peak","-",IF(BaseLoad!P152&gt;BaseLoad!$G152,J$8*$Z153,0))</f>
        <v>-</v>
      </c>
      <c r="K153" s="172" t="str">
        <f>IF($A$1="Peak","-",IF(BaseLoad!Q152&gt;BaseLoad!$G152,K$8*$Z153,0))</f>
        <v>-</v>
      </c>
      <c r="L153" s="172" t="str">
        <f>IF($A$1="Peak","-",IF(BaseLoad!R152&gt;BaseLoad!$G152,L$8*$Z153,0))</f>
        <v>-</v>
      </c>
      <c r="M153" s="172" t="str">
        <f>IF($A$1="Peak","-",IF(BaseLoad!S152&gt;BaseLoad!$G152,M$8*$Z153,0))</f>
        <v>-</v>
      </c>
      <c r="N153" s="172" t="str">
        <f>IF($A$1="Peak","-",IF(BaseLoad!T152&gt;BaseLoad!$G152,N$8*$Z153,0))</f>
        <v>-</v>
      </c>
      <c r="O153" s="172" t="str">
        <f>IF($A$1="Peak","-",IF(BaseLoad!U152&gt;BaseLoad!$G152,O$8*$Z153,0))</f>
        <v>-</v>
      </c>
      <c r="P153" s="172" t="str">
        <f>IF($A$1="Peak","-",IF(BaseLoad!V152&gt;BaseLoad!$G152,P$8*$Z153,0))</f>
        <v>-</v>
      </c>
      <c r="Q153" s="172" t="str">
        <f>IF($A$1="Peak","-",IF(BaseLoad!W152&gt;BaseLoad!$G152,Q$8*$Z153,0))</f>
        <v>-</v>
      </c>
      <c r="R153" s="172" t="str">
        <f>IF($A$1="Peak","-",IF(BaseLoad!X152&gt;BaseLoad!$G152,R$8*$Z153,0))</f>
        <v>-</v>
      </c>
      <c r="S153" s="172" t="str">
        <f>IF($A$1="Peak","-",IF(BaseLoad!Y152&gt;BaseLoad!$G152,S$8*$Z153,0))</f>
        <v>-</v>
      </c>
      <c r="T153" s="172" t="str">
        <f>IF($A$1="Peak","-",IF(BaseLoad!Z152&gt;BaseLoad!$G152,T$8*$Z153,0))</f>
        <v>-</v>
      </c>
      <c r="U153" s="172" t="str">
        <f>IF($A$1="Peak","-",IF(BaseLoad!AA152&gt;BaseLoad!$G152,U$8*$Z153,0))</f>
        <v>-</v>
      </c>
      <c r="V153" s="172">
        <f t="shared" si="6"/>
        <v>0</v>
      </c>
      <c r="W153" s="172"/>
      <c r="X153" s="172"/>
      <c r="Y153" s="172">
        <f>SUM(V142:V153)</f>
        <v>0</v>
      </c>
      <c r="Z153" s="172">
        <f>CHOOSE(QUOTIENT(MONTH($A153),3)+1,BaseLoad!$AM$9,BaseLoad!$AN$9,BaseLoad!$AL$9,BaseLoad!$AO$9,BaseLoad!$AM$9)</f>
        <v>0.92427661878611755</v>
      </c>
      <c r="AA153" s="172">
        <f>CHOOSE(QUOTIENT(MONTH($A153),3)+1,BaseLoad!$AM$15,BaseLoad!$AN$15,BaseLoad!$AL$15,BaseLoad!$AO$15,BaseLoad!$AM$15)</f>
        <v>705</v>
      </c>
      <c r="AB153" s="471"/>
      <c r="AD153" s="471"/>
    </row>
    <row r="154" spans="1:30" x14ac:dyDescent="0.2">
      <c r="A154" s="1">
        <f t="shared" si="7"/>
        <v>40920.048000000184</v>
      </c>
      <c r="B154" s="172" t="str">
        <f>IF($A$1="Peak","-",IF(BaseLoad!H153&gt;BaseLoad!$G153,B$8*$Z154,0))</f>
        <v>-</v>
      </c>
      <c r="C154" s="172" t="str">
        <f>IF($A$1="Peak","-",IF(BaseLoad!I153&gt;BaseLoad!$G153,C$8*$Z154,0))</f>
        <v>-</v>
      </c>
      <c r="D154" s="172" t="str">
        <f>IF($A$1="Peak","-",IF(BaseLoad!J153&gt;BaseLoad!$G153,D$8*$Z154,0))</f>
        <v>-</v>
      </c>
      <c r="E154" s="172" t="str">
        <f>IF($A$1="Peak","-",IF(BaseLoad!K153&gt;BaseLoad!$G153,E$8*$Z154,0))</f>
        <v>-</v>
      </c>
      <c r="F154" s="172" t="str">
        <f>IF($A$1="Peak","-",IF(BaseLoad!L153&gt;BaseLoad!$G153,F$8*$Z154,0))</f>
        <v>-</v>
      </c>
      <c r="G154" s="172" t="str">
        <f>IF($A$1="Peak","-",IF(BaseLoad!M153&gt;BaseLoad!$G153,G$8*$Z154,0))</f>
        <v>-</v>
      </c>
      <c r="H154" s="172" t="str">
        <f>IF($A$1="Peak","-",IF(BaseLoad!N153&gt;BaseLoad!$G153,H$8*$Z154,0))</f>
        <v>-</v>
      </c>
      <c r="I154" s="172" t="str">
        <f>IF($A$1="Peak","-",IF(BaseLoad!O153&gt;BaseLoad!$G153,I$8*$Z154,0))</f>
        <v>-</v>
      </c>
      <c r="J154" s="172" t="str">
        <f>IF($A$1="Peak","-",IF(BaseLoad!P153&gt;BaseLoad!$G153,J$8*$Z154,0))</f>
        <v>-</v>
      </c>
      <c r="K154" s="172" t="str">
        <f>IF($A$1="Peak","-",IF(BaseLoad!Q153&gt;BaseLoad!$G153,K$8*$Z154,0))</f>
        <v>-</v>
      </c>
      <c r="L154" s="172" t="str">
        <f>IF($A$1="Peak","-",IF(BaseLoad!R153&gt;BaseLoad!$G153,L$8*$Z154,0))</f>
        <v>-</v>
      </c>
      <c r="M154" s="172" t="str">
        <f>IF($A$1="Peak","-",IF(BaseLoad!S153&gt;BaseLoad!$G153,M$8*$Z154,0))</f>
        <v>-</v>
      </c>
      <c r="N154" s="172" t="str">
        <f>IF($A$1="Peak","-",IF(BaseLoad!T153&gt;BaseLoad!$G153,N$8*$Z154,0))</f>
        <v>-</v>
      </c>
      <c r="O154" s="172" t="str">
        <f>IF($A$1="Peak","-",IF(BaseLoad!U153&gt;BaseLoad!$G153,O$8*$Z154,0))</f>
        <v>-</v>
      </c>
      <c r="P154" s="172" t="str">
        <f>IF($A$1="Peak","-",IF(BaseLoad!V153&gt;BaseLoad!$G153,P$8*$Z154,0))</f>
        <v>-</v>
      </c>
      <c r="Q154" s="172" t="str">
        <f>IF($A$1="Peak","-",IF(BaseLoad!W153&gt;BaseLoad!$G153,Q$8*$Z154,0))</f>
        <v>-</v>
      </c>
      <c r="R154" s="172" t="str">
        <f>IF($A$1="Peak","-",IF(BaseLoad!X153&gt;BaseLoad!$G153,R$8*$Z154,0))</f>
        <v>-</v>
      </c>
      <c r="S154" s="172" t="str">
        <f>IF($A$1="Peak","-",IF(BaseLoad!Y153&gt;BaseLoad!$G153,S$8*$Z154,0))</f>
        <v>-</v>
      </c>
      <c r="T154" s="172" t="str">
        <f>IF($A$1="Peak","-",IF(BaseLoad!Z153&gt;BaseLoad!$G153,T$8*$Z154,0))</f>
        <v>-</v>
      </c>
      <c r="U154" s="172" t="str">
        <f>IF($A$1="Peak","-",IF(BaseLoad!AA153&gt;BaseLoad!$G153,U$8*$Z154,0))</f>
        <v>-</v>
      </c>
      <c r="V154" s="172">
        <f t="shared" si="6"/>
        <v>0</v>
      </c>
      <c r="W154" s="172"/>
      <c r="X154" s="172"/>
      <c r="Y154" s="172"/>
      <c r="Z154" s="172">
        <f>CHOOSE(QUOTIENT(MONTH($A154),3)+1,BaseLoad!$AM$9,BaseLoad!$AN$9,BaseLoad!$AL$9,BaseLoad!$AO$9,BaseLoad!$AM$9)</f>
        <v>0.92427661878611755</v>
      </c>
      <c r="AA154" s="172">
        <f>CHOOSE(QUOTIENT(MONTH($A154),3)+1,BaseLoad!$AM$15,BaseLoad!$AN$15,BaseLoad!$AL$15,BaseLoad!$AO$15,BaseLoad!$AM$15)</f>
        <v>705</v>
      </c>
      <c r="AB154" s="471"/>
      <c r="AD154" s="471"/>
    </row>
    <row r="155" spans="1:30" x14ac:dyDescent="0.2">
      <c r="A155" s="1">
        <f t="shared" si="7"/>
        <v>40950.465000000186</v>
      </c>
      <c r="B155" s="172" t="str">
        <f>IF($A$1="Peak","-",IF(BaseLoad!H154&gt;BaseLoad!$G154,B$8*$Z155,0))</f>
        <v>-</v>
      </c>
      <c r="C155" s="172" t="str">
        <f>IF($A$1="Peak","-",IF(BaseLoad!I154&gt;BaseLoad!$G154,C$8*$Z155,0))</f>
        <v>-</v>
      </c>
      <c r="D155" s="172" t="str">
        <f>IF($A$1="Peak","-",IF(BaseLoad!J154&gt;BaseLoad!$G154,D$8*$Z155,0))</f>
        <v>-</v>
      </c>
      <c r="E155" s="172" t="str">
        <f>IF($A$1="Peak","-",IF(BaseLoad!K154&gt;BaseLoad!$G154,E$8*$Z155,0))</f>
        <v>-</v>
      </c>
      <c r="F155" s="172" t="str">
        <f>IF($A$1="Peak","-",IF(BaseLoad!L154&gt;BaseLoad!$G154,F$8*$Z155,0))</f>
        <v>-</v>
      </c>
      <c r="G155" s="172" t="str">
        <f>IF($A$1="Peak","-",IF(BaseLoad!M154&gt;BaseLoad!$G154,G$8*$Z155,0))</f>
        <v>-</v>
      </c>
      <c r="H155" s="172" t="str">
        <f>IF($A$1="Peak","-",IF(BaseLoad!N154&gt;BaseLoad!$G154,H$8*$Z155,0))</f>
        <v>-</v>
      </c>
      <c r="I155" s="172" t="str">
        <f>IF($A$1="Peak","-",IF(BaseLoad!O154&gt;BaseLoad!$G154,I$8*$Z155,0))</f>
        <v>-</v>
      </c>
      <c r="J155" s="172" t="str">
        <f>IF($A$1="Peak","-",IF(BaseLoad!P154&gt;BaseLoad!$G154,J$8*$Z155,0))</f>
        <v>-</v>
      </c>
      <c r="K155" s="172" t="str">
        <f>IF($A$1="Peak","-",IF(BaseLoad!Q154&gt;BaseLoad!$G154,K$8*$Z155,0))</f>
        <v>-</v>
      </c>
      <c r="L155" s="172" t="str">
        <f>IF($A$1="Peak","-",IF(BaseLoad!R154&gt;BaseLoad!$G154,L$8*$Z155,0))</f>
        <v>-</v>
      </c>
      <c r="M155" s="172" t="str">
        <f>IF($A$1="Peak","-",IF(BaseLoad!S154&gt;BaseLoad!$G154,M$8*$Z155,0))</f>
        <v>-</v>
      </c>
      <c r="N155" s="172" t="str">
        <f>IF($A$1="Peak","-",IF(BaseLoad!T154&gt;BaseLoad!$G154,N$8*$Z155,0))</f>
        <v>-</v>
      </c>
      <c r="O155" s="172" t="str">
        <f>IF($A$1="Peak","-",IF(BaseLoad!U154&gt;BaseLoad!$G154,O$8*$Z155,0))</f>
        <v>-</v>
      </c>
      <c r="P155" s="172" t="str">
        <f>IF($A$1="Peak","-",IF(BaseLoad!V154&gt;BaseLoad!$G154,P$8*$Z155,0))</f>
        <v>-</v>
      </c>
      <c r="Q155" s="172" t="str">
        <f>IF($A$1="Peak","-",IF(BaseLoad!W154&gt;BaseLoad!$G154,Q$8*$Z155,0))</f>
        <v>-</v>
      </c>
      <c r="R155" s="172" t="str">
        <f>IF($A$1="Peak","-",IF(BaseLoad!X154&gt;BaseLoad!$G154,R$8*$Z155,0))</f>
        <v>-</v>
      </c>
      <c r="S155" s="172" t="str">
        <f>IF($A$1="Peak","-",IF(BaseLoad!Y154&gt;BaseLoad!$G154,S$8*$Z155,0))</f>
        <v>-</v>
      </c>
      <c r="T155" s="172" t="str">
        <f>IF($A$1="Peak","-",IF(BaseLoad!Z154&gt;BaseLoad!$G154,T$8*$Z155,0))</f>
        <v>-</v>
      </c>
      <c r="U155" s="172" t="str">
        <f>IF($A$1="Peak","-",IF(BaseLoad!AA154&gt;BaseLoad!$G154,U$8*$Z155,0))</f>
        <v>-</v>
      </c>
      <c r="V155" s="172">
        <f t="shared" si="6"/>
        <v>0</v>
      </c>
      <c r="W155" s="172"/>
      <c r="X155" s="172"/>
      <c r="Y155" s="172"/>
      <c r="Z155" s="172">
        <f>CHOOSE(QUOTIENT(MONTH($A155),3)+1,BaseLoad!$AM$9,BaseLoad!$AN$9,BaseLoad!$AL$9,BaseLoad!$AO$9,BaseLoad!$AM$9)</f>
        <v>0.92427661878611755</v>
      </c>
      <c r="AA155" s="172">
        <f>CHOOSE(QUOTIENT(MONTH($A155),3)+1,BaseLoad!$AM$15,BaseLoad!$AN$15,BaseLoad!$AL$15,BaseLoad!$AO$15,BaseLoad!$AM$15)</f>
        <v>705</v>
      </c>
      <c r="AB155" s="471"/>
      <c r="AD155" s="471"/>
    </row>
    <row r="156" spans="1:30" x14ac:dyDescent="0.2">
      <c r="A156" s="1">
        <f t="shared" si="7"/>
        <v>40980.882000000187</v>
      </c>
      <c r="B156" s="172" t="str">
        <f>IF($A$1="Peak","-",IF(BaseLoad!H155&gt;BaseLoad!$G155,B$8*$Z156,0))</f>
        <v>-</v>
      </c>
      <c r="C156" s="172" t="str">
        <f>IF($A$1="Peak","-",IF(BaseLoad!I155&gt;BaseLoad!$G155,C$8*$Z156,0))</f>
        <v>-</v>
      </c>
      <c r="D156" s="172" t="str">
        <f>IF($A$1="Peak","-",IF(BaseLoad!J155&gt;BaseLoad!$G155,D$8*$Z156,0))</f>
        <v>-</v>
      </c>
      <c r="E156" s="172" t="str">
        <f>IF($A$1="Peak","-",IF(BaseLoad!K155&gt;BaseLoad!$G155,E$8*$Z156,0))</f>
        <v>-</v>
      </c>
      <c r="F156" s="172" t="str">
        <f>IF($A$1="Peak","-",IF(BaseLoad!L155&gt;BaseLoad!$G155,F$8*$Z156,0))</f>
        <v>-</v>
      </c>
      <c r="G156" s="172" t="str">
        <f>IF($A$1="Peak","-",IF(BaseLoad!M155&gt;BaseLoad!$G155,G$8*$Z156,0))</f>
        <v>-</v>
      </c>
      <c r="H156" s="172" t="str">
        <f>IF($A$1="Peak","-",IF(BaseLoad!N155&gt;BaseLoad!$G155,H$8*$Z156,0))</f>
        <v>-</v>
      </c>
      <c r="I156" s="172" t="str">
        <f>IF($A$1="Peak","-",IF(BaseLoad!O155&gt;BaseLoad!$G155,I$8*$Z156,0))</f>
        <v>-</v>
      </c>
      <c r="J156" s="172" t="str">
        <f>IF($A$1="Peak","-",IF(BaseLoad!P155&gt;BaseLoad!$G155,J$8*$Z156,0))</f>
        <v>-</v>
      </c>
      <c r="K156" s="172" t="str">
        <f>IF($A$1="Peak","-",IF(BaseLoad!Q155&gt;BaseLoad!$G155,K$8*$Z156,0))</f>
        <v>-</v>
      </c>
      <c r="L156" s="172" t="str">
        <f>IF($A$1="Peak","-",IF(BaseLoad!R155&gt;BaseLoad!$G155,L$8*$Z156,0))</f>
        <v>-</v>
      </c>
      <c r="M156" s="172" t="str">
        <f>IF($A$1="Peak","-",IF(BaseLoad!S155&gt;BaseLoad!$G155,M$8*$Z156,0))</f>
        <v>-</v>
      </c>
      <c r="N156" s="172" t="str">
        <f>IF($A$1="Peak","-",IF(BaseLoad!T155&gt;BaseLoad!$G155,N$8*$Z156,0))</f>
        <v>-</v>
      </c>
      <c r="O156" s="172" t="str">
        <f>IF($A$1="Peak","-",IF(BaseLoad!U155&gt;BaseLoad!$G155,O$8*$Z156,0))</f>
        <v>-</v>
      </c>
      <c r="P156" s="172" t="str">
        <f>IF($A$1="Peak","-",IF(BaseLoad!V155&gt;BaseLoad!$G155,P$8*$Z156,0))</f>
        <v>-</v>
      </c>
      <c r="Q156" s="172" t="str">
        <f>IF($A$1="Peak","-",IF(BaseLoad!W155&gt;BaseLoad!$G155,Q$8*$Z156,0))</f>
        <v>-</v>
      </c>
      <c r="R156" s="172" t="str">
        <f>IF($A$1="Peak","-",IF(BaseLoad!X155&gt;BaseLoad!$G155,R$8*$Z156,0))</f>
        <v>-</v>
      </c>
      <c r="S156" s="172" t="str">
        <f>IF($A$1="Peak","-",IF(BaseLoad!Y155&gt;BaseLoad!$G155,S$8*$Z156,0))</f>
        <v>-</v>
      </c>
      <c r="T156" s="172" t="str">
        <f>IF($A$1="Peak","-",IF(BaseLoad!Z155&gt;BaseLoad!$G155,T$8*$Z156,0))</f>
        <v>-</v>
      </c>
      <c r="U156" s="172" t="str">
        <f>IF($A$1="Peak","-",IF(BaseLoad!AA155&gt;BaseLoad!$G155,U$8*$Z156,0))</f>
        <v>-</v>
      </c>
      <c r="V156" s="172">
        <f t="shared" si="6"/>
        <v>0</v>
      </c>
      <c r="W156" s="172"/>
      <c r="X156" s="172"/>
      <c r="Y156" s="172"/>
      <c r="Z156" s="172">
        <f>CHOOSE(QUOTIENT(MONTH($A156),3)+1,BaseLoad!$AM$9,BaseLoad!$AN$9,BaseLoad!$AL$9,BaseLoad!$AO$9,BaseLoad!$AM$9)</f>
        <v>0.95</v>
      </c>
      <c r="AA156" s="172">
        <f>CHOOSE(QUOTIENT(MONTH($A156),3)+1,BaseLoad!$AM$15,BaseLoad!$AN$15,BaseLoad!$AL$15,BaseLoad!$AO$15,BaseLoad!$AM$15)</f>
        <v>705</v>
      </c>
      <c r="AB156" s="471"/>
      <c r="AD156" s="471"/>
    </row>
    <row r="157" spans="1:30" x14ac:dyDescent="0.2">
      <c r="A157" s="1">
        <f t="shared" si="7"/>
        <v>41011.299000000188</v>
      </c>
      <c r="B157" s="172" t="str">
        <f>IF($A$1="Peak","-",IF(BaseLoad!H156&gt;BaseLoad!$G156,B$8*$Z157,0))</f>
        <v>-</v>
      </c>
      <c r="C157" s="172" t="str">
        <f>IF($A$1="Peak","-",IF(BaseLoad!I156&gt;BaseLoad!$G156,C$8*$Z157,0))</f>
        <v>-</v>
      </c>
      <c r="D157" s="172" t="str">
        <f>IF($A$1="Peak","-",IF(BaseLoad!J156&gt;BaseLoad!$G156,D$8*$Z157,0))</f>
        <v>-</v>
      </c>
      <c r="E157" s="172" t="str">
        <f>IF($A$1="Peak","-",IF(BaseLoad!K156&gt;BaseLoad!$G156,E$8*$Z157,0))</f>
        <v>-</v>
      </c>
      <c r="F157" s="172" t="str">
        <f>IF($A$1="Peak","-",IF(BaseLoad!L156&gt;BaseLoad!$G156,F$8*$Z157,0))</f>
        <v>-</v>
      </c>
      <c r="G157" s="172" t="str">
        <f>IF($A$1="Peak","-",IF(BaseLoad!M156&gt;BaseLoad!$G156,G$8*$Z157,0))</f>
        <v>-</v>
      </c>
      <c r="H157" s="172" t="str">
        <f>IF($A$1="Peak","-",IF(BaseLoad!N156&gt;BaseLoad!$G156,H$8*$Z157,0))</f>
        <v>-</v>
      </c>
      <c r="I157" s="172" t="str">
        <f>IF($A$1="Peak","-",IF(BaseLoad!O156&gt;BaseLoad!$G156,I$8*$Z157,0))</f>
        <v>-</v>
      </c>
      <c r="J157" s="172" t="str">
        <f>IF($A$1="Peak","-",IF(BaseLoad!P156&gt;BaseLoad!$G156,J$8*$Z157,0))</f>
        <v>-</v>
      </c>
      <c r="K157" s="172" t="str">
        <f>IF($A$1="Peak","-",IF(BaseLoad!Q156&gt;BaseLoad!$G156,K$8*$Z157,0))</f>
        <v>-</v>
      </c>
      <c r="L157" s="172" t="str">
        <f>IF($A$1="Peak","-",IF(BaseLoad!R156&gt;BaseLoad!$G156,L$8*$Z157,0))</f>
        <v>-</v>
      </c>
      <c r="M157" s="172" t="str">
        <f>IF($A$1="Peak","-",IF(BaseLoad!S156&gt;BaseLoad!$G156,M$8*$Z157,0))</f>
        <v>-</v>
      </c>
      <c r="N157" s="172" t="str">
        <f>IF($A$1="Peak","-",IF(BaseLoad!T156&gt;BaseLoad!$G156,N$8*$Z157,0))</f>
        <v>-</v>
      </c>
      <c r="O157" s="172" t="str">
        <f>IF($A$1="Peak","-",IF(BaseLoad!U156&gt;BaseLoad!$G156,O$8*$Z157,0))</f>
        <v>-</v>
      </c>
      <c r="P157" s="172" t="str">
        <f>IF($A$1="Peak","-",IF(BaseLoad!V156&gt;BaseLoad!$G156,P$8*$Z157,0))</f>
        <v>-</v>
      </c>
      <c r="Q157" s="172" t="str">
        <f>IF($A$1="Peak","-",IF(BaseLoad!W156&gt;BaseLoad!$G156,Q$8*$Z157,0))</f>
        <v>-</v>
      </c>
      <c r="R157" s="172" t="str">
        <f>IF($A$1="Peak","-",IF(BaseLoad!X156&gt;BaseLoad!$G156,R$8*$Z157,0))</f>
        <v>-</v>
      </c>
      <c r="S157" s="172" t="str">
        <f>IF($A$1="Peak","-",IF(BaseLoad!Y156&gt;BaseLoad!$G156,S$8*$Z157,0))</f>
        <v>-</v>
      </c>
      <c r="T157" s="172" t="str">
        <f>IF($A$1="Peak","-",IF(BaseLoad!Z156&gt;BaseLoad!$G156,T$8*$Z157,0))</f>
        <v>-</v>
      </c>
      <c r="U157" s="172" t="str">
        <f>IF($A$1="Peak","-",IF(BaseLoad!AA156&gt;BaseLoad!$G156,U$8*$Z157,0))</f>
        <v>-</v>
      </c>
      <c r="V157" s="172">
        <f t="shared" si="6"/>
        <v>0</v>
      </c>
      <c r="W157" s="172"/>
      <c r="X157" s="172"/>
      <c r="Y157" s="172"/>
      <c r="Z157" s="172">
        <f>CHOOSE(QUOTIENT(MONTH($A157),3)+1,BaseLoad!$AM$9,BaseLoad!$AN$9,BaseLoad!$AL$9,BaseLoad!$AO$9,BaseLoad!$AM$9)</f>
        <v>0.95</v>
      </c>
      <c r="AA157" s="172">
        <f>CHOOSE(QUOTIENT(MONTH($A157),3)+1,BaseLoad!$AM$15,BaseLoad!$AN$15,BaseLoad!$AL$15,BaseLoad!$AO$15,BaseLoad!$AM$15)</f>
        <v>705</v>
      </c>
      <c r="AB157" s="471"/>
      <c r="AD157" s="471"/>
    </row>
    <row r="158" spans="1:30" x14ac:dyDescent="0.2">
      <c r="A158" s="1">
        <f t="shared" si="7"/>
        <v>41041.71600000019</v>
      </c>
      <c r="B158" s="172" t="str">
        <f>IF($A$1="Peak","-",IF(BaseLoad!H157&gt;BaseLoad!$G157,B$8*$Z158,0))</f>
        <v>-</v>
      </c>
      <c r="C158" s="172" t="str">
        <f>IF($A$1="Peak","-",IF(BaseLoad!I157&gt;BaseLoad!$G157,C$8*$Z158,0))</f>
        <v>-</v>
      </c>
      <c r="D158" s="172" t="str">
        <f>IF($A$1="Peak","-",IF(BaseLoad!J157&gt;BaseLoad!$G157,D$8*$Z158,0))</f>
        <v>-</v>
      </c>
      <c r="E158" s="172" t="str">
        <f>IF($A$1="Peak","-",IF(BaseLoad!K157&gt;BaseLoad!$G157,E$8*$Z158,0))</f>
        <v>-</v>
      </c>
      <c r="F158" s="172" t="str">
        <f>IF($A$1="Peak","-",IF(BaseLoad!L157&gt;BaseLoad!$G157,F$8*$Z158,0))</f>
        <v>-</v>
      </c>
      <c r="G158" s="172" t="str">
        <f>IF($A$1="Peak","-",IF(BaseLoad!M157&gt;BaseLoad!$G157,G$8*$Z158,0))</f>
        <v>-</v>
      </c>
      <c r="H158" s="172" t="str">
        <f>IF($A$1="Peak","-",IF(BaseLoad!N157&gt;BaseLoad!$G157,H$8*$Z158,0))</f>
        <v>-</v>
      </c>
      <c r="I158" s="172" t="str">
        <f>IF($A$1="Peak","-",IF(BaseLoad!O157&gt;BaseLoad!$G157,I$8*$Z158,0))</f>
        <v>-</v>
      </c>
      <c r="J158" s="172" t="str">
        <f>IF($A$1="Peak","-",IF(BaseLoad!P157&gt;BaseLoad!$G157,J$8*$Z158,0))</f>
        <v>-</v>
      </c>
      <c r="K158" s="172" t="str">
        <f>IF($A$1="Peak","-",IF(BaseLoad!Q157&gt;BaseLoad!$G157,K$8*$Z158,0))</f>
        <v>-</v>
      </c>
      <c r="L158" s="172" t="str">
        <f>IF($A$1="Peak","-",IF(BaseLoad!R157&gt;BaseLoad!$G157,L$8*$Z158,0))</f>
        <v>-</v>
      </c>
      <c r="M158" s="172" t="str">
        <f>IF($A$1="Peak","-",IF(BaseLoad!S157&gt;BaseLoad!$G157,M$8*$Z158,0))</f>
        <v>-</v>
      </c>
      <c r="N158" s="172" t="str">
        <f>IF($A$1="Peak","-",IF(BaseLoad!T157&gt;BaseLoad!$G157,N$8*$Z158,0))</f>
        <v>-</v>
      </c>
      <c r="O158" s="172" t="str">
        <f>IF($A$1="Peak","-",IF(BaseLoad!U157&gt;BaseLoad!$G157,O$8*$Z158,0))</f>
        <v>-</v>
      </c>
      <c r="P158" s="172" t="str">
        <f>IF($A$1="Peak","-",IF(BaseLoad!V157&gt;BaseLoad!$G157,P$8*$Z158,0))</f>
        <v>-</v>
      </c>
      <c r="Q158" s="172" t="str">
        <f>IF($A$1="Peak","-",IF(BaseLoad!W157&gt;BaseLoad!$G157,Q$8*$Z158,0))</f>
        <v>-</v>
      </c>
      <c r="R158" s="172" t="str">
        <f>IF($A$1="Peak","-",IF(BaseLoad!X157&gt;BaseLoad!$G157,R$8*$Z158,0))</f>
        <v>-</v>
      </c>
      <c r="S158" s="172" t="str">
        <f>IF($A$1="Peak","-",IF(BaseLoad!Y157&gt;BaseLoad!$G157,S$8*$Z158,0))</f>
        <v>-</v>
      </c>
      <c r="T158" s="172" t="str">
        <f>IF($A$1="Peak","-",IF(BaseLoad!Z157&gt;BaseLoad!$G157,T$8*$Z158,0))</f>
        <v>-</v>
      </c>
      <c r="U158" s="172" t="str">
        <f>IF($A$1="Peak","-",IF(BaseLoad!AA157&gt;BaseLoad!$G157,U$8*$Z158,0))</f>
        <v>-</v>
      </c>
      <c r="V158" s="172">
        <f t="shared" si="6"/>
        <v>0</v>
      </c>
      <c r="W158" s="172"/>
      <c r="X158" s="172"/>
      <c r="Y158" s="172"/>
      <c r="Z158" s="172">
        <f>CHOOSE(QUOTIENT(MONTH($A158),3)+1,BaseLoad!$AM$9,BaseLoad!$AN$9,BaseLoad!$AL$9,BaseLoad!$AO$9,BaseLoad!$AM$9)</f>
        <v>0.95</v>
      </c>
      <c r="AA158" s="172">
        <f>CHOOSE(QUOTIENT(MONTH($A158),3)+1,BaseLoad!$AM$15,BaseLoad!$AN$15,BaseLoad!$AL$15,BaseLoad!$AO$15,BaseLoad!$AM$15)</f>
        <v>705</v>
      </c>
      <c r="AB158" s="471"/>
      <c r="AD158" s="471"/>
    </row>
    <row r="159" spans="1:30" x14ac:dyDescent="0.2">
      <c r="A159" s="1">
        <f t="shared" si="7"/>
        <v>41072.133000000191</v>
      </c>
      <c r="B159" s="172" t="str">
        <f>IF($A$1="Peak","-",IF(BaseLoad!H158&gt;BaseLoad!$G158,B$8*$Z159,0))</f>
        <v>-</v>
      </c>
      <c r="C159" s="172" t="str">
        <f>IF($A$1="Peak","-",IF(BaseLoad!I158&gt;BaseLoad!$G158,C$8*$Z159,0))</f>
        <v>-</v>
      </c>
      <c r="D159" s="172" t="str">
        <f>IF($A$1="Peak","-",IF(BaseLoad!J158&gt;BaseLoad!$G158,D$8*$Z159,0))</f>
        <v>-</v>
      </c>
      <c r="E159" s="172" t="str">
        <f>IF($A$1="Peak","-",IF(BaseLoad!K158&gt;BaseLoad!$G158,E$8*$Z159,0))</f>
        <v>-</v>
      </c>
      <c r="F159" s="172" t="str">
        <f>IF($A$1="Peak","-",IF(BaseLoad!L158&gt;BaseLoad!$G158,F$8*$Z159,0))</f>
        <v>-</v>
      </c>
      <c r="G159" s="172" t="str">
        <f>IF($A$1="Peak","-",IF(BaseLoad!M158&gt;BaseLoad!$G158,G$8*$Z159,0))</f>
        <v>-</v>
      </c>
      <c r="H159" s="172" t="str">
        <f>IF($A$1="Peak","-",IF(BaseLoad!N158&gt;BaseLoad!$G158,H$8*$Z159,0))</f>
        <v>-</v>
      </c>
      <c r="I159" s="172" t="str">
        <f>IF($A$1="Peak","-",IF(BaseLoad!O158&gt;BaseLoad!$G158,I$8*$Z159,0))</f>
        <v>-</v>
      </c>
      <c r="J159" s="172" t="str">
        <f>IF($A$1="Peak","-",IF(BaseLoad!P158&gt;BaseLoad!$G158,J$8*$Z159,0))</f>
        <v>-</v>
      </c>
      <c r="K159" s="172" t="str">
        <f>IF($A$1="Peak","-",IF(BaseLoad!Q158&gt;BaseLoad!$G158,K$8*$Z159,0))</f>
        <v>-</v>
      </c>
      <c r="L159" s="172" t="str">
        <f>IF($A$1="Peak","-",IF(BaseLoad!R158&gt;BaseLoad!$G158,L$8*$Z159,0))</f>
        <v>-</v>
      </c>
      <c r="M159" s="172" t="str">
        <f>IF($A$1="Peak","-",IF(BaseLoad!S158&gt;BaseLoad!$G158,M$8*$Z159,0))</f>
        <v>-</v>
      </c>
      <c r="N159" s="172" t="str">
        <f>IF($A$1="Peak","-",IF(BaseLoad!T158&gt;BaseLoad!$G158,N$8*$Z159,0))</f>
        <v>-</v>
      </c>
      <c r="O159" s="172" t="str">
        <f>IF($A$1="Peak","-",IF(BaseLoad!U158&gt;BaseLoad!$G158,O$8*$Z159,0))</f>
        <v>-</v>
      </c>
      <c r="P159" s="172" t="str">
        <f>IF($A$1="Peak","-",IF(BaseLoad!V158&gt;BaseLoad!$G158,P$8*$Z159,0))</f>
        <v>-</v>
      </c>
      <c r="Q159" s="172" t="str">
        <f>IF($A$1="Peak","-",IF(BaseLoad!W158&gt;BaseLoad!$G158,Q$8*$Z159,0))</f>
        <v>-</v>
      </c>
      <c r="R159" s="172" t="str">
        <f>IF($A$1="Peak","-",IF(BaseLoad!X158&gt;BaseLoad!$G158,R$8*$Z159,0))</f>
        <v>-</v>
      </c>
      <c r="S159" s="172" t="str">
        <f>IF($A$1="Peak","-",IF(BaseLoad!Y158&gt;BaseLoad!$G158,S$8*$Z159,0))</f>
        <v>-</v>
      </c>
      <c r="T159" s="172" t="str">
        <f>IF($A$1="Peak","-",IF(BaseLoad!Z158&gt;BaseLoad!$G158,T$8*$Z159,0))</f>
        <v>-</v>
      </c>
      <c r="U159" s="172" t="str">
        <f>IF($A$1="Peak","-",IF(BaseLoad!AA158&gt;BaseLoad!$G158,U$8*$Z159,0))</f>
        <v>-</v>
      </c>
      <c r="V159" s="172">
        <f t="shared" si="6"/>
        <v>0</v>
      </c>
      <c r="W159" s="172"/>
      <c r="X159" s="172"/>
      <c r="Y159" s="172"/>
      <c r="Z159" s="172">
        <f>CHOOSE(QUOTIENT(MONTH($A159),3)+1,BaseLoad!$AM$9,BaseLoad!$AN$9,BaseLoad!$AL$9,BaseLoad!$AO$9,BaseLoad!$AM$9)</f>
        <v>0.96612135909558572</v>
      </c>
      <c r="AA159" s="172">
        <f>CHOOSE(QUOTIENT(MONTH($A159),3)+1,BaseLoad!$AM$15,BaseLoad!$AN$15,BaseLoad!$AL$15,BaseLoad!$AO$15,BaseLoad!$AM$15)</f>
        <v>705</v>
      </c>
      <c r="AB159" s="471"/>
      <c r="AD159" s="471"/>
    </row>
    <row r="160" spans="1:30" x14ac:dyDescent="0.2">
      <c r="A160" s="1">
        <f t="shared" si="7"/>
        <v>41102.550000000192</v>
      </c>
      <c r="B160" s="172" t="str">
        <f>IF($A$1="Peak","-",IF(BaseLoad!H159&gt;BaseLoad!$G159,B$8*$Z160,0))</f>
        <v>-</v>
      </c>
      <c r="C160" s="172" t="str">
        <f>IF($A$1="Peak","-",IF(BaseLoad!I159&gt;BaseLoad!$G159,C$8*$Z160,0))</f>
        <v>-</v>
      </c>
      <c r="D160" s="172" t="str">
        <f>IF($A$1="Peak","-",IF(BaseLoad!J159&gt;BaseLoad!$G159,D$8*$Z160,0))</f>
        <v>-</v>
      </c>
      <c r="E160" s="172" t="str">
        <f>IF($A$1="Peak","-",IF(BaseLoad!K159&gt;BaseLoad!$G159,E$8*$Z160,0))</f>
        <v>-</v>
      </c>
      <c r="F160" s="172" t="str">
        <f>IF($A$1="Peak","-",IF(BaseLoad!L159&gt;BaseLoad!$G159,F$8*$Z160,0))</f>
        <v>-</v>
      </c>
      <c r="G160" s="172" t="str">
        <f>IF($A$1="Peak","-",IF(BaseLoad!M159&gt;BaseLoad!$G159,G$8*$Z160,0))</f>
        <v>-</v>
      </c>
      <c r="H160" s="172" t="str">
        <f>IF($A$1="Peak","-",IF(BaseLoad!N159&gt;BaseLoad!$G159,H$8*$Z160,0))</f>
        <v>-</v>
      </c>
      <c r="I160" s="172" t="str">
        <f>IF($A$1="Peak","-",IF(BaseLoad!O159&gt;BaseLoad!$G159,I$8*$Z160,0))</f>
        <v>-</v>
      </c>
      <c r="J160" s="172" t="str">
        <f>IF($A$1="Peak","-",IF(BaseLoad!P159&gt;BaseLoad!$G159,J$8*$Z160,0))</f>
        <v>-</v>
      </c>
      <c r="K160" s="172" t="str">
        <f>IF($A$1="Peak","-",IF(BaseLoad!Q159&gt;BaseLoad!$G159,K$8*$Z160,0))</f>
        <v>-</v>
      </c>
      <c r="L160" s="172" t="str">
        <f>IF($A$1="Peak","-",IF(BaseLoad!R159&gt;BaseLoad!$G159,L$8*$Z160,0))</f>
        <v>-</v>
      </c>
      <c r="M160" s="172" t="str">
        <f>IF($A$1="Peak","-",IF(BaseLoad!S159&gt;BaseLoad!$G159,M$8*$Z160,0))</f>
        <v>-</v>
      </c>
      <c r="N160" s="172" t="str">
        <f>IF($A$1="Peak","-",IF(BaseLoad!T159&gt;BaseLoad!$G159,N$8*$Z160,0))</f>
        <v>-</v>
      </c>
      <c r="O160" s="172" t="str">
        <f>IF($A$1="Peak","-",IF(BaseLoad!U159&gt;BaseLoad!$G159,O$8*$Z160,0))</f>
        <v>-</v>
      </c>
      <c r="P160" s="172" t="str">
        <f>IF($A$1="Peak","-",IF(BaseLoad!V159&gt;BaseLoad!$G159,P$8*$Z160,0))</f>
        <v>-</v>
      </c>
      <c r="Q160" s="172" t="str">
        <f>IF($A$1="Peak","-",IF(BaseLoad!W159&gt;BaseLoad!$G159,Q$8*$Z160,0))</f>
        <v>-</v>
      </c>
      <c r="R160" s="172" t="str">
        <f>IF($A$1="Peak","-",IF(BaseLoad!X159&gt;BaseLoad!$G159,R$8*$Z160,0))</f>
        <v>-</v>
      </c>
      <c r="S160" s="172" t="str">
        <f>IF($A$1="Peak","-",IF(BaseLoad!Y159&gt;BaseLoad!$G159,S$8*$Z160,0))</f>
        <v>-</v>
      </c>
      <c r="T160" s="172" t="str">
        <f>IF($A$1="Peak","-",IF(BaseLoad!Z159&gt;BaseLoad!$G159,T$8*$Z160,0))</f>
        <v>-</v>
      </c>
      <c r="U160" s="172" t="str">
        <f>IF($A$1="Peak","-",IF(BaseLoad!AA159&gt;BaseLoad!$G159,U$8*$Z160,0))</f>
        <v>-</v>
      </c>
      <c r="V160" s="172">
        <f t="shared" si="6"/>
        <v>0</v>
      </c>
      <c r="W160" s="172"/>
      <c r="X160" s="172"/>
      <c r="Y160" s="172"/>
      <c r="Z160" s="172">
        <f>CHOOSE(QUOTIENT(MONTH($A160),3)+1,BaseLoad!$AM$9,BaseLoad!$AN$9,BaseLoad!$AL$9,BaseLoad!$AO$9,BaseLoad!$AM$9)</f>
        <v>0.96612135909558572</v>
      </c>
      <c r="AA160" s="172">
        <f>CHOOSE(QUOTIENT(MONTH($A160),3)+1,BaseLoad!$AM$15,BaseLoad!$AN$15,BaseLoad!$AL$15,BaseLoad!$AO$15,BaseLoad!$AM$15)</f>
        <v>705</v>
      </c>
      <c r="AB160" s="471"/>
      <c r="AD160" s="471"/>
    </row>
    <row r="161" spans="1:30" x14ac:dyDescent="0.2">
      <c r="A161" s="1">
        <f t="shared" si="7"/>
        <v>41132.967000000193</v>
      </c>
      <c r="B161" s="172" t="str">
        <f>IF($A$1="Peak","-",IF(BaseLoad!H160&gt;BaseLoad!$G160,B$8*$Z161,0))</f>
        <v>-</v>
      </c>
      <c r="C161" s="172" t="str">
        <f>IF($A$1="Peak","-",IF(BaseLoad!I160&gt;BaseLoad!$G160,C$8*$Z161,0))</f>
        <v>-</v>
      </c>
      <c r="D161" s="172" t="str">
        <f>IF($A$1="Peak","-",IF(BaseLoad!J160&gt;BaseLoad!$G160,D$8*$Z161,0))</f>
        <v>-</v>
      </c>
      <c r="E161" s="172" t="str">
        <f>IF($A$1="Peak","-",IF(BaseLoad!K160&gt;BaseLoad!$G160,E$8*$Z161,0))</f>
        <v>-</v>
      </c>
      <c r="F161" s="172" t="str">
        <f>IF($A$1="Peak","-",IF(BaseLoad!L160&gt;BaseLoad!$G160,F$8*$Z161,0))</f>
        <v>-</v>
      </c>
      <c r="G161" s="172" t="str">
        <f>IF($A$1="Peak","-",IF(BaseLoad!M160&gt;BaseLoad!$G160,G$8*$Z161,0))</f>
        <v>-</v>
      </c>
      <c r="H161" s="172" t="str">
        <f>IF($A$1="Peak","-",IF(BaseLoad!N160&gt;BaseLoad!$G160,H$8*$Z161,0))</f>
        <v>-</v>
      </c>
      <c r="I161" s="172" t="str">
        <f>IF($A$1="Peak","-",IF(BaseLoad!O160&gt;BaseLoad!$G160,I$8*$Z161,0))</f>
        <v>-</v>
      </c>
      <c r="J161" s="172" t="str">
        <f>IF($A$1="Peak","-",IF(BaseLoad!P160&gt;BaseLoad!$G160,J$8*$Z161,0))</f>
        <v>-</v>
      </c>
      <c r="K161" s="172" t="str">
        <f>IF($A$1="Peak","-",IF(BaseLoad!Q160&gt;BaseLoad!$G160,K$8*$Z161,0))</f>
        <v>-</v>
      </c>
      <c r="L161" s="172" t="str">
        <f>IF($A$1="Peak","-",IF(BaseLoad!R160&gt;BaseLoad!$G160,L$8*$Z161,0))</f>
        <v>-</v>
      </c>
      <c r="M161" s="172" t="str">
        <f>IF($A$1="Peak","-",IF(BaseLoad!S160&gt;BaseLoad!$G160,M$8*$Z161,0))</f>
        <v>-</v>
      </c>
      <c r="N161" s="172" t="str">
        <f>IF($A$1="Peak","-",IF(BaseLoad!T160&gt;BaseLoad!$G160,N$8*$Z161,0))</f>
        <v>-</v>
      </c>
      <c r="O161" s="172" t="str">
        <f>IF($A$1="Peak","-",IF(BaseLoad!U160&gt;BaseLoad!$G160,O$8*$Z161,0))</f>
        <v>-</v>
      </c>
      <c r="P161" s="172" t="str">
        <f>IF($A$1="Peak","-",IF(BaseLoad!V160&gt;BaseLoad!$G160,P$8*$Z161,0))</f>
        <v>-</v>
      </c>
      <c r="Q161" s="172" t="str">
        <f>IF($A$1="Peak","-",IF(BaseLoad!W160&gt;BaseLoad!$G160,Q$8*$Z161,0))</f>
        <v>-</v>
      </c>
      <c r="R161" s="172" t="str">
        <f>IF($A$1="Peak","-",IF(BaseLoad!X160&gt;BaseLoad!$G160,R$8*$Z161,0))</f>
        <v>-</v>
      </c>
      <c r="S161" s="172" t="str">
        <f>IF($A$1="Peak","-",IF(BaseLoad!Y160&gt;BaseLoad!$G160,S$8*$Z161,0))</f>
        <v>-</v>
      </c>
      <c r="T161" s="172" t="str">
        <f>IF($A$1="Peak","-",IF(BaseLoad!Z160&gt;BaseLoad!$G160,T$8*$Z161,0))</f>
        <v>-</v>
      </c>
      <c r="U161" s="172" t="str">
        <f>IF($A$1="Peak","-",IF(BaseLoad!AA160&gt;BaseLoad!$G160,U$8*$Z161,0))</f>
        <v>-</v>
      </c>
      <c r="V161" s="172">
        <f t="shared" si="6"/>
        <v>0</v>
      </c>
      <c r="W161" s="172"/>
      <c r="X161" s="172"/>
      <c r="Y161" s="172"/>
      <c r="Z161" s="172">
        <f>CHOOSE(QUOTIENT(MONTH($A161),3)+1,BaseLoad!$AM$9,BaseLoad!$AN$9,BaseLoad!$AL$9,BaseLoad!$AO$9,BaseLoad!$AM$9)</f>
        <v>0.96612135909558572</v>
      </c>
      <c r="AA161" s="172">
        <f>CHOOSE(QUOTIENT(MONTH($A161),3)+1,BaseLoad!$AM$15,BaseLoad!$AN$15,BaseLoad!$AL$15,BaseLoad!$AO$15,BaseLoad!$AM$15)</f>
        <v>705</v>
      </c>
      <c r="AB161" s="471"/>
      <c r="AD161" s="471"/>
    </row>
    <row r="162" spans="1:30" x14ac:dyDescent="0.2">
      <c r="A162" s="1">
        <f t="shared" si="7"/>
        <v>41163.384000000195</v>
      </c>
      <c r="B162" s="172" t="str">
        <f>IF($A$1="Peak","-",IF(BaseLoad!H161&gt;BaseLoad!$G161,B$8*$Z162,0))</f>
        <v>-</v>
      </c>
      <c r="C162" s="172" t="str">
        <f>IF($A$1="Peak","-",IF(BaseLoad!I161&gt;BaseLoad!$G161,C$8*$Z162,0))</f>
        <v>-</v>
      </c>
      <c r="D162" s="172" t="str">
        <f>IF($A$1="Peak","-",IF(BaseLoad!J161&gt;BaseLoad!$G161,D$8*$Z162,0))</f>
        <v>-</v>
      </c>
      <c r="E162" s="172" t="str">
        <f>IF($A$1="Peak","-",IF(BaseLoad!K161&gt;BaseLoad!$G161,E$8*$Z162,0))</f>
        <v>-</v>
      </c>
      <c r="F162" s="172" t="str">
        <f>IF($A$1="Peak","-",IF(BaseLoad!L161&gt;BaseLoad!$G161,F$8*$Z162,0))</f>
        <v>-</v>
      </c>
      <c r="G162" s="172" t="str">
        <f>IF($A$1="Peak","-",IF(BaseLoad!M161&gt;BaseLoad!$G161,G$8*$Z162,0))</f>
        <v>-</v>
      </c>
      <c r="H162" s="172" t="str">
        <f>IF($A$1="Peak","-",IF(BaseLoad!N161&gt;BaseLoad!$G161,H$8*$Z162,0))</f>
        <v>-</v>
      </c>
      <c r="I162" s="172" t="str">
        <f>IF($A$1="Peak","-",IF(BaseLoad!O161&gt;BaseLoad!$G161,I$8*$Z162,0))</f>
        <v>-</v>
      </c>
      <c r="J162" s="172" t="str">
        <f>IF($A$1="Peak","-",IF(BaseLoad!P161&gt;BaseLoad!$G161,J$8*$Z162,0))</f>
        <v>-</v>
      </c>
      <c r="K162" s="172" t="str">
        <f>IF($A$1="Peak","-",IF(BaseLoad!Q161&gt;BaseLoad!$G161,K$8*$Z162,0))</f>
        <v>-</v>
      </c>
      <c r="L162" s="172" t="str">
        <f>IF($A$1="Peak","-",IF(BaseLoad!R161&gt;BaseLoad!$G161,L$8*$Z162,0))</f>
        <v>-</v>
      </c>
      <c r="M162" s="172" t="str">
        <f>IF($A$1="Peak","-",IF(BaseLoad!S161&gt;BaseLoad!$G161,M$8*$Z162,0))</f>
        <v>-</v>
      </c>
      <c r="N162" s="172" t="str">
        <f>IF($A$1="Peak","-",IF(BaseLoad!T161&gt;BaseLoad!$G161,N$8*$Z162,0))</f>
        <v>-</v>
      </c>
      <c r="O162" s="172" t="str">
        <f>IF($A$1="Peak","-",IF(BaseLoad!U161&gt;BaseLoad!$G161,O$8*$Z162,0))</f>
        <v>-</v>
      </c>
      <c r="P162" s="172" t="str">
        <f>IF($A$1="Peak","-",IF(BaseLoad!V161&gt;BaseLoad!$G161,P$8*$Z162,0))</f>
        <v>-</v>
      </c>
      <c r="Q162" s="172" t="str">
        <f>IF($A$1="Peak","-",IF(BaseLoad!W161&gt;BaseLoad!$G161,Q$8*$Z162,0))</f>
        <v>-</v>
      </c>
      <c r="R162" s="172" t="str">
        <f>IF($A$1="Peak","-",IF(BaseLoad!X161&gt;BaseLoad!$G161,R$8*$Z162,0))</f>
        <v>-</v>
      </c>
      <c r="S162" s="172" t="str">
        <f>IF($A$1="Peak","-",IF(BaseLoad!Y161&gt;BaseLoad!$G161,S$8*$Z162,0))</f>
        <v>-</v>
      </c>
      <c r="T162" s="172" t="str">
        <f>IF($A$1="Peak","-",IF(BaseLoad!Z161&gt;BaseLoad!$G161,T$8*$Z162,0))</f>
        <v>-</v>
      </c>
      <c r="U162" s="172" t="str">
        <f>IF($A$1="Peak","-",IF(BaseLoad!AA161&gt;BaseLoad!$G161,U$8*$Z162,0))</f>
        <v>-</v>
      </c>
      <c r="V162" s="172">
        <f t="shared" si="6"/>
        <v>0</v>
      </c>
      <c r="W162" s="172"/>
      <c r="X162" s="172"/>
      <c r="Y162" s="172"/>
      <c r="Z162" s="172">
        <f>CHOOSE(QUOTIENT(MONTH($A162),3)+1,BaseLoad!$AM$9,BaseLoad!$AN$9,BaseLoad!$AL$9,BaseLoad!$AO$9,BaseLoad!$AM$9)</f>
        <v>0.95</v>
      </c>
      <c r="AA162" s="172">
        <f>CHOOSE(QUOTIENT(MONTH($A162),3)+1,BaseLoad!$AM$15,BaseLoad!$AN$15,BaseLoad!$AL$15,BaseLoad!$AO$15,BaseLoad!$AM$15)</f>
        <v>705</v>
      </c>
      <c r="AB162" s="471"/>
      <c r="AD162" s="471"/>
    </row>
    <row r="163" spans="1:30" x14ac:dyDescent="0.2">
      <c r="A163" s="1">
        <f t="shared" si="7"/>
        <v>41193.801000000196</v>
      </c>
      <c r="B163" s="172" t="str">
        <f>IF($A$1="Peak","-",IF(BaseLoad!H162&gt;BaseLoad!$G162,B$8*$Z163,0))</f>
        <v>-</v>
      </c>
      <c r="C163" s="172" t="str">
        <f>IF($A$1="Peak","-",IF(BaseLoad!I162&gt;BaseLoad!$G162,C$8*$Z163,0))</f>
        <v>-</v>
      </c>
      <c r="D163" s="172" t="str">
        <f>IF($A$1="Peak","-",IF(BaseLoad!J162&gt;BaseLoad!$G162,D$8*$Z163,0))</f>
        <v>-</v>
      </c>
      <c r="E163" s="172" t="str">
        <f>IF($A$1="Peak","-",IF(BaseLoad!K162&gt;BaseLoad!$G162,E$8*$Z163,0))</f>
        <v>-</v>
      </c>
      <c r="F163" s="172" t="str">
        <f>IF($A$1="Peak","-",IF(BaseLoad!L162&gt;BaseLoad!$G162,F$8*$Z163,0))</f>
        <v>-</v>
      </c>
      <c r="G163" s="172" t="str">
        <f>IF($A$1="Peak","-",IF(BaseLoad!M162&gt;BaseLoad!$G162,G$8*$Z163,0))</f>
        <v>-</v>
      </c>
      <c r="H163" s="172" t="str">
        <f>IF($A$1="Peak","-",IF(BaseLoad!N162&gt;BaseLoad!$G162,H$8*$Z163,0))</f>
        <v>-</v>
      </c>
      <c r="I163" s="172" t="str">
        <f>IF($A$1="Peak","-",IF(BaseLoad!O162&gt;BaseLoad!$G162,I$8*$Z163,0))</f>
        <v>-</v>
      </c>
      <c r="J163" s="172" t="str">
        <f>IF($A$1="Peak","-",IF(BaseLoad!P162&gt;BaseLoad!$G162,J$8*$Z163,0))</f>
        <v>-</v>
      </c>
      <c r="K163" s="172" t="str">
        <f>IF($A$1="Peak","-",IF(BaseLoad!Q162&gt;BaseLoad!$G162,K$8*$Z163,0))</f>
        <v>-</v>
      </c>
      <c r="L163" s="172" t="str">
        <f>IF($A$1="Peak","-",IF(BaseLoad!R162&gt;BaseLoad!$G162,L$8*$Z163,0))</f>
        <v>-</v>
      </c>
      <c r="M163" s="172" t="str">
        <f>IF($A$1="Peak","-",IF(BaseLoad!S162&gt;BaseLoad!$G162,M$8*$Z163,0))</f>
        <v>-</v>
      </c>
      <c r="N163" s="172" t="str">
        <f>IF($A$1="Peak","-",IF(BaseLoad!T162&gt;BaseLoad!$G162,N$8*$Z163,0))</f>
        <v>-</v>
      </c>
      <c r="O163" s="172" t="str">
        <f>IF($A$1="Peak","-",IF(BaseLoad!U162&gt;BaseLoad!$G162,O$8*$Z163,0))</f>
        <v>-</v>
      </c>
      <c r="P163" s="172" t="str">
        <f>IF($A$1="Peak","-",IF(BaseLoad!V162&gt;BaseLoad!$G162,P$8*$Z163,0))</f>
        <v>-</v>
      </c>
      <c r="Q163" s="172" t="str">
        <f>IF($A$1="Peak","-",IF(BaseLoad!W162&gt;BaseLoad!$G162,Q$8*$Z163,0))</f>
        <v>-</v>
      </c>
      <c r="R163" s="172" t="str">
        <f>IF($A$1="Peak","-",IF(BaseLoad!X162&gt;BaseLoad!$G162,R$8*$Z163,0))</f>
        <v>-</v>
      </c>
      <c r="S163" s="172" t="str">
        <f>IF($A$1="Peak","-",IF(BaseLoad!Y162&gt;BaseLoad!$G162,S$8*$Z163,0))</f>
        <v>-</v>
      </c>
      <c r="T163" s="172" t="str">
        <f>IF($A$1="Peak","-",IF(BaseLoad!Z162&gt;BaseLoad!$G162,T$8*$Z163,0))</f>
        <v>-</v>
      </c>
      <c r="U163" s="172" t="str">
        <f>IF($A$1="Peak","-",IF(BaseLoad!AA162&gt;BaseLoad!$G162,U$8*$Z163,0))</f>
        <v>-</v>
      </c>
      <c r="V163" s="172">
        <f t="shared" si="6"/>
        <v>0</v>
      </c>
      <c r="W163" s="172"/>
      <c r="X163" s="172"/>
      <c r="Y163" s="172"/>
      <c r="Z163" s="172">
        <f>CHOOSE(QUOTIENT(MONTH($A163),3)+1,BaseLoad!$AM$9,BaseLoad!$AN$9,BaseLoad!$AL$9,BaseLoad!$AO$9,BaseLoad!$AM$9)</f>
        <v>0.95</v>
      </c>
      <c r="AA163" s="172">
        <f>CHOOSE(QUOTIENT(MONTH($A163),3)+1,BaseLoad!$AM$15,BaseLoad!$AN$15,BaseLoad!$AL$15,BaseLoad!$AO$15,BaseLoad!$AM$15)</f>
        <v>705</v>
      </c>
      <c r="AB163" s="471"/>
      <c r="AD163" s="471"/>
    </row>
    <row r="164" spans="1:30" x14ac:dyDescent="0.2">
      <c r="A164" s="1">
        <f t="shared" si="7"/>
        <v>41224.218000000197</v>
      </c>
      <c r="B164" s="172" t="str">
        <f>IF($A$1="Peak","-",IF(BaseLoad!H163&gt;BaseLoad!$G163,B$8*$Z164,0))</f>
        <v>-</v>
      </c>
      <c r="C164" s="172" t="str">
        <f>IF($A$1="Peak","-",IF(BaseLoad!I163&gt;BaseLoad!$G163,C$8*$Z164,0))</f>
        <v>-</v>
      </c>
      <c r="D164" s="172" t="str">
        <f>IF($A$1="Peak","-",IF(BaseLoad!J163&gt;BaseLoad!$G163,D$8*$Z164,0))</f>
        <v>-</v>
      </c>
      <c r="E164" s="172" t="str">
        <f>IF($A$1="Peak","-",IF(BaseLoad!K163&gt;BaseLoad!$G163,E$8*$Z164,0))</f>
        <v>-</v>
      </c>
      <c r="F164" s="172" t="str">
        <f>IF($A$1="Peak","-",IF(BaseLoad!L163&gt;BaseLoad!$G163,F$8*$Z164,0))</f>
        <v>-</v>
      </c>
      <c r="G164" s="172" t="str">
        <f>IF($A$1="Peak","-",IF(BaseLoad!M163&gt;BaseLoad!$G163,G$8*$Z164,0))</f>
        <v>-</v>
      </c>
      <c r="H164" s="172" t="str">
        <f>IF($A$1="Peak","-",IF(BaseLoad!N163&gt;BaseLoad!$G163,H$8*$Z164,0))</f>
        <v>-</v>
      </c>
      <c r="I164" s="172" t="str">
        <f>IF($A$1="Peak","-",IF(BaseLoad!O163&gt;BaseLoad!$G163,I$8*$Z164,0))</f>
        <v>-</v>
      </c>
      <c r="J164" s="172" t="str">
        <f>IF($A$1="Peak","-",IF(BaseLoad!P163&gt;BaseLoad!$G163,J$8*$Z164,0))</f>
        <v>-</v>
      </c>
      <c r="K164" s="172" t="str">
        <f>IF($A$1="Peak","-",IF(BaseLoad!Q163&gt;BaseLoad!$G163,K$8*$Z164,0))</f>
        <v>-</v>
      </c>
      <c r="L164" s="172" t="str">
        <f>IF($A$1="Peak","-",IF(BaseLoad!R163&gt;BaseLoad!$G163,L$8*$Z164,0))</f>
        <v>-</v>
      </c>
      <c r="M164" s="172" t="str">
        <f>IF($A$1="Peak","-",IF(BaseLoad!S163&gt;BaseLoad!$G163,M$8*$Z164,0))</f>
        <v>-</v>
      </c>
      <c r="N164" s="172" t="str">
        <f>IF($A$1="Peak","-",IF(BaseLoad!T163&gt;BaseLoad!$G163,N$8*$Z164,0))</f>
        <v>-</v>
      </c>
      <c r="O164" s="172" t="str">
        <f>IF($A$1="Peak","-",IF(BaseLoad!U163&gt;BaseLoad!$G163,O$8*$Z164,0))</f>
        <v>-</v>
      </c>
      <c r="P164" s="172" t="str">
        <f>IF($A$1="Peak","-",IF(BaseLoad!V163&gt;BaseLoad!$G163,P$8*$Z164,0))</f>
        <v>-</v>
      </c>
      <c r="Q164" s="172" t="str">
        <f>IF($A$1="Peak","-",IF(BaseLoad!W163&gt;BaseLoad!$G163,Q$8*$Z164,0))</f>
        <v>-</v>
      </c>
      <c r="R164" s="172" t="str">
        <f>IF($A$1="Peak","-",IF(BaseLoad!X163&gt;BaseLoad!$G163,R$8*$Z164,0))</f>
        <v>-</v>
      </c>
      <c r="S164" s="172" t="str">
        <f>IF($A$1="Peak","-",IF(BaseLoad!Y163&gt;BaseLoad!$G163,S$8*$Z164,0))</f>
        <v>-</v>
      </c>
      <c r="T164" s="172" t="str">
        <f>IF($A$1="Peak","-",IF(BaseLoad!Z163&gt;BaseLoad!$G163,T$8*$Z164,0))</f>
        <v>-</v>
      </c>
      <c r="U164" s="172" t="str">
        <f>IF($A$1="Peak","-",IF(BaseLoad!AA163&gt;BaseLoad!$G163,U$8*$Z164,0))</f>
        <v>-</v>
      </c>
      <c r="V164" s="172">
        <f t="shared" si="6"/>
        <v>0</v>
      </c>
      <c r="W164" s="172"/>
      <c r="X164" s="172"/>
      <c r="Y164" s="172"/>
      <c r="Z164" s="172">
        <f>CHOOSE(QUOTIENT(MONTH($A164),3)+1,BaseLoad!$AM$9,BaseLoad!$AN$9,BaseLoad!$AL$9,BaseLoad!$AO$9,BaseLoad!$AM$9)</f>
        <v>0.95</v>
      </c>
      <c r="AA164" s="172">
        <f>CHOOSE(QUOTIENT(MONTH($A164),3)+1,BaseLoad!$AM$15,BaseLoad!$AN$15,BaseLoad!$AL$15,BaseLoad!$AO$15,BaseLoad!$AM$15)</f>
        <v>705</v>
      </c>
      <c r="AB164" s="471"/>
      <c r="AD164" s="471"/>
    </row>
    <row r="165" spans="1:30" x14ac:dyDescent="0.2">
      <c r="A165" s="1">
        <f t="shared" si="7"/>
        <v>41254.635000000198</v>
      </c>
      <c r="B165" s="172" t="str">
        <f>IF($A$1="Peak","-",IF(BaseLoad!H164&gt;BaseLoad!$G164,B$8*$Z165,0))</f>
        <v>-</v>
      </c>
      <c r="C165" s="172" t="str">
        <f>IF($A$1="Peak","-",IF(BaseLoad!I164&gt;BaseLoad!$G164,C$8*$Z165,0))</f>
        <v>-</v>
      </c>
      <c r="D165" s="172" t="str">
        <f>IF($A$1="Peak","-",IF(BaseLoad!J164&gt;BaseLoad!$G164,D$8*$Z165,0))</f>
        <v>-</v>
      </c>
      <c r="E165" s="172" t="str">
        <f>IF($A$1="Peak","-",IF(BaseLoad!K164&gt;BaseLoad!$G164,E$8*$Z165,0))</f>
        <v>-</v>
      </c>
      <c r="F165" s="172" t="str">
        <f>IF($A$1="Peak","-",IF(BaseLoad!L164&gt;BaseLoad!$G164,F$8*$Z165,0))</f>
        <v>-</v>
      </c>
      <c r="G165" s="172" t="str">
        <f>IF($A$1="Peak","-",IF(BaseLoad!M164&gt;BaseLoad!$G164,G$8*$Z165,0))</f>
        <v>-</v>
      </c>
      <c r="H165" s="172" t="str">
        <f>IF($A$1="Peak","-",IF(BaseLoad!N164&gt;BaseLoad!$G164,H$8*$Z165,0))</f>
        <v>-</v>
      </c>
      <c r="I165" s="172" t="str">
        <f>IF($A$1="Peak","-",IF(BaseLoad!O164&gt;BaseLoad!$G164,I$8*$Z165,0))</f>
        <v>-</v>
      </c>
      <c r="J165" s="172" t="str">
        <f>IF($A$1="Peak","-",IF(BaseLoad!P164&gt;BaseLoad!$G164,J$8*$Z165,0))</f>
        <v>-</v>
      </c>
      <c r="K165" s="172" t="str">
        <f>IF($A$1="Peak","-",IF(BaseLoad!Q164&gt;BaseLoad!$G164,K$8*$Z165,0))</f>
        <v>-</v>
      </c>
      <c r="L165" s="172" t="str">
        <f>IF($A$1="Peak","-",IF(BaseLoad!R164&gt;BaseLoad!$G164,L$8*$Z165,0))</f>
        <v>-</v>
      </c>
      <c r="M165" s="172" t="str">
        <f>IF($A$1="Peak","-",IF(BaseLoad!S164&gt;BaseLoad!$G164,M$8*$Z165,0))</f>
        <v>-</v>
      </c>
      <c r="N165" s="172" t="str">
        <f>IF($A$1="Peak","-",IF(BaseLoad!T164&gt;BaseLoad!$G164,N$8*$Z165,0))</f>
        <v>-</v>
      </c>
      <c r="O165" s="172" t="str">
        <f>IF($A$1="Peak","-",IF(BaseLoad!U164&gt;BaseLoad!$G164,O$8*$Z165,0))</f>
        <v>-</v>
      </c>
      <c r="P165" s="172" t="str">
        <f>IF($A$1="Peak","-",IF(BaseLoad!V164&gt;BaseLoad!$G164,P$8*$Z165,0))</f>
        <v>-</v>
      </c>
      <c r="Q165" s="172" t="str">
        <f>IF($A$1="Peak","-",IF(BaseLoad!W164&gt;BaseLoad!$G164,Q$8*$Z165,0))</f>
        <v>-</v>
      </c>
      <c r="R165" s="172" t="str">
        <f>IF($A$1="Peak","-",IF(BaseLoad!X164&gt;BaseLoad!$G164,R$8*$Z165,0))</f>
        <v>-</v>
      </c>
      <c r="S165" s="172" t="str">
        <f>IF($A$1="Peak","-",IF(BaseLoad!Y164&gt;BaseLoad!$G164,S$8*$Z165,0))</f>
        <v>-</v>
      </c>
      <c r="T165" s="172" t="str">
        <f>IF($A$1="Peak","-",IF(BaseLoad!Z164&gt;BaseLoad!$G164,T$8*$Z165,0))</f>
        <v>-</v>
      </c>
      <c r="U165" s="172" t="str">
        <f>IF($A$1="Peak","-",IF(BaseLoad!AA164&gt;BaseLoad!$G164,U$8*$Z165,0))</f>
        <v>-</v>
      </c>
      <c r="V165" s="172">
        <f t="shared" si="6"/>
        <v>0</v>
      </c>
      <c r="W165" s="172"/>
      <c r="X165" s="172"/>
      <c r="Y165" s="172">
        <f>SUM(V154:V165)</f>
        <v>0</v>
      </c>
      <c r="Z165" s="172">
        <f>CHOOSE(QUOTIENT(MONTH($A165),3)+1,BaseLoad!$AM$9,BaseLoad!$AN$9,BaseLoad!$AL$9,BaseLoad!$AO$9,BaseLoad!$AM$9)</f>
        <v>0.92427661878611755</v>
      </c>
      <c r="AA165" s="172">
        <f>CHOOSE(QUOTIENT(MONTH($A165),3)+1,BaseLoad!$AM$15,BaseLoad!$AN$15,BaseLoad!$AL$15,BaseLoad!$AO$15,BaseLoad!$AM$15)</f>
        <v>705</v>
      </c>
      <c r="AB165" s="471"/>
      <c r="AD165" s="471"/>
    </row>
    <row r="166" spans="1:30" x14ac:dyDescent="0.2">
      <c r="A166" s="1">
        <f t="shared" si="7"/>
        <v>41285.0520000002</v>
      </c>
      <c r="B166" s="172" t="str">
        <f>IF($A$1="Peak","-",IF(BaseLoad!H165&gt;BaseLoad!$G165,B$8*$Z166,0))</f>
        <v>-</v>
      </c>
      <c r="C166" s="172" t="str">
        <f>IF($A$1="Peak","-",IF(BaseLoad!I165&gt;BaseLoad!$G165,C$8*$Z166,0))</f>
        <v>-</v>
      </c>
      <c r="D166" s="172" t="str">
        <f>IF($A$1="Peak","-",IF(BaseLoad!J165&gt;BaseLoad!$G165,D$8*$Z166,0))</f>
        <v>-</v>
      </c>
      <c r="E166" s="172" t="str">
        <f>IF($A$1="Peak","-",IF(BaseLoad!K165&gt;BaseLoad!$G165,E$8*$Z166,0))</f>
        <v>-</v>
      </c>
      <c r="F166" s="172" t="str">
        <f>IF($A$1="Peak","-",IF(BaseLoad!L165&gt;BaseLoad!$G165,F$8*$Z166,0))</f>
        <v>-</v>
      </c>
      <c r="G166" s="172" t="str">
        <f>IF($A$1="Peak","-",IF(BaseLoad!M165&gt;BaseLoad!$G165,G$8*$Z166,0))</f>
        <v>-</v>
      </c>
      <c r="H166" s="172" t="str">
        <f>IF($A$1="Peak","-",IF(BaseLoad!N165&gt;BaseLoad!$G165,H$8*$Z166,0))</f>
        <v>-</v>
      </c>
      <c r="I166" s="172" t="str">
        <f>IF($A$1="Peak","-",IF(BaseLoad!O165&gt;BaseLoad!$G165,I$8*$Z166,0))</f>
        <v>-</v>
      </c>
      <c r="J166" s="172" t="str">
        <f>IF($A$1="Peak","-",IF(BaseLoad!P165&gt;BaseLoad!$G165,J$8*$Z166,0))</f>
        <v>-</v>
      </c>
      <c r="K166" s="172" t="str">
        <f>IF($A$1="Peak","-",IF(BaseLoad!Q165&gt;BaseLoad!$G165,K$8*$Z166,0))</f>
        <v>-</v>
      </c>
      <c r="L166" s="172" t="str">
        <f>IF($A$1="Peak","-",IF(BaseLoad!R165&gt;BaseLoad!$G165,L$8*$Z166,0))</f>
        <v>-</v>
      </c>
      <c r="M166" s="172" t="str">
        <f>IF($A$1="Peak","-",IF(BaseLoad!S165&gt;BaseLoad!$G165,M$8*$Z166,0))</f>
        <v>-</v>
      </c>
      <c r="N166" s="172" t="str">
        <f>IF($A$1="Peak","-",IF(BaseLoad!T165&gt;BaseLoad!$G165,N$8*$Z166,0))</f>
        <v>-</v>
      </c>
      <c r="O166" s="172" t="str">
        <f>IF($A$1="Peak","-",IF(BaseLoad!U165&gt;BaseLoad!$G165,O$8*$Z166,0))</f>
        <v>-</v>
      </c>
      <c r="P166" s="172" t="str">
        <f>IF($A$1="Peak","-",IF(BaseLoad!V165&gt;BaseLoad!$G165,P$8*$Z166,0))</f>
        <v>-</v>
      </c>
      <c r="Q166" s="172" t="str">
        <f>IF($A$1="Peak","-",IF(BaseLoad!W165&gt;BaseLoad!$G165,Q$8*$Z166,0))</f>
        <v>-</v>
      </c>
      <c r="R166" s="172" t="str">
        <f>IF($A$1="Peak","-",IF(BaseLoad!X165&gt;BaseLoad!$G165,R$8*$Z166,0))</f>
        <v>-</v>
      </c>
      <c r="S166" s="172" t="str">
        <f>IF($A$1="Peak","-",IF(BaseLoad!Y165&gt;BaseLoad!$G165,S$8*$Z166,0))</f>
        <v>-</v>
      </c>
      <c r="T166" s="172" t="str">
        <f>IF($A$1="Peak","-",IF(BaseLoad!Z165&gt;BaseLoad!$G165,T$8*$Z166,0))</f>
        <v>-</v>
      </c>
      <c r="U166" s="172" t="str">
        <f>IF($A$1="Peak","-",IF(BaseLoad!AA165&gt;BaseLoad!$G165,U$8*$Z166,0))</f>
        <v>-</v>
      </c>
      <c r="V166" s="172">
        <f t="shared" si="6"/>
        <v>0</v>
      </c>
      <c r="W166" s="172"/>
      <c r="X166" s="172"/>
      <c r="Y166" s="172"/>
      <c r="Z166" s="172">
        <f>CHOOSE(QUOTIENT(MONTH($A166),3)+1,BaseLoad!$AM$9,BaseLoad!$AN$9,BaseLoad!$AL$9,BaseLoad!$AO$9,BaseLoad!$AM$9)</f>
        <v>0.92427661878611755</v>
      </c>
      <c r="AA166" s="172">
        <f>CHOOSE(QUOTIENT(MONTH($A166),3)+1,BaseLoad!$AM$15,BaseLoad!$AN$15,BaseLoad!$AL$15,BaseLoad!$AO$15,BaseLoad!$AM$15)</f>
        <v>705</v>
      </c>
      <c r="AB166" s="471"/>
      <c r="AD166" s="471"/>
    </row>
    <row r="167" spans="1:30" x14ac:dyDescent="0.2">
      <c r="A167" s="1">
        <f t="shared" si="7"/>
        <v>41315.469000000201</v>
      </c>
      <c r="B167" s="172" t="str">
        <f>IF($A$1="Peak","-",IF(BaseLoad!H166&gt;BaseLoad!$G166,B$8*$Z167,0))</f>
        <v>-</v>
      </c>
      <c r="C167" s="172" t="str">
        <f>IF($A$1="Peak","-",IF(BaseLoad!I166&gt;BaseLoad!$G166,C$8*$Z167,0))</f>
        <v>-</v>
      </c>
      <c r="D167" s="172" t="str">
        <f>IF($A$1="Peak","-",IF(BaseLoad!J166&gt;BaseLoad!$G166,D$8*$Z167,0))</f>
        <v>-</v>
      </c>
      <c r="E167" s="172" t="str">
        <f>IF($A$1="Peak","-",IF(BaseLoad!K166&gt;BaseLoad!$G166,E$8*$Z167,0))</f>
        <v>-</v>
      </c>
      <c r="F167" s="172" t="str">
        <f>IF($A$1="Peak","-",IF(BaseLoad!L166&gt;BaseLoad!$G166,F$8*$Z167,0))</f>
        <v>-</v>
      </c>
      <c r="G167" s="172" t="str">
        <f>IF($A$1="Peak","-",IF(BaseLoad!M166&gt;BaseLoad!$G166,G$8*$Z167,0))</f>
        <v>-</v>
      </c>
      <c r="H167" s="172" t="str">
        <f>IF($A$1="Peak","-",IF(BaseLoad!N166&gt;BaseLoad!$G166,H$8*$Z167,0))</f>
        <v>-</v>
      </c>
      <c r="I167" s="172" t="str">
        <f>IF($A$1="Peak","-",IF(BaseLoad!O166&gt;BaseLoad!$G166,I$8*$Z167,0))</f>
        <v>-</v>
      </c>
      <c r="J167" s="172" t="str">
        <f>IF($A$1="Peak","-",IF(BaseLoad!P166&gt;BaseLoad!$G166,J$8*$Z167,0))</f>
        <v>-</v>
      </c>
      <c r="K167" s="172" t="str">
        <f>IF($A$1="Peak","-",IF(BaseLoad!Q166&gt;BaseLoad!$G166,K$8*$Z167,0))</f>
        <v>-</v>
      </c>
      <c r="L167" s="172" t="str">
        <f>IF($A$1="Peak","-",IF(BaseLoad!R166&gt;BaseLoad!$G166,L$8*$Z167,0))</f>
        <v>-</v>
      </c>
      <c r="M167" s="172" t="str">
        <f>IF($A$1="Peak","-",IF(BaseLoad!S166&gt;BaseLoad!$G166,M$8*$Z167,0))</f>
        <v>-</v>
      </c>
      <c r="N167" s="172" t="str">
        <f>IF($A$1="Peak","-",IF(BaseLoad!T166&gt;BaseLoad!$G166,N$8*$Z167,0))</f>
        <v>-</v>
      </c>
      <c r="O167" s="172" t="str">
        <f>IF($A$1="Peak","-",IF(BaseLoad!U166&gt;BaseLoad!$G166,O$8*$Z167,0))</f>
        <v>-</v>
      </c>
      <c r="P167" s="172" t="str">
        <f>IF($A$1="Peak","-",IF(BaseLoad!V166&gt;BaseLoad!$G166,P$8*$Z167,0))</f>
        <v>-</v>
      </c>
      <c r="Q167" s="172" t="str">
        <f>IF($A$1="Peak","-",IF(BaseLoad!W166&gt;BaseLoad!$G166,Q$8*$Z167,0))</f>
        <v>-</v>
      </c>
      <c r="R167" s="172" t="str">
        <f>IF($A$1="Peak","-",IF(BaseLoad!X166&gt;BaseLoad!$G166,R$8*$Z167,0))</f>
        <v>-</v>
      </c>
      <c r="S167" s="172" t="str">
        <f>IF($A$1="Peak","-",IF(BaseLoad!Y166&gt;BaseLoad!$G166,S$8*$Z167,0))</f>
        <v>-</v>
      </c>
      <c r="T167" s="172" t="str">
        <f>IF($A$1="Peak","-",IF(BaseLoad!Z166&gt;BaseLoad!$G166,T$8*$Z167,0))</f>
        <v>-</v>
      </c>
      <c r="U167" s="172" t="str">
        <f>IF($A$1="Peak","-",IF(BaseLoad!AA166&gt;BaseLoad!$G166,U$8*$Z167,0))</f>
        <v>-</v>
      </c>
      <c r="V167" s="172">
        <f t="shared" si="6"/>
        <v>0</v>
      </c>
      <c r="W167" s="172"/>
      <c r="X167" s="172"/>
      <c r="Y167" s="172"/>
      <c r="Z167" s="172">
        <f>CHOOSE(QUOTIENT(MONTH($A167),3)+1,BaseLoad!$AM$9,BaseLoad!$AN$9,BaseLoad!$AL$9,BaseLoad!$AO$9,BaseLoad!$AM$9)</f>
        <v>0.92427661878611755</v>
      </c>
      <c r="AA167" s="172">
        <f>CHOOSE(QUOTIENT(MONTH($A167),3)+1,BaseLoad!$AM$15,BaseLoad!$AN$15,BaseLoad!$AL$15,BaseLoad!$AO$15,BaseLoad!$AM$15)</f>
        <v>705</v>
      </c>
      <c r="AB167" s="471"/>
      <c r="AD167" s="471"/>
    </row>
    <row r="168" spans="1:30" x14ac:dyDescent="0.2">
      <c r="A168" s="1">
        <f t="shared" si="7"/>
        <v>41345.886000000202</v>
      </c>
      <c r="B168" s="172" t="str">
        <f>IF($A$1="Peak","-",IF(BaseLoad!H167&gt;BaseLoad!$G167,B$8*$Z168,0))</f>
        <v>-</v>
      </c>
      <c r="C168" s="172" t="str">
        <f>IF($A$1="Peak","-",IF(BaseLoad!I167&gt;BaseLoad!$G167,C$8*$Z168,0))</f>
        <v>-</v>
      </c>
      <c r="D168" s="172" t="str">
        <f>IF($A$1="Peak","-",IF(BaseLoad!J167&gt;BaseLoad!$G167,D$8*$Z168,0))</f>
        <v>-</v>
      </c>
      <c r="E168" s="172" t="str">
        <f>IF($A$1="Peak","-",IF(BaseLoad!K167&gt;BaseLoad!$G167,E$8*$Z168,0))</f>
        <v>-</v>
      </c>
      <c r="F168" s="172" t="str">
        <f>IF($A$1="Peak","-",IF(BaseLoad!L167&gt;BaseLoad!$G167,F$8*$Z168,0))</f>
        <v>-</v>
      </c>
      <c r="G168" s="172" t="str">
        <f>IF($A$1="Peak","-",IF(BaseLoad!M167&gt;BaseLoad!$G167,G$8*$Z168,0))</f>
        <v>-</v>
      </c>
      <c r="H168" s="172" t="str">
        <f>IF($A$1="Peak","-",IF(BaseLoad!N167&gt;BaseLoad!$G167,H$8*$Z168,0))</f>
        <v>-</v>
      </c>
      <c r="I168" s="172" t="str">
        <f>IF($A$1="Peak","-",IF(BaseLoad!O167&gt;BaseLoad!$G167,I$8*$Z168,0))</f>
        <v>-</v>
      </c>
      <c r="J168" s="172" t="str">
        <f>IF($A$1="Peak","-",IF(BaseLoad!P167&gt;BaseLoad!$G167,J$8*$Z168,0))</f>
        <v>-</v>
      </c>
      <c r="K168" s="172" t="str">
        <f>IF($A$1="Peak","-",IF(BaseLoad!Q167&gt;BaseLoad!$G167,K$8*$Z168,0))</f>
        <v>-</v>
      </c>
      <c r="L168" s="172" t="str">
        <f>IF($A$1="Peak","-",IF(BaseLoad!R167&gt;BaseLoad!$G167,L$8*$Z168,0))</f>
        <v>-</v>
      </c>
      <c r="M168" s="172" t="str">
        <f>IF($A$1="Peak","-",IF(BaseLoad!S167&gt;BaseLoad!$G167,M$8*$Z168,0))</f>
        <v>-</v>
      </c>
      <c r="N168" s="172" t="str">
        <f>IF($A$1="Peak","-",IF(BaseLoad!T167&gt;BaseLoad!$G167,N$8*$Z168,0))</f>
        <v>-</v>
      </c>
      <c r="O168" s="172" t="str">
        <f>IF($A$1="Peak","-",IF(BaseLoad!U167&gt;BaseLoad!$G167,O$8*$Z168,0))</f>
        <v>-</v>
      </c>
      <c r="P168" s="172" t="str">
        <f>IF($A$1="Peak","-",IF(BaseLoad!V167&gt;BaseLoad!$G167,P$8*$Z168,0))</f>
        <v>-</v>
      </c>
      <c r="Q168" s="172" t="str">
        <f>IF($A$1="Peak","-",IF(BaseLoad!W167&gt;BaseLoad!$G167,Q$8*$Z168,0))</f>
        <v>-</v>
      </c>
      <c r="R168" s="172" t="str">
        <f>IF($A$1="Peak","-",IF(BaseLoad!X167&gt;BaseLoad!$G167,R$8*$Z168,0))</f>
        <v>-</v>
      </c>
      <c r="S168" s="172" t="str">
        <f>IF($A$1="Peak","-",IF(BaseLoad!Y167&gt;BaseLoad!$G167,S$8*$Z168,0))</f>
        <v>-</v>
      </c>
      <c r="T168" s="172" t="str">
        <f>IF($A$1="Peak","-",IF(BaseLoad!Z167&gt;BaseLoad!$G167,T$8*$Z168,0))</f>
        <v>-</v>
      </c>
      <c r="U168" s="172" t="str">
        <f>IF($A$1="Peak","-",IF(BaseLoad!AA167&gt;BaseLoad!$G167,U$8*$Z168,0))</f>
        <v>-</v>
      </c>
      <c r="V168" s="172">
        <f t="shared" si="6"/>
        <v>0</v>
      </c>
      <c r="W168" s="172"/>
      <c r="X168" s="172"/>
      <c r="Y168" s="172"/>
      <c r="Z168" s="172">
        <f>CHOOSE(QUOTIENT(MONTH($A168),3)+1,BaseLoad!$AM$9,BaseLoad!$AN$9,BaseLoad!$AL$9,BaseLoad!$AO$9,BaseLoad!$AM$9)</f>
        <v>0.95</v>
      </c>
      <c r="AA168" s="172">
        <f>CHOOSE(QUOTIENT(MONTH($A168),3)+1,BaseLoad!$AM$15,BaseLoad!$AN$15,BaseLoad!$AL$15,BaseLoad!$AO$15,BaseLoad!$AM$15)</f>
        <v>705</v>
      </c>
      <c r="AB168" s="471"/>
      <c r="AD168" s="471"/>
    </row>
    <row r="169" spans="1:30" x14ac:dyDescent="0.2">
      <c r="A169" s="1">
        <f t="shared" si="7"/>
        <v>41376.303000000204</v>
      </c>
      <c r="B169" s="172" t="str">
        <f>IF($A$1="Peak","-",IF(BaseLoad!H168&gt;BaseLoad!$G168,B$8*$Z169,0))</f>
        <v>-</v>
      </c>
      <c r="C169" s="172" t="str">
        <f>IF($A$1="Peak","-",IF(BaseLoad!I168&gt;BaseLoad!$G168,C$8*$Z169,0))</f>
        <v>-</v>
      </c>
      <c r="D169" s="172" t="str">
        <f>IF($A$1="Peak","-",IF(BaseLoad!J168&gt;BaseLoad!$G168,D$8*$Z169,0))</f>
        <v>-</v>
      </c>
      <c r="E169" s="172" t="str">
        <f>IF($A$1="Peak","-",IF(BaseLoad!K168&gt;BaseLoad!$G168,E$8*$Z169,0))</f>
        <v>-</v>
      </c>
      <c r="F169" s="172" t="str">
        <f>IF($A$1="Peak","-",IF(BaseLoad!L168&gt;BaseLoad!$G168,F$8*$Z169,0))</f>
        <v>-</v>
      </c>
      <c r="G169" s="172" t="str">
        <f>IF($A$1="Peak","-",IF(BaseLoad!M168&gt;BaseLoad!$G168,G$8*$Z169,0))</f>
        <v>-</v>
      </c>
      <c r="H169" s="172" t="str">
        <f>IF($A$1="Peak","-",IF(BaseLoad!N168&gt;BaseLoad!$G168,H$8*$Z169,0))</f>
        <v>-</v>
      </c>
      <c r="I169" s="172" t="str">
        <f>IF($A$1="Peak","-",IF(BaseLoad!O168&gt;BaseLoad!$G168,I$8*$Z169,0))</f>
        <v>-</v>
      </c>
      <c r="J169" s="172" t="str">
        <f>IF($A$1="Peak","-",IF(BaseLoad!P168&gt;BaseLoad!$G168,J$8*$Z169,0))</f>
        <v>-</v>
      </c>
      <c r="K169" s="172" t="str">
        <f>IF($A$1="Peak","-",IF(BaseLoad!Q168&gt;BaseLoad!$G168,K$8*$Z169,0))</f>
        <v>-</v>
      </c>
      <c r="L169" s="172" t="str">
        <f>IF($A$1="Peak","-",IF(BaseLoad!R168&gt;BaseLoad!$G168,L$8*$Z169,0))</f>
        <v>-</v>
      </c>
      <c r="M169" s="172" t="str">
        <f>IF($A$1="Peak","-",IF(BaseLoad!S168&gt;BaseLoad!$G168,M$8*$Z169,0))</f>
        <v>-</v>
      </c>
      <c r="N169" s="172" t="str">
        <f>IF($A$1="Peak","-",IF(BaseLoad!T168&gt;BaseLoad!$G168,N$8*$Z169,0))</f>
        <v>-</v>
      </c>
      <c r="O169" s="172" t="str">
        <f>IF($A$1="Peak","-",IF(BaseLoad!U168&gt;BaseLoad!$G168,O$8*$Z169,0))</f>
        <v>-</v>
      </c>
      <c r="P169" s="172" t="str">
        <f>IF($A$1="Peak","-",IF(BaseLoad!V168&gt;BaseLoad!$G168,P$8*$Z169,0))</f>
        <v>-</v>
      </c>
      <c r="Q169" s="172" t="str">
        <f>IF($A$1="Peak","-",IF(BaseLoad!W168&gt;BaseLoad!$G168,Q$8*$Z169,0))</f>
        <v>-</v>
      </c>
      <c r="R169" s="172" t="str">
        <f>IF($A$1="Peak","-",IF(BaseLoad!X168&gt;BaseLoad!$G168,R$8*$Z169,0))</f>
        <v>-</v>
      </c>
      <c r="S169" s="172" t="str">
        <f>IF($A$1="Peak","-",IF(BaseLoad!Y168&gt;BaseLoad!$G168,S$8*$Z169,0))</f>
        <v>-</v>
      </c>
      <c r="T169" s="172" t="str">
        <f>IF($A$1="Peak","-",IF(BaseLoad!Z168&gt;BaseLoad!$G168,T$8*$Z169,0))</f>
        <v>-</v>
      </c>
      <c r="U169" s="172" t="str">
        <f>IF($A$1="Peak","-",IF(BaseLoad!AA168&gt;BaseLoad!$G168,U$8*$Z169,0))</f>
        <v>-</v>
      </c>
      <c r="V169" s="172">
        <f t="shared" si="6"/>
        <v>0</v>
      </c>
      <c r="W169" s="172"/>
      <c r="X169" s="172"/>
      <c r="Y169" s="172"/>
      <c r="Z169" s="172">
        <f>CHOOSE(QUOTIENT(MONTH($A169),3)+1,BaseLoad!$AM$9,BaseLoad!$AN$9,BaseLoad!$AL$9,BaseLoad!$AO$9,BaseLoad!$AM$9)</f>
        <v>0.95</v>
      </c>
      <c r="AA169" s="172">
        <f>CHOOSE(QUOTIENT(MONTH($A169),3)+1,BaseLoad!$AM$15,BaseLoad!$AN$15,BaseLoad!$AL$15,BaseLoad!$AO$15,BaseLoad!$AM$15)</f>
        <v>705</v>
      </c>
      <c r="AB169" s="471"/>
      <c r="AD169" s="471"/>
    </row>
    <row r="170" spans="1:30" x14ac:dyDescent="0.2">
      <c r="A170" s="1">
        <f t="shared" si="7"/>
        <v>41406.720000000205</v>
      </c>
      <c r="B170" s="172" t="str">
        <f>IF($A$1="Peak","-",IF(BaseLoad!H169&gt;BaseLoad!$G169,B$8*$Z170,0))</f>
        <v>-</v>
      </c>
      <c r="C170" s="172" t="str">
        <f>IF($A$1="Peak","-",IF(BaseLoad!I169&gt;BaseLoad!$G169,C$8*$Z170,0))</f>
        <v>-</v>
      </c>
      <c r="D170" s="172" t="str">
        <f>IF($A$1="Peak","-",IF(BaseLoad!J169&gt;BaseLoad!$G169,D$8*$Z170,0))</f>
        <v>-</v>
      </c>
      <c r="E170" s="172" t="str">
        <f>IF($A$1="Peak","-",IF(BaseLoad!K169&gt;BaseLoad!$G169,E$8*$Z170,0))</f>
        <v>-</v>
      </c>
      <c r="F170" s="172" t="str">
        <f>IF($A$1="Peak","-",IF(BaseLoad!L169&gt;BaseLoad!$G169,F$8*$Z170,0))</f>
        <v>-</v>
      </c>
      <c r="G170" s="172" t="str">
        <f>IF($A$1="Peak","-",IF(BaseLoad!M169&gt;BaseLoad!$G169,G$8*$Z170,0))</f>
        <v>-</v>
      </c>
      <c r="H170" s="172" t="str">
        <f>IF($A$1="Peak","-",IF(BaseLoad!N169&gt;BaseLoad!$G169,H$8*$Z170,0))</f>
        <v>-</v>
      </c>
      <c r="I170" s="172" t="str">
        <f>IF($A$1="Peak","-",IF(BaseLoad!O169&gt;BaseLoad!$G169,I$8*$Z170,0))</f>
        <v>-</v>
      </c>
      <c r="J170" s="172" t="str">
        <f>IF($A$1="Peak","-",IF(BaseLoad!P169&gt;BaseLoad!$G169,J$8*$Z170,0))</f>
        <v>-</v>
      </c>
      <c r="K170" s="172" t="str">
        <f>IF($A$1="Peak","-",IF(BaseLoad!Q169&gt;BaseLoad!$G169,K$8*$Z170,0))</f>
        <v>-</v>
      </c>
      <c r="L170" s="172" t="str">
        <f>IF($A$1="Peak","-",IF(BaseLoad!R169&gt;BaseLoad!$G169,L$8*$Z170,0))</f>
        <v>-</v>
      </c>
      <c r="M170" s="172" t="str">
        <f>IF($A$1="Peak","-",IF(BaseLoad!S169&gt;BaseLoad!$G169,M$8*$Z170,0))</f>
        <v>-</v>
      </c>
      <c r="N170" s="172" t="str">
        <f>IF($A$1="Peak","-",IF(BaseLoad!T169&gt;BaseLoad!$G169,N$8*$Z170,0))</f>
        <v>-</v>
      </c>
      <c r="O170" s="172" t="str">
        <f>IF($A$1="Peak","-",IF(BaseLoad!U169&gt;BaseLoad!$G169,O$8*$Z170,0))</f>
        <v>-</v>
      </c>
      <c r="P170" s="172" t="str">
        <f>IF($A$1="Peak","-",IF(BaseLoad!V169&gt;BaseLoad!$G169,P$8*$Z170,0))</f>
        <v>-</v>
      </c>
      <c r="Q170" s="172" t="str">
        <f>IF($A$1="Peak","-",IF(BaseLoad!W169&gt;BaseLoad!$G169,Q$8*$Z170,0))</f>
        <v>-</v>
      </c>
      <c r="R170" s="172" t="str">
        <f>IF($A$1="Peak","-",IF(BaseLoad!X169&gt;BaseLoad!$G169,R$8*$Z170,0))</f>
        <v>-</v>
      </c>
      <c r="S170" s="172" t="str">
        <f>IF($A$1="Peak","-",IF(BaseLoad!Y169&gt;BaseLoad!$G169,S$8*$Z170,0))</f>
        <v>-</v>
      </c>
      <c r="T170" s="172" t="str">
        <f>IF($A$1="Peak","-",IF(BaseLoad!Z169&gt;BaseLoad!$G169,T$8*$Z170,0))</f>
        <v>-</v>
      </c>
      <c r="U170" s="172" t="str">
        <f>IF($A$1="Peak","-",IF(BaseLoad!AA169&gt;BaseLoad!$G169,U$8*$Z170,0))</f>
        <v>-</v>
      </c>
      <c r="V170" s="172">
        <f t="shared" si="6"/>
        <v>0</v>
      </c>
      <c r="W170" s="172"/>
      <c r="X170" s="172"/>
      <c r="Y170" s="172"/>
      <c r="Z170" s="172">
        <f>CHOOSE(QUOTIENT(MONTH($A170),3)+1,BaseLoad!$AM$9,BaseLoad!$AN$9,BaseLoad!$AL$9,BaseLoad!$AO$9,BaseLoad!$AM$9)</f>
        <v>0.95</v>
      </c>
      <c r="AA170" s="172">
        <f>CHOOSE(QUOTIENT(MONTH($A170),3)+1,BaseLoad!$AM$15,BaseLoad!$AN$15,BaseLoad!$AL$15,BaseLoad!$AO$15,BaseLoad!$AM$15)</f>
        <v>705</v>
      </c>
      <c r="AB170" s="471"/>
      <c r="AD170" s="471"/>
    </row>
    <row r="171" spans="1:30" x14ac:dyDescent="0.2">
      <c r="A171" s="1">
        <f t="shared" si="7"/>
        <v>41437.137000000206</v>
      </c>
      <c r="B171" s="172" t="str">
        <f>IF($A$1="Peak","-",IF(BaseLoad!H170&gt;BaseLoad!$G170,B$8*$Z171,0))</f>
        <v>-</v>
      </c>
      <c r="C171" s="172" t="str">
        <f>IF($A$1="Peak","-",IF(BaseLoad!I170&gt;BaseLoad!$G170,C$8*$Z171,0))</f>
        <v>-</v>
      </c>
      <c r="D171" s="172" t="str">
        <f>IF($A$1="Peak","-",IF(BaseLoad!J170&gt;BaseLoad!$G170,D$8*$Z171,0))</f>
        <v>-</v>
      </c>
      <c r="E171" s="172" t="str">
        <f>IF($A$1="Peak","-",IF(BaseLoad!K170&gt;BaseLoad!$G170,E$8*$Z171,0))</f>
        <v>-</v>
      </c>
      <c r="F171" s="172" t="str">
        <f>IF($A$1="Peak","-",IF(BaseLoad!L170&gt;BaseLoad!$G170,F$8*$Z171,0))</f>
        <v>-</v>
      </c>
      <c r="G171" s="172" t="str">
        <f>IF($A$1="Peak","-",IF(BaseLoad!M170&gt;BaseLoad!$G170,G$8*$Z171,0))</f>
        <v>-</v>
      </c>
      <c r="H171" s="172" t="str">
        <f>IF($A$1="Peak","-",IF(BaseLoad!N170&gt;BaseLoad!$G170,H$8*$Z171,0))</f>
        <v>-</v>
      </c>
      <c r="I171" s="172" t="str">
        <f>IF($A$1="Peak","-",IF(BaseLoad!O170&gt;BaseLoad!$G170,I$8*$Z171,0))</f>
        <v>-</v>
      </c>
      <c r="J171" s="172" t="str">
        <f>IF($A$1="Peak","-",IF(BaseLoad!P170&gt;BaseLoad!$G170,J$8*$Z171,0))</f>
        <v>-</v>
      </c>
      <c r="K171" s="172" t="str">
        <f>IF($A$1="Peak","-",IF(BaseLoad!Q170&gt;BaseLoad!$G170,K$8*$Z171,0))</f>
        <v>-</v>
      </c>
      <c r="L171" s="172" t="str">
        <f>IF($A$1="Peak","-",IF(BaseLoad!R170&gt;BaseLoad!$G170,L$8*$Z171,0))</f>
        <v>-</v>
      </c>
      <c r="M171" s="172" t="str">
        <f>IF($A$1="Peak","-",IF(BaseLoad!S170&gt;BaseLoad!$G170,M$8*$Z171,0))</f>
        <v>-</v>
      </c>
      <c r="N171" s="172" t="str">
        <f>IF($A$1="Peak","-",IF(BaseLoad!T170&gt;BaseLoad!$G170,N$8*$Z171,0))</f>
        <v>-</v>
      </c>
      <c r="O171" s="172" t="str">
        <f>IF($A$1="Peak","-",IF(BaseLoad!U170&gt;BaseLoad!$G170,O$8*$Z171,0))</f>
        <v>-</v>
      </c>
      <c r="P171" s="172" t="str">
        <f>IF($A$1="Peak","-",IF(BaseLoad!V170&gt;BaseLoad!$G170,P$8*$Z171,0))</f>
        <v>-</v>
      </c>
      <c r="Q171" s="172" t="str">
        <f>IF($A$1="Peak","-",IF(BaseLoad!W170&gt;BaseLoad!$G170,Q$8*$Z171,0))</f>
        <v>-</v>
      </c>
      <c r="R171" s="172" t="str">
        <f>IF($A$1="Peak","-",IF(BaseLoad!X170&gt;BaseLoad!$G170,R$8*$Z171,0))</f>
        <v>-</v>
      </c>
      <c r="S171" s="172" t="str">
        <f>IF($A$1="Peak","-",IF(BaseLoad!Y170&gt;BaseLoad!$G170,S$8*$Z171,0))</f>
        <v>-</v>
      </c>
      <c r="T171" s="172" t="str">
        <f>IF($A$1="Peak","-",IF(BaseLoad!Z170&gt;BaseLoad!$G170,T$8*$Z171,0))</f>
        <v>-</v>
      </c>
      <c r="U171" s="172" t="str">
        <f>IF($A$1="Peak","-",IF(BaseLoad!AA170&gt;BaseLoad!$G170,U$8*$Z171,0))</f>
        <v>-</v>
      </c>
      <c r="V171" s="172">
        <f t="shared" si="6"/>
        <v>0</v>
      </c>
      <c r="W171" s="172"/>
      <c r="X171" s="172"/>
      <c r="Y171" s="172"/>
      <c r="Z171" s="172">
        <f>CHOOSE(QUOTIENT(MONTH($A171),3)+1,BaseLoad!$AM$9,BaseLoad!$AN$9,BaseLoad!$AL$9,BaseLoad!$AO$9,BaseLoad!$AM$9)</f>
        <v>0.96612135909558572</v>
      </c>
      <c r="AA171" s="172">
        <f>CHOOSE(QUOTIENT(MONTH($A171),3)+1,BaseLoad!$AM$15,BaseLoad!$AN$15,BaseLoad!$AL$15,BaseLoad!$AO$15,BaseLoad!$AM$15)</f>
        <v>705</v>
      </c>
      <c r="AB171" s="471"/>
      <c r="AD171" s="471"/>
    </row>
    <row r="172" spans="1:30" x14ac:dyDescent="0.2">
      <c r="A172" s="1">
        <f t="shared" si="7"/>
        <v>41467.554000000207</v>
      </c>
      <c r="B172" s="172" t="str">
        <f>IF($A$1="Peak","-",IF(BaseLoad!H171&gt;BaseLoad!$G171,B$8*$Z172,0))</f>
        <v>-</v>
      </c>
      <c r="C172" s="172" t="str">
        <f>IF($A$1="Peak","-",IF(BaseLoad!I171&gt;BaseLoad!$G171,C$8*$Z172,0))</f>
        <v>-</v>
      </c>
      <c r="D172" s="172" t="str">
        <f>IF($A$1="Peak","-",IF(BaseLoad!J171&gt;BaseLoad!$G171,D$8*$Z172,0))</f>
        <v>-</v>
      </c>
      <c r="E172" s="172" t="str">
        <f>IF($A$1="Peak","-",IF(BaseLoad!K171&gt;BaseLoad!$G171,E$8*$Z172,0))</f>
        <v>-</v>
      </c>
      <c r="F172" s="172" t="str">
        <f>IF($A$1="Peak","-",IF(BaseLoad!L171&gt;BaseLoad!$G171,F$8*$Z172,0))</f>
        <v>-</v>
      </c>
      <c r="G172" s="172" t="str">
        <f>IF($A$1="Peak","-",IF(BaseLoad!M171&gt;BaseLoad!$G171,G$8*$Z172,0))</f>
        <v>-</v>
      </c>
      <c r="H172" s="172" t="str">
        <f>IF($A$1="Peak","-",IF(BaseLoad!N171&gt;BaseLoad!$G171,H$8*$Z172,0))</f>
        <v>-</v>
      </c>
      <c r="I172" s="172" t="str">
        <f>IF($A$1="Peak","-",IF(BaseLoad!O171&gt;BaseLoad!$G171,I$8*$Z172,0))</f>
        <v>-</v>
      </c>
      <c r="J172" s="172" t="str">
        <f>IF($A$1="Peak","-",IF(BaseLoad!P171&gt;BaseLoad!$G171,J$8*$Z172,0))</f>
        <v>-</v>
      </c>
      <c r="K172" s="172" t="str">
        <f>IF($A$1="Peak","-",IF(BaseLoad!Q171&gt;BaseLoad!$G171,K$8*$Z172,0))</f>
        <v>-</v>
      </c>
      <c r="L172" s="172" t="str">
        <f>IF($A$1="Peak","-",IF(BaseLoad!R171&gt;BaseLoad!$G171,L$8*$Z172,0))</f>
        <v>-</v>
      </c>
      <c r="M172" s="172" t="str">
        <f>IF($A$1="Peak","-",IF(BaseLoad!S171&gt;BaseLoad!$G171,M$8*$Z172,0))</f>
        <v>-</v>
      </c>
      <c r="N172" s="172" t="str">
        <f>IF($A$1="Peak","-",IF(BaseLoad!T171&gt;BaseLoad!$G171,N$8*$Z172,0))</f>
        <v>-</v>
      </c>
      <c r="O172" s="172" t="str">
        <f>IF($A$1="Peak","-",IF(BaseLoad!U171&gt;BaseLoad!$G171,O$8*$Z172,0))</f>
        <v>-</v>
      </c>
      <c r="P172" s="172" t="str">
        <f>IF($A$1="Peak","-",IF(BaseLoad!V171&gt;BaseLoad!$G171,P$8*$Z172,0))</f>
        <v>-</v>
      </c>
      <c r="Q172" s="172" t="str">
        <f>IF($A$1="Peak","-",IF(BaseLoad!W171&gt;BaseLoad!$G171,Q$8*$Z172,0))</f>
        <v>-</v>
      </c>
      <c r="R172" s="172" t="str">
        <f>IF($A$1="Peak","-",IF(BaseLoad!X171&gt;BaseLoad!$G171,R$8*$Z172,0))</f>
        <v>-</v>
      </c>
      <c r="S172" s="172" t="str">
        <f>IF($A$1="Peak","-",IF(BaseLoad!Y171&gt;BaseLoad!$G171,S$8*$Z172,0))</f>
        <v>-</v>
      </c>
      <c r="T172" s="172" t="str">
        <f>IF($A$1="Peak","-",IF(BaseLoad!Z171&gt;BaseLoad!$G171,T$8*$Z172,0))</f>
        <v>-</v>
      </c>
      <c r="U172" s="172" t="str">
        <f>IF($A$1="Peak","-",IF(BaseLoad!AA171&gt;BaseLoad!$G171,U$8*$Z172,0))</f>
        <v>-</v>
      </c>
      <c r="V172" s="172">
        <f t="shared" si="6"/>
        <v>0</v>
      </c>
      <c r="W172" s="172"/>
      <c r="X172" s="172"/>
      <c r="Y172" s="172"/>
      <c r="Z172" s="172">
        <f>CHOOSE(QUOTIENT(MONTH($A172),3)+1,BaseLoad!$AM$9,BaseLoad!$AN$9,BaseLoad!$AL$9,BaseLoad!$AO$9,BaseLoad!$AM$9)</f>
        <v>0.96612135909558572</v>
      </c>
      <c r="AA172" s="172">
        <f>CHOOSE(QUOTIENT(MONTH($A172),3)+1,BaseLoad!$AM$15,BaseLoad!$AN$15,BaseLoad!$AL$15,BaseLoad!$AO$15,BaseLoad!$AM$15)</f>
        <v>705</v>
      </c>
      <c r="AB172" s="471"/>
      <c r="AD172" s="471"/>
    </row>
    <row r="173" spans="1:30" x14ac:dyDescent="0.2">
      <c r="A173" s="1">
        <f t="shared" si="7"/>
        <v>41497.971000000209</v>
      </c>
      <c r="B173" s="172" t="str">
        <f>IF($A$1="Peak","-",IF(BaseLoad!H172&gt;BaseLoad!$G172,B$8*$Z173,0))</f>
        <v>-</v>
      </c>
      <c r="C173" s="172" t="str">
        <f>IF($A$1="Peak","-",IF(BaseLoad!I172&gt;BaseLoad!$G172,C$8*$Z173,0))</f>
        <v>-</v>
      </c>
      <c r="D173" s="172" t="str">
        <f>IF($A$1="Peak","-",IF(BaseLoad!J172&gt;BaseLoad!$G172,D$8*$Z173,0))</f>
        <v>-</v>
      </c>
      <c r="E173" s="172" t="str">
        <f>IF($A$1="Peak","-",IF(BaseLoad!K172&gt;BaseLoad!$G172,E$8*$Z173,0))</f>
        <v>-</v>
      </c>
      <c r="F173" s="172" t="str">
        <f>IF($A$1="Peak","-",IF(BaseLoad!L172&gt;BaseLoad!$G172,F$8*$Z173,0))</f>
        <v>-</v>
      </c>
      <c r="G173" s="172" t="str">
        <f>IF($A$1="Peak","-",IF(BaseLoad!M172&gt;BaseLoad!$G172,G$8*$Z173,0))</f>
        <v>-</v>
      </c>
      <c r="H173" s="172" t="str">
        <f>IF($A$1="Peak","-",IF(BaseLoad!N172&gt;BaseLoad!$G172,H$8*$Z173,0))</f>
        <v>-</v>
      </c>
      <c r="I173" s="172" t="str">
        <f>IF($A$1="Peak","-",IF(BaseLoad!O172&gt;BaseLoad!$G172,I$8*$Z173,0))</f>
        <v>-</v>
      </c>
      <c r="J173" s="172" t="str">
        <f>IF($A$1="Peak","-",IF(BaseLoad!P172&gt;BaseLoad!$G172,J$8*$Z173,0))</f>
        <v>-</v>
      </c>
      <c r="K173" s="172" t="str">
        <f>IF($A$1="Peak","-",IF(BaseLoad!Q172&gt;BaseLoad!$G172,K$8*$Z173,0))</f>
        <v>-</v>
      </c>
      <c r="L173" s="172" t="str">
        <f>IF($A$1="Peak","-",IF(BaseLoad!R172&gt;BaseLoad!$G172,L$8*$Z173,0))</f>
        <v>-</v>
      </c>
      <c r="M173" s="172" t="str">
        <f>IF($A$1="Peak","-",IF(BaseLoad!S172&gt;BaseLoad!$G172,M$8*$Z173,0))</f>
        <v>-</v>
      </c>
      <c r="N173" s="172" t="str">
        <f>IF($A$1="Peak","-",IF(BaseLoad!T172&gt;BaseLoad!$G172,N$8*$Z173,0))</f>
        <v>-</v>
      </c>
      <c r="O173" s="172" t="str">
        <f>IF($A$1="Peak","-",IF(BaseLoad!U172&gt;BaseLoad!$G172,O$8*$Z173,0))</f>
        <v>-</v>
      </c>
      <c r="P173" s="172" t="str">
        <f>IF($A$1="Peak","-",IF(BaseLoad!V172&gt;BaseLoad!$G172,P$8*$Z173,0))</f>
        <v>-</v>
      </c>
      <c r="Q173" s="172" t="str">
        <f>IF($A$1="Peak","-",IF(BaseLoad!W172&gt;BaseLoad!$G172,Q$8*$Z173,0))</f>
        <v>-</v>
      </c>
      <c r="R173" s="172" t="str">
        <f>IF($A$1="Peak","-",IF(BaseLoad!X172&gt;BaseLoad!$G172,R$8*$Z173,0))</f>
        <v>-</v>
      </c>
      <c r="S173" s="172" t="str">
        <f>IF($A$1="Peak","-",IF(BaseLoad!Y172&gt;BaseLoad!$G172,S$8*$Z173,0))</f>
        <v>-</v>
      </c>
      <c r="T173" s="172" t="str">
        <f>IF($A$1="Peak","-",IF(BaseLoad!Z172&gt;BaseLoad!$G172,T$8*$Z173,0))</f>
        <v>-</v>
      </c>
      <c r="U173" s="172" t="str">
        <f>IF($A$1="Peak","-",IF(BaseLoad!AA172&gt;BaseLoad!$G172,U$8*$Z173,0))</f>
        <v>-</v>
      </c>
      <c r="V173" s="172">
        <f t="shared" si="6"/>
        <v>0</v>
      </c>
      <c r="W173" s="172"/>
      <c r="X173" s="172"/>
      <c r="Y173" s="172"/>
      <c r="Z173" s="172">
        <f>CHOOSE(QUOTIENT(MONTH($A173),3)+1,BaseLoad!$AM$9,BaseLoad!$AN$9,BaseLoad!$AL$9,BaseLoad!$AO$9,BaseLoad!$AM$9)</f>
        <v>0.96612135909558572</v>
      </c>
      <c r="AA173" s="172">
        <f>CHOOSE(QUOTIENT(MONTH($A173),3)+1,BaseLoad!$AM$15,BaseLoad!$AN$15,BaseLoad!$AL$15,BaseLoad!$AO$15,BaseLoad!$AM$15)</f>
        <v>705</v>
      </c>
      <c r="AB173" s="471"/>
      <c r="AD173" s="471"/>
    </row>
    <row r="174" spans="1:30" x14ac:dyDescent="0.2">
      <c r="A174" s="1">
        <f t="shared" si="7"/>
        <v>41528.38800000021</v>
      </c>
      <c r="B174" s="172" t="str">
        <f>IF($A$1="Peak","-",IF(BaseLoad!H173&gt;BaseLoad!$G173,B$8*$Z174,0))</f>
        <v>-</v>
      </c>
      <c r="C174" s="172" t="str">
        <f>IF($A$1="Peak","-",IF(BaseLoad!I173&gt;BaseLoad!$G173,C$8*$Z174,0))</f>
        <v>-</v>
      </c>
      <c r="D174" s="172" t="str">
        <f>IF($A$1="Peak","-",IF(BaseLoad!J173&gt;BaseLoad!$G173,D$8*$Z174,0))</f>
        <v>-</v>
      </c>
      <c r="E174" s="172" t="str">
        <f>IF($A$1="Peak","-",IF(BaseLoad!K173&gt;BaseLoad!$G173,E$8*$Z174,0))</f>
        <v>-</v>
      </c>
      <c r="F174" s="172" t="str">
        <f>IF($A$1="Peak","-",IF(BaseLoad!L173&gt;BaseLoad!$G173,F$8*$Z174,0))</f>
        <v>-</v>
      </c>
      <c r="G174" s="172" t="str">
        <f>IF($A$1="Peak","-",IF(BaseLoad!M173&gt;BaseLoad!$G173,G$8*$Z174,0))</f>
        <v>-</v>
      </c>
      <c r="H174" s="172" t="str">
        <f>IF($A$1="Peak","-",IF(BaseLoad!N173&gt;BaseLoad!$G173,H$8*$Z174,0))</f>
        <v>-</v>
      </c>
      <c r="I174" s="172" t="str">
        <f>IF($A$1="Peak","-",IF(BaseLoad!O173&gt;BaseLoad!$G173,I$8*$Z174,0))</f>
        <v>-</v>
      </c>
      <c r="J174" s="172" t="str">
        <f>IF($A$1="Peak","-",IF(BaseLoad!P173&gt;BaseLoad!$G173,J$8*$Z174,0))</f>
        <v>-</v>
      </c>
      <c r="K174" s="172" t="str">
        <f>IF($A$1="Peak","-",IF(BaseLoad!Q173&gt;BaseLoad!$G173,K$8*$Z174,0))</f>
        <v>-</v>
      </c>
      <c r="L174" s="172" t="str">
        <f>IF($A$1="Peak","-",IF(BaseLoad!R173&gt;BaseLoad!$G173,L$8*$Z174,0))</f>
        <v>-</v>
      </c>
      <c r="M174" s="172" t="str">
        <f>IF($A$1="Peak","-",IF(BaseLoad!S173&gt;BaseLoad!$G173,M$8*$Z174,0))</f>
        <v>-</v>
      </c>
      <c r="N174" s="172" t="str">
        <f>IF($A$1="Peak","-",IF(BaseLoad!T173&gt;BaseLoad!$G173,N$8*$Z174,0))</f>
        <v>-</v>
      </c>
      <c r="O174" s="172" t="str">
        <f>IF($A$1="Peak","-",IF(BaseLoad!U173&gt;BaseLoad!$G173,O$8*$Z174,0))</f>
        <v>-</v>
      </c>
      <c r="P174" s="172" t="str">
        <f>IF($A$1="Peak","-",IF(BaseLoad!V173&gt;BaseLoad!$G173,P$8*$Z174,0))</f>
        <v>-</v>
      </c>
      <c r="Q174" s="172" t="str">
        <f>IF($A$1="Peak","-",IF(BaseLoad!W173&gt;BaseLoad!$G173,Q$8*$Z174,0))</f>
        <v>-</v>
      </c>
      <c r="R174" s="172" t="str">
        <f>IF($A$1="Peak","-",IF(BaseLoad!X173&gt;BaseLoad!$G173,R$8*$Z174,0))</f>
        <v>-</v>
      </c>
      <c r="S174" s="172" t="str">
        <f>IF($A$1="Peak","-",IF(BaseLoad!Y173&gt;BaseLoad!$G173,S$8*$Z174,0))</f>
        <v>-</v>
      </c>
      <c r="T174" s="172" t="str">
        <f>IF($A$1="Peak","-",IF(BaseLoad!Z173&gt;BaseLoad!$G173,T$8*$Z174,0))</f>
        <v>-</v>
      </c>
      <c r="U174" s="172" t="str">
        <f>IF($A$1="Peak","-",IF(BaseLoad!AA173&gt;BaseLoad!$G173,U$8*$Z174,0))</f>
        <v>-</v>
      </c>
      <c r="V174" s="172">
        <f t="shared" si="6"/>
        <v>0</v>
      </c>
      <c r="W174" s="172"/>
      <c r="X174" s="172"/>
      <c r="Y174" s="172"/>
      <c r="Z174" s="172">
        <f>CHOOSE(QUOTIENT(MONTH($A174),3)+1,BaseLoad!$AM$9,BaseLoad!$AN$9,BaseLoad!$AL$9,BaseLoad!$AO$9,BaseLoad!$AM$9)</f>
        <v>0.95</v>
      </c>
      <c r="AA174" s="172">
        <f>CHOOSE(QUOTIENT(MONTH($A174),3)+1,BaseLoad!$AM$15,BaseLoad!$AN$15,BaseLoad!$AL$15,BaseLoad!$AO$15,BaseLoad!$AM$15)</f>
        <v>705</v>
      </c>
      <c r="AB174" s="471"/>
      <c r="AD174" s="471"/>
    </row>
    <row r="175" spans="1:30" x14ac:dyDescent="0.2">
      <c r="A175" s="1">
        <f t="shared" si="7"/>
        <v>41558.805000000211</v>
      </c>
      <c r="B175" s="172" t="str">
        <f>IF($A$1="Peak","-",IF(BaseLoad!H174&gt;BaseLoad!$G174,B$8*$Z175,0))</f>
        <v>-</v>
      </c>
      <c r="C175" s="172" t="str">
        <f>IF($A$1="Peak","-",IF(BaseLoad!I174&gt;BaseLoad!$G174,C$8*$Z175,0))</f>
        <v>-</v>
      </c>
      <c r="D175" s="172" t="str">
        <f>IF($A$1="Peak","-",IF(BaseLoad!J174&gt;BaseLoad!$G174,D$8*$Z175,0))</f>
        <v>-</v>
      </c>
      <c r="E175" s="172" t="str">
        <f>IF($A$1="Peak","-",IF(BaseLoad!K174&gt;BaseLoad!$G174,E$8*$Z175,0))</f>
        <v>-</v>
      </c>
      <c r="F175" s="172" t="str">
        <f>IF($A$1="Peak","-",IF(BaseLoad!L174&gt;BaseLoad!$G174,F$8*$Z175,0))</f>
        <v>-</v>
      </c>
      <c r="G175" s="172" t="str">
        <f>IF($A$1="Peak","-",IF(BaseLoad!M174&gt;BaseLoad!$G174,G$8*$Z175,0))</f>
        <v>-</v>
      </c>
      <c r="H175" s="172" t="str">
        <f>IF($A$1="Peak","-",IF(BaseLoad!N174&gt;BaseLoad!$G174,H$8*$Z175,0))</f>
        <v>-</v>
      </c>
      <c r="I175" s="172" t="str">
        <f>IF($A$1="Peak","-",IF(BaseLoad!O174&gt;BaseLoad!$G174,I$8*$Z175,0))</f>
        <v>-</v>
      </c>
      <c r="J175" s="172" t="str">
        <f>IF($A$1="Peak","-",IF(BaseLoad!P174&gt;BaseLoad!$G174,J$8*$Z175,0))</f>
        <v>-</v>
      </c>
      <c r="K175" s="172" t="str">
        <f>IF($A$1="Peak","-",IF(BaseLoad!Q174&gt;BaseLoad!$G174,K$8*$Z175,0))</f>
        <v>-</v>
      </c>
      <c r="L175" s="172" t="str">
        <f>IF($A$1="Peak","-",IF(BaseLoad!R174&gt;BaseLoad!$G174,L$8*$Z175,0))</f>
        <v>-</v>
      </c>
      <c r="M175" s="172" t="str">
        <f>IF($A$1="Peak","-",IF(BaseLoad!S174&gt;BaseLoad!$G174,M$8*$Z175,0))</f>
        <v>-</v>
      </c>
      <c r="N175" s="172" t="str">
        <f>IF($A$1="Peak","-",IF(BaseLoad!T174&gt;BaseLoad!$G174,N$8*$Z175,0))</f>
        <v>-</v>
      </c>
      <c r="O175" s="172" t="str">
        <f>IF($A$1="Peak","-",IF(BaseLoad!U174&gt;BaseLoad!$G174,O$8*$Z175,0))</f>
        <v>-</v>
      </c>
      <c r="P175" s="172" t="str">
        <f>IF($A$1="Peak","-",IF(BaseLoad!V174&gt;BaseLoad!$G174,P$8*$Z175,0))</f>
        <v>-</v>
      </c>
      <c r="Q175" s="172" t="str">
        <f>IF($A$1="Peak","-",IF(BaseLoad!W174&gt;BaseLoad!$G174,Q$8*$Z175,0))</f>
        <v>-</v>
      </c>
      <c r="R175" s="172" t="str">
        <f>IF($A$1="Peak","-",IF(BaseLoad!X174&gt;BaseLoad!$G174,R$8*$Z175,0))</f>
        <v>-</v>
      </c>
      <c r="S175" s="172" t="str">
        <f>IF($A$1="Peak","-",IF(BaseLoad!Y174&gt;BaseLoad!$G174,S$8*$Z175,0))</f>
        <v>-</v>
      </c>
      <c r="T175" s="172" t="str">
        <f>IF($A$1="Peak","-",IF(BaseLoad!Z174&gt;BaseLoad!$G174,T$8*$Z175,0))</f>
        <v>-</v>
      </c>
      <c r="U175" s="172" t="str">
        <f>IF($A$1="Peak","-",IF(BaseLoad!AA174&gt;BaseLoad!$G174,U$8*$Z175,0))</f>
        <v>-</v>
      </c>
      <c r="V175" s="172">
        <f t="shared" si="6"/>
        <v>0</v>
      </c>
      <c r="W175" s="172"/>
      <c r="X175" s="172"/>
      <c r="Y175" s="172"/>
      <c r="Z175" s="172">
        <f>CHOOSE(QUOTIENT(MONTH($A175),3)+1,BaseLoad!$AM$9,BaseLoad!$AN$9,BaseLoad!$AL$9,BaseLoad!$AO$9,BaseLoad!$AM$9)</f>
        <v>0.95</v>
      </c>
      <c r="AA175" s="172">
        <f>CHOOSE(QUOTIENT(MONTH($A175),3)+1,BaseLoad!$AM$15,BaseLoad!$AN$15,BaseLoad!$AL$15,BaseLoad!$AO$15,BaseLoad!$AM$15)</f>
        <v>705</v>
      </c>
      <c r="AB175" s="471"/>
      <c r="AD175" s="471"/>
    </row>
    <row r="176" spans="1:30" x14ac:dyDescent="0.2">
      <c r="A176" s="1">
        <f t="shared" si="7"/>
        <v>41589.222000000213</v>
      </c>
      <c r="B176" s="172" t="str">
        <f>IF($A$1="Peak","-",IF(BaseLoad!H175&gt;BaseLoad!$G175,B$8*$Z176,0))</f>
        <v>-</v>
      </c>
      <c r="C176" s="172" t="str">
        <f>IF($A$1="Peak","-",IF(BaseLoad!I175&gt;BaseLoad!$G175,C$8*$Z176,0))</f>
        <v>-</v>
      </c>
      <c r="D176" s="172" t="str">
        <f>IF($A$1="Peak","-",IF(BaseLoad!J175&gt;BaseLoad!$G175,D$8*$Z176,0))</f>
        <v>-</v>
      </c>
      <c r="E176" s="172" t="str">
        <f>IF($A$1="Peak","-",IF(BaseLoad!K175&gt;BaseLoad!$G175,E$8*$Z176,0))</f>
        <v>-</v>
      </c>
      <c r="F176" s="172" t="str">
        <f>IF($A$1="Peak","-",IF(BaseLoad!L175&gt;BaseLoad!$G175,F$8*$Z176,0))</f>
        <v>-</v>
      </c>
      <c r="G176" s="172" t="str">
        <f>IF($A$1="Peak","-",IF(BaseLoad!M175&gt;BaseLoad!$G175,G$8*$Z176,0))</f>
        <v>-</v>
      </c>
      <c r="H176" s="172" t="str">
        <f>IF($A$1="Peak","-",IF(BaseLoad!N175&gt;BaseLoad!$G175,H$8*$Z176,0))</f>
        <v>-</v>
      </c>
      <c r="I176" s="172" t="str">
        <f>IF($A$1="Peak","-",IF(BaseLoad!O175&gt;BaseLoad!$G175,I$8*$Z176,0))</f>
        <v>-</v>
      </c>
      <c r="J176" s="172" t="str">
        <f>IF($A$1="Peak","-",IF(BaseLoad!P175&gt;BaseLoad!$G175,J$8*$Z176,0))</f>
        <v>-</v>
      </c>
      <c r="K176" s="172" t="str">
        <f>IF($A$1="Peak","-",IF(BaseLoad!Q175&gt;BaseLoad!$G175,K$8*$Z176,0))</f>
        <v>-</v>
      </c>
      <c r="L176" s="172" t="str">
        <f>IF($A$1="Peak","-",IF(BaseLoad!R175&gt;BaseLoad!$G175,L$8*$Z176,0))</f>
        <v>-</v>
      </c>
      <c r="M176" s="172" t="str">
        <f>IF($A$1="Peak","-",IF(BaseLoad!S175&gt;BaseLoad!$G175,M$8*$Z176,0))</f>
        <v>-</v>
      </c>
      <c r="N176" s="172" t="str">
        <f>IF($A$1="Peak","-",IF(BaseLoad!T175&gt;BaseLoad!$G175,N$8*$Z176,0))</f>
        <v>-</v>
      </c>
      <c r="O176" s="172" t="str">
        <f>IF($A$1="Peak","-",IF(BaseLoad!U175&gt;BaseLoad!$G175,O$8*$Z176,0))</f>
        <v>-</v>
      </c>
      <c r="P176" s="172" t="str">
        <f>IF($A$1="Peak","-",IF(BaseLoad!V175&gt;BaseLoad!$G175,P$8*$Z176,0))</f>
        <v>-</v>
      </c>
      <c r="Q176" s="172" t="str">
        <f>IF($A$1="Peak","-",IF(BaseLoad!W175&gt;BaseLoad!$G175,Q$8*$Z176,0))</f>
        <v>-</v>
      </c>
      <c r="R176" s="172" t="str">
        <f>IF($A$1="Peak","-",IF(BaseLoad!X175&gt;BaseLoad!$G175,R$8*$Z176,0))</f>
        <v>-</v>
      </c>
      <c r="S176" s="172" t="str">
        <f>IF($A$1="Peak","-",IF(BaseLoad!Y175&gt;BaseLoad!$G175,S$8*$Z176,0))</f>
        <v>-</v>
      </c>
      <c r="T176" s="172" t="str">
        <f>IF($A$1="Peak","-",IF(BaseLoad!Z175&gt;BaseLoad!$G175,T$8*$Z176,0))</f>
        <v>-</v>
      </c>
      <c r="U176" s="172" t="str">
        <f>IF($A$1="Peak","-",IF(BaseLoad!AA175&gt;BaseLoad!$G175,U$8*$Z176,0))</f>
        <v>-</v>
      </c>
      <c r="V176" s="172">
        <f t="shared" si="6"/>
        <v>0</v>
      </c>
      <c r="W176" s="172"/>
      <c r="X176" s="172"/>
      <c r="Y176" s="172"/>
      <c r="Z176" s="172">
        <f>CHOOSE(QUOTIENT(MONTH($A176),3)+1,BaseLoad!$AM$9,BaseLoad!$AN$9,BaseLoad!$AL$9,BaseLoad!$AO$9,BaseLoad!$AM$9)</f>
        <v>0.95</v>
      </c>
      <c r="AA176" s="172">
        <f>CHOOSE(QUOTIENT(MONTH($A176),3)+1,BaseLoad!$AM$15,BaseLoad!$AN$15,BaseLoad!$AL$15,BaseLoad!$AO$15,BaseLoad!$AM$15)</f>
        <v>705</v>
      </c>
      <c r="AB176" s="471"/>
      <c r="AD176" s="471"/>
    </row>
    <row r="177" spans="1:30" x14ac:dyDescent="0.2">
      <c r="A177" s="1">
        <f t="shared" si="7"/>
        <v>41619.639000000214</v>
      </c>
      <c r="B177" s="172" t="str">
        <f>IF($A$1="Peak","-",IF(BaseLoad!H176&gt;BaseLoad!$G176,B$8*$Z177,0))</f>
        <v>-</v>
      </c>
      <c r="C177" s="172" t="str">
        <f>IF($A$1="Peak","-",IF(BaseLoad!I176&gt;BaseLoad!$G176,C$8*$Z177,0))</f>
        <v>-</v>
      </c>
      <c r="D177" s="172" t="str">
        <f>IF($A$1="Peak","-",IF(BaseLoad!J176&gt;BaseLoad!$G176,D$8*$Z177,0))</f>
        <v>-</v>
      </c>
      <c r="E177" s="172" t="str">
        <f>IF($A$1="Peak","-",IF(BaseLoad!K176&gt;BaseLoad!$G176,E$8*$Z177,0))</f>
        <v>-</v>
      </c>
      <c r="F177" s="172" t="str">
        <f>IF($A$1="Peak","-",IF(BaseLoad!L176&gt;BaseLoad!$G176,F$8*$Z177,0))</f>
        <v>-</v>
      </c>
      <c r="G177" s="172" t="str">
        <f>IF($A$1="Peak","-",IF(BaseLoad!M176&gt;BaseLoad!$G176,G$8*$Z177,0))</f>
        <v>-</v>
      </c>
      <c r="H177" s="172" t="str">
        <f>IF($A$1="Peak","-",IF(BaseLoad!N176&gt;BaseLoad!$G176,H$8*$Z177,0))</f>
        <v>-</v>
      </c>
      <c r="I177" s="172" t="str">
        <f>IF($A$1="Peak","-",IF(BaseLoad!O176&gt;BaseLoad!$G176,I$8*$Z177,0))</f>
        <v>-</v>
      </c>
      <c r="J177" s="172" t="str">
        <f>IF($A$1="Peak","-",IF(BaseLoad!P176&gt;BaseLoad!$G176,J$8*$Z177,0))</f>
        <v>-</v>
      </c>
      <c r="K177" s="172" t="str">
        <f>IF($A$1="Peak","-",IF(BaseLoad!Q176&gt;BaseLoad!$G176,K$8*$Z177,0))</f>
        <v>-</v>
      </c>
      <c r="L177" s="172" t="str">
        <f>IF($A$1="Peak","-",IF(BaseLoad!R176&gt;BaseLoad!$G176,L$8*$Z177,0))</f>
        <v>-</v>
      </c>
      <c r="M177" s="172" t="str">
        <f>IF($A$1="Peak","-",IF(BaseLoad!S176&gt;BaseLoad!$G176,M$8*$Z177,0))</f>
        <v>-</v>
      </c>
      <c r="N177" s="172" t="str">
        <f>IF($A$1="Peak","-",IF(BaseLoad!T176&gt;BaseLoad!$G176,N$8*$Z177,0))</f>
        <v>-</v>
      </c>
      <c r="O177" s="172" t="str">
        <f>IF($A$1="Peak","-",IF(BaseLoad!U176&gt;BaseLoad!$G176,O$8*$Z177,0))</f>
        <v>-</v>
      </c>
      <c r="P177" s="172" t="str">
        <f>IF($A$1="Peak","-",IF(BaseLoad!V176&gt;BaseLoad!$G176,P$8*$Z177,0))</f>
        <v>-</v>
      </c>
      <c r="Q177" s="172" t="str">
        <f>IF($A$1="Peak","-",IF(BaseLoad!W176&gt;BaseLoad!$G176,Q$8*$Z177,0))</f>
        <v>-</v>
      </c>
      <c r="R177" s="172" t="str">
        <f>IF($A$1="Peak","-",IF(BaseLoad!X176&gt;BaseLoad!$G176,R$8*$Z177,0))</f>
        <v>-</v>
      </c>
      <c r="S177" s="172" t="str">
        <f>IF($A$1="Peak","-",IF(BaseLoad!Y176&gt;BaseLoad!$G176,S$8*$Z177,0))</f>
        <v>-</v>
      </c>
      <c r="T177" s="172" t="str">
        <f>IF($A$1="Peak","-",IF(BaseLoad!Z176&gt;BaseLoad!$G176,T$8*$Z177,0))</f>
        <v>-</v>
      </c>
      <c r="U177" s="172" t="str">
        <f>IF($A$1="Peak","-",IF(BaseLoad!AA176&gt;BaseLoad!$G176,U$8*$Z177,0))</f>
        <v>-</v>
      </c>
      <c r="V177" s="172">
        <f t="shared" si="6"/>
        <v>0</v>
      </c>
      <c r="W177" s="172"/>
      <c r="X177" s="172"/>
      <c r="Y177" s="172">
        <f>SUM(V166:V177)</f>
        <v>0</v>
      </c>
      <c r="Z177" s="172">
        <f>CHOOSE(QUOTIENT(MONTH($A177),3)+1,BaseLoad!$AM$9,BaseLoad!$AN$9,BaseLoad!$AL$9,BaseLoad!$AO$9,BaseLoad!$AM$9)</f>
        <v>0.92427661878611755</v>
      </c>
      <c r="AA177" s="172">
        <f>CHOOSE(QUOTIENT(MONTH($A177),3)+1,BaseLoad!$AM$15,BaseLoad!$AN$15,BaseLoad!$AL$15,BaseLoad!$AO$15,BaseLoad!$AM$15)</f>
        <v>705</v>
      </c>
      <c r="AB177" s="471"/>
      <c r="AD177" s="471"/>
    </row>
    <row r="178" spans="1:30" x14ac:dyDescent="0.2">
      <c r="A178" s="1">
        <f t="shared" si="7"/>
        <v>41650.056000000215</v>
      </c>
      <c r="B178" s="172" t="str">
        <f>IF($A$1="Peak","-",IF(BaseLoad!H177&gt;BaseLoad!$G177,B$8*$Z178,0))</f>
        <v>-</v>
      </c>
      <c r="C178" s="172" t="str">
        <f>IF($A$1="Peak","-",IF(BaseLoad!I177&gt;BaseLoad!$G177,C$8*$Z178,0))</f>
        <v>-</v>
      </c>
      <c r="D178" s="172" t="str">
        <f>IF($A$1="Peak","-",IF(BaseLoad!J177&gt;BaseLoad!$G177,D$8*$Z178,0))</f>
        <v>-</v>
      </c>
      <c r="E178" s="172" t="str">
        <f>IF($A$1="Peak","-",IF(BaseLoad!K177&gt;BaseLoad!$G177,E$8*$Z178,0))</f>
        <v>-</v>
      </c>
      <c r="F178" s="172" t="str">
        <f>IF($A$1="Peak","-",IF(BaseLoad!L177&gt;BaseLoad!$G177,F$8*$Z178,0))</f>
        <v>-</v>
      </c>
      <c r="G178" s="172" t="str">
        <f>IF($A$1="Peak","-",IF(BaseLoad!M177&gt;BaseLoad!$G177,G$8*$Z178,0))</f>
        <v>-</v>
      </c>
      <c r="H178" s="172" t="str">
        <f>IF($A$1="Peak","-",IF(BaseLoad!N177&gt;BaseLoad!$G177,H$8*$Z178,0))</f>
        <v>-</v>
      </c>
      <c r="I178" s="172" t="str">
        <f>IF($A$1="Peak","-",IF(BaseLoad!O177&gt;BaseLoad!$G177,I$8*$Z178,0))</f>
        <v>-</v>
      </c>
      <c r="J178" s="172" t="str">
        <f>IF($A$1="Peak","-",IF(BaseLoad!P177&gt;BaseLoad!$G177,J$8*$Z178,0))</f>
        <v>-</v>
      </c>
      <c r="K178" s="172" t="str">
        <f>IF($A$1="Peak","-",IF(BaseLoad!Q177&gt;BaseLoad!$G177,K$8*$Z178,0))</f>
        <v>-</v>
      </c>
      <c r="L178" s="172" t="str">
        <f>IF($A$1="Peak","-",IF(BaseLoad!R177&gt;BaseLoad!$G177,L$8*$Z178,0))</f>
        <v>-</v>
      </c>
      <c r="M178" s="172" t="str">
        <f>IF($A$1="Peak","-",IF(BaseLoad!S177&gt;BaseLoad!$G177,M$8*$Z178,0))</f>
        <v>-</v>
      </c>
      <c r="N178" s="172" t="str">
        <f>IF($A$1="Peak","-",IF(BaseLoad!T177&gt;BaseLoad!$G177,N$8*$Z178,0))</f>
        <v>-</v>
      </c>
      <c r="O178" s="172" t="str">
        <f>IF($A$1="Peak","-",IF(BaseLoad!U177&gt;BaseLoad!$G177,O$8*$Z178,0))</f>
        <v>-</v>
      </c>
      <c r="P178" s="172" t="str">
        <f>IF($A$1="Peak","-",IF(BaseLoad!V177&gt;BaseLoad!$G177,P$8*$Z178,0))</f>
        <v>-</v>
      </c>
      <c r="Q178" s="172" t="str">
        <f>IF($A$1="Peak","-",IF(BaseLoad!W177&gt;BaseLoad!$G177,Q$8*$Z178,0))</f>
        <v>-</v>
      </c>
      <c r="R178" s="172" t="str">
        <f>IF($A$1="Peak","-",IF(BaseLoad!X177&gt;BaseLoad!$G177,R$8*$Z178,0))</f>
        <v>-</v>
      </c>
      <c r="S178" s="172" t="str">
        <f>IF($A$1="Peak","-",IF(BaseLoad!Y177&gt;BaseLoad!$G177,S$8*$Z178,0))</f>
        <v>-</v>
      </c>
      <c r="T178" s="172" t="str">
        <f>IF($A$1="Peak","-",IF(BaseLoad!Z177&gt;BaseLoad!$G177,T$8*$Z178,0))</f>
        <v>-</v>
      </c>
      <c r="U178" s="172" t="str">
        <f>IF($A$1="Peak","-",IF(BaseLoad!AA177&gt;BaseLoad!$G177,U$8*$Z178,0))</f>
        <v>-</v>
      </c>
      <c r="V178" s="172">
        <f t="shared" si="6"/>
        <v>0</v>
      </c>
      <c r="W178" s="172"/>
      <c r="X178" s="172"/>
      <c r="Y178" s="172"/>
      <c r="Z178" s="172">
        <f>CHOOSE(QUOTIENT(MONTH($A178),3)+1,BaseLoad!$AM$9,BaseLoad!$AN$9,BaseLoad!$AL$9,BaseLoad!$AO$9,BaseLoad!$AM$9)</f>
        <v>0.92427661878611755</v>
      </c>
      <c r="AA178" s="172">
        <f>CHOOSE(QUOTIENT(MONTH($A178),3)+1,BaseLoad!$AM$15,BaseLoad!$AN$15,BaseLoad!$AL$15,BaseLoad!$AO$15,BaseLoad!$AM$15)</f>
        <v>705</v>
      </c>
      <c r="AB178" s="471"/>
      <c r="AD178" s="471"/>
    </row>
    <row r="179" spans="1:30" x14ac:dyDescent="0.2">
      <c r="A179" s="1">
        <f t="shared" si="7"/>
        <v>41680.473000000216</v>
      </c>
      <c r="B179" s="172" t="str">
        <f>IF($A$1="Peak","-",IF(BaseLoad!H178&gt;BaseLoad!$G178,B$8*$Z179,0))</f>
        <v>-</v>
      </c>
      <c r="C179" s="172" t="str">
        <f>IF($A$1="Peak","-",IF(BaseLoad!I178&gt;BaseLoad!$G178,C$8*$Z179,0))</f>
        <v>-</v>
      </c>
      <c r="D179" s="172" t="str">
        <f>IF($A$1="Peak","-",IF(BaseLoad!J178&gt;BaseLoad!$G178,D$8*$Z179,0))</f>
        <v>-</v>
      </c>
      <c r="E179" s="172" t="str">
        <f>IF($A$1="Peak","-",IF(BaseLoad!K178&gt;BaseLoad!$G178,E$8*$Z179,0))</f>
        <v>-</v>
      </c>
      <c r="F179" s="172" t="str">
        <f>IF($A$1="Peak","-",IF(BaseLoad!L178&gt;BaseLoad!$G178,F$8*$Z179,0))</f>
        <v>-</v>
      </c>
      <c r="G179" s="172" t="str">
        <f>IF($A$1="Peak","-",IF(BaseLoad!M178&gt;BaseLoad!$G178,G$8*$Z179,0))</f>
        <v>-</v>
      </c>
      <c r="H179" s="172" t="str">
        <f>IF($A$1="Peak","-",IF(BaseLoad!N178&gt;BaseLoad!$G178,H$8*$Z179,0))</f>
        <v>-</v>
      </c>
      <c r="I179" s="172" t="str">
        <f>IF($A$1="Peak","-",IF(BaseLoad!O178&gt;BaseLoad!$G178,I$8*$Z179,0))</f>
        <v>-</v>
      </c>
      <c r="J179" s="172" t="str">
        <f>IF($A$1="Peak","-",IF(BaseLoad!P178&gt;BaseLoad!$G178,J$8*$Z179,0))</f>
        <v>-</v>
      </c>
      <c r="K179" s="172" t="str">
        <f>IF($A$1="Peak","-",IF(BaseLoad!Q178&gt;BaseLoad!$G178,K$8*$Z179,0))</f>
        <v>-</v>
      </c>
      <c r="L179" s="172" t="str">
        <f>IF($A$1="Peak","-",IF(BaseLoad!R178&gt;BaseLoad!$G178,L$8*$Z179,0))</f>
        <v>-</v>
      </c>
      <c r="M179" s="172" t="str">
        <f>IF($A$1="Peak","-",IF(BaseLoad!S178&gt;BaseLoad!$G178,M$8*$Z179,0))</f>
        <v>-</v>
      </c>
      <c r="N179" s="172" t="str">
        <f>IF($A$1="Peak","-",IF(BaseLoad!T178&gt;BaseLoad!$G178,N$8*$Z179,0))</f>
        <v>-</v>
      </c>
      <c r="O179" s="172" t="str">
        <f>IF($A$1="Peak","-",IF(BaseLoad!U178&gt;BaseLoad!$G178,O$8*$Z179,0))</f>
        <v>-</v>
      </c>
      <c r="P179" s="172" t="str">
        <f>IF($A$1="Peak","-",IF(BaseLoad!V178&gt;BaseLoad!$G178,P$8*$Z179,0))</f>
        <v>-</v>
      </c>
      <c r="Q179" s="172" t="str">
        <f>IF($A$1="Peak","-",IF(BaseLoad!W178&gt;BaseLoad!$G178,Q$8*$Z179,0))</f>
        <v>-</v>
      </c>
      <c r="R179" s="172" t="str">
        <f>IF($A$1="Peak","-",IF(BaseLoad!X178&gt;BaseLoad!$G178,R$8*$Z179,0))</f>
        <v>-</v>
      </c>
      <c r="S179" s="172" t="str">
        <f>IF($A$1="Peak","-",IF(BaseLoad!Y178&gt;BaseLoad!$G178,S$8*$Z179,0))</f>
        <v>-</v>
      </c>
      <c r="T179" s="172" t="str">
        <f>IF($A$1="Peak","-",IF(BaseLoad!Z178&gt;BaseLoad!$G178,T$8*$Z179,0))</f>
        <v>-</v>
      </c>
      <c r="U179" s="172" t="str">
        <f>IF($A$1="Peak","-",IF(BaseLoad!AA178&gt;BaseLoad!$G178,U$8*$Z179,0))</f>
        <v>-</v>
      </c>
      <c r="V179" s="172">
        <f t="shared" si="6"/>
        <v>0</v>
      </c>
      <c r="W179" s="172"/>
      <c r="X179" s="172"/>
      <c r="Y179" s="172"/>
      <c r="Z179" s="172">
        <f>CHOOSE(QUOTIENT(MONTH($A179),3)+1,BaseLoad!$AM$9,BaseLoad!$AN$9,BaseLoad!$AL$9,BaseLoad!$AO$9,BaseLoad!$AM$9)</f>
        <v>0.92427661878611755</v>
      </c>
      <c r="AA179" s="172">
        <f>CHOOSE(QUOTIENT(MONTH($A179),3)+1,BaseLoad!$AM$15,BaseLoad!$AN$15,BaseLoad!$AL$15,BaseLoad!$AO$15,BaseLoad!$AM$15)</f>
        <v>705</v>
      </c>
      <c r="AB179" s="471"/>
      <c r="AD179" s="471"/>
    </row>
    <row r="180" spans="1:30" x14ac:dyDescent="0.2">
      <c r="A180" s="1">
        <f t="shared" si="7"/>
        <v>41710.890000000218</v>
      </c>
      <c r="B180" s="172" t="str">
        <f>IF($A$1="Peak","-",IF(BaseLoad!H179&gt;BaseLoad!$G179,B$8*$Z180,0))</f>
        <v>-</v>
      </c>
      <c r="C180" s="172" t="str">
        <f>IF($A$1="Peak","-",IF(BaseLoad!I179&gt;BaseLoad!$G179,C$8*$Z180,0))</f>
        <v>-</v>
      </c>
      <c r="D180" s="172" t="str">
        <f>IF($A$1="Peak","-",IF(BaseLoad!J179&gt;BaseLoad!$G179,D$8*$Z180,0))</f>
        <v>-</v>
      </c>
      <c r="E180" s="172" t="str">
        <f>IF($A$1="Peak","-",IF(BaseLoad!K179&gt;BaseLoad!$G179,E$8*$Z180,0))</f>
        <v>-</v>
      </c>
      <c r="F180" s="172" t="str">
        <f>IF($A$1="Peak","-",IF(BaseLoad!L179&gt;BaseLoad!$G179,F$8*$Z180,0))</f>
        <v>-</v>
      </c>
      <c r="G180" s="172" t="str">
        <f>IF($A$1="Peak","-",IF(BaseLoad!M179&gt;BaseLoad!$G179,G$8*$Z180,0))</f>
        <v>-</v>
      </c>
      <c r="H180" s="172" t="str">
        <f>IF($A$1="Peak","-",IF(BaseLoad!N179&gt;BaseLoad!$G179,H$8*$Z180,0))</f>
        <v>-</v>
      </c>
      <c r="I180" s="172" t="str">
        <f>IF($A$1="Peak","-",IF(BaseLoad!O179&gt;BaseLoad!$G179,I$8*$Z180,0))</f>
        <v>-</v>
      </c>
      <c r="J180" s="172" t="str">
        <f>IF($A$1="Peak","-",IF(BaseLoad!P179&gt;BaseLoad!$G179,J$8*$Z180,0))</f>
        <v>-</v>
      </c>
      <c r="K180" s="172" t="str">
        <f>IF($A$1="Peak","-",IF(BaseLoad!Q179&gt;BaseLoad!$G179,K$8*$Z180,0))</f>
        <v>-</v>
      </c>
      <c r="L180" s="172" t="str">
        <f>IF($A$1="Peak","-",IF(BaseLoad!R179&gt;BaseLoad!$G179,L$8*$Z180,0))</f>
        <v>-</v>
      </c>
      <c r="M180" s="172" t="str">
        <f>IF($A$1="Peak","-",IF(BaseLoad!S179&gt;BaseLoad!$G179,M$8*$Z180,0))</f>
        <v>-</v>
      </c>
      <c r="N180" s="172" t="str">
        <f>IF($A$1="Peak","-",IF(BaseLoad!T179&gt;BaseLoad!$G179,N$8*$Z180,0))</f>
        <v>-</v>
      </c>
      <c r="O180" s="172" t="str">
        <f>IF($A$1="Peak","-",IF(BaseLoad!U179&gt;BaseLoad!$G179,O$8*$Z180,0))</f>
        <v>-</v>
      </c>
      <c r="P180" s="172" t="str">
        <f>IF($A$1="Peak","-",IF(BaseLoad!V179&gt;BaseLoad!$G179,P$8*$Z180,0))</f>
        <v>-</v>
      </c>
      <c r="Q180" s="172" t="str">
        <f>IF($A$1="Peak","-",IF(BaseLoad!W179&gt;BaseLoad!$G179,Q$8*$Z180,0))</f>
        <v>-</v>
      </c>
      <c r="R180" s="172" t="str">
        <f>IF($A$1="Peak","-",IF(BaseLoad!X179&gt;BaseLoad!$G179,R$8*$Z180,0))</f>
        <v>-</v>
      </c>
      <c r="S180" s="172" t="str">
        <f>IF($A$1="Peak","-",IF(BaseLoad!Y179&gt;BaseLoad!$G179,S$8*$Z180,0))</f>
        <v>-</v>
      </c>
      <c r="T180" s="172" t="str">
        <f>IF($A$1="Peak","-",IF(BaseLoad!Z179&gt;BaseLoad!$G179,T$8*$Z180,0))</f>
        <v>-</v>
      </c>
      <c r="U180" s="172" t="str">
        <f>IF($A$1="Peak","-",IF(BaseLoad!AA179&gt;BaseLoad!$G179,U$8*$Z180,0))</f>
        <v>-</v>
      </c>
      <c r="V180" s="172">
        <f t="shared" si="6"/>
        <v>0</v>
      </c>
      <c r="W180" s="172"/>
      <c r="X180" s="172"/>
      <c r="Y180" s="172"/>
      <c r="Z180" s="172">
        <f>CHOOSE(QUOTIENT(MONTH($A180),3)+1,BaseLoad!$AM$9,BaseLoad!$AN$9,BaseLoad!$AL$9,BaseLoad!$AO$9,BaseLoad!$AM$9)</f>
        <v>0.95</v>
      </c>
      <c r="AA180" s="172">
        <f>CHOOSE(QUOTIENT(MONTH($A180),3)+1,BaseLoad!$AM$15,BaseLoad!$AN$15,BaseLoad!$AL$15,BaseLoad!$AO$15,BaseLoad!$AM$15)</f>
        <v>705</v>
      </c>
      <c r="AB180" s="471"/>
      <c r="AD180" s="471"/>
    </row>
    <row r="181" spans="1:30" x14ac:dyDescent="0.2">
      <c r="A181" s="1">
        <f t="shared" si="7"/>
        <v>41741.307000000219</v>
      </c>
      <c r="B181" s="172" t="str">
        <f>IF($A$1="Peak","-",IF(BaseLoad!H180&gt;BaseLoad!$G180,B$8*$Z181,0))</f>
        <v>-</v>
      </c>
      <c r="C181" s="172" t="str">
        <f>IF($A$1="Peak","-",IF(BaseLoad!I180&gt;BaseLoad!$G180,C$8*$Z181,0))</f>
        <v>-</v>
      </c>
      <c r="D181" s="172" t="str">
        <f>IF($A$1="Peak","-",IF(BaseLoad!J180&gt;BaseLoad!$G180,D$8*$Z181,0))</f>
        <v>-</v>
      </c>
      <c r="E181" s="172" t="str">
        <f>IF($A$1="Peak","-",IF(BaseLoad!K180&gt;BaseLoad!$G180,E$8*$Z181,0))</f>
        <v>-</v>
      </c>
      <c r="F181" s="172" t="str">
        <f>IF($A$1="Peak","-",IF(BaseLoad!L180&gt;BaseLoad!$G180,F$8*$Z181,0))</f>
        <v>-</v>
      </c>
      <c r="G181" s="172" t="str">
        <f>IF($A$1="Peak","-",IF(BaseLoad!M180&gt;BaseLoad!$G180,G$8*$Z181,0))</f>
        <v>-</v>
      </c>
      <c r="H181" s="172" t="str">
        <f>IF($A$1="Peak","-",IF(BaseLoad!N180&gt;BaseLoad!$G180,H$8*$Z181,0))</f>
        <v>-</v>
      </c>
      <c r="I181" s="172" t="str">
        <f>IF($A$1="Peak","-",IF(BaseLoad!O180&gt;BaseLoad!$G180,I$8*$Z181,0))</f>
        <v>-</v>
      </c>
      <c r="J181" s="172" t="str">
        <f>IF($A$1="Peak","-",IF(BaseLoad!P180&gt;BaseLoad!$G180,J$8*$Z181,0))</f>
        <v>-</v>
      </c>
      <c r="K181" s="172" t="str">
        <f>IF($A$1="Peak","-",IF(BaseLoad!Q180&gt;BaseLoad!$G180,K$8*$Z181,0))</f>
        <v>-</v>
      </c>
      <c r="L181" s="172" t="str">
        <f>IF($A$1="Peak","-",IF(BaseLoad!R180&gt;BaseLoad!$G180,L$8*$Z181,0))</f>
        <v>-</v>
      </c>
      <c r="M181" s="172" t="str">
        <f>IF($A$1="Peak","-",IF(BaseLoad!S180&gt;BaseLoad!$G180,M$8*$Z181,0))</f>
        <v>-</v>
      </c>
      <c r="N181" s="172" t="str">
        <f>IF($A$1="Peak","-",IF(BaseLoad!T180&gt;BaseLoad!$G180,N$8*$Z181,0))</f>
        <v>-</v>
      </c>
      <c r="O181" s="172" t="str">
        <f>IF($A$1="Peak","-",IF(BaseLoad!U180&gt;BaseLoad!$G180,O$8*$Z181,0))</f>
        <v>-</v>
      </c>
      <c r="P181" s="172" t="str">
        <f>IF($A$1="Peak","-",IF(BaseLoad!V180&gt;BaseLoad!$G180,P$8*$Z181,0))</f>
        <v>-</v>
      </c>
      <c r="Q181" s="172" t="str">
        <f>IF($A$1="Peak","-",IF(BaseLoad!W180&gt;BaseLoad!$G180,Q$8*$Z181,0))</f>
        <v>-</v>
      </c>
      <c r="R181" s="172" t="str">
        <f>IF($A$1="Peak","-",IF(BaseLoad!X180&gt;BaseLoad!$G180,R$8*$Z181,0))</f>
        <v>-</v>
      </c>
      <c r="S181" s="172" t="str">
        <f>IF($A$1="Peak","-",IF(BaseLoad!Y180&gt;BaseLoad!$G180,S$8*$Z181,0))</f>
        <v>-</v>
      </c>
      <c r="T181" s="172" t="str">
        <f>IF($A$1="Peak","-",IF(BaseLoad!Z180&gt;BaseLoad!$G180,T$8*$Z181,0))</f>
        <v>-</v>
      </c>
      <c r="U181" s="172" t="str">
        <f>IF($A$1="Peak","-",IF(BaseLoad!AA180&gt;BaseLoad!$G180,U$8*$Z181,0))</f>
        <v>-</v>
      </c>
      <c r="V181" s="172">
        <f t="shared" si="6"/>
        <v>0</v>
      </c>
      <c r="W181" s="172"/>
      <c r="X181" s="172"/>
      <c r="Y181" s="172"/>
      <c r="Z181" s="172">
        <f>CHOOSE(QUOTIENT(MONTH($A181),3)+1,BaseLoad!$AM$9,BaseLoad!$AN$9,BaseLoad!$AL$9,BaseLoad!$AO$9,BaseLoad!$AM$9)</f>
        <v>0.95</v>
      </c>
      <c r="AA181" s="172">
        <f>CHOOSE(QUOTIENT(MONTH($A181),3)+1,BaseLoad!$AM$15,BaseLoad!$AN$15,BaseLoad!$AL$15,BaseLoad!$AO$15,BaseLoad!$AM$15)</f>
        <v>705</v>
      </c>
      <c r="AB181" s="471"/>
      <c r="AD181" s="471"/>
    </row>
    <row r="182" spans="1:30" x14ac:dyDescent="0.2">
      <c r="A182" s="1">
        <f t="shared" si="7"/>
        <v>41771.72400000022</v>
      </c>
      <c r="B182" s="172" t="str">
        <f>IF($A$1="Peak","-",IF(BaseLoad!H181&gt;BaseLoad!$G181,B$8*$Z182,0))</f>
        <v>-</v>
      </c>
      <c r="C182" s="172" t="str">
        <f>IF($A$1="Peak","-",IF(BaseLoad!I181&gt;BaseLoad!$G181,C$8*$Z182,0))</f>
        <v>-</v>
      </c>
      <c r="D182" s="172" t="str">
        <f>IF($A$1="Peak","-",IF(BaseLoad!J181&gt;BaseLoad!$G181,D$8*$Z182,0))</f>
        <v>-</v>
      </c>
      <c r="E182" s="172" t="str">
        <f>IF($A$1="Peak","-",IF(BaseLoad!K181&gt;BaseLoad!$G181,E$8*$Z182,0))</f>
        <v>-</v>
      </c>
      <c r="F182" s="172" t="str">
        <f>IF($A$1="Peak","-",IF(BaseLoad!L181&gt;BaseLoad!$G181,F$8*$Z182,0))</f>
        <v>-</v>
      </c>
      <c r="G182" s="172" t="str">
        <f>IF($A$1="Peak","-",IF(BaseLoad!M181&gt;BaseLoad!$G181,G$8*$Z182,0))</f>
        <v>-</v>
      </c>
      <c r="H182" s="172" t="str">
        <f>IF($A$1="Peak","-",IF(BaseLoad!N181&gt;BaseLoad!$G181,H$8*$Z182,0))</f>
        <v>-</v>
      </c>
      <c r="I182" s="172" t="str">
        <f>IF($A$1="Peak","-",IF(BaseLoad!O181&gt;BaseLoad!$G181,I$8*$Z182,0))</f>
        <v>-</v>
      </c>
      <c r="J182" s="172" t="str">
        <f>IF($A$1="Peak","-",IF(BaseLoad!P181&gt;BaseLoad!$G181,J$8*$Z182,0))</f>
        <v>-</v>
      </c>
      <c r="K182" s="172" t="str">
        <f>IF($A$1="Peak","-",IF(BaseLoad!Q181&gt;BaseLoad!$G181,K$8*$Z182,0))</f>
        <v>-</v>
      </c>
      <c r="L182" s="172" t="str">
        <f>IF($A$1="Peak","-",IF(BaseLoad!R181&gt;BaseLoad!$G181,L$8*$Z182,0))</f>
        <v>-</v>
      </c>
      <c r="M182" s="172" t="str">
        <f>IF($A$1="Peak","-",IF(BaseLoad!S181&gt;BaseLoad!$G181,M$8*$Z182,0))</f>
        <v>-</v>
      </c>
      <c r="N182" s="172" t="str">
        <f>IF($A$1="Peak","-",IF(BaseLoad!T181&gt;BaseLoad!$G181,N$8*$Z182,0))</f>
        <v>-</v>
      </c>
      <c r="O182" s="172" t="str">
        <f>IF($A$1="Peak","-",IF(BaseLoad!U181&gt;BaseLoad!$G181,O$8*$Z182,0))</f>
        <v>-</v>
      </c>
      <c r="P182" s="172" t="str">
        <f>IF($A$1="Peak","-",IF(BaseLoad!V181&gt;BaseLoad!$G181,P$8*$Z182,0))</f>
        <v>-</v>
      </c>
      <c r="Q182" s="172" t="str">
        <f>IF($A$1="Peak","-",IF(BaseLoad!W181&gt;BaseLoad!$G181,Q$8*$Z182,0))</f>
        <v>-</v>
      </c>
      <c r="R182" s="172" t="str">
        <f>IF($A$1="Peak","-",IF(BaseLoad!X181&gt;BaseLoad!$G181,R$8*$Z182,0))</f>
        <v>-</v>
      </c>
      <c r="S182" s="172" t="str">
        <f>IF($A$1="Peak","-",IF(BaseLoad!Y181&gt;BaseLoad!$G181,S$8*$Z182,0))</f>
        <v>-</v>
      </c>
      <c r="T182" s="172" t="str">
        <f>IF($A$1="Peak","-",IF(BaseLoad!Z181&gt;BaseLoad!$G181,T$8*$Z182,0))</f>
        <v>-</v>
      </c>
      <c r="U182" s="172" t="str">
        <f>IF($A$1="Peak","-",IF(BaseLoad!AA181&gt;BaseLoad!$G181,U$8*$Z182,0))</f>
        <v>-</v>
      </c>
      <c r="V182" s="172">
        <f t="shared" si="6"/>
        <v>0</v>
      </c>
      <c r="W182" s="172"/>
      <c r="X182" s="172"/>
      <c r="Y182" s="172"/>
      <c r="Z182" s="172">
        <f>CHOOSE(QUOTIENT(MONTH($A182),3)+1,BaseLoad!$AM$9,BaseLoad!$AN$9,BaseLoad!$AL$9,BaseLoad!$AO$9,BaseLoad!$AM$9)</f>
        <v>0.95</v>
      </c>
      <c r="AA182" s="172">
        <f>CHOOSE(QUOTIENT(MONTH($A182),3)+1,BaseLoad!$AM$15,BaseLoad!$AN$15,BaseLoad!$AL$15,BaseLoad!$AO$15,BaseLoad!$AM$15)</f>
        <v>705</v>
      </c>
      <c r="AB182" s="471"/>
      <c r="AD182" s="471"/>
    </row>
    <row r="183" spans="1:30" x14ac:dyDescent="0.2">
      <c r="A183" s="1">
        <f t="shared" si="7"/>
        <v>41802.141000000222</v>
      </c>
      <c r="B183" s="172" t="str">
        <f>IF($A$1="Peak","-",IF(BaseLoad!H182&gt;BaseLoad!$G182,B$8*$Z183,0))</f>
        <v>-</v>
      </c>
      <c r="C183" s="172" t="str">
        <f>IF($A$1="Peak","-",IF(BaseLoad!I182&gt;BaseLoad!$G182,C$8*$Z183,0))</f>
        <v>-</v>
      </c>
      <c r="D183" s="172" t="str">
        <f>IF($A$1="Peak","-",IF(BaseLoad!J182&gt;BaseLoad!$G182,D$8*$Z183,0))</f>
        <v>-</v>
      </c>
      <c r="E183" s="172" t="str">
        <f>IF($A$1="Peak","-",IF(BaseLoad!K182&gt;BaseLoad!$G182,E$8*$Z183,0))</f>
        <v>-</v>
      </c>
      <c r="F183" s="172" t="str">
        <f>IF($A$1="Peak","-",IF(BaseLoad!L182&gt;BaseLoad!$G182,F$8*$Z183,0))</f>
        <v>-</v>
      </c>
      <c r="G183" s="172" t="str">
        <f>IF($A$1="Peak","-",IF(BaseLoad!M182&gt;BaseLoad!$G182,G$8*$Z183,0))</f>
        <v>-</v>
      </c>
      <c r="H183" s="172" t="str">
        <f>IF($A$1="Peak","-",IF(BaseLoad!N182&gt;BaseLoad!$G182,H$8*$Z183,0))</f>
        <v>-</v>
      </c>
      <c r="I183" s="172" t="str">
        <f>IF($A$1="Peak","-",IF(BaseLoad!O182&gt;BaseLoad!$G182,I$8*$Z183,0))</f>
        <v>-</v>
      </c>
      <c r="J183" s="172" t="str">
        <f>IF($A$1="Peak","-",IF(BaseLoad!P182&gt;BaseLoad!$G182,J$8*$Z183,0))</f>
        <v>-</v>
      </c>
      <c r="K183" s="172" t="str">
        <f>IF($A$1="Peak","-",IF(BaseLoad!Q182&gt;BaseLoad!$G182,K$8*$Z183,0))</f>
        <v>-</v>
      </c>
      <c r="L183" s="172" t="str">
        <f>IF($A$1="Peak","-",IF(BaseLoad!R182&gt;BaseLoad!$G182,L$8*$Z183,0))</f>
        <v>-</v>
      </c>
      <c r="M183" s="172" t="str">
        <f>IF($A$1="Peak","-",IF(BaseLoad!S182&gt;BaseLoad!$G182,M$8*$Z183,0))</f>
        <v>-</v>
      </c>
      <c r="N183" s="172" t="str">
        <f>IF($A$1="Peak","-",IF(BaseLoad!T182&gt;BaseLoad!$G182,N$8*$Z183,0))</f>
        <v>-</v>
      </c>
      <c r="O183" s="172" t="str">
        <f>IF($A$1="Peak","-",IF(BaseLoad!U182&gt;BaseLoad!$G182,O$8*$Z183,0))</f>
        <v>-</v>
      </c>
      <c r="P183" s="172" t="str">
        <f>IF($A$1="Peak","-",IF(BaseLoad!V182&gt;BaseLoad!$G182,P$8*$Z183,0))</f>
        <v>-</v>
      </c>
      <c r="Q183" s="172" t="str">
        <f>IF($A$1="Peak","-",IF(BaseLoad!W182&gt;BaseLoad!$G182,Q$8*$Z183,0))</f>
        <v>-</v>
      </c>
      <c r="R183" s="172" t="str">
        <f>IF($A$1="Peak","-",IF(BaseLoad!X182&gt;BaseLoad!$G182,R$8*$Z183,0))</f>
        <v>-</v>
      </c>
      <c r="S183" s="172" t="str">
        <f>IF($A$1="Peak","-",IF(BaseLoad!Y182&gt;BaseLoad!$G182,S$8*$Z183,0))</f>
        <v>-</v>
      </c>
      <c r="T183" s="172" t="str">
        <f>IF($A$1="Peak","-",IF(BaseLoad!Z182&gt;BaseLoad!$G182,T$8*$Z183,0))</f>
        <v>-</v>
      </c>
      <c r="U183" s="172" t="str">
        <f>IF($A$1="Peak","-",IF(BaseLoad!AA182&gt;BaseLoad!$G182,U$8*$Z183,0))</f>
        <v>-</v>
      </c>
      <c r="V183" s="172">
        <f t="shared" si="6"/>
        <v>0</v>
      </c>
      <c r="W183" s="172"/>
      <c r="X183" s="172"/>
      <c r="Y183" s="172"/>
      <c r="Z183" s="172">
        <f>CHOOSE(QUOTIENT(MONTH($A183),3)+1,BaseLoad!$AM$9,BaseLoad!$AN$9,BaseLoad!$AL$9,BaseLoad!$AO$9,BaseLoad!$AM$9)</f>
        <v>0.96612135909558572</v>
      </c>
      <c r="AA183" s="172">
        <f>CHOOSE(QUOTIENT(MONTH($A183),3)+1,BaseLoad!$AM$15,BaseLoad!$AN$15,BaseLoad!$AL$15,BaseLoad!$AO$15,BaseLoad!$AM$15)</f>
        <v>705</v>
      </c>
      <c r="AB183" s="471"/>
      <c r="AD183" s="471"/>
    </row>
    <row r="184" spans="1:30" x14ac:dyDescent="0.2">
      <c r="A184" s="1">
        <f t="shared" si="7"/>
        <v>41832.558000000223</v>
      </c>
      <c r="B184" s="172" t="str">
        <f>IF($A$1="Peak","-",IF(BaseLoad!H183&gt;BaseLoad!$G183,B$8*$Z184,0))</f>
        <v>-</v>
      </c>
      <c r="C184" s="172" t="str">
        <f>IF($A$1="Peak","-",IF(BaseLoad!I183&gt;BaseLoad!$G183,C$8*$Z184,0))</f>
        <v>-</v>
      </c>
      <c r="D184" s="172" t="str">
        <f>IF($A$1="Peak","-",IF(BaseLoad!J183&gt;BaseLoad!$G183,D$8*$Z184,0))</f>
        <v>-</v>
      </c>
      <c r="E184" s="172" t="str">
        <f>IF($A$1="Peak","-",IF(BaseLoad!K183&gt;BaseLoad!$G183,E$8*$Z184,0))</f>
        <v>-</v>
      </c>
      <c r="F184" s="172" t="str">
        <f>IF($A$1="Peak","-",IF(BaseLoad!L183&gt;BaseLoad!$G183,F$8*$Z184,0))</f>
        <v>-</v>
      </c>
      <c r="G184" s="172" t="str">
        <f>IF($A$1="Peak","-",IF(BaseLoad!M183&gt;BaseLoad!$G183,G$8*$Z184,0))</f>
        <v>-</v>
      </c>
      <c r="H184" s="172" t="str">
        <f>IF($A$1="Peak","-",IF(BaseLoad!N183&gt;BaseLoad!$G183,H$8*$Z184,0))</f>
        <v>-</v>
      </c>
      <c r="I184" s="172" t="str">
        <f>IF($A$1="Peak","-",IF(BaseLoad!O183&gt;BaseLoad!$G183,I$8*$Z184,0))</f>
        <v>-</v>
      </c>
      <c r="J184" s="172" t="str">
        <f>IF($A$1="Peak","-",IF(BaseLoad!P183&gt;BaseLoad!$G183,J$8*$Z184,0))</f>
        <v>-</v>
      </c>
      <c r="K184" s="172" t="str">
        <f>IF($A$1="Peak","-",IF(BaseLoad!Q183&gt;BaseLoad!$G183,K$8*$Z184,0))</f>
        <v>-</v>
      </c>
      <c r="L184" s="172" t="str">
        <f>IF($A$1="Peak","-",IF(BaseLoad!R183&gt;BaseLoad!$G183,L$8*$Z184,0))</f>
        <v>-</v>
      </c>
      <c r="M184" s="172" t="str">
        <f>IF($A$1="Peak","-",IF(BaseLoad!S183&gt;BaseLoad!$G183,M$8*$Z184,0))</f>
        <v>-</v>
      </c>
      <c r="N184" s="172" t="str">
        <f>IF($A$1="Peak","-",IF(BaseLoad!T183&gt;BaseLoad!$G183,N$8*$Z184,0))</f>
        <v>-</v>
      </c>
      <c r="O184" s="172" t="str">
        <f>IF($A$1="Peak","-",IF(BaseLoad!U183&gt;BaseLoad!$G183,O$8*$Z184,0))</f>
        <v>-</v>
      </c>
      <c r="P184" s="172" t="str">
        <f>IF($A$1="Peak","-",IF(BaseLoad!V183&gt;BaseLoad!$G183,P$8*$Z184,0))</f>
        <v>-</v>
      </c>
      <c r="Q184" s="172" t="str">
        <f>IF($A$1="Peak","-",IF(BaseLoad!W183&gt;BaseLoad!$G183,Q$8*$Z184,0))</f>
        <v>-</v>
      </c>
      <c r="R184" s="172" t="str">
        <f>IF($A$1="Peak","-",IF(BaseLoad!X183&gt;BaseLoad!$G183,R$8*$Z184,0))</f>
        <v>-</v>
      </c>
      <c r="S184" s="172" t="str">
        <f>IF($A$1="Peak","-",IF(BaseLoad!Y183&gt;BaseLoad!$G183,S$8*$Z184,0))</f>
        <v>-</v>
      </c>
      <c r="T184" s="172" t="str">
        <f>IF($A$1="Peak","-",IF(BaseLoad!Z183&gt;BaseLoad!$G183,T$8*$Z184,0))</f>
        <v>-</v>
      </c>
      <c r="U184" s="172" t="str">
        <f>IF($A$1="Peak","-",IF(BaseLoad!AA183&gt;BaseLoad!$G183,U$8*$Z184,0))</f>
        <v>-</v>
      </c>
      <c r="V184" s="172">
        <f t="shared" si="6"/>
        <v>0</v>
      </c>
      <c r="W184" s="172"/>
      <c r="X184" s="172"/>
      <c r="Y184" s="172"/>
      <c r="Z184" s="172">
        <f>CHOOSE(QUOTIENT(MONTH($A184),3)+1,BaseLoad!$AM$9,BaseLoad!$AN$9,BaseLoad!$AL$9,BaseLoad!$AO$9,BaseLoad!$AM$9)</f>
        <v>0.96612135909558572</v>
      </c>
      <c r="AA184" s="172">
        <f>CHOOSE(QUOTIENT(MONTH($A184),3)+1,BaseLoad!$AM$15,BaseLoad!$AN$15,BaseLoad!$AL$15,BaseLoad!$AO$15,BaseLoad!$AM$15)</f>
        <v>705</v>
      </c>
      <c r="AB184" s="471"/>
      <c r="AD184" s="471"/>
    </row>
    <row r="185" spans="1:30" x14ac:dyDescent="0.2">
      <c r="A185" s="1">
        <f t="shared" si="7"/>
        <v>41862.975000000224</v>
      </c>
      <c r="B185" s="172" t="str">
        <f>IF($A$1="Peak","-",IF(BaseLoad!H184&gt;BaseLoad!$G184,B$8*$Z185,0))</f>
        <v>-</v>
      </c>
      <c r="C185" s="172" t="str">
        <f>IF($A$1="Peak","-",IF(BaseLoad!I184&gt;BaseLoad!$G184,C$8*$Z185,0))</f>
        <v>-</v>
      </c>
      <c r="D185" s="172" t="str">
        <f>IF($A$1="Peak","-",IF(BaseLoad!J184&gt;BaseLoad!$G184,D$8*$Z185,0))</f>
        <v>-</v>
      </c>
      <c r="E185" s="172" t="str">
        <f>IF($A$1="Peak","-",IF(BaseLoad!K184&gt;BaseLoad!$G184,E$8*$Z185,0))</f>
        <v>-</v>
      </c>
      <c r="F185" s="172" t="str">
        <f>IF($A$1="Peak","-",IF(BaseLoad!L184&gt;BaseLoad!$G184,F$8*$Z185,0))</f>
        <v>-</v>
      </c>
      <c r="G185" s="172" t="str">
        <f>IF($A$1="Peak","-",IF(BaseLoad!M184&gt;BaseLoad!$G184,G$8*$Z185,0))</f>
        <v>-</v>
      </c>
      <c r="H185" s="172" t="str">
        <f>IF($A$1="Peak","-",IF(BaseLoad!N184&gt;BaseLoad!$G184,H$8*$Z185,0))</f>
        <v>-</v>
      </c>
      <c r="I185" s="172" t="str">
        <f>IF($A$1="Peak","-",IF(BaseLoad!O184&gt;BaseLoad!$G184,I$8*$Z185,0))</f>
        <v>-</v>
      </c>
      <c r="J185" s="172" t="str">
        <f>IF($A$1="Peak","-",IF(BaseLoad!P184&gt;BaseLoad!$G184,J$8*$Z185,0))</f>
        <v>-</v>
      </c>
      <c r="K185" s="172" t="str">
        <f>IF($A$1="Peak","-",IF(BaseLoad!Q184&gt;BaseLoad!$G184,K$8*$Z185,0))</f>
        <v>-</v>
      </c>
      <c r="L185" s="172" t="str">
        <f>IF($A$1="Peak","-",IF(BaseLoad!R184&gt;BaseLoad!$G184,L$8*$Z185,0))</f>
        <v>-</v>
      </c>
      <c r="M185" s="172" t="str">
        <f>IF($A$1="Peak","-",IF(BaseLoad!S184&gt;BaseLoad!$G184,M$8*$Z185,0))</f>
        <v>-</v>
      </c>
      <c r="N185" s="172" t="str">
        <f>IF($A$1="Peak","-",IF(BaseLoad!T184&gt;BaseLoad!$G184,N$8*$Z185,0))</f>
        <v>-</v>
      </c>
      <c r="O185" s="172" t="str">
        <f>IF($A$1="Peak","-",IF(BaseLoad!U184&gt;BaseLoad!$G184,O$8*$Z185,0))</f>
        <v>-</v>
      </c>
      <c r="P185" s="172" t="str">
        <f>IF($A$1="Peak","-",IF(BaseLoad!V184&gt;BaseLoad!$G184,P$8*$Z185,0))</f>
        <v>-</v>
      </c>
      <c r="Q185" s="172" t="str">
        <f>IF($A$1="Peak","-",IF(BaseLoad!W184&gt;BaseLoad!$G184,Q$8*$Z185,0))</f>
        <v>-</v>
      </c>
      <c r="R185" s="172" t="str">
        <f>IF($A$1="Peak","-",IF(BaseLoad!X184&gt;BaseLoad!$G184,R$8*$Z185,0))</f>
        <v>-</v>
      </c>
      <c r="S185" s="172" t="str">
        <f>IF($A$1="Peak","-",IF(BaseLoad!Y184&gt;BaseLoad!$G184,S$8*$Z185,0))</f>
        <v>-</v>
      </c>
      <c r="T185" s="172" t="str">
        <f>IF($A$1="Peak","-",IF(BaseLoad!Z184&gt;BaseLoad!$G184,T$8*$Z185,0))</f>
        <v>-</v>
      </c>
      <c r="U185" s="172" t="str">
        <f>IF($A$1="Peak","-",IF(BaseLoad!AA184&gt;BaseLoad!$G184,U$8*$Z185,0))</f>
        <v>-</v>
      </c>
      <c r="V185" s="172">
        <f t="shared" si="6"/>
        <v>0</v>
      </c>
      <c r="W185" s="172"/>
      <c r="X185" s="172"/>
      <c r="Y185" s="172"/>
      <c r="Z185" s="172">
        <f>CHOOSE(QUOTIENT(MONTH($A185),3)+1,BaseLoad!$AM$9,BaseLoad!$AN$9,BaseLoad!$AL$9,BaseLoad!$AO$9,BaseLoad!$AM$9)</f>
        <v>0.96612135909558572</v>
      </c>
      <c r="AA185" s="172">
        <f>CHOOSE(QUOTIENT(MONTH($A185),3)+1,BaseLoad!$AM$15,BaseLoad!$AN$15,BaseLoad!$AL$15,BaseLoad!$AO$15,BaseLoad!$AM$15)</f>
        <v>705</v>
      </c>
      <c r="AB185" s="471"/>
      <c r="AD185" s="471"/>
    </row>
    <row r="186" spans="1:30" x14ac:dyDescent="0.2">
      <c r="A186" s="1">
        <f t="shared" si="7"/>
        <v>41893.392000000225</v>
      </c>
      <c r="B186" s="172" t="str">
        <f>IF($A$1="Peak","-",IF(BaseLoad!H185&gt;BaseLoad!$G185,B$8*$Z186,0))</f>
        <v>-</v>
      </c>
      <c r="C186" s="172" t="str">
        <f>IF($A$1="Peak","-",IF(BaseLoad!I185&gt;BaseLoad!$G185,C$8*$Z186,0))</f>
        <v>-</v>
      </c>
      <c r="D186" s="172" t="str">
        <f>IF($A$1="Peak","-",IF(BaseLoad!J185&gt;BaseLoad!$G185,D$8*$Z186,0))</f>
        <v>-</v>
      </c>
      <c r="E186" s="172" t="str">
        <f>IF($A$1="Peak","-",IF(BaseLoad!K185&gt;BaseLoad!$G185,E$8*$Z186,0))</f>
        <v>-</v>
      </c>
      <c r="F186" s="172" t="str">
        <f>IF($A$1="Peak","-",IF(BaseLoad!L185&gt;BaseLoad!$G185,F$8*$Z186,0))</f>
        <v>-</v>
      </c>
      <c r="G186" s="172" t="str">
        <f>IF($A$1="Peak","-",IF(BaseLoad!M185&gt;BaseLoad!$G185,G$8*$Z186,0))</f>
        <v>-</v>
      </c>
      <c r="H186" s="172" t="str">
        <f>IF($A$1="Peak","-",IF(BaseLoad!N185&gt;BaseLoad!$G185,H$8*$Z186,0))</f>
        <v>-</v>
      </c>
      <c r="I186" s="172" t="str">
        <f>IF($A$1="Peak","-",IF(BaseLoad!O185&gt;BaseLoad!$G185,I$8*$Z186,0))</f>
        <v>-</v>
      </c>
      <c r="J186" s="172" t="str">
        <f>IF($A$1="Peak","-",IF(BaseLoad!P185&gt;BaseLoad!$G185,J$8*$Z186,0))</f>
        <v>-</v>
      </c>
      <c r="K186" s="172" t="str">
        <f>IF($A$1="Peak","-",IF(BaseLoad!Q185&gt;BaseLoad!$G185,K$8*$Z186,0))</f>
        <v>-</v>
      </c>
      <c r="L186" s="172" t="str">
        <f>IF($A$1="Peak","-",IF(BaseLoad!R185&gt;BaseLoad!$G185,L$8*$Z186,0))</f>
        <v>-</v>
      </c>
      <c r="M186" s="172" t="str">
        <f>IF($A$1="Peak","-",IF(BaseLoad!S185&gt;BaseLoad!$G185,M$8*$Z186,0))</f>
        <v>-</v>
      </c>
      <c r="N186" s="172" t="str">
        <f>IF($A$1="Peak","-",IF(BaseLoad!T185&gt;BaseLoad!$G185,N$8*$Z186,0))</f>
        <v>-</v>
      </c>
      <c r="O186" s="172" t="str">
        <f>IF($A$1="Peak","-",IF(BaseLoad!U185&gt;BaseLoad!$G185,O$8*$Z186,0))</f>
        <v>-</v>
      </c>
      <c r="P186" s="172" t="str">
        <f>IF($A$1="Peak","-",IF(BaseLoad!V185&gt;BaseLoad!$G185,P$8*$Z186,0))</f>
        <v>-</v>
      </c>
      <c r="Q186" s="172" t="str">
        <f>IF($A$1="Peak","-",IF(BaseLoad!W185&gt;BaseLoad!$G185,Q$8*$Z186,0))</f>
        <v>-</v>
      </c>
      <c r="R186" s="172" t="str">
        <f>IF($A$1="Peak","-",IF(BaseLoad!X185&gt;BaseLoad!$G185,R$8*$Z186,0))</f>
        <v>-</v>
      </c>
      <c r="S186" s="172" t="str">
        <f>IF($A$1="Peak","-",IF(BaseLoad!Y185&gt;BaseLoad!$G185,S$8*$Z186,0))</f>
        <v>-</v>
      </c>
      <c r="T186" s="172" t="str">
        <f>IF($A$1="Peak","-",IF(BaseLoad!Z185&gt;BaseLoad!$G185,T$8*$Z186,0))</f>
        <v>-</v>
      </c>
      <c r="U186" s="172" t="str">
        <f>IF($A$1="Peak","-",IF(BaseLoad!AA185&gt;BaseLoad!$G185,U$8*$Z186,0))</f>
        <v>-</v>
      </c>
      <c r="V186" s="172">
        <f t="shared" si="6"/>
        <v>0</v>
      </c>
      <c r="W186" s="172"/>
      <c r="X186" s="172"/>
      <c r="Y186" s="172"/>
      <c r="Z186" s="172">
        <f>CHOOSE(QUOTIENT(MONTH($A186),3)+1,BaseLoad!$AM$9,BaseLoad!$AN$9,BaseLoad!$AL$9,BaseLoad!$AO$9,BaseLoad!$AM$9)</f>
        <v>0.95</v>
      </c>
      <c r="AA186" s="172">
        <f>CHOOSE(QUOTIENT(MONTH($A186),3)+1,BaseLoad!$AM$15,BaseLoad!$AN$15,BaseLoad!$AL$15,BaseLoad!$AO$15,BaseLoad!$AM$15)</f>
        <v>705</v>
      </c>
      <c r="AB186" s="471"/>
      <c r="AD186" s="471"/>
    </row>
    <row r="187" spans="1:30" x14ac:dyDescent="0.2">
      <c r="A187" s="1">
        <f t="shared" si="7"/>
        <v>41923.809000000227</v>
      </c>
      <c r="B187" s="172" t="str">
        <f>IF($A$1="Peak","-",IF(BaseLoad!H186&gt;BaseLoad!$G186,B$8*$Z187,0))</f>
        <v>-</v>
      </c>
      <c r="C187" s="172" t="str">
        <f>IF($A$1="Peak","-",IF(BaseLoad!I186&gt;BaseLoad!$G186,C$8*$Z187,0))</f>
        <v>-</v>
      </c>
      <c r="D187" s="172" t="str">
        <f>IF($A$1="Peak","-",IF(BaseLoad!J186&gt;BaseLoad!$G186,D$8*$Z187,0))</f>
        <v>-</v>
      </c>
      <c r="E187" s="172" t="str">
        <f>IF($A$1="Peak","-",IF(BaseLoad!K186&gt;BaseLoad!$G186,E$8*$Z187,0))</f>
        <v>-</v>
      </c>
      <c r="F187" s="172" t="str">
        <f>IF($A$1="Peak","-",IF(BaseLoad!L186&gt;BaseLoad!$G186,F$8*$Z187,0))</f>
        <v>-</v>
      </c>
      <c r="G187" s="172" t="str">
        <f>IF($A$1="Peak","-",IF(BaseLoad!M186&gt;BaseLoad!$G186,G$8*$Z187,0))</f>
        <v>-</v>
      </c>
      <c r="H187" s="172" t="str">
        <f>IF($A$1="Peak","-",IF(BaseLoad!N186&gt;BaseLoad!$G186,H$8*$Z187,0))</f>
        <v>-</v>
      </c>
      <c r="I187" s="172" t="str">
        <f>IF($A$1="Peak","-",IF(BaseLoad!O186&gt;BaseLoad!$G186,I$8*$Z187,0))</f>
        <v>-</v>
      </c>
      <c r="J187" s="172" t="str">
        <f>IF($A$1="Peak","-",IF(BaseLoad!P186&gt;BaseLoad!$G186,J$8*$Z187,0))</f>
        <v>-</v>
      </c>
      <c r="K187" s="172" t="str">
        <f>IF($A$1="Peak","-",IF(BaseLoad!Q186&gt;BaseLoad!$G186,K$8*$Z187,0))</f>
        <v>-</v>
      </c>
      <c r="L187" s="172" t="str">
        <f>IF($A$1="Peak","-",IF(BaseLoad!R186&gt;BaseLoad!$G186,L$8*$Z187,0))</f>
        <v>-</v>
      </c>
      <c r="M187" s="172" t="str">
        <f>IF($A$1="Peak","-",IF(BaseLoad!S186&gt;BaseLoad!$G186,M$8*$Z187,0))</f>
        <v>-</v>
      </c>
      <c r="N187" s="172" t="str">
        <f>IF($A$1="Peak","-",IF(BaseLoad!T186&gt;BaseLoad!$G186,N$8*$Z187,0))</f>
        <v>-</v>
      </c>
      <c r="O187" s="172" t="str">
        <f>IF($A$1="Peak","-",IF(BaseLoad!U186&gt;BaseLoad!$G186,O$8*$Z187,0))</f>
        <v>-</v>
      </c>
      <c r="P187" s="172" t="str">
        <f>IF($A$1="Peak","-",IF(BaseLoad!V186&gt;BaseLoad!$G186,P$8*$Z187,0))</f>
        <v>-</v>
      </c>
      <c r="Q187" s="172" t="str">
        <f>IF($A$1="Peak","-",IF(BaseLoad!W186&gt;BaseLoad!$G186,Q$8*$Z187,0))</f>
        <v>-</v>
      </c>
      <c r="R187" s="172" t="str">
        <f>IF($A$1="Peak","-",IF(BaseLoad!X186&gt;BaseLoad!$G186,R$8*$Z187,0))</f>
        <v>-</v>
      </c>
      <c r="S187" s="172" t="str">
        <f>IF($A$1="Peak","-",IF(BaseLoad!Y186&gt;BaseLoad!$G186,S$8*$Z187,0))</f>
        <v>-</v>
      </c>
      <c r="T187" s="172" t="str">
        <f>IF($A$1="Peak","-",IF(BaseLoad!Z186&gt;BaseLoad!$G186,T$8*$Z187,0))</f>
        <v>-</v>
      </c>
      <c r="U187" s="172" t="str">
        <f>IF($A$1="Peak","-",IF(BaseLoad!AA186&gt;BaseLoad!$G186,U$8*$Z187,0))</f>
        <v>-</v>
      </c>
      <c r="V187" s="172">
        <f t="shared" si="6"/>
        <v>0</v>
      </c>
      <c r="W187" s="172"/>
      <c r="X187" s="172"/>
      <c r="Y187" s="172"/>
      <c r="Z187" s="172">
        <f>CHOOSE(QUOTIENT(MONTH($A187),3)+1,BaseLoad!$AM$9,BaseLoad!$AN$9,BaseLoad!$AL$9,BaseLoad!$AO$9,BaseLoad!$AM$9)</f>
        <v>0.95</v>
      </c>
      <c r="AA187" s="172">
        <f>CHOOSE(QUOTIENT(MONTH($A187),3)+1,BaseLoad!$AM$15,BaseLoad!$AN$15,BaseLoad!$AL$15,BaseLoad!$AO$15,BaseLoad!$AM$15)</f>
        <v>705</v>
      </c>
      <c r="AB187" s="471"/>
      <c r="AD187" s="471"/>
    </row>
    <row r="188" spans="1:30" x14ac:dyDescent="0.2">
      <c r="A188" s="1">
        <f t="shared" si="7"/>
        <v>41954.226000000228</v>
      </c>
      <c r="B188" s="172" t="str">
        <f>IF($A$1="Peak","-",IF(BaseLoad!H187&gt;BaseLoad!$G187,B$8*$Z188,0))</f>
        <v>-</v>
      </c>
      <c r="C188" s="172" t="str">
        <f>IF($A$1="Peak","-",IF(BaseLoad!I187&gt;BaseLoad!$G187,C$8*$Z188,0))</f>
        <v>-</v>
      </c>
      <c r="D188" s="172" t="str">
        <f>IF($A$1="Peak","-",IF(BaseLoad!J187&gt;BaseLoad!$G187,D$8*$Z188,0))</f>
        <v>-</v>
      </c>
      <c r="E188" s="172" t="str">
        <f>IF($A$1="Peak","-",IF(BaseLoad!K187&gt;BaseLoad!$G187,E$8*$Z188,0))</f>
        <v>-</v>
      </c>
      <c r="F188" s="172" t="str">
        <f>IF($A$1="Peak","-",IF(BaseLoad!L187&gt;BaseLoad!$G187,F$8*$Z188,0))</f>
        <v>-</v>
      </c>
      <c r="G188" s="172" t="str">
        <f>IF($A$1="Peak","-",IF(BaseLoad!M187&gt;BaseLoad!$G187,G$8*$Z188,0))</f>
        <v>-</v>
      </c>
      <c r="H188" s="172" t="str">
        <f>IF($A$1="Peak","-",IF(BaseLoad!N187&gt;BaseLoad!$G187,H$8*$Z188,0))</f>
        <v>-</v>
      </c>
      <c r="I188" s="172" t="str">
        <f>IF($A$1="Peak","-",IF(BaseLoad!O187&gt;BaseLoad!$G187,I$8*$Z188,0))</f>
        <v>-</v>
      </c>
      <c r="J188" s="172" t="str">
        <f>IF($A$1="Peak","-",IF(BaseLoad!P187&gt;BaseLoad!$G187,J$8*$Z188,0))</f>
        <v>-</v>
      </c>
      <c r="K188" s="172" t="str">
        <f>IF($A$1="Peak","-",IF(BaseLoad!Q187&gt;BaseLoad!$G187,K$8*$Z188,0))</f>
        <v>-</v>
      </c>
      <c r="L188" s="172" t="str">
        <f>IF($A$1="Peak","-",IF(BaseLoad!R187&gt;BaseLoad!$G187,L$8*$Z188,0))</f>
        <v>-</v>
      </c>
      <c r="M188" s="172" t="str">
        <f>IF($A$1="Peak","-",IF(BaseLoad!S187&gt;BaseLoad!$G187,M$8*$Z188,0))</f>
        <v>-</v>
      </c>
      <c r="N188" s="172" t="str">
        <f>IF($A$1="Peak","-",IF(BaseLoad!T187&gt;BaseLoad!$G187,N$8*$Z188,0))</f>
        <v>-</v>
      </c>
      <c r="O188" s="172" t="str">
        <f>IF($A$1="Peak","-",IF(BaseLoad!U187&gt;BaseLoad!$G187,O$8*$Z188,0))</f>
        <v>-</v>
      </c>
      <c r="P188" s="172" t="str">
        <f>IF($A$1="Peak","-",IF(BaseLoad!V187&gt;BaseLoad!$G187,P$8*$Z188,0))</f>
        <v>-</v>
      </c>
      <c r="Q188" s="172" t="str">
        <f>IF($A$1="Peak","-",IF(BaseLoad!W187&gt;BaseLoad!$G187,Q$8*$Z188,0))</f>
        <v>-</v>
      </c>
      <c r="R188" s="172" t="str">
        <f>IF($A$1="Peak","-",IF(BaseLoad!X187&gt;BaseLoad!$G187,R$8*$Z188,0))</f>
        <v>-</v>
      </c>
      <c r="S188" s="172" t="str">
        <f>IF($A$1="Peak","-",IF(BaseLoad!Y187&gt;BaseLoad!$G187,S$8*$Z188,0))</f>
        <v>-</v>
      </c>
      <c r="T188" s="172" t="str">
        <f>IF($A$1="Peak","-",IF(BaseLoad!Z187&gt;BaseLoad!$G187,T$8*$Z188,0))</f>
        <v>-</v>
      </c>
      <c r="U188" s="172" t="str">
        <f>IF($A$1="Peak","-",IF(BaseLoad!AA187&gt;BaseLoad!$G187,U$8*$Z188,0))</f>
        <v>-</v>
      </c>
      <c r="V188" s="172">
        <f t="shared" si="6"/>
        <v>0</v>
      </c>
      <c r="W188" s="172"/>
      <c r="X188" s="172"/>
      <c r="Y188" s="172"/>
      <c r="Z188" s="172">
        <f>CHOOSE(QUOTIENT(MONTH($A188),3)+1,BaseLoad!$AM$9,BaseLoad!$AN$9,BaseLoad!$AL$9,BaseLoad!$AO$9,BaseLoad!$AM$9)</f>
        <v>0.95</v>
      </c>
      <c r="AA188" s="172">
        <f>CHOOSE(QUOTIENT(MONTH($A188),3)+1,BaseLoad!$AM$15,BaseLoad!$AN$15,BaseLoad!$AL$15,BaseLoad!$AO$15,BaseLoad!$AM$15)</f>
        <v>705</v>
      </c>
      <c r="AB188" s="471"/>
      <c r="AD188" s="471"/>
    </row>
    <row r="189" spans="1:30" x14ac:dyDescent="0.2">
      <c r="A189" s="1">
        <f t="shared" si="7"/>
        <v>41984.643000000229</v>
      </c>
      <c r="B189" s="172" t="str">
        <f>IF($A$1="Peak","-",IF(BaseLoad!H188&gt;BaseLoad!$G188,B$8*$Z189,0))</f>
        <v>-</v>
      </c>
      <c r="C189" s="172" t="str">
        <f>IF($A$1="Peak","-",IF(BaseLoad!I188&gt;BaseLoad!$G188,C$8*$Z189,0))</f>
        <v>-</v>
      </c>
      <c r="D189" s="172" t="str">
        <f>IF($A$1="Peak","-",IF(BaseLoad!J188&gt;BaseLoad!$G188,D$8*$Z189,0))</f>
        <v>-</v>
      </c>
      <c r="E189" s="172" t="str">
        <f>IF($A$1="Peak","-",IF(BaseLoad!K188&gt;BaseLoad!$G188,E$8*$Z189,0))</f>
        <v>-</v>
      </c>
      <c r="F189" s="172" t="str">
        <f>IF($A$1="Peak","-",IF(BaseLoad!L188&gt;BaseLoad!$G188,F$8*$Z189,0))</f>
        <v>-</v>
      </c>
      <c r="G189" s="172" t="str">
        <f>IF($A$1="Peak","-",IF(BaseLoad!M188&gt;BaseLoad!$G188,G$8*$Z189,0))</f>
        <v>-</v>
      </c>
      <c r="H189" s="172" t="str">
        <f>IF($A$1="Peak","-",IF(BaseLoad!N188&gt;BaseLoad!$G188,H$8*$Z189,0))</f>
        <v>-</v>
      </c>
      <c r="I189" s="172" t="str">
        <f>IF($A$1="Peak","-",IF(BaseLoad!O188&gt;BaseLoad!$G188,I$8*$Z189,0))</f>
        <v>-</v>
      </c>
      <c r="J189" s="172" t="str">
        <f>IF($A$1="Peak","-",IF(BaseLoad!P188&gt;BaseLoad!$G188,J$8*$Z189,0))</f>
        <v>-</v>
      </c>
      <c r="K189" s="172" t="str">
        <f>IF($A$1="Peak","-",IF(BaseLoad!Q188&gt;BaseLoad!$G188,K$8*$Z189,0))</f>
        <v>-</v>
      </c>
      <c r="L189" s="172" t="str">
        <f>IF($A$1="Peak","-",IF(BaseLoad!R188&gt;BaseLoad!$G188,L$8*$Z189,0))</f>
        <v>-</v>
      </c>
      <c r="M189" s="172" t="str">
        <f>IF($A$1="Peak","-",IF(BaseLoad!S188&gt;BaseLoad!$G188,M$8*$Z189,0))</f>
        <v>-</v>
      </c>
      <c r="N189" s="172" t="str">
        <f>IF($A$1="Peak","-",IF(BaseLoad!T188&gt;BaseLoad!$G188,N$8*$Z189,0))</f>
        <v>-</v>
      </c>
      <c r="O189" s="172" t="str">
        <f>IF($A$1="Peak","-",IF(BaseLoad!U188&gt;BaseLoad!$G188,O$8*$Z189,0))</f>
        <v>-</v>
      </c>
      <c r="P189" s="172" t="str">
        <f>IF($A$1="Peak","-",IF(BaseLoad!V188&gt;BaseLoad!$G188,P$8*$Z189,0))</f>
        <v>-</v>
      </c>
      <c r="Q189" s="172" t="str">
        <f>IF($A$1="Peak","-",IF(BaseLoad!W188&gt;BaseLoad!$G188,Q$8*$Z189,0))</f>
        <v>-</v>
      </c>
      <c r="R189" s="172" t="str">
        <f>IF($A$1="Peak","-",IF(BaseLoad!X188&gt;BaseLoad!$G188,R$8*$Z189,0))</f>
        <v>-</v>
      </c>
      <c r="S189" s="172" t="str">
        <f>IF($A$1="Peak","-",IF(BaseLoad!Y188&gt;BaseLoad!$G188,S$8*$Z189,0))</f>
        <v>-</v>
      </c>
      <c r="T189" s="172" t="str">
        <f>IF($A$1="Peak","-",IF(BaseLoad!Z188&gt;BaseLoad!$G188,T$8*$Z189,0))</f>
        <v>-</v>
      </c>
      <c r="U189" s="172" t="str">
        <f>IF($A$1="Peak","-",IF(BaseLoad!AA188&gt;BaseLoad!$G188,U$8*$Z189,0))</f>
        <v>-</v>
      </c>
      <c r="V189" s="172">
        <f t="shared" si="6"/>
        <v>0</v>
      </c>
      <c r="W189" s="172"/>
      <c r="X189" s="172"/>
      <c r="Y189" s="172">
        <f>SUM(V178:V189)</f>
        <v>0</v>
      </c>
      <c r="Z189" s="172">
        <f>CHOOSE(QUOTIENT(MONTH($A189),3)+1,BaseLoad!$AM$9,BaseLoad!$AN$9,BaseLoad!$AL$9,BaseLoad!$AO$9,BaseLoad!$AM$9)</f>
        <v>0.92427661878611755</v>
      </c>
      <c r="AA189" s="172">
        <f>CHOOSE(QUOTIENT(MONTH($A189),3)+1,BaseLoad!$AM$15,BaseLoad!$AN$15,BaseLoad!$AL$15,BaseLoad!$AO$15,BaseLoad!$AM$15)</f>
        <v>705</v>
      </c>
      <c r="AB189" s="471"/>
      <c r="AD189" s="471"/>
    </row>
    <row r="190" spans="1:30" x14ac:dyDescent="0.2">
      <c r="A190" s="1">
        <f t="shared" si="7"/>
        <v>42015.060000000231</v>
      </c>
      <c r="B190" s="172" t="str">
        <f>IF($A$1="Peak","-",IF(BaseLoad!H189&gt;BaseLoad!$G189,B$8*$Z190,0))</f>
        <v>-</v>
      </c>
      <c r="C190" s="172" t="str">
        <f>IF($A$1="Peak","-",IF(BaseLoad!I189&gt;BaseLoad!$G189,C$8*$Z190,0))</f>
        <v>-</v>
      </c>
      <c r="D190" s="172" t="str">
        <f>IF($A$1="Peak","-",IF(BaseLoad!J189&gt;BaseLoad!$G189,D$8*$Z190,0))</f>
        <v>-</v>
      </c>
      <c r="E190" s="172" t="str">
        <f>IF($A$1="Peak","-",IF(BaseLoad!K189&gt;BaseLoad!$G189,E$8*$Z190,0))</f>
        <v>-</v>
      </c>
      <c r="F190" s="172" t="str">
        <f>IF($A$1="Peak","-",IF(BaseLoad!L189&gt;BaseLoad!$G189,F$8*$Z190,0))</f>
        <v>-</v>
      </c>
      <c r="G190" s="172" t="str">
        <f>IF($A$1="Peak","-",IF(BaseLoad!M189&gt;BaseLoad!$G189,G$8*$Z190,0))</f>
        <v>-</v>
      </c>
      <c r="H190" s="172" t="str">
        <f>IF($A$1="Peak","-",IF(BaseLoad!N189&gt;BaseLoad!$G189,H$8*$Z190,0))</f>
        <v>-</v>
      </c>
      <c r="I190" s="172" t="str">
        <f>IF($A$1="Peak","-",IF(BaseLoad!O189&gt;BaseLoad!$G189,I$8*$Z190,0))</f>
        <v>-</v>
      </c>
      <c r="J190" s="172" t="str">
        <f>IF($A$1="Peak","-",IF(BaseLoad!P189&gt;BaseLoad!$G189,J$8*$Z190,0))</f>
        <v>-</v>
      </c>
      <c r="K190" s="172" t="str">
        <f>IF($A$1="Peak","-",IF(BaseLoad!Q189&gt;BaseLoad!$G189,K$8*$Z190,0))</f>
        <v>-</v>
      </c>
      <c r="L190" s="172" t="str">
        <f>IF($A$1="Peak","-",IF(BaseLoad!R189&gt;BaseLoad!$G189,L$8*$Z190,0))</f>
        <v>-</v>
      </c>
      <c r="M190" s="172" t="str">
        <f>IF($A$1="Peak","-",IF(BaseLoad!S189&gt;BaseLoad!$G189,M$8*$Z190,0))</f>
        <v>-</v>
      </c>
      <c r="N190" s="172" t="str">
        <f>IF($A$1="Peak","-",IF(BaseLoad!T189&gt;BaseLoad!$G189,N$8*$Z190,0))</f>
        <v>-</v>
      </c>
      <c r="O190" s="172" t="str">
        <f>IF($A$1="Peak","-",IF(BaseLoad!U189&gt;BaseLoad!$G189,O$8*$Z190,0))</f>
        <v>-</v>
      </c>
      <c r="P190" s="172" t="str">
        <f>IF($A$1="Peak","-",IF(BaseLoad!V189&gt;BaseLoad!$G189,P$8*$Z190,0))</f>
        <v>-</v>
      </c>
      <c r="Q190" s="172" t="str">
        <f>IF($A$1="Peak","-",IF(BaseLoad!W189&gt;BaseLoad!$G189,Q$8*$Z190,0))</f>
        <v>-</v>
      </c>
      <c r="R190" s="172" t="str">
        <f>IF($A$1="Peak","-",IF(BaseLoad!X189&gt;BaseLoad!$G189,R$8*$Z190,0))</f>
        <v>-</v>
      </c>
      <c r="S190" s="172" t="str">
        <f>IF($A$1="Peak","-",IF(BaseLoad!Y189&gt;BaseLoad!$G189,S$8*$Z190,0))</f>
        <v>-</v>
      </c>
      <c r="T190" s="172" t="str">
        <f>IF($A$1="Peak","-",IF(BaseLoad!Z189&gt;BaseLoad!$G189,T$8*$Z190,0))</f>
        <v>-</v>
      </c>
      <c r="U190" s="172" t="str">
        <f>IF($A$1="Peak","-",IF(BaseLoad!AA189&gt;BaseLoad!$G189,U$8*$Z190,0))</f>
        <v>-</v>
      </c>
      <c r="V190" s="172">
        <f t="shared" si="6"/>
        <v>0</v>
      </c>
      <c r="W190" s="172"/>
      <c r="X190" s="172"/>
      <c r="Y190" s="172"/>
      <c r="Z190" s="172">
        <f>CHOOSE(QUOTIENT(MONTH($A190),3)+1,BaseLoad!$AM$9,BaseLoad!$AN$9,BaseLoad!$AL$9,BaseLoad!$AO$9,BaseLoad!$AM$9)</f>
        <v>0.92427661878611755</v>
      </c>
      <c r="AA190" s="172">
        <f>CHOOSE(QUOTIENT(MONTH($A190),3)+1,BaseLoad!$AM$15,BaseLoad!$AN$15,BaseLoad!$AL$15,BaseLoad!$AO$15,BaseLoad!$AM$15)</f>
        <v>705</v>
      </c>
      <c r="AB190" s="471"/>
      <c r="AD190" s="471"/>
    </row>
    <row r="191" spans="1:30" x14ac:dyDescent="0.2">
      <c r="A191" s="1">
        <f t="shared" si="7"/>
        <v>42045.477000000232</v>
      </c>
      <c r="B191" s="172" t="str">
        <f>IF($A$1="Peak","-",IF(BaseLoad!H190&gt;BaseLoad!$G190,B$8*$Z191,0))</f>
        <v>-</v>
      </c>
      <c r="C191" s="172" t="str">
        <f>IF($A$1="Peak","-",IF(BaseLoad!I190&gt;BaseLoad!$G190,C$8*$Z191,0))</f>
        <v>-</v>
      </c>
      <c r="D191" s="172" t="str">
        <f>IF($A$1="Peak","-",IF(BaseLoad!J190&gt;BaseLoad!$G190,D$8*$Z191,0))</f>
        <v>-</v>
      </c>
      <c r="E191" s="172" t="str">
        <f>IF($A$1="Peak","-",IF(BaseLoad!K190&gt;BaseLoad!$G190,E$8*$Z191,0))</f>
        <v>-</v>
      </c>
      <c r="F191" s="172" t="str">
        <f>IF($A$1="Peak","-",IF(BaseLoad!L190&gt;BaseLoad!$G190,F$8*$Z191,0))</f>
        <v>-</v>
      </c>
      <c r="G191" s="172" t="str">
        <f>IF($A$1="Peak","-",IF(BaseLoad!M190&gt;BaseLoad!$G190,G$8*$Z191,0))</f>
        <v>-</v>
      </c>
      <c r="H191" s="172" t="str">
        <f>IF($A$1="Peak","-",IF(BaseLoad!N190&gt;BaseLoad!$G190,H$8*$Z191,0))</f>
        <v>-</v>
      </c>
      <c r="I191" s="172" t="str">
        <f>IF($A$1="Peak","-",IF(BaseLoad!O190&gt;BaseLoad!$G190,I$8*$Z191,0))</f>
        <v>-</v>
      </c>
      <c r="J191" s="172" t="str">
        <f>IF($A$1="Peak","-",IF(BaseLoad!P190&gt;BaseLoad!$G190,J$8*$Z191,0))</f>
        <v>-</v>
      </c>
      <c r="K191" s="172" t="str">
        <f>IF($A$1="Peak","-",IF(BaseLoad!Q190&gt;BaseLoad!$G190,K$8*$Z191,0))</f>
        <v>-</v>
      </c>
      <c r="L191" s="172" t="str">
        <f>IF($A$1="Peak","-",IF(BaseLoad!R190&gt;BaseLoad!$G190,L$8*$Z191,0))</f>
        <v>-</v>
      </c>
      <c r="M191" s="172" t="str">
        <f>IF($A$1="Peak","-",IF(BaseLoad!S190&gt;BaseLoad!$G190,M$8*$Z191,0))</f>
        <v>-</v>
      </c>
      <c r="N191" s="172" t="str">
        <f>IF($A$1="Peak","-",IF(BaseLoad!T190&gt;BaseLoad!$G190,N$8*$Z191,0))</f>
        <v>-</v>
      </c>
      <c r="O191" s="172" t="str">
        <f>IF($A$1="Peak","-",IF(BaseLoad!U190&gt;BaseLoad!$G190,O$8*$Z191,0))</f>
        <v>-</v>
      </c>
      <c r="P191" s="172" t="str">
        <f>IF($A$1="Peak","-",IF(BaseLoad!V190&gt;BaseLoad!$G190,P$8*$Z191,0))</f>
        <v>-</v>
      </c>
      <c r="Q191" s="172" t="str">
        <f>IF($A$1="Peak","-",IF(BaseLoad!W190&gt;BaseLoad!$G190,Q$8*$Z191,0))</f>
        <v>-</v>
      </c>
      <c r="R191" s="172" t="str">
        <f>IF($A$1="Peak","-",IF(BaseLoad!X190&gt;BaseLoad!$G190,R$8*$Z191,0))</f>
        <v>-</v>
      </c>
      <c r="S191" s="172" t="str">
        <f>IF($A$1="Peak","-",IF(BaseLoad!Y190&gt;BaseLoad!$G190,S$8*$Z191,0))</f>
        <v>-</v>
      </c>
      <c r="T191" s="172" t="str">
        <f>IF($A$1="Peak","-",IF(BaseLoad!Z190&gt;BaseLoad!$G190,T$8*$Z191,0))</f>
        <v>-</v>
      </c>
      <c r="U191" s="172" t="str">
        <f>IF($A$1="Peak","-",IF(BaseLoad!AA190&gt;BaseLoad!$G190,U$8*$Z191,0))</f>
        <v>-</v>
      </c>
      <c r="V191" s="172">
        <f t="shared" si="6"/>
        <v>0</v>
      </c>
      <c r="W191" s="172"/>
      <c r="X191" s="172"/>
      <c r="Y191" s="172"/>
      <c r="Z191" s="172">
        <f>CHOOSE(QUOTIENT(MONTH($A191),3)+1,BaseLoad!$AM$9,BaseLoad!$AN$9,BaseLoad!$AL$9,BaseLoad!$AO$9,BaseLoad!$AM$9)</f>
        <v>0.92427661878611755</v>
      </c>
      <c r="AA191" s="172">
        <f>CHOOSE(QUOTIENT(MONTH($A191),3)+1,BaseLoad!$AM$15,BaseLoad!$AN$15,BaseLoad!$AL$15,BaseLoad!$AO$15,BaseLoad!$AM$15)</f>
        <v>705</v>
      </c>
      <c r="AB191" s="471"/>
      <c r="AD191" s="471"/>
    </row>
    <row r="192" spans="1:30" x14ac:dyDescent="0.2">
      <c r="A192" s="1">
        <f t="shared" si="7"/>
        <v>42075.894000000233</v>
      </c>
      <c r="B192" s="172" t="str">
        <f>IF($A$1="Peak","-",IF(BaseLoad!H191&gt;BaseLoad!$G191,B$8*$Z192,0))</f>
        <v>-</v>
      </c>
      <c r="C192" s="172" t="str">
        <f>IF($A$1="Peak","-",IF(BaseLoad!I191&gt;BaseLoad!$G191,C$8*$Z192,0))</f>
        <v>-</v>
      </c>
      <c r="D192" s="172" t="str">
        <f>IF($A$1="Peak","-",IF(BaseLoad!J191&gt;BaseLoad!$G191,D$8*$Z192,0))</f>
        <v>-</v>
      </c>
      <c r="E192" s="172" t="str">
        <f>IF($A$1="Peak","-",IF(BaseLoad!K191&gt;BaseLoad!$G191,E$8*$Z192,0))</f>
        <v>-</v>
      </c>
      <c r="F192" s="172" t="str">
        <f>IF($A$1="Peak","-",IF(BaseLoad!L191&gt;BaseLoad!$G191,F$8*$Z192,0))</f>
        <v>-</v>
      </c>
      <c r="G192" s="172" t="str">
        <f>IF($A$1="Peak","-",IF(BaseLoad!M191&gt;BaseLoad!$G191,G$8*$Z192,0))</f>
        <v>-</v>
      </c>
      <c r="H192" s="172" t="str">
        <f>IF($A$1="Peak","-",IF(BaseLoad!N191&gt;BaseLoad!$G191,H$8*$Z192,0))</f>
        <v>-</v>
      </c>
      <c r="I192" s="172" t="str">
        <f>IF($A$1="Peak","-",IF(BaseLoad!O191&gt;BaseLoad!$G191,I$8*$Z192,0))</f>
        <v>-</v>
      </c>
      <c r="J192" s="172" t="str">
        <f>IF($A$1="Peak","-",IF(BaseLoad!P191&gt;BaseLoad!$G191,J$8*$Z192,0))</f>
        <v>-</v>
      </c>
      <c r="K192" s="172" t="str">
        <f>IF($A$1="Peak","-",IF(BaseLoad!Q191&gt;BaseLoad!$G191,K$8*$Z192,0))</f>
        <v>-</v>
      </c>
      <c r="L192" s="172" t="str">
        <f>IF($A$1="Peak","-",IF(BaseLoad!R191&gt;BaseLoad!$G191,L$8*$Z192,0))</f>
        <v>-</v>
      </c>
      <c r="M192" s="172" t="str">
        <f>IF($A$1="Peak","-",IF(BaseLoad!S191&gt;BaseLoad!$G191,M$8*$Z192,0))</f>
        <v>-</v>
      </c>
      <c r="N192" s="172" t="str">
        <f>IF($A$1="Peak","-",IF(BaseLoad!T191&gt;BaseLoad!$G191,N$8*$Z192,0))</f>
        <v>-</v>
      </c>
      <c r="O192" s="172" t="str">
        <f>IF($A$1="Peak","-",IF(BaseLoad!U191&gt;BaseLoad!$G191,O$8*$Z192,0))</f>
        <v>-</v>
      </c>
      <c r="P192" s="172" t="str">
        <f>IF($A$1="Peak","-",IF(BaseLoad!V191&gt;BaseLoad!$G191,P$8*$Z192,0))</f>
        <v>-</v>
      </c>
      <c r="Q192" s="172" t="str">
        <f>IF($A$1="Peak","-",IF(BaseLoad!W191&gt;BaseLoad!$G191,Q$8*$Z192,0))</f>
        <v>-</v>
      </c>
      <c r="R192" s="172" t="str">
        <f>IF($A$1="Peak","-",IF(BaseLoad!X191&gt;BaseLoad!$G191,R$8*$Z192,0))</f>
        <v>-</v>
      </c>
      <c r="S192" s="172" t="str">
        <f>IF($A$1="Peak","-",IF(BaseLoad!Y191&gt;BaseLoad!$G191,S$8*$Z192,0))</f>
        <v>-</v>
      </c>
      <c r="T192" s="172" t="str">
        <f>IF($A$1="Peak","-",IF(BaseLoad!Z191&gt;BaseLoad!$G191,T$8*$Z192,0))</f>
        <v>-</v>
      </c>
      <c r="U192" s="172" t="str">
        <f>IF($A$1="Peak","-",IF(BaseLoad!AA191&gt;BaseLoad!$G191,U$8*$Z192,0))</f>
        <v>-</v>
      </c>
      <c r="V192" s="172">
        <f t="shared" si="6"/>
        <v>0</v>
      </c>
      <c r="W192" s="172"/>
      <c r="X192" s="172"/>
      <c r="Y192" s="172"/>
      <c r="Z192" s="172">
        <f>CHOOSE(QUOTIENT(MONTH($A192),3)+1,BaseLoad!$AM$9,BaseLoad!$AN$9,BaseLoad!$AL$9,BaseLoad!$AO$9,BaseLoad!$AM$9)</f>
        <v>0.95</v>
      </c>
      <c r="AA192" s="172">
        <f>CHOOSE(QUOTIENT(MONTH($A192),3)+1,BaseLoad!$AM$15,BaseLoad!$AN$15,BaseLoad!$AL$15,BaseLoad!$AO$15,BaseLoad!$AM$15)</f>
        <v>705</v>
      </c>
      <c r="AB192" s="471"/>
      <c r="AD192" s="471"/>
    </row>
    <row r="193" spans="1:30" x14ac:dyDescent="0.2">
      <c r="A193" s="1">
        <f t="shared" si="7"/>
        <v>42106.311000000234</v>
      </c>
      <c r="B193" s="172" t="str">
        <f>IF($A$1="Peak","-",IF(BaseLoad!H192&gt;BaseLoad!$G192,B$8*$Z193,0))</f>
        <v>-</v>
      </c>
      <c r="C193" s="172" t="str">
        <f>IF($A$1="Peak","-",IF(BaseLoad!I192&gt;BaseLoad!$G192,C$8*$Z193,0))</f>
        <v>-</v>
      </c>
      <c r="D193" s="172" t="str">
        <f>IF($A$1="Peak","-",IF(BaseLoad!J192&gt;BaseLoad!$G192,D$8*$Z193,0))</f>
        <v>-</v>
      </c>
      <c r="E193" s="172" t="str">
        <f>IF($A$1="Peak","-",IF(BaseLoad!K192&gt;BaseLoad!$G192,E$8*$Z193,0))</f>
        <v>-</v>
      </c>
      <c r="F193" s="172" t="str">
        <f>IF($A$1="Peak","-",IF(BaseLoad!L192&gt;BaseLoad!$G192,F$8*$Z193,0))</f>
        <v>-</v>
      </c>
      <c r="G193" s="172" t="str">
        <f>IF($A$1="Peak","-",IF(BaseLoad!M192&gt;BaseLoad!$G192,G$8*$Z193,0))</f>
        <v>-</v>
      </c>
      <c r="H193" s="172" t="str">
        <f>IF($A$1="Peak","-",IF(BaseLoad!N192&gt;BaseLoad!$G192,H$8*$Z193,0))</f>
        <v>-</v>
      </c>
      <c r="I193" s="172" t="str">
        <f>IF($A$1="Peak","-",IF(BaseLoad!O192&gt;BaseLoad!$G192,I$8*$Z193,0))</f>
        <v>-</v>
      </c>
      <c r="J193" s="172" t="str">
        <f>IF($A$1="Peak","-",IF(BaseLoad!P192&gt;BaseLoad!$G192,J$8*$Z193,0))</f>
        <v>-</v>
      </c>
      <c r="K193" s="172" t="str">
        <f>IF($A$1="Peak","-",IF(BaseLoad!Q192&gt;BaseLoad!$G192,K$8*$Z193,0))</f>
        <v>-</v>
      </c>
      <c r="L193" s="172" t="str">
        <f>IF($A$1="Peak","-",IF(BaseLoad!R192&gt;BaseLoad!$G192,L$8*$Z193,0))</f>
        <v>-</v>
      </c>
      <c r="M193" s="172" t="str">
        <f>IF($A$1="Peak","-",IF(BaseLoad!S192&gt;BaseLoad!$G192,M$8*$Z193,0))</f>
        <v>-</v>
      </c>
      <c r="N193" s="172" t="str">
        <f>IF($A$1="Peak","-",IF(BaseLoad!T192&gt;BaseLoad!$G192,N$8*$Z193,0))</f>
        <v>-</v>
      </c>
      <c r="O193" s="172" t="str">
        <f>IF($A$1="Peak","-",IF(BaseLoad!U192&gt;BaseLoad!$G192,O$8*$Z193,0))</f>
        <v>-</v>
      </c>
      <c r="P193" s="172" t="str">
        <f>IF($A$1="Peak","-",IF(BaseLoad!V192&gt;BaseLoad!$G192,P$8*$Z193,0))</f>
        <v>-</v>
      </c>
      <c r="Q193" s="172" t="str">
        <f>IF($A$1="Peak","-",IF(BaseLoad!W192&gt;BaseLoad!$G192,Q$8*$Z193,0))</f>
        <v>-</v>
      </c>
      <c r="R193" s="172" t="str">
        <f>IF($A$1="Peak","-",IF(BaseLoad!X192&gt;BaseLoad!$G192,R$8*$Z193,0))</f>
        <v>-</v>
      </c>
      <c r="S193" s="172" t="str">
        <f>IF($A$1="Peak","-",IF(BaseLoad!Y192&gt;BaseLoad!$G192,S$8*$Z193,0))</f>
        <v>-</v>
      </c>
      <c r="T193" s="172" t="str">
        <f>IF($A$1="Peak","-",IF(BaseLoad!Z192&gt;BaseLoad!$G192,T$8*$Z193,0))</f>
        <v>-</v>
      </c>
      <c r="U193" s="172" t="str">
        <f>IF($A$1="Peak","-",IF(BaseLoad!AA192&gt;BaseLoad!$G192,U$8*$Z193,0))</f>
        <v>-</v>
      </c>
      <c r="V193" s="172">
        <f t="shared" si="6"/>
        <v>0</v>
      </c>
      <c r="W193" s="172"/>
      <c r="X193" s="172"/>
      <c r="Y193" s="172"/>
      <c r="Z193" s="172">
        <f>CHOOSE(QUOTIENT(MONTH($A193),3)+1,BaseLoad!$AM$9,BaseLoad!$AN$9,BaseLoad!$AL$9,BaseLoad!$AO$9,BaseLoad!$AM$9)</f>
        <v>0.95</v>
      </c>
      <c r="AA193" s="172">
        <f>CHOOSE(QUOTIENT(MONTH($A193),3)+1,BaseLoad!$AM$15,BaseLoad!$AN$15,BaseLoad!$AL$15,BaseLoad!$AO$15,BaseLoad!$AM$15)</f>
        <v>705</v>
      </c>
      <c r="AB193" s="471"/>
      <c r="AD193" s="471"/>
    </row>
    <row r="194" spans="1:30" x14ac:dyDescent="0.2">
      <c r="A194" s="1">
        <f t="shared" si="7"/>
        <v>42136.728000000236</v>
      </c>
      <c r="B194" s="172" t="str">
        <f>IF($A$1="Peak","-",IF(BaseLoad!H193&gt;BaseLoad!$G193,B$8*$Z194,0))</f>
        <v>-</v>
      </c>
      <c r="C194" s="172" t="str">
        <f>IF($A$1="Peak","-",IF(BaseLoad!I193&gt;BaseLoad!$G193,C$8*$Z194,0))</f>
        <v>-</v>
      </c>
      <c r="D194" s="172" t="str">
        <f>IF($A$1="Peak","-",IF(BaseLoad!J193&gt;BaseLoad!$G193,D$8*$Z194,0))</f>
        <v>-</v>
      </c>
      <c r="E194" s="172" t="str">
        <f>IF($A$1="Peak","-",IF(BaseLoad!K193&gt;BaseLoad!$G193,E$8*$Z194,0))</f>
        <v>-</v>
      </c>
      <c r="F194" s="172" t="str">
        <f>IF($A$1="Peak","-",IF(BaseLoad!L193&gt;BaseLoad!$G193,F$8*$Z194,0))</f>
        <v>-</v>
      </c>
      <c r="G194" s="172" t="str">
        <f>IF($A$1="Peak","-",IF(BaseLoad!M193&gt;BaseLoad!$G193,G$8*$Z194,0))</f>
        <v>-</v>
      </c>
      <c r="H194" s="172" t="str">
        <f>IF($A$1="Peak","-",IF(BaseLoad!N193&gt;BaseLoad!$G193,H$8*$Z194,0))</f>
        <v>-</v>
      </c>
      <c r="I194" s="172" t="str">
        <f>IF($A$1="Peak","-",IF(BaseLoad!O193&gt;BaseLoad!$G193,I$8*$Z194,0))</f>
        <v>-</v>
      </c>
      <c r="J194" s="172" t="str">
        <f>IF($A$1="Peak","-",IF(BaseLoad!P193&gt;BaseLoad!$G193,J$8*$Z194,0))</f>
        <v>-</v>
      </c>
      <c r="K194" s="172" t="str">
        <f>IF($A$1="Peak","-",IF(BaseLoad!Q193&gt;BaseLoad!$G193,K$8*$Z194,0))</f>
        <v>-</v>
      </c>
      <c r="L194" s="172" t="str">
        <f>IF($A$1="Peak","-",IF(BaseLoad!R193&gt;BaseLoad!$G193,L$8*$Z194,0))</f>
        <v>-</v>
      </c>
      <c r="M194" s="172" t="str">
        <f>IF($A$1="Peak","-",IF(BaseLoad!S193&gt;BaseLoad!$G193,M$8*$Z194,0))</f>
        <v>-</v>
      </c>
      <c r="N194" s="172" t="str">
        <f>IF($A$1="Peak","-",IF(BaseLoad!T193&gt;BaseLoad!$G193,N$8*$Z194,0))</f>
        <v>-</v>
      </c>
      <c r="O194" s="172" t="str">
        <f>IF($A$1="Peak","-",IF(BaseLoad!U193&gt;BaseLoad!$G193,O$8*$Z194,0))</f>
        <v>-</v>
      </c>
      <c r="P194" s="172" t="str">
        <f>IF($A$1="Peak","-",IF(BaseLoad!V193&gt;BaseLoad!$G193,P$8*$Z194,0))</f>
        <v>-</v>
      </c>
      <c r="Q194" s="172" t="str">
        <f>IF($A$1="Peak","-",IF(BaseLoad!W193&gt;BaseLoad!$G193,Q$8*$Z194,0))</f>
        <v>-</v>
      </c>
      <c r="R194" s="172" t="str">
        <f>IF($A$1="Peak","-",IF(BaseLoad!X193&gt;BaseLoad!$G193,R$8*$Z194,0))</f>
        <v>-</v>
      </c>
      <c r="S194" s="172" t="str">
        <f>IF($A$1="Peak","-",IF(BaseLoad!Y193&gt;BaseLoad!$G193,S$8*$Z194,0))</f>
        <v>-</v>
      </c>
      <c r="T194" s="172" t="str">
        <f>IF($A$1="Peak","-",IF(BaseLoad!Z193&gt;BaseLoad!$G193,T$8*$Z194,0))</f>
        <v>-</v>
      </c>
      <c r="U194" s="172" t="str">
        <f>IF($A$1="Peak","-",IF(BaseLoad!AA193&gt;BaseLoad!$G193,U$8*$Z194,0))</f>
        <v>-</v>
      </c>
      <c r="V194" s="172">
        <f t="shared" si="6"/>
        <v>0</v>
      </c>
      <c r="W194" s="172"/>
      <c r="X194" s="172"/>
      <c r="Y194" s="172"/>
      <c r="Z194" s="172">
        <f>CHOOSE(QUOTIENT(MONTH($A194),3)+1,BaseLoad!$AM$9,BaseLoad!$AN$9,BaseLoad!$AL$9,BaseLoad!$AO$9,BaseLoad!$AM$9)</f>
        <v>0.95</v>
      </c>
      <c r="AA194" s="172">
        <f>CHOOSE(QUOTIENT(MONTH($A194),3)+1,BaseLoad!$AM$15,BaseLoad!$AN$15,BaseLoad!$AL$15,BaseLoad!$AO$15,BaseLoad!$AM$15)</f>
        <v>705</v>
      </c>
      <c r="AB194" s="471"/>
      <c r="AD194" s="471"/>
    </row>
    <row r="195" spans="1:30" x14ac:dyDescent="0.2">
      <c r="A195" s="1">
        <f t="shared" si="7"/>
        <v>42167.145000000237</v>
      </c>
      <c r="B195" s="172" t="str">
        <f>IF($A$1="Peak","-",IF(BaseLoad!H194&gt;BaseLoad!$G194,B$8*$Z195,0))</f>
        <v>-</v>
      </c>
      <c r="C195" s="172" t="str">
        <f>IF($A$1="Peak","-",IF(BaseLoad!I194&gt;BaseLoad!$G194,C$8*$Z195,0))</f>
        <v>-</v>
      </c>
      <c r="D195" s="172" t="str">
        <f>IF($A$1="Peak","-",IF(BaseLoad!J194&gt;BaseLoad!$G194,D$8*$Z195,0))</f>
        <v>-</v>
      </c>
      <c r="E195" s="172" t="str">
        <f>IF($A$1="Peak","-",IF(BaseLoad!K194&gt;BaseLoad!$G194,E$8*$Z195,0))</f>
        <v>-</v>
      </c>
      <c r="F195" s="172" t="str">
        <f>IF($A$1="Peak","-",IF(BaseLoad!L194&gt;BaseLoad!$G194,F$8*$Z195,0))</f>
        <v>-</v>
      </c>
      <c r="G195" s="172" t="str">
        <f>IF($A$1="Peak","-",IF(BaseLoad!M194&gt;BaseLoad!$G194,G$8*$Z195,0))</f>
        <v>-</v>
      </c>
      <c r="H195" s="172" t="str">
        <f>IF($A$1="Peak","-",IF(BaseLoad!N194&gt;BaseLoad!$G194,H$8*$Z195,0))</f>
        <v>-</v>
      </c>
      <c r="I195" s="172" t="str">
        <f>IF($A$1="Peak","-",IF(BaseLoad!O194&gt;BaseLoad!$G194,I$8*$Z195,0))</f>
        <v>-</v>
      </c>
      <c r="J195" s="172" t="str">
        <f>IF($A$1="Peak","-",IF(BaseLoad!P194&gt;BaseLoad!$G194,J$8*$Z195,0))</f>
        <v>-</v>
      </c>
      <c r="K195" s="172" t="str">
        <f>IF($A$1="Peak","-",IF(BaseLoad!Q194&gt;BaseLoad!$G194,K$8*$Z195,0))</f>
        <v>-</v>
      </c>
      <c r="L195" s="172" t="str">
        <f>IF($A$1="Peak","-",IF(BaseLoad!R194&gt;BaseLoad!$G194,L$8*$Z195,0))</f>
        <v>-</v>
      </c>
      <c r="M195" s="172" t="str">
        <f>IF($A$1="Peak","-",IF(BaseLoad!S194&gt;BaseLoad!$G194,M$8*$Z195,0))</f>
        <v>-</v>
      </c>
      <c r="N195" s="172" t="str">
        <f>IF($A$1="Peak","-",IF(BaseLoad!T194&gt;BaseLoad!$G194,N$8*$Z195,0))</f>
        <v>-</v>
      </c>
      <c r="O195" s="172" t="str">
        <f>IF($A$1="Peak","-",IF(BaseLoad!U194&gt;BaseLoad!$G194,O$8*$Z195,0))</f>
        <v>-</v>
      </c>
      <c r="P195" s="172" t="str">
        <f>IF($A$1="Peak","-",IF(BaseLoad!V194&gt;BaseLoad!$G194,P$8*$Z195,0))</f>
        <v>-</v>
      </c>
      <c r="Q195" s="172" t="str">
        <f>IF($A$1="Peak","-",IF(BaseLoad!W194&gt;BaseLoad!$G194,Q$8*$Z195,0))</f>
        <v>-</v>
      </c>
      <c r="R195" s="172" t="str">
        <f>IF($A$1="Peak","-",IF(BaseLoad!X194&gt;BaseLoad!$G194,R$8*$Z195,0))</f>
        <v>-</v>
      </c>
      <c r="S195" s="172" t="str">
        <f>IF($A$1="Peak","-",IF(BaseLoad!Y194&gt;BaseLoad!$G194,S$8*$Z195,0))</f>
        <v>-</v>
      </c>
      <c r="T195" s="172" t="str">
        <f>IF($A$1="Peak","-",IF(BaseLoad!Z194&gt;BaseLoad!$G194,T$8*$Z195,0))</f>
        <v>-</v>
      </c>
      <c r="U195" s="172" t="str">
        <f>IF($A$1="Peak","-",IF(BaseLoad!AA194&gt;BaseLoad!$G194,U$8*$Z195,0))</f>
        <v>-</v>
      </c>
      <c r="V195" s="172">
        <f t="shared" si="6"/>
        <v>0</v>
      </c>
      <c r="W195" s="172"/>
      <c r="X195" s="172"/>
      <c r="Y195" s="172"/>
      <c r="Z195" s="172">
        <f>CHOOSE(QUOTIENT(MONTH($A195),3)+1,BaseLoad!$AM$9,BaseLoad!$AN$9,BaseLoad!$AL$9,BaseLoad!$AO$9,BaseLoad!$AM$9)</f>
        <v>0.96612135909558572</v>
      </c>
      <c r="AA195" s="172">
        <f>CHOOSE(QUOTIENT(MONTH($A195),3)+1,BaseLoad!$AM$15,BaseLoad!$AN$15,BaseLoad!$AL$15,BaseLoad!$AO$15,BaseLoad!$AM$15)</f>
        <v>705</v>
      </c>
      <c r="AB195" s="471"/>
      <c r="AD195" s="471"/>
    </row>
    <row r="196" spans="1:30" x14ac:dyDescent="0.2">
      <c r="A196" s="1">
        <f t="shared" si="7"/>
        <v>42197.562000000238</v>
      </c>
      <c r="B196" s="172" t="str">
        <f>IF($A$1="Peak","-",IF(BaseLoad!H195&gt;BaseLoad!$G195,B$8*$Z196,0))</f>
        <v>-</v>
      </c>
      <c r="C196" s="172" t="str">
        <f>IF($A$1="Peak","-",IF(BaseLoad!I195&gt;BaseLoad!$G195,C$8*$Z196,0))</f>
        <v>-</v>
      </c>
      <c r="D196" s="172" t="str">
        <f>IF($A$1="Peak","-",IF(BaseLoad!J195&gt;BaseLoad!$G195,D$8*$Z196,0))</f>
        <v>-</v>
      </c>
      <c r="E196" s="172" t="str">
        <f>IF($A$1="Peak","-",IF(BaseLoad!K195&gt;BaseLoad!$G195,E$8*$Z196,0))</f>
        <v>-</v>
      </c>
      <c r="F196" s="172" t="str">
        <f>IF($A$1="Peak","-",IF(BaseLoad!L195&gt;BaseLoad!$G195,F$8*$Z196,0))</f>
        <v>-</v>
      </c>
      <c r="G196" s="172" t="str">
        <f>IF($A$1="Peak","-",IF(BaseLoad!M195&gt;BaseLoad!$G195,G$8*$Z196,0))</f>
        <v>-</v>
      </c>
      <c r="H196" s="172" t="str">
        <f>IF($A$1="Peak","-",IF(BaseLoad!N195&gt;BaseLoad!$G195,H$8*$Z196,0))</f>
        <v>-</v>
      </c>
      <c r="I196" s="172" t="str">
        <f>IF($A$1="Peak","-",IF(BaseLoad!O195&gt;BaseLoad!$G195,I$8*$Z196,0))</f>
        <v>-</v>
      </c>
      <c r="J196" s="172" t="str">
        <f>IF($A$1="Peak","-",IF(BaseLoad!P195&gt;BaseLoad!$G195,J$8*$Z196,0))</f>
        <v>-</v>
      </c>
      <c r="K196" s="172" t="str">
        <f>IF($A$1="Peak","-",IF(BaseLoad!Q195&gt;BaseLoad!$G195,K$8*$Z196,0))</f>
        <v>-</v>
      </c>
      <c r="L196" s="172" t="str">
        <f>IF($A$1="Peak","-",IF(BaseLoad!R195&gt;BaseLoad!$G195,L$8*$Z196,0))</f>
        <v>-</v>
      </c>
      <c r="M196" s="172" t="str">
        <f>IF($A$1="Peak","-",IF(BaseLoad!S195&gt;BaseLoad!$G195,M$8*$Z196,0))</f>
        <v>-</v>
      </c>
      <c r="N196" s="172" t="str">
        <f>IF($A$1="Peak","-",IF(BaseLoad!T195&gt;BaseLoad!$G195,N$8*$Z196,0))</f>
        <v>-</v>
      </c>
      <c r="O196" s="172" t="str">
        <f>IF($A$1="Peak","-",IF(BaseLoad!U195&gt;BaseLoad!$G195,O$8*$Z196,0))</f>
        <v>-</v>
      </c>
      <c r="P196" s="172" t="str">
        <f>IF($A$1="Peak","-",IF(BaseLoad!V195&gt;BaseLoad!$G195,P$8*$Z196,0))</f>
        <v>-</v>
      </c>
      <c r="Q196" s="172" t="str">
        <f>IF($A$1="Peak","-",IF(BaseLoad!W195&gt;BaseLoad!$G195,Q$8*$Z196,0))</f>
        <v>-</v>
      </c>
      <c r="R196" s="172" t="str">
        <f>IF($A$1="Peak","-",IF(BaseLoad!X195&gt;BaseLoad!$G195,R$8*$Z196,0))</f>
        <v>-</v>
      </c>
      <c r="S196" s="172" t="str">
        <f>IF($A$1="Peak","-",IF(BaseLoad!Y195&gt;BaseLoad!$G195,S$8*$Z196,0))</f>
        <v>-</v>
      </c>
      <c r="T196" s="172" t="str">
        <f>IF($A$1="Peak","-",IF(BaseLoad!Z195&gt;BaseLoad!$G195,T$8*$Z196,0))</f>
        <v>-</v>
      </c>
      <c r="U196" s="172" t="str">
        <f>IF($A$1="Peak","-",IF(BaseLoad!AA195&gt;BaseLoad!$G195,U$8*$Z196,0))</f>
        <v>-</v>
      </c>
      <c r="V196" s="172">
        <f t="shared" si="6"/>
        <v>0</v>
      </c>
      <c r="W196" s="172"/>
      <c r="X196" s="172"/>
      <c r="Y196" s="172"/>
      <c r="Z196" s="172">
        <f>CHOOSE(QUOTIENT(MONTH($A196),3)+1,BaseLoad!$AM$9,BaseLoad!$AN$9,BaseLoad!$AL$9,BaseLoad!$AO$9,BaseLoad!$AM$9)</f>
        <v>0.96612135909558572</v>
      </c>
      <c r="AA196" s="172">
        <f>CHOOSE(QUOTIENT(MONTH($A196),3)+1,BaseLoad!$AM$15,BaseLoad!$AN$15,BaseLoad!$AL$15,BaseLoad!$AO$15,BaseLoad!$AM$15)</f>
        <v>705</v>
      </c>
      <c r="AB196" s="471"/>
      <c r="AD196" s="471"/>
    </row>
    <row r="197" spans="1:30" x14ac:dyDescent="0.2">
      <c r="A197" s="1">
        <f t="shared" si="7"/>
        <v>42227.979000000239</v>
      </c>
      <c r="B197" s="172" t="str">
        <f>IF($A$1="Peak","-",IF(BaseLoad!H196&gt;BaseLoad!$G196,B$8*$Z197,0))</f>
        <v>-</v>
      </c>
      <c r="C197" s="172" t="str">
        <f>IF($A$1="Peak","-",IF(BaseLoad!I196&gt;BaseLoad!$G196,C$8*$Z197,0))</f>
        <v>-</v>
      </c>
      <c r="D197" s="172" t="str">
        <f>IF($A$1="Peak","-",IF(BaseLoad!J196&gt;BaseLoad!$G196,D$8*$Z197,0))</f>
        <v>-</v>
      </c>
      <c r="E197" s="172" t="str">
        <f>IF($A$1="Peak","-",IF(BaseLoad!K196&gt;BaseLoad!$G196,E$8*$Z197,0))</f>
        <v>-</v>
      </c>
      <c r="F197" s="172" t="str">
        <f>IF($A$1="Peak","-",IF(BaseLoad!L196&gt;BaseLoad!$G196,F$8*$Z197,0))</f>
        <v>-</v>
      </c>
      <c r="G197" s="172" t="str">
        <f>IF($A$1="Peak","-",IF(BaseLoad!M196&gt;BaseLoad!$G196,G$8*$Z197,0))</f>
        <v>-</v>
      </c>
      <c r="H197" s="172" t="str">
        <f>IF($A$1="Peak","-",IF(BaseLoad!N196&gt;BaseLoad!$G196,H$8*$Z197,0))</f>
        <v>-</v>
      </c>
      <c r="I197" s="172" t="str">
        <f>IF($A$1="Peak","-",IF(BaseLoad!O196&gt;BaseLoad!$G196,I$8*$Z197,0))</f>
        <v>-</v>
      </c>
      <c r="J197" s="172" t="str">
        <f>IF($A$1="Peak","-",IF(BaseLoad!P196&gt;BaseLoad!$G196,J$8*$Z197,0))</f>
        <v>-</v>
      </c>
      <c r="K197" s="172" t="str">
        <f>IF($A$1="Peak","-",IF(BaseLoad!Q196&gt;BaseLoad!$G196,K$8*$Z197,0))</f>
        <v>-</v>
      </c>
      <c r="L197" s="172" t="str">
        <f>IF($A$1="Peak","-",IF(BaseLoad!R196&gt;BaseLoad!$G196,L$8*$Z197,0))</f>
        <v>-</v>
      </c>
      <c r="M197" s="172" t="str">
        <f>IF($A$1="Peak","-",IF(BaseLoad!S196&gt;BaseLoad!$G196,M$8*$Z197,0))</f>
        <v>-</v>
      </c>
      <c r="N197" s="172" t="str">
        <f>IF($A$1="Peak","-",IF(BaseLoad!T196&gt;BaseLoad!$G196,N$8*$Z197,0))</f>
        <v>-</v>
      </c>
      <c r="O197" s="172" t="str">
        <f>IF($A$1="Peak","-",IF(BaseLoad!U196&gt;BaseLoad!$G196,O$8*$Z197,0))</f>
        <v>-</v>
      </c>
      <c r="P197" s="172" t="str">
        <f>IF($A$1="Peak","-",IF(BaseLoad!V196&gt;BaseLoad!$G196,P$8*$Z197,0))</f>
        <v>-</v>
      </c>
      <c r="Q197" s="172" t="str">
        <f>IF($A$1="Peak","-",IF(BaseLoad!W196&gt;BaseLoad!$G196,Q$8*$Z197,0))</f>
        <v>-</v>
      </c>
      <c r="R197" s="172" t="str">
        <f>IF($A$1="Peak","-",IF(BaseLoad!X196&gt;BaseLoad!$G196,R$8*$Z197,0))</f>
        <v>-</v>
      </c>
      <c r="S197" s="172" t="str">
        <f>IF($A$1="Peak","-",IF(BaseLoad!Y196&gt;BaseLoad!$G196,S$8*$Z197,0))</f>
        <v>-</v>
      </c>
      <c r="T197" s="172" t="str">
        <f>IF($A$1="Peak","-",IF(BaseLoad!Z196&gt;BaseLoad!$G196,T$8*$Z197,0))</f>
        <v>-</v>
      </c>
      <c r="U197" s="172" t="str">
        <f>IF($A$1="Peak","-",IF(BaseLoad!AA196&gt;BaseLoad!$G196,U$8*$Z197,0))</f>
        <v>-</v>
      </c>
      <c r="V197" s="172">
        <f t="shared" si="6"/>
        <v>0</v>
      </c>
      <c r="W197" s="172"/>
      <c r="X197" s="172"/>
      <c r="Y197" s="172"/>
      <c r="Z197" s="172">
        <f>CHOOSE(QUOTIENT(MONTH($A197),3)+1,BaseLoad!$AM$9,BaseLoad!$AN$9,BaseLoad!$AL$9,BaseLoad!$AO$9,BaseLoad!$AM$9)</f>
        <v>0.96612135909558572</v>
      </c>
      <c r="AA197" s="172">
        <f>CHOOSE(QUOTIENT(MONTH($A197),3)+1,BaseLoad!$AM$15,BaseLoad!$AN$15,BaseLoad!$AL$15,BaseLoad!$AO$15,BaseLoad!$AM$15)</f>
        <v>705</v>
      </c>
      <c r="AB197" s="471"/>
      <c r="AD197" s="471"/>
    </row>
    <row r="198" spans="1:30" x14ac:dyDescent="0.2">
      <c r="A198" s="1">
        <f t="shared" si="7"/>
        <v>42258.396000000241</v>
      </c>
      <c r="B198" s="172" t="str">
        <f>IF($A$1="Peak","-",IF(BaseLoad!H197&gt;BaseLoad!$G197,B$8*$Z198,0))</f>
        <v>-</v>
      </c>
      <c r="C198" s="172" t="str">
        <f>IF($A$1="Peak","-",IF(BaseLoad!I197&gt;BaseLoad!$G197,C$8*$Z198,0))</f>
        <v>-</v>
      </c>
      <c r="D198" s="172" t="str">
        <f>IF($A$1="Peak","-",IF(BaseLoad!J197&gt;BaseLoad!$G197,D$8*$Z198,0))</f>
        <v>-</v>
      </c>
      <c r="E198" s="172" t="str">
        <f>IF($A$1="Peak","-",IF(BaseLoad!K197&gt;BaseLoad!$G197,E$8*$Z198,0))</f>
        <v>-</v>
      </c>
      <c r="F198" s="172" t="str">
        <f>IF($A$1="Peak","-",IF(BaseLoad!L197&gt;BaseLoad!$G197,F$8*$Z198,0))</f>
        <v>-</v>
      </c>
      <c r="G198" s="172" t="str">
        <f>IF($A$1="Peak","-",IF(BaseLoad!M197&gt;BaseLoad!$G197,G$8*$Z198,0))</f>
        <v>-</v>
      </c>
      <c r="H198" s="172" t="str">
        <f>IF($A$1="Peak","-",IF(BaseLoad!N197&gt;BaseLoad!$G197,H$8*$Z198,0))</f>
        <v>-</v>
      </c>
      <c r="I198" s="172" t="str">
        <f>IF($A$1="Peak","-",IF(BaseLoad!O197&gt;BaseLoad!$G197,I$8*$Z198,0))</f>
        <v>-</v>
      </c>
      <c r="J198" s="172" t="str">
        <f>IF($A$1="Peak","-",IF(BaseLoad!P197&gt;BaseLoad!$G197,J$8*$Z198,0))</f>
        <v>-</v>
      </c>
      <c r="K198" s="172" t="str">
        <f>IF($A$1="Peak","-",IF(BaseLoad!Q197&gt;BaseLoad!$G197,K$8*$Z198,0))</f>
        <v>-</v>
      </c>
      <c r="L198" s="172" t="str">
        <f>IF($A$1="Peak","-",IF(BaseLoad!R197&gt;BaseLoad!$G197,L$8*$Z198,0))</f>
        <v>-</v>
      </c>
      <c r="M198" s="172" t="str">
        <f>IF($A$1="Peak","-",IF(BaseLoad!S197&gt;BaseLoad!$G197,M$8*$Z198,0))</f>
        <v>-</v>
      </c>
      <c r="N198" s="172" t="str">
        <f>IF($A$1="Peak","-",IF(BaseLoad!T197&gt;BaseLoad!$G197,N$8*$Z198,0))</f>
        <v>-</v>
      </c>
      <c r="O198" s="172" t="str">
        <f>IF($A$1="Peak","-",IF(BaseLoad!U197&gt;BaseLoad!$G197,O$8*$Z198,0))</f>
        <v>-</v>
      </c>
      <c r="P198" s="172" t="str">
        <f>IF($A$1="Peak","-",IF(BaseLoad!V197&gt;BaseLoad!$G197,P$8*$Z198,0))</f>
        <v>-</v>
      </c>
      <c r="Q198" s="172" t="str">
        <f>IF($A$1="Peak","-",IF(BaseLoad!W197&gt;BaseLoad!$G197,Q$8*$Z198,0))</f>
        <v>-</v>
      </c>
      <c r="R198" s="172" t="str">
        <f>IF($A$1="Peak","-",IF(BaseLoad!X197&gt;BaseLoad!$G197,R$8*$Z198,0))</f>
        <v>-</v>
      </c>
      <c r="S198" s="172" t="str">
        <f>IF($A$1="Peak","-",IF(BaseLoad!Y197&gt;BaseLoad!$G197,S$8*$Z198,0))</f>
        <v>-</v>
      </c>
      <c r="T198" s="172" t="str">
        <f>IF($A$1="Peak","-",IF(BaseLoad!Z197&gt;BaseLoad!$G197,T$8*$Z198,0))</f>
        <v>-</v>
      </c>
      <c r="U198" s="172" t="str">
        <f>IF($A$1="Peak","-",IF(BaseLoad!AA197&gt;BaseLoad!$G197,U$8*$Z198,0))</f>
        <v>-</v>
      </c>
      <c r="V198" s="172">
        <f t="shared" si="6"/>
        <v>0</v>
      </c>
      <c r="W198" s="172"/>
      <c r="X198" s="172"/>
      <c r="Y198" s="172"/>
      <c r="Z198" s="172">
        <f>CHOOSE(QUOTIENT(MONTH($A198),3)+1,BaseLoad!$AM$9,BaseLoad!$AN$9,BaseLoad!$AL$9,BaseLoad!$AO$9,BaseLoad!$AM$9)</f>
        <v>0.95</v>
      </c>
      <c r="AA198" s="172">
        <f>CHOOSE(QUOTIENT(MONTH($A198),3)+1,BaseLoad!$AM$15,BaseLoad!$AN$15,BaseLoad!$AL$15,BaseLoad!$AO$15,BaseLoad!$AM$15)</f>
        <v>705</v>
      </c>
      <c r="AB198" s="471"/>
      <c r="AD198" s="471"/>
    </row>
    <row r="199" spans="1:30" x14ac:dyDescent="0.2">
      <c r="A199" s="1">
        <f t="shared" si="7"/>
        <v>42288.813000000242</v>
      </c>
      <c r="B199" s="172" t="str">
        <f>IF($A$1="Peak","-",IF(BaseLoad!H198&gt;BaseLoad!$G198,B$8*$Z199,0))</f>
        <v>-</v>
      </c>
      <c r="C199" s="172" t="str">
        <f>IF($A$1="Peak","-",IF(BaseLoad!I198&gt;BaseLoad!$G198,C$8*$Z199,0))</f>
        <v>-</v>
      </c>
      <c r="D199" s="172" t="str">
        <f>IF($A$1="Peak","-",IF(BaseLoad!J198&gt;BaseLoad!$G198,D$8*$Z199,0))</f>
        <v>-</v>
      </c>
      <c r="E199" s="172" t="str">
        <f>IF($A$1="Peak","-",IF(BaseLoad!K198&gt;BaseLoad!$G198,E$8*$Z199,0))</f>
        <v>-</v>
      </c>
      <c r="F199" s="172" t="str">
        <f>IF($A$1="Peak","-",IF(BaseLoad!L198&gt;BaseLoad!$G198,F$8*$Z199,0))</f>
        <v>-</v>
      </c>
      <c r="G199" s="172" t="str">
        <f>IF($A$1="Peak","-",IF(BaseLoad!M198&gt;BaseLoad!$G198,G$8*$Z199,0))</f>
        <v>-</v>
      </c>
      <c r="H199" s="172" t="str">
        <f>IF($A$1="Peak","-",IF(BaseLoad!N198&gt;BaseLoad!$G198,H$8*$Z199,0))</f>
        <v>-</v>
      </c>
      <c r="I199" s="172" t="str">
        <f>IF($A$1="Peak","-",IF(BaseLoad!O198&gt;BaseLoad!$G198,I$8*$Z199,0))</f>
        <v>-</v>
      </c>
      <c r="J199" s="172" t="str">
        <f>IF($A$1="Peak","-",IF(BaseLoad!P198&gt;BaseLoad!$G198,J$8*$Z199,0))</f>
        <v>-</v>
      </c>
      <c r="K199" s="172" t="str">
        <f>IF($A$1="Peak","-",IF(BaseLoad!Q198&gt;BaseLoad!$G198,K$8*$Z199,0))</f>
        <v>-</v>
      </c>
      <c r="L199" s="172" t="str">
        <f>IF($A$1="Peak","-",IF(BaseLoad!R198&gt;BaseLoad!$G198,L$8*$Z199,0))</f>
        <v>-</v>
      </c>
      <c r="M199" s="172" t="str">
        <f>IF($A$1="Peak","-",IF(BaseLoad!S198&gt;BaseLoad!$G198,M$8*$Z199,0))</f>
        <v>-</v>
      </c>
      <c r="N199" s="172" t="str">
        <f>IF($A$1="Peak","-",IF(BaseLoad!T198&gt;BaseLoad!$G198,N$8*$Z199,0))</f>
        <v>-</v>
      </c>
      <c r="O199" s="172" t="str">
        <f>IF($A$1="Peak","-",IF(BaseLoad!U198&gt;BaseLoad!$G198,O$8*$Z199,0))</f>
        <v>-</v>
      </c>
      <c r="P199" s="172" t="str">
        <f>IF($A$1="Peak","-",IF(BaseLoad!V198&gt;BaseLoad!$G198,P$8*$Z199,0))</f>
        <v>-</v>
      </c>
      <c r="Q199" s="172" t="str">
        <f>IF($A$1="Peak","-",IF(BaseLoad!W198&gt;BaseLoad!$G198,Q$8*$Z199,0))</f>
        <v>-</v>
      </c>
      <c r="R199" s="172" t="str">
        <f>IF($A$1="Peak","-",IF(BaseLoad!X198&gt;BaseLoad!$G198,R$8*$Z199,0))</f>
        <v>-</v>
      </c>
      <c r="S199" s="172" t="str">
        <f>IF($A$1="Peak","-",IF(BaseLoad!Y198&gt;BaseLoad!$G198,S$8*$Z199,0))</f>
        <v>-</v>
      </c>
      <c r="T199" s="172" t="str">
        <f>IF($A$1="Peak","-",IF(BaseLoad!Z198&gt;BaseLoad!$G198,T$8*$Z199,0))</f>
        <v>-</v>
      </c>
      <c r="U199" s="172" t="str">
        <f>IF($A$1="Peak","-",IF(BaseLoad!AA198&gt;BaseLoad!$G198,U$8*$Z199,0))</f>
        <v>-</v>
      </c>
      <c r="V199" s="172">
        <f t="shared" si="6"/>
        <v>0</v>
      </c>
      <c r="W199" s="172"/>
      <c r="X199" s="172"/>
      <c r="Y199" s="172"/>
      <c r="Z199" s="172">
        <f>CHOOSE(QUOTIENT(MONTH($A199),3)+1,BaseLoad!$AM$9,BaseLoad!$AN$9,BaseLoad!$AL$9,BaseLoad!$AO$9,BaseLoad!$AM$9)</f>
        <v>0.95</v>
      </c>
      <c r="AA199" s="172">
        <f>CHOOSE(QUOTIENT(MONTH($A199),3)+1,BaseLoad!$AM$15,BaseLoad!$AN$15,BaseLoad!$AL$15,BaseLoad!$AO$15,BaseLoad!$AM$15)</f>
        <v>705</v>
      </c>
      <c r="AB199" s="471"/>
      <c r="AD199" s="471"/>
    </row>
    <row r="200" spans="1:30" x14ac:dyDescent="0.2">
      <c r="A200" s="1">
        <f t="shared" si="7"/>
        <v>42319.230000000243</v>
      </c>
      <c r="B200" s="172" t="str">
        <f>IF($A$1="Peak","-",IF(BaseLoad!H199&gt;BaseLoad!$G199,B$8*$Z200,0))</f>
        <v>-</v>
      </c>
      <c r="C200" s="172" t="str">
        <f>IF($A$1="Peak","-",IF(BaseLoad!I199&gt;BaseLoad!$G199,C$8*$Z200,0))</f>
        <v>-</v>
      </c>
      <c r="D200" s="172" t="str">
        <f>IF($A$1="Peak","-",IF(BaseLoad!J199&gt;BaseLoad!$G199,D$8*$Z200,0))</f>
        <v>-</v>
      </c>
      <c r="E200" s="172" t="str">
        <f>IF($A$1="Peak","-",IF(BaseLoad!K199&gt;BaseLoad!$G199,E$8*$Z200,0))</f>
        <v>-</v>
      </c>
      <c r="F200" s="172" t="str">
        <f>IF($A$1="Peak","-",IF(BaseLoad!L199&gt;BaseLoad!$G199,F$8*$Z200,0))</f>
        <v>-</v>
      </c>
      <c r="G200" s="172" t="str">
        <f>IF($A$1="Peak","-",IF(BaseLoad!M199&gt;BaseLoad!$G199,G$8*$Z200,0))</f>
        <v>-</v>
      </c>
      <c r="H200" s="172" t="str">
        <f>IF($A$1="Peak","-",IF(BaseLoad!N199&gt;BaseLoad!$G199,H$8*$Z200,0))</f>
        <v>-</v>
      </c>
      <c r="I200" s="172" t="str">
        <f>IF($A$1="Peak","-",IF(BaseLoad!O199&gt;BaseLoad!$G199,I$8*$Z200,0))</f>
        <v>-</v>
      </c>
      <c r="J200" s="172" t="str">
        <f>IF($A$1="Peak","-",IF(BaseLoad!P199&gt;BaseLoad!$G199,J$8*$Z200,0))</f>
        <v>-</v>
      </c>
      <c r="K200" s="172" t="str">
        <f>IF($A$1="Peak","-",IF(BaseLoad!Q199&gt;BaseLoad!$G199,K$8*$Z200,0))</f>
        <v>-</v>
      </c>
      <c r="L200" s="172" t="str">
        <f>IF($A$1="Peak","-",IF(BaseLoad!R199&gt;BaseLoad!$G199,L$8*$Z200,0))</f>
        <v>-</v>
      </c>
      <c r="M200" s="172" t="str">
        <f>IF($A$1="Peak","-",IF(BaseLoad!S199&gt;BaseLoad!$G199,M$8*$Z200,0))</f>
        <v>-</v>
      </c>
      <c r="N200" s="172" t="str">
        <f>IF($A$1="Peak","-",IF(BaseLoad!T199&gt;BaseLoad!$G199,N$8*$Z200,0))</f>
        <v>-</v>
      </c>
      <c r="O200" s="172" t="str">
        <f>IF($A$1="Peak","-",IF(BaseLoad!U199&gt;BaseLoad!$G199,O$8*$Z200,0))</f>
        <v>-</v>
      </c>
      <c r="P200" s="172" t="str">
        <f>IF($A$1="Peak","-",IF(BaseLoad!V199&gt;BaseLoad!$G199,P$8*$Z200,0))</f>
        <v>-</v>
      </c>
      <c r="Q200" s="172" t="str">
        <f>IF($A$1="Peak","-",IF(BaseLoad!W199&gt;BaseLoad!$G199,Q$8*$Z200,0))</f>
        <v>-</v>
      </c>
      <c r="R200" s="172" t="str">
        <f>IF($A$1="Peak","-",IF(BaseLoad!X199&gt;BaseLoad!$G199,R$8*$Z200,0))</f>
        <v>-</v>
      </c>
      <c r="S200" s="172" t="str">
        <f>IF($A$1="Peak","-",IF(BaseLoad!Y199&gt;BaseLoad!$G199,S$8*$Z200,0))</f>
        <v>-</v>
      </c>
      <c r="T200" s="172" t="str">
        <f>IF($A$1="Peak","-",IF(BaseLoad!Z199&gt;BaseLoad!$G199,T$8*$Z200,0))</f>
        <v>-</v>
      </c>
      <c r="U200" s="172" t="str">
        <f>IF($A$1="Peak","-",IF(BaseLoad!AA199&gt;BaseLoad!$G199,U$8*$Z200,0))</f>
        <v>-</v>
      </c>
      <c r="V200" s="172">
        <f t="shared" si="6"/>
        <v>0</v>
      </c>
      <c r="W200" s="172"/>
      <c r="X200" s="172"/>
      <c r="Y200" s="172"/>
      <c r="Z200" s="172">
        <f>CHOOSE(QUOTIENT(MONTH($A200),3)+1,BaseLoad!$AM$9,BaseLoad!$AN$9,BaseLoad!$AL$9,BaseLoad!$AO$9,BaseLoad!$AM$9)</f>
        <v>0.95</v>
      </c>
      <c r="AA200" s="172">
        <f>CHOOSE(QUOTIENT(MONTH($A200),3)+1,BaseLoad!$AM$15,BaseLoad!$AN$15,BaseLoad!$AL$15,BaseLoad!$AO$15,BaseLoad!$AM$15)</f>
        <v>705</v>
      </c>
      <c r="AB200" s="471"/>
      <c r="AD200" s="471"/>
    </row>
    <row r="201" spans="1:30" x14ac:dyDescent="0.2">
      <c r="A201" s="1">
        <f t="shared" si="7"/>
        <v>42349.647000000245</v>
      </c>
      <c r="B201" s="172" t="str">
        <f>IF($A$1="Peak","-",IF(BaseLoad!H200&gt;BaseLoad!$G200,B$8*$Z201,0))</f>
        <v>-</v>
      </c>
      <c r="C201" s="172" t="str">
        <f>IF($A$1="Peak","-",IF(BaseLoad!I200&gt;BaseLoad!$G200,C$8*$Z201,0))</f>
        <v>-</v>
      </c>
      <c r="D201" s="172" t="str">
        <f>IF($A$1="Peak","-",IF(BaseLoad!J200&gt;BaseLoad!$G200,D$8*$Z201,0))</f>
        <v>-</v>
      </c>
      <c r="E201" s="172" t="str">
        <f>IF($A$1="Peak","-",IF(BaseLoad!K200&gt;BaseLoad!$G200,E$8*$Z201,0))</f>
        <v>-</v>
      </c>
      <c r="F201" s="172" t="str">
        <f>IF($A$1="Peak","-",IF(BaseLoad!L200&gt;BaseLoad!$G200,F$8*$Z201,0))</f>
        <v>-</v>
      </c>
      <c r="G201" s="172" t="str">
        <f>IF($A$1="Peak","-",IF(BaseLoad!M200&gt;BaseLoad!$G200,G$8*$Z201,0))</f>
        <v>-</v>
      </c>
      <c r="H201" s="172" t="str">
        <f>IF($A$1="Peak","-",IF(BaseLoad!N200&gt;BaseLoad!$G200,H$8*$Z201,0))</f>
        <v>-</v>
      </c>
      <c r="I201" s="172" t="str">
        <f>IF($A$1="Peak","-",IF(BaseLoad!O200&gt;BaseLoad!$G200,I$8*$Z201,0))</f>
        <v>-</v>
      </c>
      <c r="J201" s="172" t="str">
        <f>IF($A$1="Peak","-",IF(BaseLoad!P200&gt;BaseLoad!$G200,J$8*$Z201,0))</f>
        <v>-</v>
      </c>
      <c r="K201" s="172" t="str">
        <f>IF($A$1="Peak","-",IF(BaseLoad!Q200&gt;BaseLoad!$G200,K$8*$Z201,0))</f>
        <v>-</v>
      </c>
      <c r="L201" s="172" t="str">
        <f>IF($A$1="Peak","-",IF(BaseLoad!R200&gt;BaseLoad!$G200,L$8*$Z201,0))</f>
        <v>-</v>
      </c>
      <c r="M201" s="172" t="str">
        <f>IF($A$1="Peak","-",IF(BaseLoad!S200&gt;BaseLoad!$G200,M$8*$Z201,0))</f>
        <v>-</v>
      </c>
      <c r="N201" s="172" t="str">
        <f>IF($A$1="Peak","-",IF(BaseLoad!T200&gt;BaseLoad!$G200,N$8*$Z201,0))</f>
        <v>-</v>
      </c>
      <c r="O201" s="172" t="str">
        <f>IF($A$1="Peak","-",IF(BaseLoad!U200&gt;BaseLoad!$G200,O$8*$Z201,0))</f>
        <v>-</v>
      </c>
      <c r="P201" s="172" t="str">
        <f>IF($A$1="Peak","-",IF(BaseLoad!V200&gt;BaseLoad!$G200,P$8*$Z201,0))</f>
        <v>-</v>
      </c>
      <c r="Q201" s="172" t="str">
        <f>IF($A$1="Peak","-",IF(BaseLoad!W200&gt;BaseLoad!$G200,Q$8*$Z201,0))</f>
        <v>-</v>
      </c>
      <c r="R201" s="172" t="str">
        <f>IF($A$1="Peak","-",IF(BaseLoad!X200&gt;BaseLoad!$G200,R$8*$Z201,0))</f>
        <v>-</v>
      </c>
      <c r="S201" s="172" t="str">
        <f>IF($A$1="Peak","-",IF(BaseLoad!Y200&gt;BaseLoad!$G200,S$8*$Z201,0))</f>
        <v>-</v>
      </c>
      <c r="T201" s="172" t="str">
        <f>IF($A$1="Peak","-",IF(BaseLoad!Z200&gt;BaseLoad!$G200,T$8*$Z201,0))</f>
        <v>-</v>
      </c>
      <c r="U201" s="172" t="str">
        <f>IF($A$1="Peak","-",IF(BaseLoad!AA200&gt;BaseLoad!$G200,U$8*$Z201,0))</f>
        <v>-</v>
      </c>
      <c r="V201" s="172">
        <f t="shared" si="6"/>
        <v>0</v>
      </c>
      <c r="W201" s="172"/>
      <c r="X201" s="172"/>
      <c r="Y201" s="172">
        <f>SUM(V190:V201)</f>
        <v>0</v>
      </c>
      <c r="Z201" s="172">
        <f>CHOOSE(QUOTIENT(MONTH($A201),3)+1,BaseLoad!$AM$9,BaseLoad!$AN$9,BaseLoad!$AL$9,BaseLoad!$AO$9,BaseLoad!$AM$9)</f>
        <v>0.92427661878611755</v>
      </c>
      <c r="AA201" s="172">
        <f>CHOOSE(QUOTIENT(MONTH($A201),3)+1,BaseLoad!$AM$15,BaseLoad!$AN$15,BaseLoad!$AL$15,BaseLoad!$AO$15,BaseLoad!$AM$15)</f>
        <v>705</v>
      </c>
      <c r="AB201" s="471"/>
      <c r="AD201" s="471"/>
    </row>
    <row r="202" spans="1:30" x14ac:dyDescent="0.2">
      <c r="A202" s="1">
        <f t="shared" si="7"/>
        <v>42380.064000000246</v>
      </c>
      <c r="B202" s="172" t="str">
        <f>IF($A$1="Peak","-",IF(BaseLoad!H201&gt;BaseLoad!$G201,B$8*$Z202,0))</f>
        <v>-</v>
      </c>
      <c r="C202" s="172" t="str">
        <f>IF($A$1="Peak","-",IF(BaseLoad!I201&gt;BaseLoad!$G201,C$8*$Z202,0))</f>
        <v>-</v>
      </c>
      <c r="D202" s="172" t="str">
        <f>IF($A$1="Peak","-",IF(BaseLoad!J201&gt;BaseLoad!$G201,D$8*$Z202,0))</f>
        <v>-</v>
      </c>
      <c r="E202" s="172" t="str">
        <f>IF($A$1="Peak","-",IF(BaseLoad!K201&gt;BaseLoad!$G201,E$8*$Z202,0))</f>
        <v>-</v>
      </c>
      <c r="F202" s="172" t="str">
        <f>IF($A$1="Peak","-",IF(BaseLoad!L201&gt;BaseLoad!$G201,F$8*$Z202,0))</f>
        <v>-</v>
      </c>
      <c r="G202" s="172" t="str">
        <f>IF($A$1="Peak","-",IF(BaseLoad!M201&gt;BaseLoad!$G201,G$8*$Z202,0))</f>
        <v>-</v>
      </c>
      <c r="H202" s="172" t="str">
        <f>IF($A$1="Peak","-",IF(BaseLoad!N201&gt;BaseLoad!$G201,H$8*$Z202,0))</f>
        <v>-</v>
      </c>
      <c r="I202" s="172" t="str">
        <f>IF($A$1="Peak","-",IF(BaseLoad!O201&gt;BaseLoad!$G201,I$8*$Z202,0))</f>
        <v>-</v>
      </c>
      <c r="J202" s="172" t="str">
        <f>IF($A$1="Peak","-",IF(BaseLoad!P201&gt;BaseLoad!$G201,J$8*$Z202,0))</f>
        <v>-</v>
      </c>
      <c r="K202" s="172" t="str">
        <f>IF($A$1="Peak","-",IF(BaseLoad!Q201&gt;BaseLoad!$G201,K$8*$Z202,0))</f>
        <v>-</v>
      </c>
      <c r="L202" s="172" t="str">
        <f>IF($A$1="Peak","-",IF(BaseLoad!R201&gt;BaseLoad!$G201,L$8*$Z202,0))</f>
        <v>-</v>
      </c>
      <c r="M202" s="172" t="str">
        <f>IF($A$1="Peak","-",IF(BaseLoad!S201&gt;BaseLoad!$G201,M$8*$Z202,0))</f>
        <v>-</v>
      </c>
      <c r="N202" s="172" t="str">
        <f>IF($A$1="Peak","-",IF(BaseLoad!T201&gt;BaseLoad!$G201,N$8*$Z202,0))</f>
        <v>-</v>
      </c>
      <c r="O202" s="172" t="str">
        <f>IF($A$1="Peak","-",IF(BaseLoad!U201&gt;BaseLoad!$G201,O$8*$Z202,0))</f>
        <v>-</v>
      </c>
      <c r="P202" s="172" t="str">
        <f>IF($A$1="Peak","-",IF(BaseLoad!V201&gt;BaseLoad!$G201,P$8*$Z202,0))</f>
        <v>-</v>
      </c>
      <c r="Q202" s="172" t="str">
        <f>IF($A$1="Peak","-",IF(BaseLoad!W201&gt;BaseLoad!$G201,Q$8*$Z202,0))</f>
        <v>-</v>
      </c>
      <c r="R202" s="172" t="str">
        <f>IF($A$1="Peak","-",IF(BaseLoad!X201&gt;BaseLoad!$G201,R$8*$Z202,0))</f>
        <v>-</v>
      </c>
      <c r="S202" s="172" t="str">
        <f>IF($A$1="Peak","-",IF(BaseLoad!Y201&gt;BaseLoad!$G201,S$8*$Z202,0))</f>
        <v>-</v>
      </c>
      <c r="T202" s="172" t="str">
        <f>IF($A$1="Peak","-",IF(BaseLoad!Z201&gt;BaseLoad!$G201,T$8*$Z202,0))</f>
        <v>-</v>
      </c>
      <c r="U202" s="172" t="str">
        <f>IF($A$1="Peak","-",IF(BaseLoad!AA201&gt;BaseLoad!$G201,U$8*$Z202,0))</f>
        <v>-</v>
      </c>
      <c r="V202" s="172">
        <f t="shared" si="6"/>
        <v>0</v>
      </c>
      <c r="W202" s="172"/>
      <c r="X202" s="172"/>
      <c r="Y202" s="172"/>
      <c r="Z202" s="172">
        <f>CHOOSE(QUOTIENT(MONTH($A202),3)+1,BaseLoad!$AM$9,BaseLoad!$AN$9,BaseLoad!$AL$9,BaseLoad!$AO$9,BaseLoad!$AM$9)</f>
        <v>0.92427661878611755</v>
      </c>
      <c r="AA202" s="172">
        <f>CHOOSE(QUOTIENT(MONTH($A202),3)+1,BaseLoad!$AM$15,BaseLoad!$AN$15,BaseLoad!$AL$15,BaseLoad!$AO$15,BaseLoad!$AM$15)</f>
        <v>705</v>
      </c>
      <c r="AB202" s="471"/>
      <c r="AD202" s="471"/>
    </row>
    <row r="203" spans="1:30" x14ac:dyDescent="0.2">
      <c r="A203" s="1">
        <f t="shared" si="7"/>
        <v>42410.481000000247</v>
      </c>
      <c r="B203" s="172" t="str">
        <f>IF($A$1="Peak","-",IF(BaseLoad!H202&gt;BaseLoad!$G202,B$8*$Z203,0))</f>
        <v>-</v>
      </c>
      <c r="C203" s="172" t="str">
        <f>IF($A$1="Peak","-",IF(BaseLoad!I202&gt;BaseLoad!$G202,C$8*$Z203,0))</f>
        <v>-</v>
      </c>
      <c r="D203" s="172" t="str">
        <f>IF($A$1="Peak","-",IF(BaseLoad!J202&gt;BaseLoad!$G202,D$8*$Z203,0))</f>
        <v>-</v>
      </c>
      <c r="E203" s="172" t="str">
        <f>IF($A$1="Peak","-",IF(BaseLoad!K202&gt;BaseLoad!$G202,E$8*$Z203,0))</f>
        <v>-</v>
      </c>
      <c r="F203" s="172" t="str">
        <f>IF($A$1="Peak","-",IF(BaseLoad!L202&gt;BaseLoad!$G202,F$8*$Z203,0))</f>
        <v>-</v>
      </c>
      <c r="G203" s="172" t="str">
        <f>IF($A$1="Peak","-",IF(BaseLoad!M202&gt;BaseLoad!$G202,G$8*$Z203,0))</f>
        <v>-</v>
      </c>
      <c r="H203" s="172" t="str">
        <f>IF($A$1="Peak","-",IF(BaseLoad!N202&gt;BaseLoad!$G202,H$8*$Z203,0))</f>
        <v>-</v>
      </c>
      <c r="I203" s="172" t="str">
        <f>IF($A$1="Peak","-",IF(BaseLoad!O202&gt;BaseLoad!$G202,I$8*$Z203,0))</f>
        <v>-</v>
      </c>
      <c r="J203" s="172" t="str">
        <f>IF($A$1="Peak","-",IF(BaseLoad!P202&gt;BaseLoad!$G202,J$8*$Z203,0))</f>
        <v>-</v>
      </c>
      <c r="K203" s="172" t="str">
        <f>IF($A$1="Peak","-",IF(BaseLoad!Q202&gt;BaseLoad!$G202,K$8*$Z203,0))</f>
        <v>-</v>
      </c>
      <c r="L203" s="172" t="str">
        <f>IF($A$1="Peak","-",IF(BaseLoad!R202&gt;BaseLoad!$G202,L$8*$Z203,0))</f>
        <v>-</v>
      </c>
      <c r="M203" s="172" t="str">
        <f>IF($A$1="Peak","-",IF(BaseLoad!S202&gt;BaseLoad!$G202,M$8*$Z203,0))</f>
        <v>-</v>
      </c>
      <c r="N203" s="172" t="str">
        <f>IF($A$1="Peak","-",IF(BaseLoad!T202&gt;BaseLoad!$G202,N$8*$Z203,0))</f>
        <v>-</v>
      </c>
      <c r="O203" s="172" t="str">
        <f>IF($A$1="Peak","-",IF(BaseLoad!U202&gt;BaseLoad!$G202,O$8*$Z203,0))</f>
        <v>-</v>
      </c>
      <c r="P203" s="172" t="str">
        <f>IF($A$1="Peak","-",IF(BaseLoad!V202&gt;BaseLoad!$G202,P$8*$Z203,0))</f>
        <v>-</v>
      </c>
      <c r="Q203" s="172" t="str">
        <f>IF($A$1="Peak","-",IF(BaseLoad!W202&gt;BaseLoad!$G202,Q$8*$Z203,0))</f>
        <v>-</v>
      </c>
      <c r="R203" s="172" t="str">
        <f>IF($A$1="Peak","-",IF(BaseLoad!X202&gt;BaseLoad!$G202,R$8*$Z203,0))</f>
        <v>-</v>
      </c>
      <c r="S203" s="172" t="str">
        <f>IF($A$1="Peak","-",IF(BaseLoad!Y202&gt;BaseLoad!$G202,S$8*$Z203,0))</f>
        <v>-</v>
      </c>
      <c r="T203" s="172" t="str">
        <f>IF($A$1="Peak","-",IF(BaseLoad!Z202&gt;BaseLoad!$G202,T$8*$Z203,0))</f>
        <v>-</v>
      </c>
      <c r="U203" s="172" t="str">
        <f>IF($A$1="Peak","-",IF(BaseLoad!AA202&gt;BaseLoad!$G202,U$8*$Z203,0))</f>
        <v>-</v>
      </c>
      <c r="V203" s="172">
        <f t="shared" ref="V203:V249" si="8">SUM(B203:U203)</f>
        <v>0</v>
      </c>
      <c r="W203" s="172"/>
      <c r="X203" s="172"/>
      <c r="Y203" s="172"/>
      <c r="Z203" s="172">
        <f>CHOOSE(QUOTIENT(MONTH($A203),3)+1,BaseLoad!$AM$9,BaseLoad!$AN$9,BaseLoad!$AL$9,BaseLoad!$AO$9,BaseLoad!$AM$9)</f>
        <v>0.92427661878611755</v>
      </c>
      <c r="AA203" s="172">
        <f>CHOOSE(QUOTIENT(MONTH($A203),3)+1,BaseLoad!$AM$15,BaseLoad!$AN$15,BaseLoad!$AL$15,BaseLoad!$AO$15,BaseLoad!$AM$15)</f>
        <v>705</v>
      </c>
      <c r="AB203" s="471"/>
      <c r="AD203" s="471"/>
    </row>
    <row r="204" spans="1:30" x14ac:dyDescent="0.2">
      <c r="A204" s="1">
        <f t="shared" ref="A204:A249" si="9">A203+30.417</f>
        <v>42440.898000000248</v>
      </c>
      <c r="B204" s="172" t="str">
        <f>IF($A$1="Peak","-",IF(BaseLoad!H203&gt;BaseLoad!$G203,B$8*$Z204,0))</f>
        <v>-</v>
      </c>
      <c r="C204" s="172" t="str">
        <f>IF($A$1="Peak","-",IF(BaseLoad!I203&gt;BaseLoad!$G203,C$8*$Z204,0))</f>
        <v>-</v>
      </c>
      <c r="D204" s="172" t="str">
        <f>IF($A$1="Peak","-",IF(BaseLoad!J203&gt;BaseLoad!$G203,D$8*$Z204,0))</f>
        <v>-</v>
      </c>
      <c r="E204" s="172" t="str">
        <f>IF($A$1="Peak","-",IF(BaseLoad!K203&gt;BaseLoad!$G203,E$8*$Z204,0))</f>
        <v>-</v>
      </c>
      <c r="F204" s="172" t="str">
        <f>IF($A$1="Peak","-",IF(BaseLoad!L203&gt;BaseLoad!$G203,F$8*$Z204,0))</f>
        <v>-</v>
      </c>
      <c r="G204" s="172" t="str">
        <f>IF($A$1="Peak","-",IF(BaseLoad!M203&gt;BaseLoad!$G203,G$8*$Z204,0))</f>
        <v>-</v>
      </c>
      <c r="H204" s="172" t="str">
        <f>IF($A$1="Peak","-",IF(BaseLoad!N203&gt;BaseLoad!$G203,H$8*$Z204,0))</f>
        <v>-</v>
      </c>
      <c r="I204" s="172" t="str">
        <f>IF($A$1="Peak","-",IF(BaseLoad!O203&gt;BaseLoad!$G203,I$8*$Z204,0))</f>
        <v>-</v>
      </c>
      <c r="J204" s="172" t="str">
        <f>IF($A$1="Peak","-",IF(BaseLoad!P203&gt;BaseLoad!$G203,J$8*$Z204,0))</f>
        <v>-</v>
      </c>
      <c r="K204" s="172" t="str">
        <f>IF($A$1="Peak","-",IF(BaseLoad!Q203&gt;BaseLoad!$G203,K$8*$Z204,0))</f>
        <v>-</v>
      </c>
      <c r="L204" s="172" t="str">
        <f>IF($A$1="Peak","-",IF(BaseLoad!R203&gt;BaseLoad!$G203,L$8*$Z204,0))</f>
        <v>-</v>
      </c>
      <c r="M204" s="172" t="str">
        <f>IF($A$1="Peak","-",IF(BaseLoad!S203&gt;BaseLoad!$G203,M$8*$Z204,0))</f>
        <v>-</v>
      </c>
      <c r="N204" s="172" t="str">
        <f>IF($A$1="Peak","-",IF(BaseLoad!T203&gt;BaseLoad!$G203,N$8*$Z204,0))</f>
        <v>-</v>
      </c>
      <c r="O204" s="172" t="str">
        <f>IF($A$1="Peak","-",IF(BaseLoad!U203&gt;BaseLoad!$G203,O$8*$Z204,0))</f>
        <v>-</v>
      </c>
      <c r="P204" s="172" t="str">
        <f>IF($A$1="Peak","-",IF(BaseLoad!V203&gt;BaseLoad!$G203,P$8*$Z204,0))</f>
        <v>-</v>
      </c>
      <c r="Q204" s="172" t="str">
        <f>IF($A$1="Peak","-",IF(BaseLoad!W203&gt;BaseLoad!$G203,Q$8*$Z204,0))</f>
        <v>-</v>
      </c>
      <c r="R204" s="172" t="str">
        <f>IF($A$1="Peak","-",IF(BaseLoad!X203&gt;BaseLoad!$G203,R$8*$Z204,0))</f>
        <v>-</v>
      </c>
      <c r="S204" s="172" t="str">
        <f>IF($A$1="Peak","-",IF(BaseLoad!Y203&gt;BaseLoad!$G203,S$8*$Z204,0))</f>
        <v>-</v>
      </c>
      <c r="T204" s="172" t="str">
        <f>IF($A$1="Peak","-",IF(BaseLoad!Z203&gt;BaseLoad!$G203,T$8*$Z204,0))</f>
        <v>-</v>
      </c>
      <c r="U204" s="172" t="str">
        <f>IF($A$1="Peak","-",IF(BaseLoad!AA203&gt;BaseLoad!$G203,U$8*$Z204,0))</f>
        <v>-</v>
      </c>
      <c r="V204" s="172">
        <f t="shared" si="8"/>
        <v>0</v>
      </c>
      <c r="W204" s="172"/>
      <c r="X204" s="172"/>
      <c r="Y204" s="172"/>
      <c r="Z204" s="172">
        <f>CHOOSE(QUOTIENT(MONTH($A204),3)+1,BaseLoad!$AM$9,BaseLoad!$AN$9,BaseLoad!$AL$9,BaseLoad!$AO$9,BaseLoad!$AM$9)</f>
        <v>0.95</v>
      </c>
      <c r="AA204" s="172">
        <f>CHOOSE(QUOTIENT(MONTH($A204),3)+1,BaseLoad!$AM$15,BaseLoad!$AN$15,BaseLoad!$AL$15,BaseLoad!$AO$15,BaseLoad!$AM$15)</f>
        <v>705</v>
      </c>
      <c r="AB204" s="471"/>
      <c r="AD204" s="471"/>
    </row>
    <row r="205" spans="1:30" x14ac:dyDescent="0.2">
      <c r="A205" s="1">
        <f t="shared" si="9"/>
        <v>42471.31500000025</v>
      </c>
      <c r="B205" s="172" t="str">
        <f>IF($A$1="Peak","-",IF(BaseLoad!H204&gt;BaseLoad!$G204,B$8*$Z205,0))</f>
        <v>-</v>
      </c>
      <c r="C205" s="172" t="str">
        <f>IF($A$1="Peak","-",IF(BaseLoad!I204&gt;BaseLoad!$G204,C$8*$Z205,0))</f>
        <v>-</v>
      </c>
      <c r="D205" s="172" t="str">
        <f>IF($A$1="Peak","-",IF(BaseLoad!J204&gt;BaseLoad!$G204,D$8*$Z205,0))</f>
        <v>-</v>
      </c>
      <c r="E205" s="172" t="str">
        <f>IF($A$1="Peak","-",IF(BaseLoad!K204&gt;BaseLoad!$G204,E$8*$Z205,0))</f>
        <v>-</v>
      </c>
      <c r="F205" s="172" t="str">
        <f>IF($A$1="Peak","-",IF(BaseLoad!L204&gt;BaseLoad!$G204,F$8*$Z205,0))</f>
        <v>-</v>
      </c>
      <c r="G205" s="172" t="str">
        <f>IF($A$1="Peak","-",IF(BaseLoad!M204&gt;BaseLoad!$G204,G$8*$Z205,0))</f>
        <v>-</v>
      </c>
      <c r="H205" s="172" t="str">
        <f>IF($A$1="Peak","-",IF(BaseLoad!N204&gt;BaseLoad!$G204,H$8*$Z205,0))</f>
        <v>-</v>
      </c>
      <c r="I205" s="172" t="str">
        <f>IF($A$1="Peak","-",IF(BaseLoad!O204&gt;BaseLoad!$G204,I$8*$Z205,0))</f>
        <v>-</v>
      </c>
      <c r="J205" s="172" t="str">
        <f>IF($A$1="Peak","-",IF(BaseLoad!P204&gt;BaseLoad!$G204,J$8*$Z205,0))</f>
        <v>-</v>
      </c>
      <c r="K205" s="172" t="str">
        <f>IF($A$1="Peak","-",IF(BaseLoad!Q204&gt;BaseLoad!$G204,K$8*$Z205,0))</f>
        <v>-</v>
      </c>
      <c r="L205" s="172" t="str">
        <f>IF($A$1="Peak","-",IF(BaseLoad!R204&gt;BaseLoad!$G204,L$8*$Z205,0))</f>
        <v>-</v>
      </c>
      <c r="M205" s="172" t="str">
        <f>IF($A$1="Peak","-",IF(BaseLoad!S204&gt;BaseLoad!$G204,M$8*$Z205,0))</f>
        <v>-</v>
      </c>
      <c r="N205" s="172" t="str">
        <f>IF($A$1="Peak","-",IF(BaseLoad!T204&gt;BaseLoad!$G204,N$8*$Z205,0))</f>
        <v>-</v>
      </c>
      <c r="O205" s="172" t="str">
        <f>IF($A$1="Peak","-",IF(BaseLoad!U204&gt;BaseLoad!$G204,O$8*$Z205,0))</f>
        <v>-</v>
      </c>
      <c r="P205" s="172" t="str">
        <f>IF($A$1="Peak","-",IF(BaseLoad!V204&gt;BaseLoad!$G204,P$8*$Z205,0))</f>
        <v>-</v>
      </c>
      <c r="Q205" s="172" t="str">
        <f>IF($A$1="Peak","-",IF(BaseLoad!W204&gt;BaseLoad!$G204,Q$8*$Z205,0))</f>
        <v>-</v>
      </c>
      <c r="R205" s="172" t="str">
        <f>IF($A$1="Peak","-",IF(BaseLoad!X204&gt;BaseLoad!$G204,R$8*$Z205,0))</f>
        <v>-</v>
      </c>
      <c r="S205" s="172" t="str">
        <f>IF($A$1="Peak","-",IF(BaseLoad!Y204&gt;BaseLoad!$G204,S$8*$Z205,0))</f>
        <v>-</v>
      </c>
      <c r="T205" s="172" t="str">
        <f>IF($A$1="Peak","-",IF(BaseLoad!Z204&gt;BaseLoad!$G204,T$8*$Z205,0))</f>
        <v>-</v>
      </c>
      <c r="U205" s="172" t="str">
        <f>IF($A$1="Peak","-",IF(BaseLoad!AA204&gt;BaseLoad!$G204,U$8*$Z205,0))</f>
        <v>-</v>
      </c>
      <c r="V205" s="172">
        <f t="shared" si="8"/>
        <v>0</v>
      </c>
      <c r="W205" s="172"/>
      <c r="X205" s="172"/>
      <c r="Y205" s="172"/>
      <c r="Z205" s="172">
        <f>CHOOSE(QUOTIENT(MONTH($A205),3)+1,BaseLoad!$AM$9,BaseLoad!$AN$9,BaseLoad!$AL$9,BaseLoad!$AO$9,BaseLoad!$AM$9)</f>
        <v>0.95</v>
      </c>
      <c r="AA205" s="172">
        <f>CHOOSE(QUOTIENT(MONTH($A205),3)+1,BaseLoad!$AM$15,BaseLoad!$AN$15,BaseLoad!$AL$15,BaseLoad!$AO$15,BaseLoad!$AM$15)</f>
        <v>705</v>
      </c>
      <c r="AB205" s="471"/>
      <c r="AD205" s="471"/>
    </row>
    <row r="206" spans="1:30" x14ac:dyDescent="0.2">
      <c r="A206" s="1">
        <f t="shared" si="9"/>
        <v>42501.732000000251</v>
      </c>
      <c r="B206" s="172" t="str">
        <f>IF($A$1="Peak","-",IF(BaseLoad!H205&gt;BaseLoad!$G205,B$8*$Z206,0))</f>
        <v>-</v>
      </c>
      <c r="C206" s="172" t="str">
        <f>IF($A$1="Peak","-",IF(BaseLoad!I205&gt;BaseLoad!$G205,C$8*$Z206,0))</f>
        <v>-</v>
      </c>
      <c r="D206" s="172" t="str">
        <f>IF($A$1="Peak","-",IF(BaseLoad!J205&gt;BaseLoad!$G205,D$8*$Z206,0))</f>
        <v>-</v>
      </c>
      <c r="E206" s="172" t="str">
        <f>IF($A$1="Peak","-",IF(BaseLoad!K205&gt;BaseLoad!$G205,E$8*$Z206,0))</f>
        <v>-</v>
      </c>
      <c r="F206" s="172" t="str">
        <f>IF($A$1="Peak","-",IF(BaseLoad!L205&gt;BaseLoad!$G205,F$8*$Z206,0))</f>
        <v>-</v>
      </c>
      <c r="G206" s="172" t="str">
        <f>IF($A$1="Peak","-",IF(BaseLoad!M205&gt;BaseLoad!$G205,G$8*$Z206,0))</f>
        <v>-</v>
      </c>
      <c r="H206" s="172" t="str">
        <f>IF($A$1="Peak","-",IF(BaseLoad!N205&gt;BaseLoad!$G205,H$8*$Z206,0))</f>
        <v>-</v>
      </c>
      <c r="I206" s="172" t="str">
        <f>IF($A$1="Peak","-",IF(BaseLoad!O205&gt;BaseLoad!$G205,I$8*$Z206,0))</f>
        <v>-</v>
      </c>
      <c r="J206" s="172" t="str">
        <f>IF($A$1="Peak","-",IF(BaseLoad!P205&gt;BaseLoad!$G205,J$8*$Z206,0))</f>
        <v>-</v>
      </c>
      <c r="K206" s="172" t="str">
        <f>IF($A$1="Peak","-",IF(BaseLoad!Q205&gt;BaseLoad!$G205,K$8*$Z206,0))</f>
        <v>-</v>
      </c>
      <c r="L206" s="172" t="str">
        <f>IF($A$1="Peak","-",IF(BaseLoad!R205&gt;BaseLoad!$G205,L$8*$Z206,0))</f>
        <v>-</v>
      </c>
      <c r="M206" s="172" t="str">
        <f>IF($A$1="Peak","-",IF(BaseLoad!S205&gt;BaseLoad!$G205,M$8*$Z206,0))</f>
        <v>-</v>
      </c>
      <c r="N206" s="172" t="str">
        <f>IF($A$1="Peak","-",IF(BaseLoad!T205&gt;BaseLoad!$G205,N$8*$Z206,0))</f>
        <v>-</v>
      </c>
      <c r="O206" s="172" t="str">
        <f>IF($A$1="Peak","-",IF(BaseLoad!U205&gt;BaseLoad!$G205,O$8*$Z206,0))</f>
        <v>-</v>
      </c>
      <c r="P206" s="172" t="str">
        <f>IF($A$1="Peak","-",IF(BaseLoad!V205&gt;BaseLoad!$G205,P$8*$Z206,0))</f>
        <v>-</v>
      </c>
      <c r="Q206" s="172" t="str">
        <f>IF($A$1="Peak","-",IF(BaseLoad!W205&gt;BaseLoad!$G205,Q$8*$Z206,0))</f>
        <v>-</v>
      </c>
      <c r="R206" s="172" t="str">
        <f>IF($A$1="Peak","-",IF(BaseLoad!X205&gt;BaseLoad!$G205,R$8*$Z206,0))</f>
        <v>-</v>
      </c>
      <c r="S206" s="172" t="str">
        <f>IF($A$1="Peak","-",IF(BaseLoad!Y205&gt;BaseLoad!$G205,S$8*$Z206,0))</f>
        <v>-</v>
      </c>
      <c r="T206" s="172" t="str">
        <f>IF($A$1="Peak","-",IF(BaseLoad!Z205&gt;BaseLoad!$G205,T$8*$Z206,0))</f>
        <v>-</v>
      </c>
      <c r="U206" s="172" t="str">
        <f>IF($A$1="Peak","-",IF(BaseLoad!AA205&gt;BaseLoad!$G205,U$8*$Z206,0))</f>
        <v>-</v>
      </c>
      <c r="V206" s="172">
        <f t="shared" si="8"/>
        <v>0</v>
      </c>
      <c r="W206" s="172"/>
      <c r="X206" s="172"/>
      <c r="Y206" s="172"/>
      <c r="Z206" s="172">
        <f>CHOOSE(QUOTIENT(MONTH($A206),3)+1,BaseLoad!$AM$9,BaseLoad!$AN$9,BaseLoad!$AL$9,BaseLoad!$AO$9,BaseLoad!$AM$9)</f>
        <v>0.95</v>
      </c>
      <c r="AA206" s="172">
        <f>CHOOSE(QUOTIENT(MONTH($A206),3)+1,BaseLoad!$AM$15,BaseLoad!$AN$15,BaseLoad!$AL$15,BaseLoad!$AO$15,BaseLoad!$AM$15)</f>
        <v>705</v>
      </c>
      <c r="AB206" s="471"/>
      <c r="AD206" s="471"/>
    </row>
    <row r="207" spans="1:30" x14ac:dyDescent="0.2">
      <c r="A207" s="1">
        <f t="shared" si="9"/>
        <v>42532.149000000252</v>
      </c>
      <c r="B207" s="172" t="str">
        <f>IF($A$1="Peak","-",IF(BaseLoad!H206&gt;BaseLoad!$G206,B$8*$Z207,0))</f>
        <v>-</v>
      </c>
      <c r="C207" s="172" t="str">
        <f>IF($A$1="Peak","-",IF(BaseLoad!I206&gt;BaseLoad!$G206,C$8*$Z207,0))</f>
        <v>-</v>
      </c>
      <c r="D207" s="172" t="str">
        <f>IF($A$1="Peak","-",IF(BaseLoad!J206&gt;BaseLoad!$G206,D$8*$Z207,0))</f>
        <v>-</v>
      </c>
      <c r="E207" s="172" t="str">
        <f>IF($A$1="Peak","-",IF(BaseLoad!K206&gt;BaseLoad!$G206,E$8*$Z207,0))</f>
        <v>-</v>
      </c>
      <c r="F207" s="172" t="str">
        <f>IF($A$1="Peak","-",IF(BaseLoad!L206&gt;BaseLoad!$G206,F$8*$Z207,0))</f>
        <v>-</v>
      </c>
      <c r="G207" s="172" t="str">
        <f>IF($A$1="Peak","-",IF(BaseLoad!M206&gt;BaseLoad!$G206,G$8*$Z207,0))</f>
        <v>-</v>
      </c>
      <c r="H207" s="172" t="str">
        <f>IF($A$1="Peak","-",IF(BaseLoad!N206&gt;BaseLoad!$G206,H$8*$Z207,0))</f>
        <v>-</v>
      </c>
      <c r="I207" s="172" t="str">
        <f>IF($A$1="Peak","-",IF(BaseLoad!O206&gt;BaseLoad!$G206,I$8*$Z207,0))</f>
        <v>-</v>
      </c>
      <c r="J207" s="172" t="str">
        <f>IF($A$1="Peak","-",IF(BaseLoad!P206&gt;BaseLoad!$G206,J$8*$Z207,0))</f>
        <v>-</v>
      </c>
      <c r="K207" s="172" t="str">
        <f>IF($A$1="Peak","-",IF(BaseLoad!Q206&gt;BaseLoad!$G206,K$8*$Z207,0))</f>
        <v>-</v>
      </c>
      <c r="L207" s="172" t="str">
        <f>IF($A$1="Peak","-",IF(BaseLoad!R206&gt;BaseLoad!$G206,L$8*$Z207,0))</f>
        <v>-</v>
      </c>
      <c r="M207" s="172" t="str">
        <f>IF($A$1="Peak","-",IF(BaseLoad!S206&gt;BaseLoad!$G206,M$8*$Z207,0))</f>
        <v>-</v>
      </c>
      <c r="N207" s="172" t="str">
        <f>IF($A$1="Peak","-",IF(BaseLoad!T206&gt;BaseLoad!$G206,N$8*$Z207,0))</f>
        <v>-</v>
      </c>
      <c r="O207" s="172" t="str">
        <f>IF($A$1="Peak","-",IF(BaseLoad!U206&gt;BaseLoad!$G206,O$8*$Z207,0))</f>
        <v>-</v>
      </c>
      <c r="P207" s="172" t="str">
        <f>IF($A$1="Peak","-",IF(BaseLoad!V206&gt;BaseLoad!$G206,P$8*$Z207,0))</f>
        <v>-</v>
      </c>
      <c r="Q207" s="172" t="str">
        <f>IF($A$1="Peak","-",IF(BaseLoad!W206&gt;BaseLoad!$G206,Q$8*$Z207,0))</f>
        <v>-</v>
      </c>
      <c r="R207" s="172" t="str">
        <f>IF($A$1="Peak","-",IF(BaseLoad!X206&gt;BaseLoad!$G206,R$8*$Z207,0))</f>
        <v>-</v>
      </c>
      <c r="S207" s="172" t="str">
        <f>IF($A$1="Peak","-",IF(BaseLoad!Y206&gt;BaseLoad!$G206,S$8*$Z207,0))</f>
        <v>-</v>
      </c>
      <c r="T207" s="172" t="str">
        <f>IF($A$1="Peak","-",IF(BaseLoad!Z206&gt;BaseLoad!$G206,T$8*$Z207,0))</f>
        <v>-</v>
      </c>
      <c r="U207" s="172" t="str">
        <f>IF($A$1="Peak","-",IF(BaseLoad!AA206&gt;BaseLoad!$G206,U$8*$Z207,0))</f>
        <v>-</v>
      </c>
      <c r="V207" s="172">
        <f t="shared" si="8"/>
        <v>0</v>
      </c>
      <c r="W207" s="172"/>
      <c r="X207" s="172"/>
      <c r="Y207" s="172"/>
      <c r="Z207" s="172">
        <f>CHOOSE(QUOTIENT(MONTH($A207),3)+1,BaseLoad!$AM$9,BaseLoad!$AN$9,BaseLoad!$AL$9,BaseLoad!$AO$9,BaseLoad!$AM$9)</f>
        <v>0.96612135909558572</v>
      </c>
      <c r="AA207" s="172">
        <f>CHOOSE(QUOTIENT(MONTH($A207),3)+1,BaseLoad!$AM$15,BaseLoad!$AN$15,BaseLoad!$AL$15,BaseLoad!$AO$15,BaseLoad!$AM$15)</f>
        <v>705</v>
      </c>
      <c r="AB207" s="471"/>
      <c r="AD207" s="471"/>
    </row>
    <row r="208" spans="1:30" x14ac:dyDescent="0.2">
      <c r="A208" s="1">
        <f t="shared" si="9"/>
        <v>42562.566000000254</v>
      </c>
      <c r="B208" s="172" t="str">
        <f>IF($A$1="Peak","-",IF(BaseLoad!H207&gt;BaseLoad!$G207,B$8*$Z208,0))</f>
        <v>-</v>
      </c>
      <c r="C208" s="172" t="str">
        <f>IF($A$1="Peak","-",IF(BaseLoad!I207&gt;BaseLoad!$G207,C$8*$Z208,0))</f>
        <v>-</v>
      </c>
      <c r="D208" s="172" t="str">
        <f>IF($A$1="Peak","-",IF(BaseLoad!J207&gt;BaseLoad!$G207,D$8*$Z208,0))</f>
        <v>-</v>
      </c>
      <c r="E208" s="172" t="str">
        <f>IF($A$1="Peak","-",IF(BaseLoad!K207&gt;BaseLoad!$G207,E$8*$Z208,0))</f>
        <v>-</v>
      </c>
      <c r="F208" s="172" t="str">
        <f>IF($A$1="Peak","-",IF(BaseLoad!L207&gt;BaseLoad!$G207,F$8*$Z208,0))</f>
        <v>-</v>
      </c>
      <c r="G208" s="172" t="str">
        <f>IF($A$1="Peak","-",IF(BaseLoad!M207&gt;BaseLoad!$G207,G$8*$Z208,0))</f>
        <v>-</v>
      </c>
      <c r="H208" s="172" t="str">
        <f>IF($A$1="Peak","-",IF(BaseLoad!N207&gt;BaseLoad!$G207,H$8*$Z208,0))</f>
        <v>-</v>
      </c>
      <c r="I208" s="172" t="str">
        <f>IF($A$1="Peak","-",IF(BaseLoad!O207&gt;BaseLoad!$G207,I$8*$Z208,0))</f>
        <v>-</v>
      </c>
      <c r="J208" s="172" t="str">
        <f>IF($A$1="Peak","-",IF(BaseLoad!P207&gt;BaseLoad!$G207,J$8*$Z208,0))</f>
        <v>-</v>
      </c>
      <c r="K208" s="172" t="str">
        <f>IF($A$1="Peak","-",IF(BaseLoad!Q207&gt;BaseLoad!$G207,K$8*$Z208,0))</f>
        <v>-</v>
      </c>
      <c r="L208" s="172" t="str">
        <f>IF($A$1="Peak","-",IF(BaseLoad!R207&gt;BaseLoad!$G207,L$8*$Z208,0))</f>
        <v>-</v>
      </c>
      <c r="M208" s="172" t="str">
        <f>IF($A$1="Peak","-",IF(BaseLoad!S207&gt;BaseLoad!$G207,M$8*$Z208,0))</f>
        <v>-</v>
      </c>
      <c r="N208" s="172" t="str">
        <f>IF($A$1="Peak","-",IF(BaseLoad!T207&gt;BaseLoad!$G207,N$8*$Z208,0))</f>
        <v>-</v>
      </c>
      <c r="O208" s="172" t="str">
        <f>IF($A$1="Peak","-",IF(BaseLoad!U207&gt;BaseLoad!$G207,O$8*$Z208,0))</f>
        <v>-</v>
      </c>
      <c r="P208" s="172" t="str">
        <f>IF($A$1="Peak","-",IF(BaseLoad!V207&gt;BaseLoad!$G207,P$8*$Z208,0))</f>
        <v>-</v>
      </c>
      <c r="Q208" s="172" t="str">
        <f>IF($A$1="Peak","-",IF(BaseLoad!W207&gt;BaseLoad!$G207,Q$8*$Z208,0))</f>
        <v>-</v>
      </c>
      <c r="R208" s="172" t="str">
        <f>IF($A$1="Peak","-",IF(BaseLoad!X207&gt;BaseLoad!$G207,R$8*$Z208,0))</f>
        <v>-</v>
      </c>
      <c r="S208" s="172" t="str">
        <f>IF($A$1="Peak","-",IF(BaseLoad!Y207&gt;BaseLoad!$G207,S$8*$Z208,0))</f>
        <v>-</v>
      </c>
      <c r="T208" s="172" t="str">
        <f>IF($A$1="Peak","-",IF(BaseLoad!Z207&gt;BaseLoad!$G207,T$8*$Z208,0))</f>
        <v>-</v>
      </c>
      <c r="U208" s="172" t="str">
        <f>IF($A$1="Peak","-",IF(BaseLoad!AA207&gt;BaseLoad!$G207,U$8*$Z208,0))</f>
        <v>-</v>
      </c>
      <c r="V208" s="172">
        <f t="shared" si="8"/>
        <v>0</v>
      </c>
      <c r="W208" s="172"/>
      <c r="X208" s="172"/>
      <c r="Y208" s="172"/>
      <c r="Z208" s="172">
        <f>CHOOSE(QUOTIENT(MONTH($A208),3)+1,BaseLoad!$AM$9,BaseLoad!$AN$9,BaseLoad!$AL$9,BaseLoad!$AO$9,BaseLoad!$AM$9)</f>
        <v>0.96612135909558572</v>
      </c>
      <c r="AA208" s="172">
        <f>CHOOSE(QUOTIENT(MONTH($A208),3)+1,BaseLoad!$AM$15,BaseLoad!$AN$15,BaseLoad!$AL$15,BaseLoad!$AO$15,BaseLoad!$AM$15)</f>
        <v>705</v>
      </c>
      <c r="AB208" s="471"/>
      <c r="AD208" s="471"/>
    </row>
    <row r="209" spans="1:30" x14ac:dyDescent="0.2">
      <c r="A209" s="1">
        <f t="shared" si="9"/>
        <v>42592.983000000255</v>
      </c>
      <c r="B209" s="172" t="str">
        <f>IF($A$1="Peak","-",IF(BaseLoad!H208&gt;BaseLoad!$G208,B$8*$Z209,0))</f>
        <v>-</v>
      </c>
      <c r="C209" s="172" t="str">
        <f>IF($A$1="Peak","-",IF(BaseLoad!I208&gt;BaseLoad!$G208,C$8*$Z209,0))</f>
        <v>-</v>
      </c>
      <c r="D209" s="172" t="str">
        <f>IF($A$1="Peak","-",IF(BaseLoad!J208&gt;BaseLoad!$G208,D$8*$Z209,0))</f>
        <v>-</v>
      </c>
      <c r="E209" s="172" t="str">
        <f>IF($A$1="Peak","-",IF(BaseLoad!K208&gt;BaseLoad!$G208,E$8*$Z209,0))</f>
        <v>-</v>
      </c>
      <c r="F209" s="172" t="str">
        <f>IF($A$1="Peak","-",IF(BaseLoad!L208&gt;BaseLoad!$G208,F$8*$Z209,0))</f>
        <v>-</v>
      </c>
      <c r="G209" s="172" t="str">
        <f>IF($A$1="Peak","-",IF(BaseLoad!M208&gt;BaseLoad!$G208,G$8*$Z209,0))</f>
        <v>-</v>
      </c>
      <c r="H209" s="172" t="str">
        <f>IF($A$1="Peak","-",IF(BaseLoad!N208&gt;BaseLoad!$G208,H$8*$Z209,0))</f>
        <v>-</v>
      </c>
      <c r="I209" s="172" t="str">
        <f>IF($A$1="Peak","-",IF(BaseLoad!O208&gt;BaseLoad!$G208,I$8*$Z209,0))</f>
        <v>-</v>
      </c>
      <c r="J209" s="172" t="str">
        <f>IF($A$1="Peak","-",IF(BaseLoad!P208&gt;BaseLoad!$G208,J$8*$Z209,0))</f>
        <v>-</v>
      </c>
      <c r="K209" s="172" t="str">
        <f>IF($A$1="Peak","-",IF(BaseLoad!Q208&gt;BaseLoad!$G208,K$8*$Z209,0))</f>
        <v>-</v>
      </c>
      <c r="L209" s="172" t="str">
        <f>IF($A$1="Peak","-",IF(BaseLoad!R208&gt;BaseLoad!$G208,L$8*$Z209,0))</f>
        <v>-</v>
      </c>
      <c r="M209" s="172" t="str">
        <f>IF($A$1="Peak","-",IF(BaseLoad!S208&gt;BaseLoad!$G208,M$8*$Z209,0))</f>
        <v>-</v>
      </c>
      <c r="N209" s="172" t="str">
        <f>IF($A$1="Peak","-",IF(BaseLoad!T208&gt;BaseLoad!$G208,N$8*$Z209,0))</f>
        <v>-</v>
      </c>
      <c r="O209" s="172" t="str">
        <f>IF($A$1="Peak","-",IF(BaseLoad!U208&gt;BaseLoad!$G208,O$8*$Z209,0))</f>
        <v>-</v>
      </c>
      <c r="P209" s="172" t="str">
        <f>IF($A$1="Peak","-",IF(BaseLoad!V208&gt;BaseLoad!$G208,P$8*$Z209,0))</f>
        <v>-</v>
      </c>
      <c r="Q209" s="172" t="str">
        <f>IF($A$1="Peak","-",IF(BaseLoad!W208&gt;BaseLoad!$G208,Q$8*$Z209,0))</f>
        <v>-</v>
      </c>
      <c r="R209" s="172" t="str">
        <f>IF($A$1="Peak","-",IF(BaseLoad!X208&gt;BaseLoad!$G208,R$8*$Z209,0))</f>
        <v>-</v>
      </c>
      <c r="S209" s="172" t="str">
        <f>IF($A$1="Peak","-",IF(BaseLoad!Y208&gt;BaseLoad!$G208,S$8*$Z209,0))</f>
        <v>-</v>
      </c>
      <c r="T209" s="172" t="str">
        <f>IF($A$1="Peak","-",IF(BaseLoad!Z208&gt;BaseLoad!$G208,T$8*$Z209,0))</f>
        <v>-</v>
      </c>
      <c r="U209" s="172" t="str">
        <f>IF($A$1="Peak","-",IF(BaseLoad!AA208&gt;BaseLoad!$G208,U$8*$Z209,0))</f>
        <v>-</v>
      </c>
      <c r="V209" s="172">
        <f t="shared" si="8"/>
        <v>0</v>
      </c>
      <c r="W209" s="172"/>
      <c r="X209" s="172"/>
      <c r="Y209" s="172"/>
      <c r="Z209" s="172">
        <f>CHOOSE(QUOTIENT(MONTH($A209),3)+1,BaseLoad!$AM$9,BaseLoad!$AN$9,BaseLoad!$AL$9,BaseLoad!$AO$9,BaseLoad!$AM$9)</f>
        <v>0.96612135909558572</v>
      </c>
      <c r="AA209" s="172">
        <f>CHOOSE(QUOTIENT(MONTH($A209),3)+1,BaseLoad!$AM$15,BaseLoad!$AN$15,BaseLoad!$AL$15,BaseLoad!$AO$15,BaseLoad!$AM$15)</f>
        <v>705</v>
      </c>
      <c r="AB209" s="471"/>
      <c r="AD209" s="471"/>
    </row>
    <row r="210" spans="1:30" x14ac:dyDescent="0.2">
      <c r="A210" s="1">
        <f t="shared" si="9"/>
        <v>42623.400000000256</v>
      </c>
      <c r="B210" s="172" t="str">
        <f>IF($A$1="Peak","-",IF(BaseLoad!H209&gt;BaseLoad!$G209,B$8*$Z210,0))</f>
        <v>-</v>
      </c>
      <c r="C210" s="172" t="str">
        <f>IF($A$1="Peak","-",IF(BaseLoad!I209&gt;BaseLoad!$G209,C$8*$Z210,0))</f>
        <v>-</v>
      </c>
      <c r="D210" s="172" t="str">
        <f>IF($A$1="Peak","-",IF(BaseLoad!J209&gt;BaseLoad!$G209,D$8*$Z210,0))</f>
        <v>-</v>
      </c>
      <c r="E210" s="172" t="str">
        <f>IF($A$1="Peak","-",IF(BaseLoad!K209&gt;BaseLoad!$G209,E$8*$Z210,0))</f>
        <v>-</v>
      </c>
      <c r="F210" s="172" t="str">
        <f>IF($A$1="Peak","-",IF(BaseLoad!L209&gt;BaseLoad!$G209,F$8*$Z210,0))</f>
        <v>-</v>
      </c>
      <c r="G210" s="172" t="str">
        <f>IF($A$1="Peak","-",IF(BaseLoad!M209&gt;BaseLoad!$G209,G$8*$Z210,0))</f>
        <v>-</v>
      </c>
      <c r="H210" s="172" t="str">
        <f>IF($A$1="Peak","-",IF(BaseLoad!N209&gt;BaseLoad!$G209,H$8*$Z210,0))</f>
        <v>-</v>
      </c>
      <c r="I210" s="172" t="str">
        <f>IF($A$1="Peak","-",IF(BaseLoad!O209&gt;BaseLoad!$G209,I$8*$Z210,0))</f>
        <v>-</v>
      </c>
      <c r="J210" s="172" t="str">
        <f>IF($A$1="Peak","-",IF(BaseLoad!P209&gt;BaseLoad!$G209,J$8*$Z210,0))</f>
        <v>-</v>
      </c>
      <c r="K210" s="172" t="str">
        <f>IF($A$1="Peak","-",IF(BaseLoad!Q209&gt;BaseLoad!$G209,K$8*$Z210,0))</f>
        <v>-</v>
      </c>
      <c r="L210" s="172" t="str">
        <f>IF($A$1="Peak","-",IF(BaseLoad!R209&gt;BaseLoad!$G209,L$8*$Z210,0))</f>
        <v>-</v>
      </c>
      <c r="M210" s="172" t="str">
        <f>IF($A$1="Peak","-",IF(BaseLoad!S209&gt;BaseLoad!$G209,M$8*$Z210,0))</f>
        <v>-</v>
      </c>
      <c r="N210" s="172" t="str">
        <f>IF($A$1="Peak","-",IF(BaseLoad!T209&gt;BaseLoad!$G209,N$8*$Z210,0))</f>
        <v>-</v>
      </c>
      <c r="O210" s="172" t="str">
        <f>IF($A$1="Peak","-",IF(BaseLoad!U209&gt;BaseLoad!$G209,O$8*$Z210,0))</f>
        <v>-</v>
      </c>
      <c r="P210" s="172" t="str">
        <f>IF($A$1="Peak","-",IF(BaseLoad!V209&gt;BaseLoad!$G209,P$8*$Z210,0))</f>
        <v>-</v>
      </c>
      <c r="Q210" s="172" t="str">
        <f>IF($A$1="Peak","-",IF(BaseLoad!W209&gt;BaseLoad!$G209,Q$8*$Z210,0))</f>
        <v>-</v>
      </c>
      <c r="R210" s="172" t="str">
        <f>IF($A$1="Peak","-",IF(BaseLoad!X209&gt;BaseLoad!$G209,R$8*$Z210,0))</f>
        <v>-</v>
      </c>
      <c r="S210" s="172" t="str">
        <f>IF($A$1="Peak","-",IF(BaseLoad!Y209&gt;BaseLoad!$G209,S$8*$Z210,0))</f>
        <v>-</v>
      </c>
      <c r="T210" s="172" t="str">
        <f>IF($A$1="Peak","-",IF(BaseLoad!Z209&gt;BaseLoad!$G209,T$8*$Z210,0))</f>
        <v>-</v>
      </c>
      <c r="U210" s="172" t="str">
        <f>IF($A$1="Peak","-",IF(BaseLoad!AA209&gt;BaseLoad!$G209,U$8*$Z210,0))</f>
        <v>-</v>
      </c>
      <c r="V210" s="172">
        <f t="shared" si="8"/>
        <v>0</v>
      </c>
      <c r="W210" s="172"/>
      <c r="X210" s="172"/>
      <c r="Y210" s="172"/>
      <c r="Z210" s="172">
        <f>CHOOSE(QUOTIENT(MONTH($A210),3)+1,BaseLoad!$AM$9,BaseLoad!$AN$9,BaseLoad!$AL$9,BaseLoad!$AO$9,BaseLoad!$AM$9)</f>
        <v>0.95</v>
      </c>
      <c r="AA210" s="172">
        <f>CHOOSE(QUOTIENT(MONTH($A210),3)+1,BaseLoad!$AM$15,BaseLoad!$AN$15,BaseLoad!$AL$15,BaseLoad!$AO$15,BaseLoad!$AM$15)</f>
        <v>705</v>
      </c>
      <c r="AB210" s="471"/>
      <c r="AD210" s="471"/>
    </row>
    <row r="211" spans="1:30" x14ac:dyDescent="0.2">
      <c r="A211" s="1">
        <f t="shared" si="9"/>
        <v>42653.817000000257</v>
      </c>
      <c r="B211" s="172" t="str">
        <f>IF($A$1="Peak","-",IF(BaseLoad!H210&gt;BaseLoad!$G210,B$8*$Z211,0))</f>
        <v>-</v>
      </c>
      <c r="C211" s="172" t="str">
        <f>IF($A$1="Peak","-",IF(BaseLoad!I210&gt;BaseLoad!$G210,C$8*$Z211,0))</f>
        <v>-</v>
      </c>
      <c r="D211" s="172" t="str">
        <f>IF($A$1="Peak","-",IF(BaseLoad!J210&gt;BaseLoad!$G210,D$8*$Z211,0))</f>
        <v>-</v>
      </c>
      <c r="E211" s="172" t="str">
        <f>IF($A$1="Peak","-",IF(BaseLoad!K210&gt;BaseLoad!$G210,E$8*$Z211,0))</f>
        <v>-</v>
      </c>
      <c r="F211" s="172" t="str">
        <f>IF($A$1="Peak","-",IF(BaseLoad!L210&gt;BaseLoad!$G210,F$8*$Z211,0))</f>
        <v>-</v>
      </c>
      <c r="G211" s="172" t="str">
        <f>IF($A$1="Peak","-",IF(BaseLoad!M210&gt;BaseLoad!$G210,G$8*$Z211,0))</f>
        <v>-</v>
      </c>
      <c r="H211" s="172" t="str">
        <f>IF($A$1="Peak","-",IF(BaseLoad!N210&gt;BaseLoad!$G210,H$8*$Z211,0))</f>
        <v>-</v>
      </c>
      <c r="I211" s="172" t="str">
        <f>IF($A$1="Peak","-",IF(BaseLoad!O210&gt;BaseLoad!$G210,I$8*$Z211,0))</f>
        <v>-</v>
      </c>
      <c r="J211" s="172" t="str">
        <f>IF($A$1="Peak","-",IF(BaseLoad!P210&gt;BaseLoad!$G210,J$8*$Z211,0))</f>
        <v>-</v>
      </c>
      <c r="K211" s="172" t="str">
        <f>IF($A$1="Peak","-",IF(BaseLoad!Q210&gt;BaseLoad!$G210,K$8*$Z211,0))</f>
        <v>-</v>
      </c>
      <c r="L211" s="172" t="str">
        <f>IF($A$1="Peak","-",IF(BaseLoad!R210&gt;BaseLoad!$G210,L$8*$Z211,0))</f>
        <v>-</v>
      </c>
      <c r="M211" s="172" t="str">
        <f>IF($A$1="Peak","-",IF(BaseLoad!S210&gt;BaseLoad!$G210,M$8*$Z211,0))</f>
        <v>-</v>
      </c>
      <c r="N211" s="172" t="str">
        <f>IF($A$1="Peak","-",IF(BaseLoad!T210&gt;BaseLoad!$G210,N$8*$Z211,0))</f>
        <v>-</v>
      </c>
      <c r="O211" s="172" t="str">
        <f>IF($A$1="Peak","-",IF(BaseLoad!U210&gt;BaseLoad!$G210,O$8*$Z211,0))</f>
        <v>-</v>
      </c>
      <c r="P211" s="172" t="str">
        <f>IF($A$1="Peak","-",IF(BaseLoad!V210&gt;BaseLoad!$G210,P$8*$Z211,0))</f>
        <v>-</v>
      </c>
      <c r="Q211" s="172" t="str">
        <f>IF($A$1="Peak","-",IF(BaseLoad!W210&gt;BaseLoad!$G210,Q$8*$Z211,0))</f>
        <v>-</v>
      </c>
      <c r="R211" s="172" t="str">
        <f>IF($A$1="Peak","-",IF(BaseLoad!X210&gt;BaseLoad!$G210,R$8*$Z211,0))</f>
        <v>-</v>
      </c>
      <c r="S211" s="172" t="str">
        <f>IF($A$1="Peak","-",IF(BaseLoad!Y210&gt;BaseLoad!$G210,S$8*$Z211,0))</f>
        <v>-</v>
      </c>
      <c r="T211" s="172" t="str">
        <f>IF($A$1="Peak","-",IF(BaseLoad!Z210&gt;BaseLoad!$G210,T$8*$Z211,0))</f>
        <v>-</v>
      </c>
      <c r="U211" s="172" t="str">
        <f>IF($A$1="Peak","-",IF(BaseLoad!AA210&gt;BaseLoad!$G210,U$8*$Z211,0))</f>
        <v>-</v>
      </c>
      <c r="V211" s="172">
        <f t="shared" si="8"/>
        <v>0</v>
      </c>
      <c r="W211" s="172"/>
      <c r="X211" s="172"/>
      <c r="Y211" s="172"/>
      <c r="Z211" s="172">
        <f>CHOOSE(QUOTIENT(MONTH($A211),3)+1,BaseLoad!$AM$9,BaseLoad!$AN$9,BaseLoad!$AL$9,BaseLoad!$AO$9,BaseLoad!$AM$9)</f>
        <v>0.95</v>
      </c>
      <c r="AA211" s="172">
        <f>CHOOSE(QUOTIENT(MONTH($A211),3)+1,BaseLoad!$AM$15,BaseLoad!$AN$15,BaseLoad!$AL$15,BaseLoad!$AO$15,BaseLoad!$AM$15)</f>
        <v>705</v>
      </c>
      <c r="AB211" s="471"/>
      <c r="AD211" s="471"/>
    </row>
    <row r="212" spans="1:30" x14ac:dyDescent="0.2">
      <c r="A212" s="1">
        <f t="shared" si="9"/>
        <v>42684.234000000259</v>
      </c>
      <c r="B212" s="172" t="str">
        <f>IF($A$1="Peak","-",IF(BaseLoad!H211&gt;BaseLoad!$G211,B$8*$Z212,0))</f>
        <v>-</v>
      </c>
      <c r="C212" s="172" t="str">
        <f>IF($A$1="Peak","-",IF(BaseLoad!I211&gt;BaseLoad!$G211,C$8*$Z212,0))</f>
        <v>-</v>
      </c>
      <c r="D212" s="172" t="str">
        <f>IF($A$1="Peak","-",IF(BaseLoad!J211&gt;BaseLoad!$G211,D$8*$Z212,0))</f>
        <v>-</v>
      </c>
      <c r="E212" s="172" t="str">
        <f>IF($A$1="Peak","-",IF(BaseLoad!K211&gt;BaseLoad!$G211,E$8*$Z212,0))</f>
        <v>-</v>
      </c>
      <c r="F212" s="172" t="str">
        <f>IF($A$1="Peak","-",IF(BaseLoad!L211&gt;BaseLoad!$G211,F$8*$Z212,0))</f>
        <v>-</v>
      </c>
      <c r="G212" s="172" t="str">
        <f>IF($A$1="Peak","-",IF(BaseLoad!M211&gt;BaseLoad!$G211,G$8*$Z212,0))</f>
        <v>-</v>
      </c>
      <c r="H212" s="172" t="str">
        <f>IF($A$1="Peak","-",IF(BaseLoad!N211&gt;BaseLoad!$G211,H$8*$Z212,0))</f>
        <v>-</v>
      </c>
      <c r="I212" s="172" t="str">
        <f>IF($A$1="Peak","-",IF(BaseLoad!O211&gt;BaseLoad!$G211,I$8*$Z212,0))</f>
        <v>-</v>
      </c>
      <c r="J212" s="172" t="str">
        <f>IF($A$1="Peak","-",IF(BaseLoad!P211&gt;BaseLoad!$G211,J$8*$Z212,0))</f>
        <v>-</v>
      </c>
      <c r="K212" s="172" t="str">
        <f>IF($A$1="Peak","-",IF(BaseLoad!Q211&gt;BaseLoad!$G211,K$8*$Z212,0))</f>
        <v>-</v>
      </c>
      <c r="L212" s="172" t="str">
        <f>IF($A$1="Peak","-",IF(BaseLoad!R211&gt;BaseLoad!$G211,L$8*$Z212,0))</f>
        <v>-</v>
      </c>
      <c r="M212" s="172" t="str">
        <f>IF($A$1="Peak","-",IF(BaseLoad!S211&gt;BaseLoad!$G211,M$8*$Z212,0))</f>
        <v>-</v>
      </c>
      <c r="N212" s="172" t="str">
        <f>IF($A$1="Peak","-",IF(BaseLoad!T211&gt;BaseLoad!$G211,N$8*$Z212,0))</f>
        <v>-</v>
      </c>
      <c r="O212" s="172" t="str">
        <f>IF($A$1="Peak","-",IF(BaseLoad!U211&gt;BaseLoad!$G211,O$8*$Z212,0))</f>
        <v>-</v>
      </c>
      <c r="P212" s="172" t="str">
        <f>IF($A$1="Peak","-",IF(BaseLoad!V211&gt;BaseLoad!$G211,P$8*$Z212,0))</f>
        <v>-</v>
      </c>
      <c r="Q212" s="172" t="str">
        <f>IF($A$1="Peak","-",IF(BaseLoad!W211&gt;BaseLoad!$G211,Q$8*$Z212,0))</f>
        <v>-</v>
      </c>
      <c r="R212" s="172" t="str">
        <f>IF($A$1="Peak","-",IF(BaseLoad!X211&gt;BaseLoad!$G211,R$8*$Z212,0))</f>
        <v>-</v>
      </c>
      <c r="S212" s="172" t="str">
        <f>IF($A$1="Peak","-",IF(BaseLoad!Y211&gt;BaseLoad!$G211,S$8*$Z212,0))</f>
        <v>-</v>
      </c>
      <c r="T212" s="172" t="str">
        <f>IF($A$1="Peak","-",IF(BaseLoad!Z211&gt;BaseLoad!$G211,T$8*$Z212,0))</f>
        <v>-</v>
      </c>
      <c r="U212" s="172" t="str">
        <f>IF($A$1="Peak","-",IF(BaseLoad!AA211&gt;BaseLoad!$G211,U$8*$Z212,0))</f>
        <v>-</v>
      </c>
      <c r="V212" s="172">
        <f t="shared" si="8"/>
        <v>0</v>
      </c>
      <c r="W212" s="172"/>
      <c r="X212" s="172"/>
      <c r="Y212" s="172"/>
      <c r="Z212" s="172">
        <f>CHOOSE(QUOTIENT(MONTH($A212),3)+1,BaseLoad!$AM$9,BaseLoad!$AN$9,BaseLoad!$AL$9,BaseLoad!$AO$9,BaseLoad!$AM$9)</f>
        <v>0.95</v>
      </c>
      <c r="AA212" s="172">
        <f>CHOOSE(QUOTIENT(MONTH($A212),3)+1,BaseLoad!$AM$15,BaseLoad!$AN$15,BaseLoad!$AL$15,BaseLoad!$AO$15,BaseLoad!$AM$15)</f>
        <v>705</v>
      </c>
      <c r="AB212" s="471"/>
      <c r="AD212" s="471"/>
    </row>
    <row r="213" spans="1:30" x14ac:dyDescent="0.2">
      <c r="A213" s="1">
        <f t="shared" si="9"/>
        <v>42714.65100000026</v>
      </c>
      <c r="B213" s="172" t="str">
        <f>IF($A$1="Peak","-",IF(BaseLoad!H212&gt;BaseLoad!$G212,B$8*$Z213,0))</f>
        <v>-</v>
      </c>
      <c r="C213" s="172" t="str">
        <f>IF($A$1="Peak","-",IF(BaseLoad!I212&gt;BaseLoad!$G212,C$8*$Z213,0))</f>
        <v>-</v>
      </c>
      <c r="D213" s="172" t="str">
        <f>IF($A$1="Peak","-",IF(BaseLoad!J212&gt;BaseLoad!$G212,D$8*$Z213,0))</f>
        <v>-</v>
      </c>
      <c r="E213" s="172" t="str">
        <f>IF($A$1="Peak","-",IF(BaseLoad!K212&gt;BaseLoad!$G212,E$8*$Z213,0))</f>
        <v>-</v>
      </c>
      <c r="F213" s="172" t="str">
        <f>IF($A$1="Peak","-",IF(BaseLoad!L212&gt;BaseLoad!$G212,F$8*$Z213,0))</f>
        <v>-</v>
      </c>
      <c r="G213" s="172" t="str">
        <f>IF($A$1="Peak","-",IF(BaseLoad!M212&gt;BaseLoad!$G212,G$8*$Z213,0))</f>
        <v>-</v>
      </c>
      <c r="H213" s="172" t="str">
        <f>IF($A$1="Peak","-",IF(BaseLoad!N212&gt;BaseLoad!$G212,H$8*$Z213,0))</f>
        <v>-</v>
      </c>
      <c r="I213" s="172" t="str">
        <f>IF($A$1="Peak","-",IF(BaseLoad!O212&gt;BaseLoad!$G212,I$8*$Z213,0))</f>
        <v>-</v>
      </c>
      <c r="J213" s="172" t="str">
        <f>IF($A$1="Peak","-",IF(BaseLoad!P212&gt;BaseLoad!$G212,J$8*$Z213,0))</f>
        <v>-</v>
      </c>
      <c r="K213" s="172" t="str">
        <f>IF($A$1="Peak","-",IF(BaseLoad!Q212&gt;BaseLoad!$G212,K$8*$Z213,0))</f>
        <v>-</v>
      </c>
      <c r="L213" s="172" t="str">
        <f>IF($A$1="Peak","-",IF(BaseLoad!R212&gt;BaseLoad!$G212,L$8*$Z213,0))</f>
        <v>-</v>
      </c>
      <c r="M213" s="172" t="str">
        <f>IF($A$1="Peak","-",IF(BaseLoad!S212&gt;BaseLoad!$G212,M$8*$Z213,0))</f>
        <v>-</v>
      </c>
      <c r="N213" s="172" t="str">
        <f>IF($A$1="Peak","-",IF(BaseLoad!T212&gt;BaseLoad!$G212,N$8*$Z213,0))</f>
        <v>-</v>
      </c>
      <c r="O213" s="172" t="str">
        <f>IF($A$1="Peak","-",IF(BaseLoad!U212&gt;BaseLoad!$G212,O$8*$Z213,0))</f>
        <v>-</v>
      </c>
      <c r="P213" s="172" t="str">
        <f>IF($A$1="Peak","-",IF(BaseLoad!V212&gt;BaseLoad!$G212,P$8*$Z213,0))</f>
        <v>-</v>
      </c>
      <c r="Q213" s="172" t="str">
        <f>IF($A$1="Peak","-",IF(BaseLoad!W212&gt;BaseLoad!$G212,Q$8*$Z213,0))</f>
        <v>-</v>
      </c>
      <c r="R213" s="172" t="str">
        <f>IF($A$1="Peak","-",IF(BaseLoad!X212&gt;BaseLoad!$G212,R$8*$Z213,0))</f>
        <v>-</v>
      </c>
      <c r="S213" s="172" t="str">
        <f>IF($A$1="Peak","-",IF(BaseLoad!Y212&gt;BaseLoad!$G212,S$8*$Z213,0))</f>
        <v>-</v>
      </c>
      <c r="T213" s="172" t="str">
        <f>IF($A$1="Peak","-",IF(BaseLoad!Z212&gt;BaseLoad!$G212,T$8*$Z213,0))</f>
        <v>-</v>
      </c>
      <c r="U213" s="172" t="str">
        <f>IF($A$1="Peak","-",IF(BaseLoad!AA212&gt;BaseLoad!$G212,U$8*$Z213,0))</f>
        <v>-</v>
      </c>
      <c r="V213" s="172">
        <f t="shared" si="8"/>
        <v>0</v>
      </c>
      <c r="W213" s="172"/>
      <c r="X213" s="172"/>
      <c r="Y213" s="172">
        <f>SUM(V202:V213)</f>
        <v>0</v>
      </c>
      <c r="Z213" s="172">
        <f>CHOOSE(QUOTIENT(MONTH($A213),3)+1,BaseLoad!$AM$9,BaseLoad!$AN$9,BaseLoad!$AL$9,BaseLoad!$AO$9,BaseLoad!$AM$9)</f>
        <v>0.92427661878611755</v>
      </c>
      <c r="AA213" s="172">
        <f>CHOOSE(QUOTIENT(MONTH($A213),3)+1,BaseLoad!$AM$15,BaseLoad!$AN$15,BaseLoad!$AL$15,BaseLoad!$AO$15,BaseLoad!$AM$15)</f>
        <v>705</v>
      </c>
      <c r="AB213" s="471"/>
      <c r="AD213" s="471"/>
    </row>
    <row r="214" spans="1:30" x14ac:dyDescent="0.2">
      <c r="A214" s="1">
        <f t="shared" si="9"/>
        <v>42745.068000000261</v>
      </c>
      <c r="B214" s="172" t="str">
        <f>IF($A$1="Peak","-",IF(BaseLoad!H213&gt;BaseLoad!$G213,B$8*$Z214,0))</f>
        <v>-</v>
      </c>
      <c r="C214" s="172" t="str">
        <f>IF($A$1="Peak","-",IF(BaseLoad!I213&gt;BaseLoad!$G213,C$8*$Z214,0))</f>
        <v>-</v>
      </c>
      <c r="D214" s="172" t="str">
        <f>IF($A$1="Peak","-",IF(BaseLoad!J213&gt;BaseLoad!$G213,D$8*$Z214,0))</f>
        <v>-</v>
      </c>
      <c r="E214" s="172" t="str">
        <f>IF($A$1="Peak","-",IF(BaseLoad!K213&gt;BaseLoad!$G213,E$8*$Z214,0))</f>
        <v>-</v>
      </c>
      <c r="F214" s="172" t="str">
        <f>IF($A$1="Peak","-",IF(BaseLoad!L213&gt;BaseLoad!$G213,F$8*$Z214,0))</f>
        <v>-</v>
      </c>
      <c r="G214" s="172" t="str">
        <f>IF($A$1="Peak","-",IF(BaseLoad!M213&gt;BaseLoad!$G213,G$8*$Z214,0))</f>
        <v>-</v>
      </c>
      <c r="H214" s="172" t="str">
        <f>IF($A$1="Peak","-",IF(BaseLoad!N213&gt;BaseLoad!$G213,H$8*$Z214,0))</f>
        <v>-</v>
      </c>
      <c r="I214" s="172" t="str">
        <f>IF($A$1="Peak","-",IF(BaseLoad!O213&gt;BaseLoad!$G213,I$8*$Z214,0))</f>
        <v>-</v>
      </c>
      <c r="J214" s="172" t="str">
        <f>IF($A$1="Peak","-",IF(BaseLoad!P213&gt;BaseLoad!$G213,J$8*$Z214,0))</f>
        <v>-</v>
      </c>
      <c r="K214" s="172" t="str">
        <f>IF($A$1="Peak","-",IF(BaseLoad!Q213&gt;BaseLoad!$G213,K$8*$Z214,0))</f>
        <v>-</v>
      </c>
      <c r="L214" s="172" t="str">
        <f>IF($A$1="Peak","-",IF(BaseLoad!R213&gt;BaseLoad!$G213,L$8*$Z214,0))</f>
        <v>-</v>
      </c>
      <c r="M214" s="172" t="str">
        <f>IF($A$1="Peak","-",IF(BaseLoad!S213&gt;BaseLoad!$G213,M$8*$Z214,0))</f>
        <v>-</v>
      </c>
      <c r="N214" s="172" t="str">
        <f>IF($A$1="Peak","-",IF(BaseLoad!T213&gt;BaseLoad!$G213,N$8*$Z214,0))</f>
        <v>-</v>
      </c>
      <c r="O214" s="172" t="str">
        <f>IF($A$1="Peak","-",IF(BaseLoad!U213&gt;BaseLoad!$G213,O$8*$Z214,0))</f>
        <v>-</v>
      </c>
      <c r="P214" s="172" t="str">
        <f>IF($A$1="Peak","-",IF(BaseLoad!V213&gt;BaseLoad!$G213,P$8*$Z214,0))</f>
        <v>-</v>
      </c>
      <c r="Q214" s="172" t="str">
        <f>IF($A$1="Peak","-",IF(BaseLoad!W213&gt;BaseLoad!$G213,Q$8*$Z214,0))</f>
        <v>-</v>
      </c>
      <c r="R214" s="172" t="str">
        <f>IF($A$1="Peak","-",IF(BaseLoad!X213&gt;BaseLoad!$G213,R$8*$Z214,0))</f>
        <v>-</v>
      </c>
      <c r="S214" s="172" t="str">
        <f>IF($A$1="Peak","-",IF(BaseLoad!Y213&gt;BaseLoad!$G213,S$8*$Z214,0))</f>
        <v>-</v>
      </c>
      <c r="T214" s="172" t="str">
        <f>IF($A$1="Peak","-",IF(BaseLoad!Z213&gt;BaseLoad!$G213,T$8*$Z214,0))</f>
        <v>-</v>
      </c>
      <c r="U214" s="172" t="str">
        <f>IF($A$1="Peak","-",IF(BaseLoad!AA213&gt;BaseLoad!$G213,U$8*$Z214,0))</f>
        <v>-</v>
      </c>
      <c r="V214" s="172">
        <f t="shared" si="8"/>
        <v>0</v>
      </c>
      <c r="W214" s="172"/>
      <c r="X214" s="172"/>
      <c r="Y214" s="172"/>
      <c r="Z214" s="172">
        <f>CHOOSE(QUOTIENT(MONTH($A214),3)+1,BaseLoad!$AM$9,BaseLoad!$AN$9,BaseLoad!$AL$9,BaseLoad!$AO$9,BaseLoad!$AM$9)</f>
        <v>0.92427661878611755</v>
      </c>
      <c r="AA214" s="172">
        <f>CHOOSE(QUOTIENT(MONTH($A214),3)+1,BaseLoad!$AM$15,BaseLoad!$AN$15,BaseLoad!$AL$15,BaseLoad!$AO$15,BaseLoad!$AM$15)</f>
        <v>705</v>
      </c>
      <c r="AB214" s="471"/>
      <c r="AD214" s="471"/>
    </row>
    <row r="215" spans="1:30" x14ac:dyDescent="0.2">
      <c r="A215" s="1">
        <f t="shared" si="9"/>
        <v>42775.485000000263</v>
      </c>
      <c r="B215" s="172" t="str">
        <f>IF($A$1="Peak","-",IF(BaseLoad!H214&gt;BaseLoad!$G214,B$8*$Z215,0))</f>
        <v>-</v>
      </c>
      <c r="C215" s="172" t="str">
        <f>IF($A$1="Peak","-",IF(BaseLoad!I214&gt;BaseLoad!$G214,C$8*$Z215,0))</f>
        <v>-</v>
      </c>
      <c r="D215" s="172" t="str">
        <f>IF($A$1="Peak","-",IF(BaseLoad!J214&gt;BaseLoad!$G214,D$8*$Z215,0))</f>
        <v>-</v>
      </c>
      <c r="E215" s="172" t="str">
        <f>IF($A$1="Peak","-",IF(BaseLoad!K214&gt;BaseLoad!$G214,E$8*$Z215,0))</f>
        <v>-</v>
      </c>
      <c r="F215" s="172" t="str">
        <f>IF($A$1="Peak","-",IF(BaseLoad!L214&gt;BaseLoad!$G214,F$8*$Z215,0))</f>
        <v>-</v>
      </c>
      <c r="G215" s="172" t="str">
        <f>IF($A$1="Peak","-",IF(BaseLoad!M214&gt;BaseLoad!$G214,G$8*$Z215,0))</f>
        <v>-</v>
      </c>
      <c r="H215" s="172" t="str">
        <f>IF($A$1="Peak","-",IF(BaseLoad!N214&gt;BaseLoad!$G214,H$8*$Z215,0))</f>
        <v>-</v>
      </c>
      <c r="I215" s="172" t="str">
        <f>IF($A$1="Peak","-",IF(BaseLoad!O214&gt;BaseLoad!$G214,I$8*$Z215,0))</f>
        <v>-</v>
      </c>
      <c r="J215" s="172" t="str">
        <f>IF($A$1="Peak","-",IF(BaseLoad!P214&gt;BaseLoad!$G214,J$8*$Z215,0))</f>
        <v>-</v>
      </c>
      <c r="K215" s="172" t="str">
        <f>IF($A$1="Peak","-",IF(BaseLoad!Q214&gt;BaseLoad!$G214,K$8*$Z215,0))</f>
        <v>-</v>
      </c>
      <c r="L215" s="172" t="str">
        <f>IF($A$1="Peak","-",IF(BaseLoad!R214&gt;BaseLoad!$G214,L$8*$Z215,0))</f>
        <v>-</v>
      </c>
      <c r="M215" s="172" t="str">
        <f>IF($A$1="Peak","-",IF(BaseLoad!S214&gt;BaseLoad!$G214,M$8*$Z215,0))</f>
        <v>-</v>
      </c>
      <c r="N215" s="172" t="str">
        <f>IF($A$1="Peak","-",IF(BaseLoad!T214&gt;BaseLoad!$G214,N$8*$Z215,0))</f>
        <v>-</v>
      </c>
      <c r="O215" s="172" t="str">
        <f>IF($A$1="Peak","-",IF(BaseLoad!U214&gt;BaseLoad!$G214,O$8*$Z215,0))</f>
        <v>-</v>
      </c>
      <c r="P215" s="172" t="str">
        <f>IF($A$1="Peak","-",IF(BaseLoad!V214&gt;BaseLoad!$G214,P$8*$Z215,0))</f>
        <v>-</v>
      </c>
      <c r="Q215" s="172" t="str">
        <f>IF($A$1="Peak","-",IF(BaseLoad!W214&gt;BaseLoad!$G214,Q$8*$Z215,0))</f>
        <v>-</v>
      </c>
      <c r="R215" s="172" t="str">
        <f>IF($A$1="Peak","-",IF(BaseLoad!X214&gt;BaseLoad!$G214,R$8*$Z215,0))</f>
        <v>-</v>
      </c>
      <c r="S215" s="172" t="str">
        <f>IF($A$1="Peak","-",IF(BaseLoad!Y214&gt;BaseLoad!$G214,S$8*$Z215,0))</f>
        <v>-</v>
      </c>
      <c r="T215" s="172" t="str">
        <f>IF($A$1="Peak","-",IF(BaseLoad!Z214&gt;BaseLoad!$G214,T$8*$Z215,0))</f>
        <v>-</v>
      </c>
      <c r="U215" s="172" t="str">
        <f>IF($A$1="Peak","-",IF(BaseLoad!AA214&gt;BaseLoad!$G214,U$8*$Z215,0))</f>
        <v>-</v>
      </c>
      <c r="V215" s="172">
        <f t="shared" si="8"/>
        <v>0</v>
      </c>
      <c r="W215" s="172"/>
      <c r="X215" s="172"/>
      <c r="Y215" s="172"/>
      <c r="Z215" s="172">
        <f>CHOOSE(QUOTIENT(MONTH($A215),3)+1,BaseLoad!$AM$9,BaseLoad!$AN$9,BaseLoad!$AL$9,BaseLoad!$AO$9,BaseLoad!$AM$9)</f>
        <v>0.92427661878611755</v>
      </c>
      <c r="AA215" s="172">
        <f>CHOOSE(QUOTIENT(MONTH($A215),3)+1,BaseLoad!$AM$15,BaseLoad!$AN$15,BaseLoad!$AL$15,BaseLoad!$AO$15,BaseLoad!$AM$15)</f>
        <v>705</v>
      </c>
      <c r="AB215" s="471"/>
      <c r="AD215" s="471"/>
    </row>
    <row r="216" spans="1:30" x14ac:dyDescent="0.2">
      <c r="A216" s="1">
        <f t="shared" si="9"/>
        <v>42805.902000000264</v>
      </c>
      <c r="B216" s="172" t="str">
        <f>IF($A$1="Peak","-",IF(BaseLoad!H215&gt;BaseLoad!$G215,B$8*$Z216,0))</f>
        <v>-</v>
      </c>
      <c r="C216" s="172" t="str">
        <f>IF($A$1="Peak","-",IF(BaseLoad!I215&gt;BaseLoad!$G215,C$8*$Z216,0))</f>
        <v>-</v>
      </c>
      <c r="D216" s="172" t="str">
        <f>IF($A$1="Peak","-",IF(BaseLoad!J215&gt;BaseLoad!$G215,D$8*$Z216,0))</f>
        <v>-</v>
      </c>
      <c r="E216" s="172" t="str">
        <f>IF($A$1="Peak","-",IF(BaseLoad!K215&gt;BaseLoad!$G215,E$8*$Z216,0))</f>
        <v>-</v>
      </c>
      <c r="F216" s="172" t="str">
        <f>IF($A$1="Peak","-",IF(BaseLoad!L215&gt;BaseLoad!$G215,F$8*$Z216,0))</f>
        <v>-</v>
      </c>
      <c r="G216" s="172" t="str">
        <f>IF($A$1="Peak","-",IF(BaseLoad!M215&gt;BaseLoad!$G215,G$8*$Z216,0))</f>
        <v>-</v>
      </c>
      <c r="H216" s="172" t="str">
        <f>IF($A$1="Peak","-",IF(BaseLoad!N215&gt;BaseLoad!$G215,H$8*$Z216,0))</f>
        <v>-</v>
      </c>
      <c r="I216" s="172" t="str">
        <f>IF($A$1="Peak","-",IF(BaseLoad!O215&gt;BaseLoad!$G215,I$8*$Z216,0))</f>
        <v>-</v>
      </c>
      <c r="J216" s="172" t="str">
        <f>IF($A$1="Peak","-",IF(BaseLoad!P215&gt;BaseLoad!$G215,J$8*$Z216,0))</f>
        <v>-</v>
      </c>
      <c r="K216" s="172" t="str">
        <f>IF($A$1="Peak","-",IF(BaseLoad!Q215&gt;BaseLoad!$G215,K$8*$Z216,0))</f>
        <v>-</v>
      </c>
      <c r="L216" s="172" t="str">
        <f>IF($A$1="Peak","-",IF(BaseLoad!R215&gt;BaseLoad!$G215,L$8*$Z216,0))</f>
        <v>-</v>
      </c>
      <c r="M216" s="172" t="str">
        <f>IF($A$1="Peak","-",IF(BaseLoad!S215&gt;BaseLoad!$G215,M$8*$Z216,0))</f>
        <v>-</v>
      </c>
      <c r="N216" s="172" t="str">
        <f>IF($A$1="Peak","-",IF(BaseLoad!T215&gt;BaseLoad!$G215,N$8*$Z216,0))</f>
        <v>-</v>
      </c>
      <c r="O216" s="172" t="str">
        <f>IF($A$1="Peak","-",IF(BaseLoad!U215&gt;BaseLoad!$G215,O$8*$Z216,0))</f>
        <v>-</v>
      </c>
      <c r="P216" s="172" t="str">
        <f>IF($A$1="Peak","-",IF(BaseLoad!V215&gt;BaseLoad!$G215,P$8*$Z216,0))</f>
        <v>-</v>
      </c>
      <c r="Q216" s="172" t="str">
        <f>IF($A$1="Peak","-",IF(BaseLoad!W215&gt;BaseLoad!$G215,Q$8*$Z216,0))</f>
        <v>-</v>
      </c>
      <c r="R216" s="172" t="str">
        <f>IF($A$1="Peak","-",IF(BaseLoad!X215&gt;BaseLoad!$G215,R$8*$Z216,0))</f>
        <v>-</v>
      </c>
      <c r="S216" s="172" t="str">
        <f>IF($A$1="Peak","-",IF(BaseLoad!Y215&gt;BaseLoad!$G215,S$8*$Z216,0))</f>
        <v>-</v>
      </c>
      <c r="T216" s="172" t="str">
        <f>IF($A$1="Peak","-",IF(BaseLoad!Z215&gt;BaseLoad!$G215,T$8*$Z216,0))</f>
        <v>-</v>
      </c>
      <c r="U216" s="172" t="str">
        <f>IF($A$1="Peak","-",IF(BaseLoad!AA215&gt;BaseLoad!$G215,U$8*$Z216,0))</f>
        <v>-</v>
      </c>
      <c r="V216" s="172">
        <f t="shared" si="8"/>
        <v>0</v>
      </c>
      <c r="W216" s="172"/>
      <c r="X216" s="172"/>
      <c r="Y216" s="172"/>
      <c r="Z216" s="172">
        <f>CHOOSE(QUOTIENT(MONTH($A216),3)+1,BaseLoad!$AM$9,BaseLoad!$AN$9,BaseLoad!$AL$9,BaseLoad!$AO$9,BaseLoad!$AM$9)</f>
        <v>0.95</v>
      </c>
      <c r="AA216" s="172">
        <f>CHOOSE(QUOTIENT(MONTH($A216),3)+1,BaseLoad!$AM$15,BaseLoad!$AN$15,BaseLoad!$AL$15,BaseLoad!$AO$15,BaseLoad!$AM$15)</f>
        <v>705</v>
      </c>
      <c r="AB216" s="471"/>
      <c r="AD216" s="471"/>
    </row>
    <row r="217" spans="1:30" x14ac:dyDescent="0.2">
      <c r="A217" s="1">
        <f t="shared" si="9"/>
        <v>42836.319000000265</v>
      </c>
      <c r="B217" s="172" t="str">
        <f>IF($A$1="Peak","-",IF(BaseLoad!H216&gt;BaseLoad!$G216,B$8*$Z217,0))</f>
        <v>-</v>
      </c>
      <c r="C217" s="172" t="str">
        <f>IF($A$1="Peak","-",IF(BaseLoad!I216&gt;BaseLoad!$G216,C$8*$Z217,0))</f>
        <v>-</v>
      </c>
      <c r="D217" s="172" t="str">
        <f>IF($A$1="Peak","-",IF(BaseLoad!J216&gt;BaseLoad!$G216,D$8*$Z217,0))</f>
        <v>-</v>
      </c>
      <c r="E217" s="172" t="str">
        <f>IF($A$1="Peak","-",IF(BaseLoad!K216&gt;BaseLoad!$G216,E$8*$Z217,0))</f>
        <v>-</v>
      </c>
      <c r="F217" s="172" t="str">
        <f>IF($A$1="Peak","-",IF(BaseLoad!L216&gt;BaseLoad!$G216,F$8*$Z217,0))</f>
        <v>-</v>
      </c>
      <c r="G217" s="172" t="str">
        <f>IF($A$1="Peak","-",IF(BaseLoad!M216&gt;BaseLoad!$G216,G$8*$Z217,0))</f>
        <v>-</v>
      </c>
      <c r="H217" s="172" t="str">
        <f>IF($A$1="Peak","-",IF(BaseLoad!N216&gt;BaseLoad!$G216,H$8*$Z217,0))</f>
        <v>-</v>
      </c>
      <c r="I217" s="172" t="str">
        <f>IF($A$1="Peak","-",IF(BaseLoad!O216&gt;BaseLoad!$G216,I$8*$Z217,0))</f>
        <v>-</v>
      </c>
      <c r="J217" s="172" t="str">
        <f>IF($A$1="Peak","-",IF(BaseLoad!P216&gt;BaseLoad!$G216,J$8*$Z217,0))</f>
        <v>-</v>
      </c>
      <c r="K217" s="172" t="str">
        <f>IF($A$1="Peak","-",IF(BaseLoad!Q216&gt;BaseLoad!$G216,K$8*$Z217,0))</f>
        <v>-</v>
      </c>
      <c r="L217" s="172" t="str">
        <f>IF($A$1="Peak","-",IF(BaseLoad!R216&gt;BaseLoad!$G216,L$8*$Z217,0))</f>
        <v>-</v>
      </c>
      <c r="M217" s="172" t="str">
        <f>IF($A$1="Peak","-",IF(BaseLoad!S216&gt;BaseLoad!$G216,M$8*$Z217,0))</f>
        <v>-</v>
      </c>
      <c r="N217" s="172" t="str">
        <f>IF($A$1="Peak","-",IF(BaseLoad!T216&gt;BaseLoad!$G216,N$8*$Z217,0))</f>
        <v>-</v>
      </c>
      <c r="O217" s="172" t="str">
        <f>IF($A$1="Peak","-",IF(BaseLoad!U216&gt;BaseLoad!$G216,O$8*$Z217,0))</f>
        <v>-</v>
      </c>
      <c r="P217" s="172" t="str">
        <f>IF($A$1="Peak","-",IF(BaseLoad!V216&gt;BaseLoad!$G216,P$8*$Z217,0))</f>
        <v>-</v>
      </c>
      <c r="Q217" s="172" t="str">
        <f>IF($A$1="Peak","-",IF(BaseLoad!W216&gt;BaseLoad!$G216,Q$8*$Z217,0))</f>
        <v>-</v>
      </c>
      <c r="R217" s="172" t="str">
        <f>IF($A$1="Peak","-",IF(BaseLoad!X216&gt;BaseLoad!$G216,R$8*$Z217,0))</f>
        <v>-</v>
      </c>
      <c r="S217" s="172" t="str">
        <f>IF($A$1="Peak","-",IF(BaseLoad!Y216&gt;BaseLoad!$G216,S$8*$Z217,0))</f>
        <v>-</v>
      </c>
      <c r="T217" s="172" t="str">
        <f>IF($A$1="Peak","-",IF(BaseLoad!Z216&gt;BaseLoad!$G216,T$8*$Z217,0))</f>
        <v>-</v>
      </c>
      <c r="U217" s="172" t="str">
        <f>IF($A$1="Peak","-",IF(BaseLoad!AA216&gt;BaseLoad!$G216,U$8*$Z217,0))</f>
        <v>-</v>
      </c>
      <c r="V217" s="172">
        <f t="shared" si="8"/>
        <v>0</v>
      </c>
      <c r="W217" s="172"/>
      <c r="X217" s="172"/>
      <c r="Y217" s="172"/>
      <c r="Z217" s="172">
        <f>CHOOSE(QUOTIENT(MONTH($A217),3)+1,BaseLoad!$AM$9,BaseLoad!$AN$9,BaseLoad!$AL$9,BaseLoad!$AO$9,BaseLoad!$AM$9)</f>
        <v>0.95</v>
      </c>
      <c r="AA217" s="172">
        <f>CHOOSE(QUOTIENT(MONTH($A217),3)+1,BaseLoad!$AM$15,BaseLoad!$AN$15,BaseLoad!$AL$15,BaseLoad!$AO$15,BaseLoad!$AM$15)</f>
        <v>705</v>
      </c>
      <c r="AB217" s="471"/>
      <c r="AD217" s="471"/>
    </row>
    <row r="218" spans="1:30" x14ac:dyDescent="0.2">
      <c r="A218" s="1">
        <f t="shared" si="9"/>
        <v>42866.736000000266</v>
      </c>
      <c r="B218" s="172" t="str">
        <f>IF($A$1="Peak","-",IF(BaseLoad!H217&gt;BaseLoad!$G217,B$8*$Z218,0))</f>
        <v>-</v>
      </c>
      <c r="C218" s="172" t="str">
        <f>IF($A$1="Peak","-",IF(BaseLoad!I217&gt;BaseLoad!$G217,C$8*$Z218,0))</f>
        <v>-</v>
      </c>
      <c r="D218" s="172" t="str">
        <f>IF($A$1="Peak","-",IF(BaseLoad!J217&gt;BaseLoad!$G217,D$8*$Z218,0))</f>
        <v>-</v>
      </c>
      <c r="E218" s="172" t="str">
        <f>IF($A$1="Peak","-",IF(BaseLoad!K217&gt;BaseLoad!$G217,E$8*$Z218,0))</f>
        <v>-</v>
      </c>
      <c r="F218" s="172" t="str">
        <f>IF($A$1="Peak","-",IF(BaseLoad!L217&gt;BaseLoad!$G217,F$8*$Z218,0))</f>
        <v>-</v>
      </c>
      <c r="G218" s="172" t="str">
        <f>IF($A$1="Peak","-",IF(BaseLoad!M217&gt;BaseLoad!$G217,G$8*$Z218,0))</f>
        <v>-</v>
      </c>
      <c r="H218" s="172" t="str">
        <f>IF($A$1="Peak","-",IF(BaseLoad!N217&gt;BaseLoad!$G217,H$8*$Z218,0))</f>
        <v>-</v>
      </c>
      <c r="I218" s="172" t="str">
        <f>IF($A$1="Peak","-",IF(BaseLoad!O217&gt;BaseLoad!$G217,I$8*$Z218,0))</f>
        <v>-</v>
      </c>
      <c r="J218" s="172" t="str">
        <f>IF($A$1="Peak","-",IF(BaseLoad!P217&gt;BaseLoad!$G217,J$8*$Z218,0))</f>
        <v>-</v>
      </c>
      <c r="K218" s="172" t="str">
        <f>IF($A$1="Peak","-",IF(BaseLoad!Q217&gt;BaseLoad!$G217,K$8*$Z218,0))</f>
        <v>-</v>
      </c>
      <c r="L218" s="172" t="str">
        <f>IF($A$1="Peak","-",IF(BaseLoad!R217&gt;BaseLoad!$G217,L$8*$Z218,0))</f>
        <v>-</v>
      </c>
      <c r="M218" s="172" t="str">
        <f>IF($A$1="Peak","-",IF(BaseLoad!S217&gt;BaseLoad!$G217,M$8*$Z218,0))</f>
        <v>-</v>
      </c>
      <c r="N218" s="172" t="str">
        <f>IF($A$1="Peak","-",IF(BaseLoad!T217&gt;BaseLoad!$G217,N$8*$Z218,0))</f>
        <v>-</v>
      </c>
      <c r="O218" s="172" t="str">
        <f>IF($A$1="Peak","-",IF(BaseLoad!U217&gt;BaseLoad!$G217,O$8*$Z218,0))</f>
        <v>-</v>
      </c>
      <c r="P218" s="172" t="str">
        <f>IF($A$1="Peak","-",IF(BaseLoad!V217&gt;BaseLoad!$G217,P$8*$Z218,0))</f>
        <v>-</v>
      </c>
      <c r="Q218" s="172" t="str">
        <f>IF($A$1="Peak","-",IF(BaseLoad!W217&gt;BaseLoad!$G217,Q$8*$Z218,0))</f>
        <v>-</v>
      </c>
      <c r="R218" s="172" t="str">
        <f>IF($A$1="Peak","-",IF(BaseLoad!X217&gt;BaseLoad!$G217,R$8*$Z218,0))</f>
        <v>-</v>
      </c>
      <c r="S218" s="172" t="str">
        <f>IF($A$1="Peak","-",IF(BaseLoad!Y217&gt;BaseLoad!$G217,S$8*$Z218,0))</f>
        <v>-</v>
      </c>
      <c r="T218" s="172" t="str">
        <f>IF($A$1="Peak","-",IF(BaseLoad!Z217&gt;BaseLoad!$G217,T$8*$Z218,0))</f>
        <v>-</v>
      </c>
      <c r="U218" s="172" t="str">
        <f>IF($A$1="Peak","-",IF(BaseLoad!AA217&gt;BaseLoad!$G217,U$8*$Z218,0))</f>
        <v>-</v>
      </c>
      <c r="V218" s="172">
        <f t="shared" si="8"/>
        <v>0</v>
      </c>
      <c r="W218" s="172"/>
      <c r="X218" s="172"/>
      <c r="Y218" s="172"/>
      <c r="Z218" s="172">
        <f>CHOOSE(QUOTIENT(MONTH($A218),3)+1,BaseLoad!$AM$9,BaseLoad!$AN$9,BaseLoad!$AL$9,BaseLoad!$AO$9,BaseLoad!$AM$9)</f>
        <v>0.95</v>
      </c>
      <c r="AA218" s="172">
        <f>CHOOSE(QUOTIENT(MONTH($A218),3)+1,BaseLoad!$AM$15,BaseLoad!$AN$15,BaseLoad!$AL$15,BaseLoad!$AO$15,BaseLoad!$AM$15)</f>
        <v>705</v>
      </c>
      <c r="AB218" s="471"/>
      <c r="AD218" s="471"/>
    </row>
    <row r="219" spans="1:30" x14ac:dyDescent="0.2">
      <c r="A219" s="1">
        <f t="shared" si="9"/>
        <v>42897.153000000268</v>
      </c>
      <c r="B219" s="172" t="str">
        <f>IF($A$1="Peak","-",IF(BaseLoad!H218&gt;BaseLoad!$G218,B$8*$Z219,0))</f>
        <v>-</v>
      </c>
      <c r="C219" s="172" t="str">
        <f>IF($A$1="Peak","-",IF(BaseLoad!I218&gt;BaseLoad!$G218,C$8*$Z219,0))</f>
        <v>-</v>
      </c>
      <c r="D219" s="172" t="str">
        <f>IF($A$1="Peak","-",IF(BaseLoad!J218&gt;BaseLoad!$G218,D$8*$Z219,0))</f>
        <v>-</v>
      </c>
      <c r="E219" s="172" t="str">
        <f>IF($A$1="Peak","-",IF(BaseLoad!K218&gt;BaseLoad!$G218,E$8*$Z219,0))</f>
        <v>-</v>
      </c>
      <c r="F219" s="172" t="str">
        <f>IF($A$1="Peak","-",IF(BaseLoad!L218&gt;BaseLoad!$G218,F$8*$Z219,0))</f>
        <v>-</v>
      </c>
      <c r="G219" s="172" t="str">
        <f>IF($A$1="Peak","-",IF(BaseLoad!M218&gt;BaseLoad!$G218,G$8*$Z219,0))</f>
        <v>-</v>
      </c>
      <c r="H219" s="172" t="str">
        <f>IF($A$1="Peak","-",IF(BaseLoad!N218&gt;BaseLoad!$G218,H$8*$Z219,0))</f>
        <v>-</v>
      </c>
      <c r="I219" s="172" t="str">
        <f>IF($A$1="Peak","-",IF(BaseLoad!O218&gt;BaseLoad!$G218,I$8*$Z219,0))</f>
        <v>-</v>
      </c>
      <c r="J219" s="172" t="str">
        <f>IF($A$1="Peak","-",IF(BaseLoad!P218&gt;BaseLoad!$G218,J$8*$Z219,0))</f>
        <v>-</v>
      </c>
      <c r="K219" s="172" t="str">
        <f>IF($A$1="Peak","-",IF(BaseLoad!Q218&gt;BaseLoad!$G218,K$8*$Z219,0))</f>
        <v>-</v>
      </c>
      <c r="L219" s="172" t="str">
        <f>IF($A$1="Peak","-",IF(BaseLoad!R218&gt;BaseLoad!$G218,L$8*$Z219,0))</f>
        <v>-</v>
      </c>
      <c r="M219" s="172" t="str">
        <f>IF($A$1="Peak","-",IF(BaseLoad!S218&gt;BaseLoad!$G218,M$8*$Z219,0))</f>
        <v>-</v>
      </c>
      <c r="N219" s="172" t="str">
        <f>IF($A$1="Peak","-",IF(BaseLoad!T218&gt;BaseLoad!$G218,N$8*$Z219,0))</f>
        <v>-</v>
      </c>
      <c r="O219" s="172" t="str">
        <f>IF($A$1="Peak","-",IF(BaseLoad!U218&gt;BaseLoad!$G218,O$8*$Z219,0))</f>
        <v>-</v>
      </c>
      <c r="P219" s="172" t="str">
        <f>IF($A$1="Peak","-",IF(BaseLoad!V218&gt;BaseLoad!$G218,P$8*$Z219,0))</f>
        <v>-</v>
      </c>
      <c r="Q219" s="172" t="str">
        <f>IF($A$1="Peak","-",IF(BaseLoad!W218&gt;BaseLoad!$G218,Q$8*$Z219,0))</f>
        <v>-</v>
      </c>
      <c r="R219" s="172" t="str">
        <f>IF($A$1="Peak","-",IF(BaseLoad!X218&gt;BaseLoad!$G218,R$8*$Z219,0))</f>
        <v>-</v>
      </c>
      <c r="S219" s="172" t="str">
        <f>IF($A$1="Peak","-",IF(BaseLoad!Y218&gt;BaseLoad!$G218,S$8*$Z219,0))</f>
        <v>-</v>
      </c>
      <c r="T219" s="172" t="str">
        <f>IF($A$1="Peak","-",IF(BaseLoad!Z218&gt;BaseLoad!$G218,T$8*$Z219,0))</f>
        <v>-</v>
      </c>
      <c r="U219" s="172" t="str">
        <f>IF($A$1="Peak","-",IF(BaseLoad!AA218&gt;BaseLoad!$G218,U$8*$Z219,0))</f>
        <v>-</v>
      </c>
      <c r="V219" s="172">
        <f t="shared" si="8"/>
        <v>0</v>
      </c>
      <c r="W219" s="172"/>
      <c r="X219" s="172"/>
      <c r="Y219" s="172"/>
      <c r="Z219" s="172">
        <f>CHOOSE(QUOTIENT(MONTH($A219),3)+1,BaseLoad!$AM$9,BaseLoad!$AN$9,BaseLoad!$AL$9,BaseLoad!$AO$9,BaseLoad!$AM$9)</f>
        <v>0.96612135909558572</v>
      </c>
      <c r="AA219" s="172">
        <f>CHOOSE(QUOTIENT(MONTH($A219),3)+1,BaseLoad!$AM$15,BaseLoad!$AN$15,BaseLoad!$AL$15,BaseLoad!$AO$15,BaseLoad!$AM$15)</f>
        <v>705</v>
      </c>
      <c r="AB219" s="471"/>
      <c r="AD219" s="471"/>
    </row>
    <row r="220" spans="1:30" x14ac:dyDescent="0.2">
      <c r="A220" s="1">
        <f t="shared" si="9"/>
        <v>42927.570000000269</v>
      </c>
      <c r="B220" s="172" t="str">
        <f>IF($A$1="Peak","-",IF(BaseLoad!H219&gt;BaseLoad!$G219,B$8*$Z220,0))</f>
        <v>-</v>
      </c>
      <c r="C220" s="172" t="str">
        <f>IF($A$1="Peak","-",IF(BaseLoad!I219&gt;BaseLoad!$G219,C$8*$Z220,0))</f>
        <v>-</v>
      </c>
      <c r="D220" s="172" t="str">
        <f>IF($A$1="Peak","-",IF(BaseLoad!J219&gt;BaseLoad!$G219,D$8*$Z220,0))</f>
        <v>-</v>
      </c>
      <c r="E220" s="172" t="str">
        <f>IF($A$1="Peak","-",IF(BaseLoad!K219&gt;BaseLoad!$G219,E$8*$Z220,0))</f>
        <v>-</v>
      </c>
      <c r="F220" s="172" t="str">
        <f>IF($A$1="Peak","-",IF(BaseLoad!L219&gt;BaseLoad!$G219,F$8*$Z220,0))</f>
        <v>-</v>
      </c>
      <c r="G220" s="172" t="str">
        <f>IF($A$1="Peak","-",IF(BaseLoad!M219&gt;BaseLoad!$G219,G$8*$Z220,0))</f>
        <v>-</v>
      </c>
      <c r="H220" s="172" t="str">
        <f>IF($A$1="Peak","-",IF(BaseLoad!N219&gt;BaseLoad!$G219,H$8*$Z220,0))</f>
        <v>-</v>
      </c>
      <c r="I220" s="172" t="str">
        <f>IF($A$1="Peak","-",IF(BaseLoad!O219&gt;BaseLoad!$G219,I$8*$Z220,0))</f>
        <v>-</v>
      </c>
      <c r="J220" s="172" t="str">
        <f>IF($A$1="Peak","-",IF(BaseLoad!P219&gt;BaseLoad!$G219,J$8*$Z220,0))</f>
        <v>-</v>
      </c>
      <c r="K220" s="172" t="str">
        <f>IF($A$1="Peak","-",IF(BaseLoad!Q219&gt;BaseLoad!$G219,K$8*$Z220,0))</f>
        <v>-</v>
      </c>
      <c r="L220" s="172" t="str">
        <f>IF($A$1="Peak","-",IF(BaseLoad!R219&gt;BaseLoad!$G219,L$8*$Z220,0))</f>
        <v>-</v>
      </c>
      <c r="M220" s="172" t="str">
        <f>IF($A$1="Peak","-",IF(BaseLoad!S219&gt;BaseLoad!$G219,M$8*$Z220,0))</f>
        <v>-</v>
      </c>
      <c r="N220" s="172" t="str">
        <f>IF($A$1="Peak","-",IF(BaseLoad!T219&gt;BaseLoad!$G219,N$8*$Z220,0))</f>
        <v>-</v>
      </c>
      <c r="O220" s="172" t="str">
        <f>IF($A$1="Peak","-",IF(BaseLoad!U219&gt;BaseLoad!$G219,O$8*$Z220,0))</f>
        <v>-</v>
      </c>
      <c r="P220" s="172" t="str">
        <f>IF($A$1="Peak","-",IF(BaseLoad!V219&gt;BaseLoad!$G219,P$8*$Z220,0))</f>
        <v>-</v>
      </c>
      <c r="Q220" s="172" t="str">
        <f>IF($A$1="Peak","-",IF(BaseLoad!W219&gt;BaseLoad!$G219,Q$8*$Z220,0))</f>
        <v>-</v>
      </c>
      <c r="R220" s="172" t="str">
        <f>IF($A$1="Peak","-",IF(BaseLoad!X219&gt;BaseLoad!$G219,R$8*$Z220,0))</f>
        <v>-</v>
      </c>
      <c r="S220" s="172" t="str">
        <f>IF($A$1="Peak","-",IF(BaseLoad!Y219&gt;BaseLoad!$G219,S$8*$Z220,0))</f>
        <v>-</v>
      </c>
      <c r="T220" s="172" t="str">
        <f>IF($A$1="Peak","-",IF(BaseLoad!Z219&gt;BaseLoad!$G219,T$8*$Z220,0))</f>
        <v>-</v>
      </c>
      <c r="U220" s="172" t="str">
        <f>IF($A$1="Peak","-",IF(BaseLoad!AA219&gt;BaseLoad!$G219,U$8*$Z220,0))</f>
        <v>-</v>
      </c>
      <c r="V220" s="172">
        <f t="shared" si="8"/>
        <v>0</v>
      </c>
      <c r="W220" s="172"/>
      <c r="X220" s="172"/>
      <c r="Y220" s="172"/>
      <c r="Z220" s="172">
        <f>CHOOSE(QUOTIENT(MONTH($A220),3)+1,BaseLoad!$AM$9,BaseLoad!$AN$9,BaseLoad!$AL$9,BaseLoad!$AO$9,BaseLoad!$AM$9)</f>
        <v>0.96612135909558572</v>
      </c>
      <c r="AA220" s="172">
        <f>CHOOSE(QUOTIENT(MONTH($A220),3)+1,BaseLoad!$AM$15,BaseLoad!$AN$15,BaseLoad!$AL$15,BaseLoad!$AO$15,BaseLoad!$AM$15)</f>
        <v>705</v>
      </c>
      <c r="AB220" s="471"/>
      <c r="AD220" s="471"/>
    </row>
    <row r="221" spans="1:30" x14ac:dyDescent="0.2">
      <c r="A221" s="1">
        <f t="shared" si="9"/>
        <v>42957.98700000027</v>
      </c>
      <c r="B221" s="172" t="str">
        <f>IF($A$1="Peak","-",IF(BaseLoad!H220&gt;BaseLoad!$G220,B$8*$Z221,0))</f>
        <v>-</v>
      </c>
      <c r="C221" s="172" t="str">
        <f>IF($A$1="Peak","-",IF(BaseLoad!I220&gt;BaseLoad!$G220,C$8*$Z221,0))</f>
        <v>-</v>
      </c>
      <c r="D221" s="172" t="str">
        <f>IF($A$1="Peak","-",IF(BaseLoad!J220&gt;BaseLoad!$G220,D$8*$Z221,0))</f>
        <v>-</v>
      </c>
      <c r="E221" s="172" t="str">
        <f>IF($A$1="Peak","-",IF(BaseLoad!K220&gt;BaseLoad!$G220,E$8*$Z221,0))</f>
        <v>-</v>
      </c>
      <c r="F221" s="172" t="str">
        <f>IF($A$1="Peak","-",IF(BaseLoad!L220&gt;BaseLoad!$G220,F$8*$Z221,0))</f>
        <v>-</v>
      </c>
      <c r="G221" s="172" t="str">
        <f>IF($A$1="Peak","-",IF(BaseLoad!M220&gt;BaseLoad!$G220,G$8*$Z221,0))</f>
        <v>-</v>
      </c>
      <c r="H221" s="172" t="str">
        <f>IF($A$1="Peak","-",IF(BaseLoad!N220&gt;BaseLoad!$G220,H$8*$Z221,0))</f>
        <v>-</v>
      </c>
      <c r="I221" s="172" t="str">
        <f>IF($A$1="Peak","-",IF(BaseLoad!O220&gt;BaseLoad!$G220,I$8*$Z221,0))</f>
        <v>-</v>
      </c>
      <c r="J221" s="172" t="str">
        <f>IF($A$1="Peak","-",IF(BaseLoad!P220&gt;BaseLoad!$G220,J$8*$Z221,0))</f>
        <v>-</v>
      </c>
      <c r="K221" s="172" t="str">
        <f>IF($A$1="Peak","-",IF(BaseLoad!Q220&gt;BaseLoad!$G220,K$8*$Z221,0))</f>
        <v>-</v>
      </c>
      <c r="L221" s="172" t="str">
        <f>IF($A$1="Peak","-",IF(BaseLoad!R220&gt;BaseLoad!$G220,L$8*$Z221,0))</f>
        <v>-</v>
      </c>
      <c r="M221" s="172" t="str">
        <f>IF($A$1="Peak","-",IF(BaseLoad!S220&gt;BaseLoad!$G220,M$8*$Z221,0))</f>
        <v>-</v>
      </c>
      <c r="N221" s="172" t="str">
        <f>IF($A$1="Peak","-",IF(BaseLoad!T220&gt;BaseLoad!$G220,N$8*$Z221,0))</f>
        <v>-</v>
      </c>
      <c r="O221" s="172" t="str">
        <f>IF($A$1="Peak","-",IF(BaseLoad!U220&gt;BaseLoad!$G220,O$8*$Z221,0))</f>
        <v>-</v>
      </c>
      <c r="P221" s="172" t="str">
        <f>IF($A$1="Peak","-",IF(BaseLoad!V220&gt;BaseLoad!$G220,P$8*$Z221,0))</f>
        <v>-</v>
      </c>
      <c r="Q221" s="172" t="str">
        <f>IF($A$1="Peak","-",IF(BaseLoad!W220&gt;BaseLoad!$G220,Q$8*$Z221,0))</f>
        <v>-</v>
      </c>
      <c r="R221" s="172" t="str">
        <f>IF($A$1="Peak","-",IF(BaseLoad!X220&gt;BaseLoad!$G220,R$8*$Z221,0))</f>
        <v>-</v>
      </c>
      <c r="S221" s="172" t="str">
        <f>IF($A$1="Peak","-",IF(BaseLoad!Y220&gt;BaseLoad!$G220,S$8*$Z221,0))</f>
        <v>-</v>
      </c>
      <c r="T221" s="172" t="str">
        <f>IF($A$1="Peak","-",IF(BaseLoad!Z220&gt;BaseLoad!$G220,T$8*$Z221,0))</f>
        <v>-</v>
      </c>
      <c r="U221" s="172" t="str">
        <f>IF($A$1="Peak","-",IF(BaseLoad!AA220&gt;BaseLoad!$G220,U$8*$Z221,0))</f>
        <v>-</v>
      </c>
      <c r="V221" s="172">
        <f t="shared" si="8"/>
        <v>0</v>
      </c>
      <c r="W221" s="172"/>
      <c r="X221" s="172"/>
      <c r="Y221" s="172"/>
      <c r="Z221" s="172">
        <f>CHOOSE(QUOTIENT(MONTH($A221),3)+1,BaseLoad!$AM$9,BaseLoad!$AN$9,BaseLoad!$AL$9,BaseLoad!$AO$9,BaseLoad!$AM$9)</f>
        <v>0.96612135909558572</v>
      </c>
      <c r="AA221" s="172">
        <f>CHOOSE(QUOTIENT(MONTH($A221),3)+1,BaseLoad!$AM$15,BaseLoad!$AN$15,BaseLoad!$AL$15,BaseLoad!$AO$15,BaseLoad!$AM$15)</f>
        <v>705</v>
      </c>
      <c r="AB221" s="471"/>
      <c r="AD221" s="471"/>
    </row>
    <row r="222" spans="1:30" x14ac:dyDescent="0.2">
      <c r="A222" s="1">
        <f t="shared" si="9"/>
        <v>42988.404000000271</v>
      </c>
      <c r="B222" s="172" t="str">
        <f>IF($A$1="Peak","-",IF(BaseLoad!H221&gt;BaseLoad!$G221,B$8*$Z222,0))</f>
        <v>-</v>
      </c>
      <c r="C222" s="172" t="str">
        <f>IF($A$1="Peak","-",IF(BaseLoad!I221&gt;BaseLoad!$G221,C$8*$Z222,0))</f>
        <v>-</v>
      </c>
      <c r="D222" s="172" t="str">
        <f>IF($A$1="Peak","-",IF(BaseLoad!J221&gt;BaseLoad!$G221,D$8*$Z222,0))</f>
        <v>-</v>
      </c>
      <c r="E222" s="172" t="str">
        <f>IF($A$1="Peak","-",IF(BaseLoad!K221&gt;BaseLoad!$G221,E$8*$Z222,0))</f>
        <v>-</v>
      </c>
      <c r="F222" s="172" t="str">
        <f>IF($A$1="Peak","-",IF(BaseLoad!L221&gt;BaseLoad!$G221,F$8*$Z222,0))</f>
        <v>-</v>
      </c>
      <c r="G222" s="172" t="str">
        <f>IF($A$1="Peak","-",IF(BaseLoad!M221&gt;BaseLoad!$G221,G$8*$Z222,0))</f>
        <v>-</v>
      </c>
      <c r="H222" s="172" t="str">
        <f>IF($A$1="Peak","-",IF(BaseLoad!N221&gt;BaseLoad!$G221,H$8*$Z222,0))</f>
        <v>-</v>
      </c>
      <c r="I222" s="172" t="str">
        <f>IF($A$1="Peak","-",IF(BaseLoad!O221&gt;BaseLoad!$G221,I$8*$Z222,0))</f>
        <v>-</v>
      </c>
      <c r="J222" s="172" t="str">
        <f>IF($A$1="Peak","-",IF(BaseLoad!P221&gt;BaseLoad!$G221,J$8*$Z222,0))</f>
        <v>-</v>
      </c>
      <c r="K222" s="172" t="str">
        <f>IF($A$1="Peak","-",IF(BaseLoad!Q221&gt;BaseLoad!$G221,K$8*$Z222,0))</f>
        <v>-</v>
      </c>
      <c r="L222" s="172" t="str">
        <f>IF($A$1="Peak","-",IF(BaseLoad!R221&gt;BaseLoad!$G221,L$8*$Z222,0))</f>
        <v>-</v>
      </c>
      <c r="M222" s="172" t="str">
        <f>IF($A$1="Peak","-",IF(BaseLoad!S221&gt;BaseLoad!$G221,M$8*$Z222,0))</f>
        <v>-</v>
      </c>
      <c r="N222" s="172" t="str">
        <f>IF($A$1="Peak","-",IF(BaseLoad!T221&gt;BaseLoad!$G221,N$8*$Z222,0))</f>
        <v>-</v>
      </c>
      <c r="O222" s="172" t="str">
        <f>IF($A$1="Peak","-",IF(BaseLoad!U221&gt;BaseLoad!$G221,O$8*$Z222,0))</f>
        <v>-</v>
      </c>
      <c r="P222" s="172" t="str">
        <f>IF($A$1="Peak","-",IF(BaseLoad!V221&gt;BaseLoad!$G221,P$8*$Z222,0))</f>
        <v>-</v>
      </c>
      <c r="Q222" s="172" t="str">
        <f>IF($A$1="Peak","-",IF(BaseLoad!W221&gt;BaseLoad!$G221,Q$8*$Z222,0))</f>
        <v>-</v>
      </c>
      <c r="R222" s="172" t="str">
        <f>IF($A$1="Peak","-",IF(BaseLoad!X221&gt;BaseLoad!$G221,R$8*$Z222,0))</f>
        <v>-</v>
      </c>
      <c r="S222" s="172" t="str">
        <f>IF($A$1="Peak","-",IF(BaseLoad!Y221&gt;BaseLoad!$G221,S$8*$Z222,0))</f>
        <v>-</v>
      </c>
      <c r="T222" s="172" t="str">
        <f>IF($A$1="Peak","-",IF(BaseLoad!Z221&gt;BaseLoad!$G221,T$8*$Z222,0))</f>
        <v>-</v>
      </c>
      <c r="U222" s="172" t="str">
        <f>IF($A$1="Peak","-",IF(BaseLoad!AA221&gt;BaseLoad!$G221,U$8*$Z222,0))</f>
        <v>-</v>
      </c>
      <c r="V222" s="172">
        <f t="shared" si="8"/>
        <v>0</v>
      </c>
      <c r="W222" s="172"/>
      <c r="X222" s="172"/>
      <c r="Y222" s="172"/>
      <c r="Z222" s="172">
        <f>CHOOSE(QUOTIENT(MONTH($A222),3)+1,BaseLoad!$AM$9,BaseLoad!$AN$9,BaseLoad!$AL$9,BaseLoad!$AO$9,BaseLoad!$AM$9)</f>
        <v>0.95</v>
      </c>
      <c r="AA222" s="172">
        <f>CHOOSE(QUOTIENT(MONTH($A222),3)+1,BaseLoad!$AM$15,BaseLoad!$AN$15,BaseLoad!$AL$15,BaseLoad!$AO$15,BaseLoad!$AM$15)</f>
        <v>705</v>
      </c>
      <c r="AB222" s="471"/>
      <c r="AD222" s="471"/>
    </row>
    <row r="223" spans="1:30" x14ac:dyDescent="0.2">
      <c r="A223" s="1">
        <f t="shared" si="9"/>
        <v>43018.821000000273</v>
      </c>
      <c r="B223" s="172" t="str">
        <f>IF($A$1="Peak","-",IF(BaseLoad!H222&gt;BaseLoad!$G222,B$8*$Z223,0))</f>
        <v>-</v>
      </c>
      <c r="C223" s="172" t="str">
        <f>IF($A$1="Peak","-",IF(BaseLoad!I222&gt;BaseLoad!$G222,C$8*$Z223,0))</f>
        <v>-</v>
      </c>
      <c r="D223" s="172" t="str">
        <f>IF($A$1="Peak","-",IF(BaseLoad!J222&gt;BaseLoad!$G222,D$8*$Z223,0))</f>
        <v>-</v>
      </c>
      <c r="E223" s="172" t="str">
        <f>IF($A$1="Peak","-",IF(BaseLoad!K222&gt;BaseLoad!$G222,E$8*$Z223,0))</f>
        <v>-</v>
      </c>
      <c r="F223" s="172" t="str">
        <f>IF($A$1="Peak","-",IF(BaseLoad!L222&gt;BaseLoad!$G222,F$8*$Z223,0))</f>
        <v>-</v>
      </c>
      <c r="G223" s="172" t="str">
        <f>IF($A$1="Peak","-",IF(BaseLoad!M222&gt;BaseLoad!$G222,G$8*$Z223,0))</f>
        <v>-</v>
      </c>
      <c r="H223" s="172" t="str">
        <f>IF($A$1="Peak","-",IF(BaseLoad!N222&gt;BaseLoad!$G222,H$8*$Z223,0))</f>
        <v>-</v>
      </c>
      <c r="I223" s="172" t="str">
        <f>IF($A$1="Peak","-",IF(BaseLoad!O222&gt;BaseLoad!$G222,I$8*$Z223,0))</f>
        <v>-</v>
      </c>
      <c r="J223" s="172" t="str">
        <f>IF($A$1="Peak","-",IF(BaseLoad!P222&gt;BaseLoad!$G222,J$8*$Z223,0))</f>
        <v>-</v>
      </c>
      <c r="K223" s="172" t="str">
        <f>IF($A$1="Peak","-",IF(BaseLoad!Q222&gt;BaseLoad!$G222,K$8*$Z223,0))</f>
        <v>-</v>
      </c>
      <c r="L223" s="172" t="str">
        <f>IF($A$1="Peak","-",IF(BaseLoad!R222&gt;BaseLoad!$G222,L$8*$Z223,0))</f>
        <v>-</v>
      </c>
      <c r="M223" s="172" t="str">
        <f>IF($A$1="Peak","-",IF(BaseLoad!S222&gt;BaseLoad!$G222,M$8*$Z223,0))</f>
        <v>-</v>
      </c>
      <c r="N223" s="172" t="str">
        <f>IF($A$1="Peak","-",IF(BaseLoad!T222&gt;BaseLoad!$G222,N$8*$Z223,0))</f>
        <v>-</v>
      </c>
      <c r="O223" s="172" t="str">
        <f>IF($A$1="Peak","-",IF(BaseLoad!U222&gt;BaseLoad!$G222,O$8*$Z223,0))</f>
        <v>-</v>
      </c>
      <c r="P223" s="172" t="str">
        <f>IF($A$1="Peak","-",IF(BaseLoad!V222&gt;BaseLoad!$G222,P$8*$Z223,0))</f>
        <v>-</v>
      </c>
      <c r="Q223" s="172" t="str">
        <f>IF($A$1="Peak","-",IF(BaseLoad!W222&gt;BaseLoad!$G222,Q$8*$Z223,0))</f>
        <v>-</v>
      </c>
      <c r="R223" s="172" t="str">
        <f>IF($A$1="Peak","-",IF(BaseLoad!X222&gt;BaseLoad!$G222,R$8*$Z223,0))</f>
        <v>-</v>
      </c>
      <c r="S223" s="172" t="str">
        <f>IF($A$1="Peak","-",IF(BaseLoad!Y222&gt;BaseLoad!$G222,S$8*$Z223,0))</f>
        <v>-</v>
      </c>
      <c r="T223" s="172" t="str">
        <f>IF($A$1="Peak","-",IF(BaseLoad!Z222&gt;BaseLoad!$G222,T$8*$Z223,0))</f>
        <v>-</v>
      </c>
      <c r="U223" s="172" t="str">
        <f>IF($A$1="Peak","-",IF(BaseLoad!AA222&gt;BaseLoad!$G222,U$8*$Z223,0))</f>
        <v>-</v>
      </c>
      <c r="V223" s="172">
        <f t="shared" si="8"/>
        <v>0</v>
      </c>
      <c r="W223" s="172"/>
      <c r="X223" s="172"/>
      <c r="Y223" s="172"/>
      <c r="Z223" s="172">
        <f>CHOOSE(QUOTIENT(MONTH($A223),3)+1,BaseLoad!$AM$9,BaseLoad!$AN$9,BaseLoad!$AL$9,BaseLoad!$AO$9,BaseLoad!$AM$9)</f>
        <v>0.95</v>
      </c>
      <c r="AA223" s="172">
        <f>CHOOSE(QUOTIENT(MONTH($A223),3)+1,BaseLoad!$AM$15,BaseLoad!$AN$15,BaseLoad!$AL$15,BaseLoad!$AO$15,BaseLoad!$AM$15)</f>
        <v>705</v>
      </c>
      <c r="AB223" s="471"/>
      <c r="AD223" s="471"/>
    </row>
    <row r="224" spans="1:30" x14ac:dyDescent="0.2">
      <c r="A224" s="1">
        <f t="shared" si="9"/>
        <v>43049.238000000274</v>
      </c>
      <c r="B224" s="172" t="str">
        <f>IF($A$1="Peak","-",IF(BaseLoad!H223&gt;BaseLoad!$G223,B$8*$Z224,0))</f>
        <v>-</v>
      </c>
      <c r="C224" s="172" t="str">
        <f>IF($A$1="Peak","-",IF(BaseLoad!I223&gt;BaseLoad!$G223,C$8*$Z224,0))</f>
        <v>-</v>
      </c>
      <c r="D224" s="172" t="str">
        <f>IF($A$1="Peak","-",IF(BaseLoad!J223&gt;BaseLoad!$G223,D$8*$Z224,0))</f>
        <v>-</v>
      </c>
      <c r="E224" s="172" t="str">
        <f>IF($A$1="Peak","-",IF(BaseLoad!K223&gt;BaseLoad!$G223,E$8*$Z224,0))</f>
        <v>-</v>
      </c>
      <c r="F224" s="172" t="str">
        <f>IF($A$1="Peak","-",IF(BaseLoad!L223&gt;BaseLoad!$G223,F$8*$Z224,0))</f>
        <v>-</v>
      </c>
      <c r="G224" s="172" t="str">
        <f>IF($A$1="Peak","-",IF(BaseLoad!M223&gt;BaseLoad!$G223,G$8*$Z224,0))</f>
        <v>-</v>
      </c>
      <c r="H224" s="172" t="str">
        <f>IF($A$1="Peak","-",IF(BaseLoad!N223&gt;BaseLoad!$G223,H$8*$Z224,0))</f>
        <v>-</v>
      </c>
      <c r="I224" s="172" t="str">
        <f>IF($A$1="Peak","-",IF(BaseLoad!O223&gt;BaseLoad!$G223,I$8*$Z224,0))</f>
        <v>-</v>
      </c>
      <c r="J224" s="172" t="str">
        <f>IF($A$1="Peak","-",IF(BaseLoad!P223&gt;BaseLoad!$G223,J$8*$Z224,0))</f>
        <v>-</v>
      </c>
      <c r="K224" s="172" t="str">
        <f>IF($A$1="Peak","-",IF(BaseLoad!Q223&gt;BaseLoad!$G223,K$8*$Z224,0))</f>
        <v>-</v>
      </c>
      <c r="L224" s="172" t="str">
        <f>IF($A$1="Peak","-",IF(BaseLoad!R223&gt;BaseLoad!$G223,L$8*$Z224,0))</f>
        <v>-</v>
      </c>
      <c r="M224" s="172" t="str">
        <f>IF($A$1="Peak","-",IF(BaseLoad!S223&gt;BaseLoad!$G223,M$8*$Z224,0))</f>
        <v>-</v>
      </c>
      <c r="N224" s="172" t="str">
        <f>IF($A$1="Peak","-",IF(BaseLoad!T223&gt;BaseLoad!$G223,N$8*$Z224,0))</f>
        <v>-</v>
      </c>
      <c r="O224" s="172" t="str">
        <f>IF($A$1="Peak","-",IF(BaseLoad!U223&gt;BaseLoad!$G223,O$8*$Z224,0))</f>
        <v>-</v>
      </c>
      <c r="P224" s="172" t="str">
        <f>IF($A$1="Peak","-",IF(BaseLoad!V223&gt;BaseLoad!$G223,P$8*$Z224,0))</f>
        <v>-</v>
      </c>
      <c r="Q224" s="172" t="str">
        <f>IF($A$1="Peak","-",IF(BaseLoad!W223&gt;BaseLoad!$G223,Q$8*$Z224,0))</f>
        <v>-</v>
      </c>
      <c r="R224" s="172" t="str">
        <f>IF($A$1="Peak","-",IF(BaseLoad!X223&gt;BaseLoad!$G223,R$8*$Z224,0))</f>
        <v>-</v>
      </c>
      <c r="S224" s="172" t="str">
        <f>IF($A$1="Peak","-",IF(BaseLoad!Y223&gt;BaseLoad!$G223,S$8*$Z224,0))</f>
        <v>-</v>
      </c>
      <c r="T224" s="172" t="str">
        <f>IF($A$1="Peak","-",IF(BaseLoad!Z223&gt;BaseLoad!$G223,T$8*$Z224,0))</f>
        <v>-</v>
      </c>
      <c r="U224" s="172" t="str">
        <f>IF($A$1="Peak","-",IF(BaseLoad!AA223&gt;BaseLoad!$G223,U$8*$Z224,0))</f>
        <v>-</v>
      </c>
      <c r="V224" s="172">
        <f t="shared" si="8"/>
        <v>0</v>
      </c>
      <c r="W224" s="172"/>
      <c r="X224" s="172"/>
      <c r="Y224" s="172"/>
      <c r="Z224" s="172">
        <f>CHOOSE(QUOTIENT(MONTH($A224),3)+1,BaseLoad!$AM$9,BaseLoad!$AN$9,BaseLoad!$AL$9,BaseLoad!$AO$9,BaseLoad!$AM$9)</f>
        <v>0.95</v>
      </c>
      <c r="AA224" s="172">
        <f>CHOOSE(QUOTIENT(MONTH($A224),3)+1,BaseLoad!$AM$15,BaseLoad!$AN$15,BaseLoad!$AL$15,BaseLoad!$AO$15,BaseLoad!$AM$15)</f>
        <v>705</v>
      </c>
      <c r="AB224" s="471"/>
      <c r="AD224" s="471"/>
    </row>
    <row r="225" spans="1:30" x14ac:dyDescent="0.2">
      <c r="A225" s="1">
        <f t="shared" si="9"/>
        <v>43079.655000000275</v>
      </c>
      <c r="B225" s="172" t="str">
        <f>IF($A$1="Peak","-",IF(BaseLoad!H224&gt;BaseLoad!$G224,B$8*$Z225,0))</f>
        <v>-</v>
      </c>
      <c r="C225" s="172" t="str">
        <f>IF($A$1="Peak","-",IF(BaseLoad!I224&gt;BaseLoad!$G224,C$8*$Z225,0))</f>
        <v>-</v>
      </c>
      <c r="D225" s="172" t="str">
        <f>IF($A$1="Peak","-",IF(BaseLoad!J224&gt;BaseLoad!$G224,D$8*$Z225,0))</f>
        <v>-</v>
      </c>
      <c r="E225" s="172" t="str">
        <f>IF($A$1="Peak","-",IF(BaseLoad!K224&gt;BaseLoad!$G224,E$8*$Z225,0))</f>
        <v>-</v>
      </c>
      <c r="F225" s="172" t="str">
        <f>IF($A$1="Peak","-",IF(BaseLoad!L224&gt;BaseLoad!$G224,F$8*$Z225,0))</f>
        <v>-</v>
      </c>
      <c r="G225" s="172" t="str">
        <f>IF($A$1="Peak","-",IF(BaseLoad!M224&gt;BaseLoad!$G224,G$8*$Z225,0))</f>
        <v>-</v>
      </c>
      <c r="H225" s="172" t="str">
        <f>IF($A$1="Peak","-",IF(BaseLoad!N224&gt;BaseLoad!$G224,H$8*$Z225,0))</f>
        <v>-</v>
      </c>
      <c r="I225" s="172" t="str">
        <f>IF($A$1="Peak","-",IF(BaseLoad!O224&gt;BaseLoad!$G224,I$8*$Z225,0))</f>
        <v>-</v>
      </c>
      <c r="J225" s="172" t="str">
        <f>IF($A$1="Peak","-",IF(BaseLoad!P224&gt;BaseLoad!$G224,J$8*$Z225,0))</f>
        <v>-</v>
      </c>
      <c r="K225" s="172" t="str">
        <f>IF($A$1="Peak","-",IF(BaseLoad!Q224&gt;BaseLoad!$G224,K$8*$Z225,0))</f>
        <v>-</v>
      </c>
      <c r="L225" s="172" t="str">
        <f>IF($A$1="Peak","-",IF(BaseLoad!R224&gt;BaseLoad!$G224,L$8*$Z225,0))</f>
        <v>-</v>
      </c>
      <c r="M225" s="172" t="str">
        <f>IF($A$1="Peak","-",IF(BaseLoad!S224&gt;BaseLoad!$G224,M$8*$Z225,0))</f>
        <v>-</v>
      </c>
      <c r="N225" s="172" t="str">
        <f>IF($A$1="Peak","-",IF(BaseLoad!T224&gt;BaseLoad!$G224,N$8*$Z225,0))</f>
        <v>-</v>
      </c>
      <c r="O225" s="172" t="str">
        <f>IF($A$1="Peak","-",IF(BaseLoad!U224&gt;BaseLoad!$G224,O$8*$Z225,0))</f>
        <v>-</v>
      </c>
      <c r="P225" s="172" t="str">
        <f>IF($A$1="Peak","-",IF(BaseLoad!V224&gt;BaseLoad!$G224,P$8*$Z225,0))</f>
        <v>-</v>
      </c>
      <c r="Q225" s="172" t="str">
        <f>IF($A$1="Peak","-",IF(BaseLoad!W224&gt;BaseLoad!$G224,Q$8*$Z225,0))</f>
        <v>-</v>
      </c>
      <c r="R225" s="172" t="str">
        <f>IF($A$1="Peak","-",IF(BaseLoad!X224&gt;BaseLoad!$G224,R$8*$Z225,0))</f>
        <v>-</v>
      </c>
      <c r="S225" s="172" t="str">
        <f>IF($A$1="Peak","-",IF(BaseLoad!Y224&gt;BaseLoad!$G224,S$8*$Z225,0))</f>
        <v>-</v>
      </c>
      <c r="T225" s="172" t="str">
        <f>IF($A$1="Peak","-",IF(BaseLoad!Z224&gt;BaseLoad!$G224,T$8*$Z225,0))</f>
        <v>-</v>
      </c>
      <c r="U225" s="172" t="str">
        <f>IF($A$1="Peak","-",IF(BaseLoad!AA224&gt;BaseLoad!$G224,U$8*$Z225,0))</f>
        <v>-</v>
      </c>
      <c r="V225" s="172">
        <f t="shared" si="8"/>
        <v>0</v>
      </c>
      <c r="W225" s="172"/>
      <c r="X225" s="172"/>
      <c r="Y225" s="172">
        <f>SUM(V214:V225)</f>
        <v>0</v>
      </c>
      <c r="Z225" s="172">
        <f>CHOOSE(QUOTIENT(MONTH($A225),3)+1,BaseLoad!$AM$9,BaseLoad!$AN$9,BaseLoad!$AL$9,BaseLoad!$AO$9,BaseLoad!$AM$9)</f>
        <v>0.92427661878611755</v>
      </c>
      <c r="AA225" s="172">
        <f>CHOOSE(QUOTIENT(MONTH($A225),3)+1,BaseLoad!$AM$15,BaseLoad!$AN$15,BaseLoad!$AL$15,BaseLoad!$AO$15,BaseLoad!$AM$15)</f>
        <v>705</v>
      </c>
      <c r="AB225" s="471"/>
      <c r="AD225" s="471"/>
    </row>
    <row r="226" spans="1:30" x14ac:dyDescent="0.2">
      <c r="A226" s="1">
        <f t="shared" si="9"/>
        <v>43110.072000000277</v>
      </c>
      <c r="B226" s="172" t="str">
        <f>IF($A$1="Peak","-",IF(BaseLoad!H225&gt;BaseLoad!$G225,B$8*$Z226,0))</f>
        <v>-</v>
      </c>
      <c r="C226" s="172" t="str">
        <f>IF($A$1="Peak","-",IF(BaseLoad!I225&gt;BaseLoad!$G225,C$8*$Z226,0))</f>
        <v>-</v>
      </c>
      <c r="D226" s="172" t="str">
        <f>IF($A$1="Peak","-",IF(BaseLoad!J225&gt;BaseLoad!$G225,D$8*$Z226,0))</f>
        <v>-</v>
      </c>
      <c r="E226" s="172" t="str">
        <f>IF($A$1="Peak","-",IF(BaseLoad!K225&gt;BaseLoad!$G225,E$8*$Z226,0))</f>
        <v>-</v>
      </c>
      <c r="F226" s="172" t="str">
        <f>IF($A$1="Peak","-",IF(BaseLoad!L225&gt;BaseLoad!$G225,F$8*$Z226,0))</f>
        <v>-</v>
      </c>
      <c r="G226" s="172" t="str">
        <f>IF($A$1="Peak","-",IF(BaseLoad!M225&gt;BaseLoad!$G225,G$8*$Z226,0))</f>
        <v>-</v>
      </c>
      <c r="H226" s="172" t="str">
        <f>IF($A$1="Peak","-",IF(BaseLoad!N225&gt;BaseLoad!$G225,H$8*$Z226,0))</f>
        <v>-</v>
      </c>
      <c r="I226" s="172" t="str">
        <f>IF($A$1="Peak","-",IF(BaseLoad!O225&gt;BaseLoad!$G225,I$8*$Z226,0))</f>
        <v>-</v>
      </c>
      <c r="J226" s="172" t="str">
        <f>IF($A$1="Peak","-",IF(BaseLoad!P225&gt;BaseLoad!$G225,J$8*$Z226,0))</f>
        <v>-</v>
      </c>
      <c r="K226" s="172" t="str">
        <f>IF($A$1="Peak","-",IF(BaseLoad!Q225&gt;BaseLoad!$G225,K$8*$Z226,0))</f>
        <v>-</v>
      </c>
      <c r="L226" s="172" t="str">
        <f>IF($A$1="Peak","-",IF(BaseLoad!R225&gt;BaseLoad!$G225,L$8*$Z226,0))</f>
        <v>-</v>
      </c>
      <c r="M226" s="172" t="str">
        <f>IF($A$1="Peak","-",IF(BaseLoad!S225&gt;BaseLoad!$G225,M$8*$Z226,0))</f>
        <v>-</v>
      </c>
      <c r="N226" s="172" t="str">
        <f>IF($A$1="Peak","-",IF(BaseLoad!T225&gt;BaseLoad!$G225,N$8*$Z226,0))</f>
        <v>-</v>
      </c>
      <c r="O226" s="172" t="str">
        <f>IF($A$1="Peak","-",IF(BaseLoad!U225&gt;BaseLoad!$G225,O$8*$Z226,0))</f>
        <v>-</v>
      </c>
      <c r="P226" s="172" t="str">
        <f>IF($A$1="Peak","-",IF(BaseLoad!V225&gt;BaseLoad!$G225,P$8*$Z226,0))</f>
        <v>-</v>
      </c>
      <c r="Q226" s="172" t="str">
        <f>IF($A$1="Peak","-",IF(BaseLoad!W225&gt;BaseLoad!$G225,Q$8*$Z226,0))</f>
        <v>-</v>
      </c>
      <c r="R226" s="172" t="str">
        <f>IF($A$1="Peak","-",IF(BaseLoad!X225&gt;BaseLoad!$G225,R$8*$Z226,0))</f>
        <v>-</v>
      </c>
      <c r="S226" s="172" t="str">
        <f>IF($A$1="Peak","-",IF(BaseLoad!Y225&gt;BaseLoad!$G225,S$8*$Z226,0))</f>
        <v>-</v>
      </c>
      <c r="T226" s="172" t="str">
        <f>IF($A$1="Peak","-",IF(BaseLoad!Z225&gt;BaseLoad!$G225,T$8*$Z226,0))</f>
        <v>-</v>
      </c>
      <c r="U226" s="172" t="str">
        <f>IF($A$1="Peak","-",IF(BaseLoad!AA225&gt;BaseLoad!$G225,U$8*$Z226,0))</f>
        <v>-</v>
      </c>
      <c r="V226" s="172">
        <f t="shared" si="8"/>
        <v>0</v>
      </c>
      <c r="W226" s="172"/>
      <c r="X226" s="172"/>
      <c r="Y226" s="172"/>
      <c r="Z226" s="172">
        <f>CHOOSE(QUOTIENT(MONTH($A226),3)+1,BaseLoad!$AM$9,BaseLoad!$AN$9,BaseLoad!$AL$9,BaseLoad!$AO$9,BaseLoad!$AM$9)</f>
        <v>0.92427661878611755</v>
      </c>
      <c r="AA226" s="172">
        <f>CHOOSE(QUOTIENT(MONTH($A226),3)+1,BaseLoad!$AM$15,BaseLoad!$AN$15,BaseLoad!$AL$15,BaseLoad!$AO$15,BaseLoad!$AM$15)</f>
        <v>705</v>
      </c>
      <c r="AB226" s="471"/>
      <c r="AD226" s="471"/>
    </row>
    <row r="227" spans="1:30" x14ac:dyDescent="0.2">
      <c r="A227" s="1">
        <f t="shared" si="9"/>
        <v>43140.489000000278</v>
      </c>
      <c r="B227" s="172" t="str">
        <f>IF($A$1="Peak","-",IF(BaseLoad!H226&gt;BaseLoad!$G226,B$8*$Z227,0))</f>
        <v>-</v>
      </c>
      <c r="C227" s="172" t="str">
        <f>IF($A$1="Peak","-",IF(BaseLoad!I226&gt;BaseLoad!$G226,C$8*$Z227,0))</f>
        <v>-</v>
      </c>
      <c r="D227" s="172" t="str">
        <f>IF($A$1="Peak","-",IF(BaseLoad!J226&gt;BaseLoad!$G226,D$8*$Z227,0))</f>
        <v>-</v>
      </c>
      <c r="E227" s="172" t="str">
        <f>IF($A$1="Peak","-",IF(BaseLoad!K226&gt;BaseLoad!$G226,E$8*$Z227,0))</f>
        <v>-</v>
      </c>
      <c r="F227" s="172" t="str">
        <f>IF($A$1="Peak","-",IF(BaseLoad!L226&gt;BaseLoad!$G226,F$8*$Z227,0))</f>
        <v>-</v>
      </c>
      <c r="G227" s="172" t="str">
        <f>IF($A$1="Peak","-",IF(BaseLoad!M226&gt;BaseLoad!$G226,G$8*$Z227,0))</f>
        <v>-</v>
      </c>
      <c r="H227" s="172" t="str">
        <f>IF($A$1="Peak","-",IF(BaseLoad!N226&gt;BaseLoad!$G226,H$8*$Z227,0))</f>
        <v>-</v>
      </c>
      <c r="I227" s="172" t="str">
        <f>IF($A$1="Peak","-",IF(BaseLoad!O226&gt;BaseLoad!$G226,I$8*$Z227,0))</f>
        <v>-</v>
      </c>
      <c r="J227" s="172" t="str">
        <f>IF($A$1="Peak","-",IF(BaseLoad!P226&gt;BaseLoad!$G226,J$8*$Z227,0))</f>
        <v>-</v>
      </c>
      <c r="K227" s="172" t="str">
        <f>IF($A$1="Peak","-",IF(BaseLoad!Q226&gt;BaseLoad!$G226,K$8*$Z227,0))</f>
        <v>-</v>
      </c>
      <c r="L227" s="172" t="str">
        <f>IF($A$1="Peak","-",IF(BaseLoad!R226&gt;BaseLoad!$G226,L$8*$Z227,0))</f>
        <v>-</v>
      </c>
      <c r="M227" s="172" t="str">
        <f>IF($A$1="Peak","-",IF(BaseLoad!S226&gt;BaseLoad!$G226,M$8*$Z227,0))</f>
        <v>-</v>
      </c>
      <c r="N227" s="172" t="str">
        <f>IF($A$1="Peak","-",IF(BaseLoad!T226&gt;BaseLoad!$G226,N$8*$Z227,0))</f>
        <v>-</v>
      </c>
      <c r="O227" s="172" t="str">
        <f>IF($A$1="Peak","-",IF(BaseLoad!U226&gt;BaseLoad!$G226,O$8*$Z227,0))</f>
        <v>-</v>
      </c>
      <c r="P227" s="172" t="str">
        <f>IF($A$1="Peak","-",IF(BaseLoad!V226&gt;BaseLoad!$G226,P$8*$Z227,0))</f>
        <v>-</v>
      </c>
      <c r="Q227" s="172" t="str">
        <f>IF($A$1="Peak","-",IF(BaseLoad!W226&gt;BaseLoad!$G226,Q$8*$Z227,0))</f>
        <v>-</v>
      </c>
      <c r="R227" s="172" t="str">
        <f>IF($A$1="Peak","-",IF(BaseLoad!X226&gt;BaseLoad!$G226,R$8*$Z227,0))</f>
        <v>-</v>
      </c>
      <c r="S227" s="172" t="str">
        <f>IF($A$1="Peak","-",IF(BaseLoad!Y226&gt;BaseLoad!$G226,S$8*$Z227,0))</f>
        <v>-</v>
      </c>
      <c r="T227" s="172" t="str">
        <f>IF($A$1="Peak","-",IF(BaseLoad!Z226&gt;BaseLoad!$G226,T$8*$Z227,0))</f>
        <v>-</v>
      </c>
      <c r="U227" s="172" t="str">
        <f>IF($A$1="Peak","-",IF(BaseLoad!AA226&gt;BaseLoad!$G226,U$8*$Z227,0))</f>
        <v>-</v>
      </c>
      <c r="V227" s="172">
        <f t="shared" si="8"/>
        <v>0</v>
      </c>
      <c r="W227" s="172"/>
      <c r="X227" s="172"/>
      <c r="Y227" s="172"/>
      <c r="Z227" s="172">
        <f>CHOOSE(QUOTIENT(MONTH($A227),3)+1,BaseLoad!$AM$9,BaseLoad!$AN$9,BaseLoad!$AL$9,BaseLoad!$AO$9,BaseLoad!$AM$9)</f>
        <v>0.92427661878611755</v>
      </c>
      <c r="AA227" s="172">
        <f>CHOOSE(QUOTIENT(MONTH($A227),3)+1,BaseLoad!$AM$15,BaseLoad!$AN$15,BaseLoad!$AL$15,BaseLoad!$AO$15,BaseLoad!$AM$15)</f>
        <v>705</v>
      </c>
      <c r="AB227" s="471"/>
      <c r="AD227" s="471"/>
    </row>
    <row r="228" spans="1:30" x14ac:dyDescent="0.2">
      <c r="A228" s="1">
        <f t="shared" si="9"/>
        <v>43170.906000000279</v>
      </c>
      <c r="B228" s="172" t="str">
        <f>IF($A$1="Peak","-",IF(BaseLoad!H227&gt;BaseLoad!$G227,B$8*$Z228,0))</f>
        <v>-</v>
      </c>
      <c r="C228" s="172" t="str">
        <f>IF($A$1="Peak","-",IF(BaseLoad!I227&gt;BaseLoad!$G227,C$8*$Z228,0))</f>
        <v>-</v>
      </c>
      <c r="D228" s="172" t="str">
        <f>IF($A$1="Peak","-",IF(BaseLoad!J227&gt;BaseLoad!$G227,D$8*$Z228,0))</f>
        <v>-</v>
      </c>
      <c r="E228" s="172" t="str">
        <f>IF($A$1="Peak","-",IF(BaseLoad!K227&gt;BaseLoad!$G227,E$8*$Z228,0))</f>
        <v>-</v>
      </c>
      <c r="F228" s="172" t="str">
        <f>IF($A$1="Peak","-",IF(BaseLoad!L227&gt;BaseLoad!$G227,F$8*$Z228,0))</f>
        <v>-</v>
      </c>
      <c r="G228" s="172" t="str">
        <f>IF($A$1="Peak","-",IF(BaseLoad!M227&gt;BaseLoad!$G227,G$8*$Z228,0))</f>
        <v>-</v>
      </c>
      <c r="H228" s="172" t="str">
        <f>IF($A$1="Peak","-",IF(BaseLoad!N227&gt;BaseLoad!$G227,H$8*$Z228,0))</f>
        <v>-</v>
      </c>
      <c r="I228" s="172" t="str">
        <f>IF($A$1="Peak","-",IF(BaseLoad!O227&gt;BaseLoad!$G227,I$8*$Z228,0))</f>
        <v>-</v>
      </c>
      <c r="J228" s="172" t="str">
        <f>IF($A$1="Peak","-",IF(BaseLoad!P227&gt;BaseLoad!$G227,J$8*$Z228,0))</f>
        <v>-</v>
      </c>
      <c r="K228" s="172" t="str">
        <f>IF($A$1="Peak","-",IF(BaseLoad!Q227&gt;BaseLoad!$G227,K$8*$Z228,0))</f>
        <v>-</v>
      </c>
      <c r="L228" s="172" t="str">
        <f>IF($A$1="Peak","-",IF(BaseLoad!R227&gt;BaseLoad!$G227,L$8*$Z228,0))</f>
        <v>-</v>
      </c>
      <c r="M228" s="172" t="str">
        <f>IF($A$1="Peak","-",IF(BaseLoad!S227&gt;BaseLoad!$G227,M$8*$Z228,0))</f>
        <v>-</v>
      </c>
      <c r="N228" s="172" t="str">
        <f>IF($A$1="Peak","-",IF(BaseLoad!T227&gt;BaseLoad!$G227,N$8*$Z228,0))</f>
        <v>-</v>
      </c>
      <c r="O228" s="172" t="str">
        <f>IF($A$1="Peak","-",IF(BaseLoad!U227&gt;BaseLoad!$G227,O$8*$Z228,0))</f>
        <v>-</v>
      </c>
      <c r="P228" s="172" t="str">
        <f>IF($A$1="Peak","-",IF(BaseLoad!V227&gt;BaseLoad!$G227,P$8*$Z228,0))</f>
        <v>-</v>
      </c>
      <c r="Q228" s="172" t="str">
        <f>IF($A$1="Peak","-",IF(BaseLoad!W227&gt;BaseLoad!$G227,Q$8*$Z228,0))</f>
        <v>-</v>
      </c>
      <c r="R228" s="172" t="str">
        <f>IF($A$1="Peak","-",IF(BaseLoad!X227&gt;BaseLoad!$G227,R$8*$Z228,0))</f>
        <v>-</v>
      </c>
      <c r="S228" s="172" t="str">
        <f>IF($A$1="Peak","-",IF(BaseLoad!Y227&gt;BaseLoad!$G227,S$8*$Z228,0))</f>
        <v>-</v>
      </c>
      <c r="T228" s="172" t="str">
        <f>IF($A$1="Peak","-",IF(BaseLoad!Z227&gt;BaseLoad!$G227,T$8*$Z228,0))</f>
        <v>-</v>
      </c>
      <c r="U228" s="172" t="str">
        <f>IF($A$1="Peak","-",IF(BaseLoad!AA227&gt;BaseLoad!$G227,U$8*$Z228,0))</f>
        <v>-</v>
      </c>
      <c r="V228" s="172">
        <f t="shared" si="8"/>
        <v>0</v>
      </c>
      <c r="W228" s="172"/>
      <c r="X228" s="172"/>
      <c r="Y228" s="172"/>
      <c r="Z228" s="172">
        <f>CHOOSE(QUOTIENT(MONTH($A228),3)+1,BaseLoad!$AM$9,BaseLoad!$AN$9,BaseLoad!$AL$9,BaseLoad!$AO$9,BaseLoad!$AM$9)</f>
        <v>0.95</v>
      </c>
      <c r="AA228" s="172">
        <f>CHOOSE(QUOTIENT(MONTH($A228),3)+1,BaseLoad!$AM$15,BaseLoad!$AN$15,BaseLoad!$AL$15,BaseLoad!$AO$15,BaseLoad!$AM$15)</f>
        <v>705</v>
      </c>
      <c r="AB228" s="471"/>
      <c r="AD228" s="471"/>
    </row>
    <row r="229" spans="1:30" x14ac:dyDescent="0.2">
      <c r="A229" s="1">
        <f t="shared" si="9"/>
        <v>43201.32300000028</v>
      </c>
      <c r="B229" s="172" t="str">
        <f>IF($A$1="Peak","-",IF(BaseLoad!H228&gt;BaseLoad!$G228,B$8*$Z229,0))</f>
        <v>-</v>
      </c>
      <c r="C229" s="172" t="str">
        <f>IF($A$1="Peak","-",IF(BaseLoad!I228&gt;BaseLoad!$G228,C$8*$Z229,0))</f>
        <v>-</v>
      </c>
      <c r="D229" s="172" t="str">
        <f>IF($A$1="Peak","-",IF(BaseLoad!J228&gt;BaseLoad!$G228,D$8*$Z229,0))</f>
        <v>-</v>
      </c>
      <c r="E229" s="172" t="str">
        <f>IF($A$1="Peak","-",IF(BaseLoad!K228&gt;BaseLoad!$G228,E$8*$Z229,0))</f>
        <v>-</v>
      </c>
      <c r="F229" s="172" t="str">
        <f>IF($A$1="Peak","-",IF(BaseLoad!L228&gt;BaseLoad!$G228,F$8*$Z229,0))</f>
        <v>-</v>
      </c>
      <c r="G229" s="172" t="str">
        <f>IF($A$1="Peak","-",IF(BaseLoad!M228&gt;BaseLoad!$G228,G$8*$Z229,0))</f>
        <v>-</v>
      </c>
      <c r="H229" s="172" t="str">
        <f>IF($A$1="Peak","-",IF(BaseLoad!N228&gt;BaseLoad!$G228,H$8*$Z229,0))</f>
        <v>-</v>
      </c>
      <c r="I229" s="172" t="str">
        <f>IF($A$1="Peak","-",IF(BaseLoad!O228&gt;BaseLoad!$G228,I$8*$Z229,0))</f>
        <v>-</v>
      </c>
      <c r="J229" s="172" t="str">
        <f>IF($A$1="Peak","-",IF(BaseLoad!P228&gt;BaseLoad!$G228,J$8*$Z229,0))</f>
        <v>-</v>
      </c>
      <c r="K229" s="172" t="str">
        <f>IF($A$1="Peak","-",IF(BaseLoad!Q228&gt;BaseLoad!$G228,K$8*$Z229,0))</f>
        <v>-</v>
      </c>
      <c r="L229" s="172" t="str">
        <f>IF($A$1="Peak","-",IF(BaseLoad!R228&gt;BaseLoad!$G228,L$8*$Z229,0))</f>
        <v>-</v>
      </c>
      <c r="M229" s="172" t="str">
        <f>IF($A$1="Peak","-",IF(BaseLoad!S228&gt;BaseLoad!$G228,M$8*$Z229,0))</f>
        <v>-</v>
      </c>
      <c r="N229" s="172" t="str">
        <f>IF($A$1="Peak","-",IF(BaseLoad!T228&gt;BaseLoad!$G228,N$8*$Z229,0))</f>
        <v>-</v>
      </c>
      <c r="O229" s="172" t="str">
        <f>IF($A$1="Peak","-",IF(BaseLoad!U228&gt;BaseLoad!$G228,O$8*$Z229,0))</f>
        <v>-</v>
      </c>
      <c r="P229" s="172" t="str">
        <f>IF($A$1="Peak","-",IF(BaseLoad!V228&gt;BaseLoad!$G228,P$8*$Z229,0))</f>
        <v>-</v>
      </c>
      <c r="Q229" s="172" t="str">
        <f>IF($A$1="Peak","-",IF(BaseLoad!W228&gt;BaseLoad!$G228,Q$8*$Z229,0))</f>
        <v>-</v>
      </c>
      <c r="R229" s="172" t="str">
        <f>IF($A$1="Peak","-",IF(BaseLoad!X228&gt;BaseLoad!$G228,R$8*$Z229,0))</f>
        <v>-</v>
      </c>
      <c r="S229" s="172" t="str">
        <f>IF($A$1="Peak","-",IF(BaseLoad!Y228&gt;BaseLoad!$G228,S$8*$Z229,0))</f>
        <v>-</v>
      </c>
      <c r="T229" s="172" t="str">
        <f>IF($A$1="Peak","-",IF(BaseLoad!Z228&gt;BaseLoad!$G228,T$8*$Z229,0))</f>
        <v>-</v>
      </c>
      <c r="U229" s="172" t="str">
        <f>IF($A$1="Peak","-",IF(BaseLoad!AA228&gt;BaseLoad!$G228,U$8*$Z229,0))</f>
        <v>-</v>
      </c>
      <c r="V229" s="172">
        <f t="shared" si="8"/>
        <v>0</v>
      </c>
      <c r="W229" s="172"/>
      <c r="X229" s="172"/>
      <c r="Y229" s="172"/>
      <c r="Z229" s="172">
        <f>CHOOSE(QUOTIENT(MONTH($A229),3)+1,BaseLoad!$AM$9,BaseLoad!$AN$9,BaseLoad!$AL$9,BaseLoad!$AO$9,BaseLoad!$AM$9)</f>
        <v>0.95</v>
      </c>
      <c r="AA229" s="172">
        <f>CHOOSE(QUOTIENT(MONTH($A229),3)+1,BaseLoad!$AM$15,BaseLoad!$AN$15,BaseLoad!$AL$15,BaseLoad!$AO$15,BaseLoad!$AM$15)</f>
        <v>705</v>
      </c>
      <c r="AB229" s="471"/>
      <c r="AD229" s="471"/>
    </row>
    <row r="230" spans="1:30" x14ac:dyDescent="0.2">
      <c r="A230" s="1">
        <f t="shared" si="9"/>
        <v>43231.740000000282</v>
      </c>
      <c r="B230" s="172" t="str">
        <f>IF($A$1="Peak","-",IF(BaseLoad!H229&gt;BaseLoad!$G229,B$8*$Z230,0))</f>
        <v>-</v>
      </c>
      <c r="C230" s="172" t="str">
        <f>IF($A$1="Peak","-",IF(BaseLoad!I229&gt;BaseLoad!$G229,C$8*$Z230,0))</f>
        <v>-</v>
      </c>
      <c r="D230" s="172" t="str">
        <f>IF($A$1="Peak","-",IF(BaseLoad!J229&gt;BaseLoad!$G229,D$8*$Z230,0))</f>
        <v>-</v>
      </c>
      <c r="E230" s="172" t="str">
        <f>IF($A$1="Peak","-",IF(BaseLoad!K229&gt;BaseLoad!$G229,E$8*$Z230,0))</f>
        <v>-</v>
      </c>
      <c r="F230" s="172" t="str">
        <f>IF($A$1="Peak","-",IF(BaseLoad!L229&gt;BaseLoad!$G229,F$8*$Z230,0))</f>
        <v>-</v>
      </c>
      <c r="G230" s="172" t="str">
        <f>IF($A$1="Peak","-",IF(BaseLoad!M229&gt;BaseLoad!$G229,G$8*$Z230,0))</f>
        <v>-</v>
      </c>
      <c r="H230" s="172" t="str">
        <f>IF($A$1="Peak","-",IF(BaseLoad!N229&gt;BaseLoad!$G229,H$8*$Z230,0))</f>
        <v>-</v>
      </c>
      <c r="I230" s="172" t="str">
        <f>IF($A$1="Peak","-",IF(BaseLoad!O229&gt;BaseLoad!$G229,I$8*$Z230,0))</f>
        <v>-</v>
      </c>
      <c r="J230" s="172" t="str">
        <f>IF($A$1="Peak","-",IF(BaseLoad!P229&gt;BaseLoad!$G229,J$8*$Z230,0))</f>
        <v>-</v>
      </c>
      <c r="K230" s="172" t="str">
        <f>IF($A$1="Peak","-",IF(BaseLoad!Q229&gt;BaseLoad!$G229,K$8*$Z230,0))</f>
        <v>-</v>
      </c>
      <c r="L230" s="172" t="str">
        <f>IF($A$1="Peak","-",IF(BaseLoad!R229&gt;BaseLoad!$G229,L$8*$Z230,0))</f>
        <v>-</v>
      </c>
      <c r="M230" s="172" t="str">
        <f>IF($A$1="Peak","-",IF(BaseLoad!S229&gt;BaseLoad!$G229,M$8*$Z230,0))</f>
        <v>-</v>
      </c>
      <c r="N230" s="172" t="str">
        <f>IF($A$1="Peak","-",IF(BaseLoad!T229&gt;BaseLoad!$G229,N$8*$Z230,0))</f>
        <v>-</v>
      </c>
      <c r="O230" s="172" t="str">
        <f>IF($A$1="Peak","-",IF(BaseLoad!U229&gt;BaseLoad!$G229,O$8*$Z230,0))</f>
        <v>-</v>
      </c>
      <c r="P230" s="172" t="str">
        <f>IF($A$1="Peak","-",IF(BaseLoad!V229&gt;BaseLoad!$G229,P$8*$Z230,0))</f>
        <v>-</v>
      </c>
      <c r="Q230" s="172" t="str">
        <f>IF($A$1="Peak","-",IF(BaseLoad!W229&gt;BaseLoad!$G229,Q$8*$Z230,0))</f>
        <v>-</v>
      </c>
      <c r="R230" s="172" t="str">
        <f>IF($A$1="Peak","-",IF(BaseLoad!X229&gt;BaseLoad!$G229,R$8*$Z230,0))</f>
        <v>-</v>
      </c>
      <c r="S230" s="172" t="str">
        <f>IF($A$1="Peak","-",IF(BaseLoad!Y229&gt;BaseLoad!$G229,S$8*$Z230,0))</f>
        <v>-</v>
      </c>
      <c r="T230" s="172" t="str">
        <f>IF($A$1="Peak","-",IF(BaseLoad!Z229&gt;BaseLoad!$G229,T$8*$Z230,0))</f>
        <v>-</v>
      </c>
      <c r="U230" s="172" t="str">
        <f>IF($A$1="Peak","-",IF(BaseLoad!AA229&gt;BaseLoad!$G229,U$8*$Z230,0))</f>
        <v>-</v>
      </c>
      <c r="V230" s="172">
        <f t="shared" si="8"/>
        <v>0</v>
      </c>
      <c r="W230" s="172"/>
      <c r="X230" s="172"/>
      <c r="Y230" s="172"/>
      <c r="Z230" s="172">
        <f>CHOOSE(QUOTIENT(MONTH($A230),3)+1,BaseLoad!$AM$9,BaseLoad!$AN$9,BaseLoad!$AL$9,BaseLoad!$AO$9,BaseLoad!$AM$9)</f>
        <v>0.95</v>
      </c>
      <c r="AA230" s="172">
        <f>CHOOSE(QUOTIENT(MONTH($A230),3)+1,BaseLoad!$AM$15,BaseLoad!$AN$15,BaseLoad!$AL$15,BaseLoad!$AO$15,BaseLoad!$AM$15)</f>
        <v>705</v>
      </c>
      <c r="AB230" s="471"/>
      <c r="AD230" s="471"/>
    </row>
    <row r="231" spans="1:30" x14ac:dyDescent="0.2">
      <c r="A231" s="1">
        <f t="shared" si="9"/>
        <v>43262.157000000283</v>
      </c>
      <c r="B231" s="172" t="str">
        <f>IF($A$1="Peak","-",IF(BaseLoad!H230&gt;BaseLoad!$G230,B$8*$Z231,0))</f>
        <v>-</v>
      </c>
      <c r="C231" s="172" t="str">
        <f>IF($A$1="Peak","-",IF(BaseLoad!I230&gt;BaseLoad!$G230,C$8*$Z231,0))</f>
        <v>-</v>
      </c>
      <c r="D231" s="172" t="str">
        <f>IF($A$1="Peak","-",IF(BaseLoad!J230&gt;BaseLoad!$G230,D$8*$Z231,0))</f>
        <v>-</v>
      </c>
      <c r="E231" s="172" t="str">
        <f>IF($A$1="Peak","-",IF(BaseLoad!K230&gt;BaseLoad!$G230,E$8*$Z231,0))</f>
        <v>-</v>
      </c>
      <c r="F231" s="172" t="str">
        <f>IF($A$1="Peak","-",IF(BaseLoad!L230&gt;BaseLoad!$G230,F$8*$Z231,0))</f>
        <v>-</v>
      </c>
      <c r="G231" s="172" t="str">
        <f>IF($A$1="Peak","-",IF(BaseLoad!M230&gt;BaseLoad!$G230,G$8*$Z231,0))</f>
        <v>-</v>
      </c>
      <c r="H231" s="172" t="str">
        <f>IF($A$1="Peak","-",IF(BaseLoad!N230&gt;BaseLoad!$G230,H$8*$Z231,0))</f>
        <v>-</v>
      </c>
      <c r="I231" s="172" t="str">
        <f>IF($A$1="Peak","-",IF(BaseLoad!O230&gt;BaseLoad!$G230,I$8*$Z231,0))</f>
        <v>-</v>
      </c>
      <c r="J231" s="172" t="str">
        <f>IF($A$1="Peak","-",IF(BaseLoad!P230&gt;BaseLoad!$G230,J$8*$Z231,0))</f>
        <v>-</v>
      </c>
      <c r="K231" s="172" t="str">
        <f>IF($A$1="Peak","-",IF(BaseLoad!Q230&gt;BaseLoad!$G230,K$8*$Z231,0))</f>
        <v>-</v>
      </c>
      <c r="L231" s="172" t="str">
        <f>IF($A$1="Peak","-",IF(BaseLoad!R230&gt;BaseLoad!$G230,L$8*$Z231,0))</f>
        <v>-</v>
      </c>
      <c r="M231" s="172" t="str">
        <f>IF($A$1="Peak","-",IF(BaseLoad!S230&gt;BaseLoad!$G230,M$8*$Z231,0))</f>
        <v>-</v>
      </c>
      <c r="N231" s="172" t="str">
        <f>IF($A$1="Peak","-",IF(BaseLoad!T230&gt;BaseLoad!$G230,N$8*$Z231,0))</f>
        <v>-</v>
      </c>
      <c r="O231" s="172" t="str">
        <f>IF($A$1="Peak","-",IF(BaseLoad!U230&gt;BaseLoad!$G230,O$8*$Z231,0))</f>
        <v>-</v>
      </c>
      <c r="P231" s="172" t="str">
        <f>IF($A$1="Peak","-",IF(BaseLoad!V230&gt;BaseLoad!$G230,P$8*$Z231,0))</f>
        <v>-</v>
      </c>
      <c r="Q231" s="172" t="str">
        <f>IF($A$1="Peak","-",IF(BaseLoad!W230&gt;BaseLoad!$G230,Q$8*$Z231,0))</f>
        <v>-</v>
      </c>
      <c r="R231" s="172" t="str">
        <f>IF($A$1="Peak","-",IF(BaseLoad!X230&gt;BaseLoad!$G230,R$8*$Z231,0))</f>
        <v>-</v>
      </c>
      <c r="S231" s="172" t="str">
        <f>IF($A$1="Peak","-",IF(BaseLoad!Y230&gt;BaseLoad!$G230,S$8*$Z231,0))</f>
        <v>-</v>
      </c>
      <c r="T231" s="172" t="str">
        <f>IF($A$1="Peak","-",IF(BaseLoad!Z230&gt;BaseLoad!$G230,T$8*$Z231,0))</f>
        <v>-</v>
      </c>
      <c r="U231" s="172" t="str">
        <f>IF($A$1="Peak","-",IF(BaseLoad!AA230&gt;BaseLoad!$G230,U$8*$Z231,0))</f>
        <v>-</v>
      </c>
      <c r="V231" s="172">
        <f t="shared" si="8"/>
        <v>0</v>
      </c>
      <c r="W231" s="172"/>
      <c r="X231" s="172"/>
      <c r="Y231" s="172"/>
      <c r="Z231" s="172">
        <f>CHOOSE(QUOTIENT(MONTH($A231),3)+1,BaseLoad!$AM$9,BaseLoad!$AN$9,BaseLoad!$AL$9,BaseLoad!$AO$9,BaseLoad!$AM$9)</f>
        <v>0.96612135909558572</v>
      </c>
      <c r="AA231" s="172">
        <f>CHOOSE(QUOTIENT(MONTH($A231),3)+1,BaseLoad!$AM$15,BaseLoad!$AN$15,BaseLoad!$AL$15,BaseLoad!$AO$15,BaseLoad!$AM$15)</f>
        <v>705</v>
      </c>
      <c r="AB231" s="471"/>
      <c r="AD231" s="471"/>
    </row>
    <row r="232" spans="1:30" x14ac:dyDescent="0.2">
      <c r="A232" s="1">
        <f t="shared" si="9"/>
        <v>43292.574000000284</v>
      </c>
      <c r="B232" s="172" t="str">
        <f>IF($A$1="Peak","-",IF(BaseLoad!H231&gt;BaseLoad!$G231,B$8*$Z232,0))</f>
        <v>-</v>
      </c>
      <c r="C232" s="172" t="str">
        <f>IF($A$1="Peak","-",IF(BaseLoad!I231&gt;BaseLoad!$G231,C$8*$Z232,0))</f>
        <v>-</v>
      </c>
      <c r="D232" s="172" t="str">
        <f>IF($A$1="Peak","-",IF(BaseLoad!J231&gt;BaseLoad!$G231,D$8*$Z232,0))</f>
        <v>-</v>
      </c>
      <c r="E232" s="172" t="str">
        <f>IF($A$1="Peak","-",IF(BaseLoad!K231&gt;BaseLoad!$G231,E$8*$Z232,0))</f>
        <v>-</v>
      </c>
      <c r="F232" s="172" t="str">
        <f>IF($A$1="Peak","-",IF(BaseLoad!L231&gt;BaseLoad!$G231,F$8*$Z232,0))</f>
        <v>-</v>
      </c>
      <c r="G232" s="172" t="str">
        <f>IF($A$1="Peak","-",IF(BaseLoad!M231&gt;BaseLoad!$G231,G$8*$Z232,0))</f>
        <v>-</v>
      </c>
      <c r="H232" s="172" t="str">
        <f>IF($A$1="Peak","-",IF(BaseLoad!N231&gt;BaseLoad!$G231,H$8*$Z232,0))</f>
        <v>-</v>
      </c>
      <c r="I232" s="172" t="str">
        <f>IF($A$1="Peak","-",IF(BaseLoad!O231&gt;BaseLoad!$G231,I$8*$Z232,0))</f>
        <v>-</v>
      </c>
      <c r="J232" s="172" t="str">
        <f>IF($A$1="Peak","-",IF(BaseLoad!P231&gt;BaseLoad!$G231,J$8*$Z232,0))</f>
        <v>-</v>
      </c>
      <c r="K232" s="172" t="str">
        <f>IF($A$1="Peak","-",IF(BaseLoad!Q231&gt;BaseLoad!$G231,K$8*$Z232,0))</f>
        <v>-</v>
      </c>
      <c r="L232" s="172" t="str">
        <f>IF($A$1="Peak","-",IF(BaseLoad!R231&gt;BaseLoad!$G231,L$8*$Z232,0))</f>
        <v>-</v>
      </c>
      <c r="M232" s="172" t="str">
        <f>IF($A$1="Peak","-",IF(BaseLoad!S231&gt;BaseLoad!$G231,M$8*$Z232,0))</f>
        <v>-</v>
      </c>
      <c r="N232" s="172" t="str">
        <f>IF($A$1="Peak","-",IF(BaseLoad!T231&gt;BaseLoad!$G231,N$8*$Z232,0))</f>
        <v>-</v>
      </c>
      <c r="O232" s="172" t="str">
        <f>IF($A$1="Peak","-",IF(BaseLoad!U231&gt;BaseLoad!$G231,O$8*$Z232,0))</f>
        <v>-</v>
      </c>
      <c r="P232" s="172" t="str">
        <f>IF($A$1="Peak","-",IF(BaseLoad!V231&gt;BaseLoad!$G231,P$8*$Z232,0))</f>
        <v>-</v>
      </c>
      <c r="Q232" s="172" t="str">
        <f>IF($A$1="Peak","-",IF(BaseLoad!W231&gt;BaseLoad!$G231,Q$8*$Z232,0))</f>
        <v>-</v>
      </c>
      <c r="R232" s="172" t="str">
        <f>IF($A$1="Peak","-",IF(BaseLoad!X231&gt;BaseLoad!$G231,R$8*$Z232,0))</f>
        <v>-</v>
      </c>
      <c r="S232" s="172" t="str">
        <f>IF($A$1="Peak","-",IF(BaseLoad!Y231&gt;BaseLoad!$G231,S$8*$Z232,0))</f>
        <v>-</v>
      </c>
      <c r="T232" s="172" t="str">
        <f>IF($A$1="Peak","-",IF(BaseLoad!Z231&gt;BaseLoad!$G231,T$8*$Z232,0))</f>
        <v>-</v>
      </c>
      <c r="U232" s="172" t="str">
        <f>IF($A$1="Peak","-",IF(BaseLoad!AA231&gt;BaseLoad!$G231,U$8*$Z232,0))</f>
        <v>-</v>
      </c>
      <c r="V232" s="172">
        <f t="shared" si="8"/>
        <v>0</v>
      </c>
      <c r="W232" s="172"/>
      <c r="X232" s="172"/>
      <c r="Y232" s="172"/>
      <c r="Z232" s="172">
        <f>CHOOSE(QUOTIENT(MONTH($A232),3)+1,BaseLoad!$AM$9,BaseLoad!$AN$9,BaseLoad!$AL$9,BaseLoad!$AO$9,BaseLoad!$AM$9)</f>
        <v>0.96612135909558572</v>
      </c>
      <c r="AA232" s="172">
        <f>CHOOSE(QUOTIENT(MONTH($A232),3)+1,BaseLoad!$AM$15,BaseLoad!$AN$15,BaseLoad!$AL$15,BaseLoad!$AO$15,BaseLoad!$AM$15)</f>
        <v>705</v>
      </c>
      <c r="AB232" s="471"/>
      <c r="AD232" s="471"/>
    </row>
    <row r="233" spans="1:30" x14ac:dyDescent="0.2">
      <c r="A233" s="1">
        <f t="shared" si="9"/>
        <v>43322.991000000286</v>
      </c>
      <c r="B233" s="172" t="str">
        <f>IF($A$1="Peak","-",IF(BaseLoad!H232&gt;BaseLoad!$G232,B$8*$Z233,0))</f>
        <v>-</v>
      </c>
      <c r="C233" s="172" t="str">
        <f>IF($A$1="Peak","-",IF(BaseLoad!I232&gt;BaseLoad!$G232,C$8*$Z233,0))</f>
        <v>-</v>
      </c>
      <c r="D233" s="172" t="str">
        <f>IF($A$1="Peak","-",IF(BaseLoad!J232&gt;BaseLoad!$G232,D$8*$Z233,0))</f>
        <v>-</v>
      </c>
      <c r="E233" s="172" t="str">
        <f>IF($A$1="Peak","-",IF(BaseLoad!K232&gt;BaseLoad!$G232,E$8*$Z233,0))</f>
        <v>-</v>
      </c>
      <c r="F233" s="172" t="str">
        <f>IF($A$1="Peak","-",IF(BaseLoad!L232&gt;BaseLoad!$G232,F$8*$Z233,0))</f>
        <v>-</v>
      </c>
      <c r="G233" s="172" t="str">
        <f>IF($A$1="Peak","-",IF(BaseLoad!M232&gt;BaseLoad!$G232,G$8*$Z233,0))</f>
        <v>-</v>
      </c>
      <c r="H233" s="172" t="str">
        <f>IF($A$1="Peak","-",IF(BaseLoad!N232&gt;BaseLoad!$G232,H$8*$Z233,0))</f>
        <v>-</v>
      </c>
      <c r="I233" s="172" t="str">
        <f>IF($A$1="Peak","-",IF(BaseLoad!O232&gt;BaseLoad!$G232,I$8*$Z233,0))</f>
        <v>-</v>
      </c>
      <c r="J233" s="172" t="str">
        <f>IF($A$1="Peak","-",IF(BaseLoad!P232&gt;BaseLoad!$G232,J$8*$Z233,0))</f>
        <v>-</v>
      </c>
      <c r="K233" s="172" t="str">
        <f>IF($A$1="Peak","-",IF(BaseLoad!Q232&gt;BaseLoad!$G232,K$8*$Z233,0))</f>
        <v>-</v>
      </c>
      <c r="L233" s="172" t="str">
        <f>IF($A$1="Peak","-",IF(BaseLoad!R232&gt;BaseLoad!$G232,L$8*$Z233,0))</f>
        <v>-</v>
      </c>
      <c r="M233" s="172" t="str">
        <f>IF($A$1="Peak","-",IF(BaseLoad!S232&gt;BaseLoad!$G232,M$8*$Z233,0))</f>
        <v>-</v>
      </c>
      <c r="N233" s="172" t="str">
        <f>IF($A$1="Peak","-",IF(BaseLoad!T232&gt;BaseLoad!$G232,N$8*$Z233,0))</f>
        <v>-</v>
      </c>
      <c r="O233" s="172" t="str">
        <f>IF($A$1="Peak","-",IF(BaseLoad!U232&gt;BaseLoad!$G232,O$8*$Z233,0))</f>
        <v>-</v>
      </c>
      <c r="P233" s="172" t="str">
        <f>IF($A$1="Peak","-",IF(BaseLoad!V232&gt;BaseLoad!$G232,P$8*$Z233,0))</f>
        <v>-</v>
      </c>
      <c r="Q233" s="172" t="str">
        <f>IF($A$1="Peak","-",IF(BaseLoad!W232&gt;BaseLoad!$G232,Q$8*$Z233,0))</f>
        <v>-</v>
      </c>
      <c r="R233" s="172" t="str">
        <f>IF($A$1="Peak","-",IF(BaseLoad!X232&gt;BaseLoad!$G232,R$8*$Z233,0))</f>
        <v>-</v>
      </c>
      <c r="S233" s="172" t="str">
        <f>IF($A$1="Peak","-",IF(BaseLoad!Y232&gt;BaseLoad!$G232,S$8*$Z233,0))</f>
        <v>-</v>
      </c>
      <c r="T233" s="172" t="str">
        <f>IF($A$1="Peak","-",IF(BaseLoad!Z232&gt;BaseLoad!$G232,T$8*$Z233,0))</f>
        <v>-</v>
      </c>
      <c r="U233" s="172" t="str">
        <f>IF($A$1="Peak","-",IF(BaseLoad!AA232&gt;BaseLoad!$G232,U$8*$Z233,0))</f>
        <v>-</v>
      </c>
      <c r="V233" s="172">
        <f t="shared" si="8"/>
        <v>0</v>
      </c>
      <c r="W233" s="172"/>
      <c r="X233" s="172"/>
      <c r="Y233" s="172"/>
      <c r="Z233" s="172">
        <f>CHOOSE(QUOTIENT(MONTH($A233),3)+1,BaseLoad!$AM$9,BaseLoad!$AN$9,BaseLoad!$AL$9,BaseLoad!$AO$9,BaseLoad!$AM$9)</f>
        <v>0.96612135909558572</v>
      </c>
      <c r="AA233" s="172">
        <f>CHOOSE(QUOTIENT(MONTH($A233),3)+1,BaseLoad!$AM$15,BaseLoad!$AN$15,BaseLoad!$AL$15,BaseLoad!$AO$15,BaseLoad!$AM$15)</f>
        <v>705</v>
      </c>
      <c r="AB233" s="471"/>
      <c r="AD233" s="471"/>
    </row>
    <row r="234" spans="1:30" x14ac:dyDescent="0.2">
      <c r="A234" s="1">
        <f t="shared" si="9"/>
        <v>43353.408000000287</v>
      </c>
      <c r="B234" s="172" t="str">
        <f>IF($A$1="Peak","-",IF(BaseLoad!H233&gt;BaseLoad!$G233,B$8*$Z234,0))</f>
        <v>-</v>
      </c>
      <c r="C234" s="172" t="str">
        <f>IF($A$1="Peak","-",IF(BaseLoad!I233&gt;BaseLoad!$G233,C$8*$Z234,0))</f>
        <v>-</v>
      </c>
      <c r="D234" s="172" t="str">
        <f>IF($A$1="Peak","-",IF(BaseLoad!J233&gt;BaseLoad!$G233,D$8*$Z234,0))</f>
        <v>-</v>
      </c>
      <c r="E234" s="172" t="str">
        <f>IF($A$1="Peak","-",IF(BaseLoad!K233&gt;BaseLoad!$G233,E$8*$Z234,0))</f>
        <v>-</v>
      </c>
      <c r="F234" s="172" t="str">
        <f>IF($A$1="Peak","-",IF(BaseLoad!L233&gt;BaseLoad!$G233,F$8*$Z234,0))</f>
        <v>-</v>
      </c>
      <c r="G234" s="172" t="str">
        <f>IF($A$1="Peak","-",IF(BaseLoad!M233&gt;BaseLoad!$G233,G$8*$Z234,0))</f>
        <v>-</v>
      </c>
      <c r="H234" s="172" t="str">
        <f>IF($A$1="Peak","-",IF(BaseLoad!N233&gt;BaseLoad!$G233,H$8*$Z234,0))</f>
        <v>-</v>
      </c>
      <c r="I234" s="172" t="str">
        <f>IF($A$1="Peak","-",IF(BaseLoad!O233&gt;BaseLoad!$G233,I$8*$Z234,0))</f>
        <v>-</v>
      </c>
      <c r="J234" s="172" t="str">
        <f>IF($A$1="Peak","-",IF(BaseLoad!P233&gt;BaseLoad!$G233,J$8*$Z234,0))</f>
        <v>-</v>
      </c>
      <c r="K234" s="172" t="str">
        <f>IF($A$1="Peak","-",IF(BaseLoad!Q233&gt;BaseLoad!$G233,K$8*$Z234,0))</f>
        <v>-</v>
      </c>
      <c r="L234" s="172" t="str">
        <f>IF($A$1="Peak","-",IF(BaseLoad!R233&gt;BaseLoad!$G233,L$8*$Z234,0))</f>
        <v>-</v>
      </c>
      <c r="M234" s="172" t="str">
        <f>IF($A$1="Peak","-",IF(BaseLoad!S233&gt;BaseLoad!$G233,M$8*$Z234,0))</f>
        <v>-</v>
      </c>
      <c r="N234" s="172" t="str">
        <f>IF($A$1="Peak","-",IF(BaseLoad!T233&gt;BaseLoad!$G233,N$8*$Z234,0))</f>
        <v>-</v>
      </c>
      <c r="O234" s="172" t="str">
        <f>IF($A$1="Peak","-",IF(BaseLoad!U233&gt;BaseLoad!$G233,O$8*$Z234,0))</f>
        <v>-</v>
      </c>
      <c r="P234" s="172" t="str">
        <f>IF($A$1="Peak","-",IF(BaseLoad!V233&gt;BaseLoad!$G233,P$8*$Z234,0))</f>
        <v>-</v>
      </c>
      <c r="Q234" s="172" t="str">
        <f>IF($A$1="Peak","-",IF(BaseLoad!W233&gt;BaseLoad!$G233,Q$8*$Z234,0))</f>
        <v>-</v>
      </c>
      <c r="R234" s="172" t="str">
        <f>IF($A$1="Peak","-",IF(BaseLoad!X233&gt;BaseLoad!$G233,R$8*$Z234,0))</f>
        <v>-</v>
      </c>
      <c r="S234" s="172" t="str">
        <f>IF($A$1="Peak","-",IF(BaseLoad!Y233&gt;BaseLoad!$G233,S$8*$Z234,0))</f>
        <v>-</v>
      </c>
      <c r="T234" s="172" t="str">
        <f>IF($A$1="Peak","-",IF(BaseLoad!Z233&gt;BaseLoad!$G233,T$8*$Z234,0))</f>
        <v>-</v>
      </c>
      <c r="U234" s="172" t="str">
        <f>IF($A$1="Peak","-",IF(BaseLoad!AA233&gt;BaseLoad!$G233,U$8*$Z234,0))</f>
        <v>-</v>
      </c>
      <c r="V234" s="172">
        <f t="shared" si="8"/>
        <v>0</v>
      </c>
      <c r="W234" s="172"/>
      <c r="X234" s="172"/>
      <c r="Y234" s="172"/>
      <c r="Z234" s="172">
        <f>CHOOSE(QUOTIENT(MONTH($A234),3)+1,BaseLoad!$AM$9,BaseLoad!$AN$9,BaseLoad!$AL$9,BaseLoad!$AO$9,BaseLoad!$AM$9)</f>
        <v>0.95</v>
      </c>
      <c r="AA234" s="172">
        <f>CHOOSE(QUOTIENT(MONTH($A234),3)+1,BaseLoad!$AM$15,BaseLoad!$AN$15,BaseLoad!$AL$15,BaseLoad!$AO$15,BaseLoad!$AM$15)</f>
        <v>705</v>
      </c>
      <c r="AB234" s="471"/>
      <c r="AD234" s="471"/>
    </row>
    <row r="235" spans="1:30" x14ac:dyDescent="0.2">
      <c r="A235" s="1">
        <f t="shared" si="9"/>
        <v>43383.825000000288</v>
      </c>
      <c r="B235" s="172" t="str">
        <f>IF($A$1="Peak","-",IF(BaseLoad!H234&gt;BaseLoad!$G234,B$8*$Z235,0))</f>
        <v>-</v>
      </c>
      <c r="C235" s="172" t="str">
        <f>IF($A$1="Peak","-",IF(BaseLoad!I234&gt;BaseLoad!$G234,C$8*$Z235,0))</f>
        <v>-</v>
      </c>
      <c r="D235" s="172" t="str">
        <f>IF($A$1="Peak","-",IF(BaseLoad!J234&gt;BaseLoad!$G234,D$8*$Z235,0))</f>
        <v>-</v>
      </c>
      <c r="E235" s="172" t="str">
        <f>IF($A$1="Peak","-",IF(BaseLoad!K234&gt;BaseLoad!$G234,E$8*$Z235,0))</f>
        <v>-</v>
      </c>
      <c r="F235" s="172" t="str">
        <f>IF($A$1="Peak","-",IF(BaseLoad!L234&gt;BaseLoad!$G234,F$8*$Z235,0))</f>
        <v>-</v>
      </c>
      <c r="G235" s="172" t="str">
        <f>IF($A$1="Peak","-",IF(BaseLoad!M234&gt;BaseLoad!$G234,G$8*$Z235,0))</f>
        <v>-</v>
      </c>
      <c r="H235" s="172" t="str">
        <f>IF($A$1="Peak","-",IF(BaseLoad!N234&gt;BaseLoad!$G234,H$8*$Z235,0))</f>
        <v>-</v>
      </c>
      <c r="I235" s="172" t="str">
        <f>IF($A$1="Peak","-",IF(BaseLoad!O234&gt;BaseLoad!$G234,I$8*$Z235,0))</f>
        <v>-</v>
      </c>
      <c r="J235" s="172" t="str">
        <f>IF($A$1="Peak","-",IF(BaseLoad!P234&gt;BaseLoad!$G234,J$8*$Z235,0))</f>
        <v>-</v>
      </c>
      <c r="K235" s="172" t="str">
        <f>IF($A$1="Peak","-",IF(BaseLoad!Q234&gt;BaseLoad!$G234,K$8*$Z235,0))</f>
        <v>-</v>
      </c>
      <c r="L235" s="172" t="str">
        <f>IF($A$1="Peak","-",IF(BaseLoad!R234&gt;BaseLoad!$G234,L$8*$Z235,0))</f>
        <v>-</v>
      </c>
      <c r="M235" s="172" t="str">
        <f>IF($A$1="Peak","-",IF(BaseLoad!S234&gt;BaseLoad!$G234,M$8*$Z235,0))</f>
        <v>-</v>
      </c>
      <c r="N235" s="172" t="str">
        <f>IF($A$1="Peak","-",IF(BaseLoad!T234&gt;BaseLoad!$G234,N$8*$Z235,0))</f>
        <v>-</v>
      </c>
      <c r="O235" s="172" t="str">
        <f>IF($A$1="Peak","-",IF(BaseLoad!U234&gt;BaseLoad!$G234,O$8*$Z235,0))</f>
        <v>-</v>
      </c>
      <c r="P235" s="172" t="str">
        <f>IF($A$1="Peak","-",IF(BaseLoad!V234&gt;BaseLoad!$G234,P$8*$Z235,0))</f>
        <v>-</v>
      </c>
      <c r="Q235" s="172" t="str">
        <f>IF($A$1="Peak","-",IF(BaseLoad!W234&gt;BaseLoad!$G234,Q$8*$Z235,0))</f>
        <v>-</v>
      </c>
      <c r="R235" s="172" t="str">
        <f>IF($A$1="Peak","-",IF(BaseLoad!X234&gt;BaseLoad!$G234,R$8*$Z235,0))</f>
        <v>-</v>
      </c>
      <c r="S235" s="172" t="str">
        <f>IF($A$1="Peak","-",IF(BaseLoad!Y234&gt;BaseLoad!$G234,S$8*$Z235,0))</f>
        <v>-</v>
      </c>
      <c r="T235" s="172" t="str">
        <f>IF($A$1="Peak","-",IF(BaseLoad!Z234&gt;BaseLoad!$G234,T$8*$Z235,0))</f>
        <v>-</v>
      </c>
      <c r="U235" s="172" t="str">
        <f>IF($A$1="Peak","-",IF(BaseLoad!AA234&gt;BaseLoad!$G234,U$8*$Z235,0))</f>
        <v>-</v>
      </c>
      <c r="V235" s="172">
        <f t="shared" si="8"/>
        <v>0</v>
      </c>
      <c r="W235" s="172"/>
      <c r="X235" s="172"/>
      <c r="Y235" s="172"/>
      <c r="Z235" s="172">
        <f>CHOOSE(QUOTIENT(MONTH($A235),3)+1,BaseLoad!$AM$9,BaseLoad!$AN$9,BaseLoad!$AL$9,BaseLoad!$AO$9,BaseLoad!$AM$9)</f>
        <v>0.95</v>
      </c>
      <c r="AA235" s="172">
        <f>CHOOSE(QUOTIENT(MONTH($A235),3)+1,BaseLoad!$AM$15,BaseLoad!$AN$15,BaseLoad!$AL$15,BaseLoad!$AO$15,BaseLoad!$AM$15)</f>
        <v>705</v>
      </c>
      <c r="AB235" s="471"/>
      <c r="AD235" s="471"/>
    </row>
    <row r="236" spans="1:30" x14ac:dyDescent="0.2">
      <c r="A236" s="1">
        <f t="shared" si="9"/>
        <v>43414.242000000289</v>
      </c>
      <c r="B236" s="172" t="str">
        <f>IF($A$1="Peak","-",IF(BaseLoad!H235&gt;BaseLoad!$G235,B$8*$Z236,0))</f>
        <v>-</v>
      </c>
      <c r="C236" s="172" t="str">
        <f>IF($A$1="Peak","-",IF(BaseLoad!I235&gt;BaseLoad!$G235,C$8*$Z236,0))</f>
        <v>-</v>
      </c>
      <c r="D236" s="172" t="str">
        <f>IF($A$1="Peak","-",IF(BaseLoad!J235&gt;BaseLoad!$G235,D$8*$Z236,0))</f>
        <v>-</v>
      </c>
      <c r="E236" s="172" t="str">
        <f>IF($A$1="Peak","-",IF(BaseLoad!K235&gt;BaseLoad!$G235,E$8*$Z236,0))</f>
        <v>-</v>
      </c>
      <c r="F236" s="172" t="str">
        <f>IF($A$1="Peak","-",IF(BaseLoad!L235&gt;BaseLoad!$G235,F$8*$Z236,0))</f>
        <v>-</v>
      </c>
      <c r="G236" s="172" t="str">
        <f>IF($A$1="Peak","-",IF(BaseLoad!M235&gt;BaseLoad!$G235,G$8*$Z236,0))</f>
        <v>-</v>
      </c>
      <c r="H236" s="172" t="str">
        <f>IF($A$1="Peak","-",IF(BaseLoad!N235&gt;BaseLoad!$G235,H$8*$Z236,0))</f>
        <v>-</v>
      </c>
      <c r="I236" s="172" t="str">
        <f>IF($A$1="Peak","-",IF(BaseLoad!O235&gt;BaseLoad!$G235,I$8*$Z236,0))</f>
        <v>-</v>
      </c>
      <c r="J236" s="172" t="str">
        <f>IF($A$1="Peak","-",IF(BaseLoad!P235&gt;BaseLoad!$G235,J$8*$Z236,0))</f>
        <v>-</v>
      </c>
      <c r="K236" s="172" t="str">
        <f>IF($A$1="Peak","-",IF(BaseLoad!Q235&gt;BaseLoad!$G235,K$8*$Z236,0))</f>
        <v>-</v>
      </c>
      <c r="L236" s="172" t="str">
        <f>IF($A$1="Peak","-",IF(BaseLoad!R235&gt;BaseLoad!$G235,L$8*$Z236,0))</f>
        <v>-</v>
      </c>
      <c r="M236" s="172" t="str">
        <f>IF($A$1="Peak","-",IF(BaseLoad!S235&gt;BaseLoad!$G235,M$8*$Z236,0))</f>
        <v>-</v>
      </c>
      <c r="N236" s="172" t="str">
        <f>IF($A$1="Peak","-",IF(BaseLoad!T235&gt;BaseLoad!$G235,N$8*$Z236,0))</f>
        <v>-</v>
      </c>
      <c r="O236" s="172" t="str">
        <f>IF($A$1="Peak","-",IF(BaseLoad!U235&gt;BaseLoad!$G235,O$8*$Z236,0))</f>
        <v>-</v>
      </c>
      <c r="P236" s="172" t="str">
        <f>IF($A$1="Peak","-",IF(BaseLoad!V235&gt;BaseLoad!$G235,P$8*$Z236,0))</f>
        <v>-</v>
      </c>
      <c r="Q236" s="172" t="str">
        <f>IF($A$1="Peak","-",IF(BaseLoad!W235&gt;BaseLoad!$G235,Q$8*$Z236,0))</f>
        <v>-</v>
      </c>
      <c r="R236" s="172" t="str">
        <f>IF($A$1="Peak","-",IF(BaseLoad!X235&gt;BaseLoad!$G235,R$8*$Z236,0))</f>
        <v>-</v>
      </c>
      <c r="S236" s="172" t="str">
        <f>IF($A$1="Peak","-",IF(BaseLoad!Y235&gt;BaseLoad!$G235,S$8*$Z236,0))</f>
        <v>-</v>
      </c>
      <c r="T236" s="172" t="str">
        <f>IF($A$1="Peak","-",IF(BaseLoad!Z235&gt;BaseLoad!$G235,T$8*$Z236,0))</f>
        <v>-</v>
      </c>
      <c r="U236" s="172" t="str">
        <f>IF($A$1="Peak","-",IF(BaseLoad!AA235&gt;BaseLoad!$G235,U$8*$Z236,0))</f>
        <v>-</v>
      </c>
      <c r="V236" s="172">
        <f t="shared" si="8"/>
        <v>0</v>
      </c>
      <c r="W236" s="172"/>
      <c r="X236" s="172"/>
      <c r="Y236" s="172"/>
      <c r="Z236" s="172">
        <f>CHOOSE(QUOTIENT(MONTH($A236),3)+1,BaseLoad!$AM$9,BaseLoad!$AN$9,BaseLoad!$AL$9,BaseLoad!$AO$9,BaseLoad!$AM$9)</f>
        <v>0.95</v>
      </c>
      <c r="AA236" s="172">
        <f>CHOOSE(QUOTIENT(MONTH($A236),3)+1,BaseLoad!$AM$15,BaseLoad!$AN$15,BaseLoad!$AL$15,BaseLoad!$AO$15,BaseLoad!$AM$15)</f>
        <v>705</v>
      </c>
      <c r="AB236" s="471"/>
      <c r="AD236" s="471"/>
    </row>
    <row r="237" spans="1:30" x14ac:dyDescent="0.2">
      <c r="A237" s="1">
        <f t="shared" si="9"/>
        <v>43444.659000000291</v>
      </c>
      <c r="B237" s="172" t="str">
        <f>IF($A$1="Peak","-",IF(BaseLoad!H236&gt;BaseLoad!$G236,B$8*$Z237,0))</f>
        <v>-</v>
      </c>
      <c r="C237" s="172" t="str">
        <f>IF($A$1="Peak","-",IF(BaseLoad!I236&gt;BaseLoad!$G236,C$8*$Z237,0))</f>
        <v>-</v>
      </c>
      <c r="D237" s="172" t="str">
        <f>IF($A$1="Peak","-",IF(BaseLoad!J236&gt;BaseLoad!$G236,D$8*$Z237,0))</f>
        <v>-</v>
      </c>
      <c r="E237" s="172" t="str">
        <f>IF($A$1="Peak","-",IF(BaseLoad!K236&gt;BaseLoad!$G236,E$8*$Z237,0))</f>
        <v>-</v>
      </c>
      <c r="F237" s="172" t="str">
        <f>IF($A$1="Peak","-",IF(BaseLoad!L236&gt;BaseLoad!$G236,F$8*$Z237,0))</f>
        <v>-</v>
      </c>
      <c r="G237" s="172" t="str">
        <f>IF($A$1="Peak","-",IF(BaseLoad!M236&gt;BaseLoad!$G236,G$8*$Z237,0))</f>
        <v>-</v>
      </c>
      <c r="H237" s="172" t="str">
        <f>IF($A$1="Peak","-",IF(BaseLoad!N236&gt;BaseLoad!$G236,H$8*$Z237,0))</f>
        <v>-</v>
      </c>
      <c r="I237" s="172" t="str">
        <f>IF($A$1="Peak","-",IF(BaseLoad!O236&gt;BaseLoad!$G236,I$8*$Z237,0))</f>
        <v>-</v>
      </c>
      <c r="J237" s="172" t="str">
        <f>IF($A$1="Peak","-",IF(BaseLoad!P236&gt;BaseLoad!$G236,J$8*$Z237,0))</f>
        <v>-</v>
      </c>
      <c r="K237" s="172" t="str">
        <f>IF($A$1="Peak","-",IF(BaseLoad!Q236&gt;BaseLoad!$G236,K$8*$Z237,0))</f>
        <v>-</v>
      </c>
      <c r="L237" s="172" t="str">
        <f>IF($A$1="Peak","-",IF(BaseLoad!R236&gt;BaseLoad!$G236,L$8*$Z237,0))</f>
        <v>-</v>
      </c>
      <c r="M237" s="172" t="str">
        <f>IF($A$1="Peak","-",IF(BaseLoad!S236&gt;BaseLoad!$G236,M$8*$Z237,0))</f>
        <v>-</v>
      </c>
      <c r="N237" s="172" t="str">
        <f>IF($A$1="Peak","-",IF(BaseLoad!T236&gt;BaseLoad!$G236,N$8*$Z237,0))</f>
        <v>-</v>
      </c>
      <c r="O237" s="172" t="str">
        <f>IF($A$1="Peak","-",IF(BaseLoad!U236&gt;BaseLoad!$G236,O$8*$Z237,0))</f>
        <v>-</v>
      </c>
      <c r="P237" s="172" t="str">
        <f>IF($A$1="Peak","-",IF(BaseLoad!V236&gt;BaseLoad!$G236,P$8*$Z237,0))</f>
        <v>-</v>
      </c>
      <c r="Q237" s="172" t="str">
        <f>IF($A$1="Peak","-",IF(BaseLoad!W236&gt;BaseLoad!$G236,Q$8*$Z237,0))</f>
        <v>-</v>
      </c>
      <c r="R237" s="172" t="str">
        <f>IF($A$1="Peak","-",IF(BaseLoad!X236&gt;BaseLoad!$G236,R$8*$Z237,0))</f>
        <v>-</v>
      </c>
      <c r="S237" s="172" t="str">
        <f>IF($A$1="Peak","-",IF(BaseLoad!Y236&gt;BaseLoad!$G236,S$8*$Z237,0))</f>
        <v>-</v>
      </c>
      <c r="T237" s="172" t="str">
        <f>IF($A$1="Peak","-",IF(BaseLoad!Z236&gt;BaseLoad!$G236,T$8*$Z237,0))</f>
        <v>-</v>
      </c>
      <c r="U237" s="172" t="str">
        <f>IF($A$1="Peak","-",IF(BaseLoad!AA236&gt;BaseLoad!$G236,U$8*$Z237,0))</f>
        <v>-</v>
      </c>
      <c r="V237" s="172">
        <f t="shared" si="8"/>
        <v>0</v>
      </c>
      <c r="W237" s="172"/>
      <c r="X237" s="172"/>
      <c r="Y237" s="172">
        <f>SUM(V226:V237)</f>
        <v>0</v>
      </c>
      <c r="Z237" s="172">
        <f>CHOOSE(QUOTIENT(MONTH($A237),3)+1,BaseLoad!$AM$9,BaseLoad!$AN$9,BaseLoad!$AL$9,BaseLoad!$AO$9,BaseLoad!$AM$9)</f>
        <v>0.92427661878611755</v>
      </c>
      <c r="AA237" s="172">
        <f>CHOOSE(QUOTIENT(MONTH($A237),3)+1,BaseLoad!$AM$15,BaseLoad!$AN$15,BaseLoad!$AL$15,BaseLoad!$AO$15,BaseLoad!$AM$15)</f>
        <v>705</v>
      </c>
      <c r="AB237" s="471"/>
      <c r="AD237" s="471"/>
    </row>
    <row r="238" spans="1:30" x14ac:dyDescent="0.2">
      <c r="A238" s="1">
        <f t="shared" si="9"/>
        <v>43475.076000000292</v>
      </c>
      <c r="B238" s="172" t="str">
        <f>IF($A$1="Peak","-",IF(BaseLoad!H237&gt;BaseLoad!$G237,B$8*$Z238,0))</f>
        <v>-</v>
      </c>
      <c r="C238" s="172" t="str">
        <f>IF($A$1="Peak","-",IF(BaseLoad!I237&gt;BaseLoad!$G237,C$8*$Z238,0))</f>
        <v>-</v>
      </c>
      <c r="D238" s="172" t="str">
        <f>IF($A$1="Peak","-",IF(BaseLoad!J237&gt;BaseLoad!$G237,D$8*$Z238,0))</f>
        <v>-</v>
      </c>
      <c r="E238" s="172" t="str">
        <f>IF($A$1="Peak","-",IF(BaseLoad!K237&gt;BaseLoad!$G237,E$8*$Z238,0))</f>
        <v>-</v>
      </c>
      <c r="F238" s="172" t="str">
        <f>IF($A$1="Peak","-",IF(BaseLoad!L237&gt;BaseLoad!$G237,F$8*$Z238,0))</f>
        <v>-</v>
      </c>
      <c r="G238" s="172" t="str">
        <f>IF($A$1="Peak","-",IF(BaseLoad!M237&gt;BaseLoad!$G237,G$8*$Z238,0))</f>
        <v>-</v>
      </c>
      <c r="H238" s="172" t="str">
        <f>IF($A$1="Peak","-",IF(BaseLoad!N237&gt;BaseLoad!$G237,H$8*$Z238,0))</f>
        <v>-</v>
      </c>
      <c r="I238" s="172" t="str">
        <f>IF($A$1="Peak","-",IF(BaseLoad!O237&gt;BaseLoad!$G237,I$8*$Z238,0))</f>
        <v>-</v>
      </c>
      <c r="J238" s="172" t="str">
        <f>IF($A$1="Peak","-",IF(BaseLoad!P237&gt;BaseLoad!$G237,J$8*$Z238,0))</f>
        <v>-</v>
      </c>
      <c r="K238" s="172" t="str">
        <f>IF($A$1="Peak","-",IF(BaseLoad!Q237&gt;BaseLoad!$G237,K$8*$Z238,0))</f>
        <v>-</v>
      </c>
      <c r="L238" s="172" t="str">
        <f>IF($A$1="Peak","-",IF(BaseLoad!R237&gt;BaseLoad!$G237,L$8*$Z238,0))</f>
        <v>-</v>
      </c>
      <c r="M238" s="172" t="str">
        <f>IF($A$1="Peak","-",IF(BaseLoad!S237&gt;BaseLoad!$G237,M$8*$Z238,0))</f>
        <v>-</v>
      </c>
      <c r="N238" s="172" t="str">
        <f>IF($A$1="Peak","-",IF(BaseLoad!T237&gt;BaseLoad!$G237,N$8*$Z238,0))</f>
        <v>-</v>
      </c>
      <c r="O238" s="172" t="str">
        <f>IF($A$1="Peak","-",IF(BaseLoad!U237&gt;BaseLoad!$G237,O$8*$Z238,0))</f>
        <v>-</v>
      </c>
      <c r="P238" s="172" t="str">
        <f>IF($A$1="Peak","-",IF(BaseLoad!V237&gt;BaseLoad!$G237,P$8*$Z238,0))</f>
        <v>-</v>
      </c>
      <c r="Q238" s="172" t="str">
        <f>IF($A$1="Peak","-",IF(BaseLoad!W237&gt;BaseLoad!$G237,Q$8*$Z238,0))</f>
        <v>-</v>
      </c>
      <c r="R238" s="172" t="str">
        <f>IF($A$1="Peak","-",IF(BaseLoad!X237&gt;BaseLoad!$G237,R$8*$Z238,0))</f>
        <v>-</v>
      </c>
      <c r="S238" s="172" t="str">
        <f>IF($A$1="Peak","-",IF(BaseLoad!Y237&gt;BaseLoad!$G237,S$8*$Z238,0))</f>
        <v>-</v>
      </c>
      <c r="T238" s="172" t="str">
        <f>IF($A$1="Peak","-",IF(BaseLoad!Z237&gt;BaseLoad!$G237,T$8*$Z238,0))</f>
        <v>-</v>
      </c>
      <c r="U238" s="172" t="str">
        <f>IF($A$1="Peak","-",IF(BaseLoad!AA237&gt;BaseLoad!$G237,U$8*$Z238,0))</f>
        <v>-</v>
      </c>
      <c r="V238" s="172">
        <f t="shared" si="8"/>
        <v>0</v>
      </c>
      <c r="W238" s="172"/>
      <c r="X238" s="172"/>
      <c r="Y238" s="172"/>
      <c r="Z238" s="172">
        <f>CHOOSE(QUOTIENT(MONTH($A238),3)+1,BaseLoad!$AM$9,BaseLoad!$AN$9,BaseLoad!$AL$9,BaseLoad!$AO$9,BaseLoad!$AM$9)</f>
        <v>0.92427661878611755</v>
      </c>
      <c r="AA238" s="172">
        <f>CHOOSE(QUOTIENT(MONTH($A238),3)+1,BaseLoad!$AM$15,BaseLoad!$AN$15,BaseLoad!$AL$15,BaseLoad!$AO$15,BaseLoad!$AM$15)</f>
        <v>705</v>
      </c>
      <c r="AB238" s="471"/>
      <c r="AD238" s="471"/>
    </row>
    <row r="239" spans="1:30" x14ac:dyDescent="0.2">
      <c r="A239" s="1">
        <f t="shared" si="9"/>
        <v>43505.493000000293</v>
      </c>
      <c r="B239" s="172" t="str">
        <f>IF($A$1="Peak","-",IF(BaseLoad!H238&gt;BaseLoad!$G238,B$8*$Z239,0))</f>
        <v>-</v>
      </c>
      <c r="C239" s="172" t="str">
        <f>IF($A$1="Peak","-",IF(BaseLoad!I238&gt;BaseLoad!$G238,C$8*$Z239,0))</f>
        <v>-</v>
      </c>
      <c r="D239" s="172" t="str">
        <f>IF($A$1="Peak","-",IF(BaseLoad!J238&gt;BaseLoad!$G238,D$8*$Z239,0))</f>
        <v>-</v>
      </c>
      <c r="E239" s="172" t="str">
        <f>IF($A$1="Peak","-",IF(BaseLoad!K238&gt;BaseLoad!$G238,E$8*$Z239,0))</f>
        <v>-</v>
      </c>
      <c r="F239" s="172" t="str">
        <f>IF($A$1="Peak","-",IF(BaseLoad!L238&gt;BaseLoad!$G238,F$8*$Z239,0))</f>
        <v>-</v>
      </c>
      <c r="G239" s="172" t="str">
        <f>IF($A$1="Peak","-",IF(BaseLoad!M238&gt;BaseLoad!$G238,G$8*$Z239,0))</f>
        <v>-</v>
      </c>
      <c r="H239" s="172" t="str">
        <f>IF($A$1="Peak","-",IF(BaseLoad!N238&gt;BaseLoad!$G238,H$8*$Z239,0))</f>
        <v>-</v>
      </c>
      <c r="I239" s="172" t="str">
        <f>IF($A$1="Peak","-",IF(BaseLoad!O238&gt;BaseLoad!$G238,I$8*$Z239,0))</f>
        <v>-</v>
      </c>
      <c r="J239" s="172" t="str">
        <f>IF($A$1="Peak","-",IF(BaseLoad!P238&gt;BaseLoad!$G238,J$8*$Z239,0))</f>
        <v>-</v>
      </c>
      <c r="K239" s="172" t="str">
        <f>IF($A$1="Peak","-",IF(BaseLoad!Q238&gt;BaseLoad!$G238,K$8*$Z239,0))</f>
        <v>-</v>
      </c>
      <c r="L239" s="172" t="str">
        <f>IF($A$1="Peak","-",IF(BaseLoad!R238&gt;BaseLoad!$G238,L$8*$Z239,0))</f>
        <v>-</v>
      </c>
      <c r="M239" s="172" t="str">
        <f>IF($A$1="Peak","-",IF(BaseLoad!S238&gt;BaseLoad!$G238,M$8*$Z239,0))</f>
        <v>-</v>
      </c>
      <c r="N239" s="172" t="str">
        <f>IF($A$1="Peak","-",IF(BaseLoad!T238&gt;BaseLoad!$G238,N$8*$Z239,0))</f>
        <v>-</v>
      </c>
      <c r="O239" s="172" t="str">
        <f>IF($A$1="Peak","-",IF(BaseLoad!U238&gt;BaseLoad!$G238,O$8*$Z239,0))</f>
        <v>-</v>
      </c>
      <c r="P239" s="172" t="str">
        <f>IF($A$1="Peak","-",IF(BaseLoad!V238&gt;BaseLoad!$G238,P$8*$Z239,0))</f>
        <v>-</v>
      </c>
      <c r="Q239" s="172" t="str">
        <f>IF($A$1="Peak","-",IF(BaseLoad!W238&gt;BaseLoad!$G238,Q$8*$Z239,0))</f>
        <v>-</v>
      </c>
      <c r="R239" s="172" t="str">
        <f>IF($A$1="Peak","-",IF(BaseLoad!X238&gt;BaseLoad!$G238,R$8*$Z239,0))</f>
        <v>-</v>
      </c>
      <c r="S239" s="172" t="str">
        <f>IF($A$1="Peak","-",IF(BaseLoad!Y238&gt;BaseLoad!$G238,S$8*$Z239,0))</f>
        <v>-</v>
      </c>
      <c r="T239" s="172" t="str">
        <f>IF($A$1="Peak","-",IF(BaseLoad!Z238&gt;BaseLoad!$G238,T$8*$Z239,0))</f>
        <v>-</v>
      </c>
      <c r="U239" s="172" t="str">
        <f>IF($A$1="Peak","-",IF(BaseLoad!AA238&gt;BaseLoad!$G238,U$8*$Z239,0))</f>
        <v>-</v>
      </c>
      <c r="V239" s="172">
        <f t="shared" si="8"/>
        <v>0</v>
      </c>
      <c r="W239" s="172"/>
      <c r="X239" s="172"/>
      <c r="Y239" s="172"/>
      <c r="Z239" s="172">
        <f>CHOOSE(QUOTIENT(MONTH($A239),3)+1,BaseLoad!$AM$9,BaseLoad!$AN$9,BaseLoad!$AL$9,BaseLoad!$AO$9,BaseLoad!$AM$9)</f>
        <v>0.92427661878611755</v>
      </c>
      <c r="AA239" s="172">
        <f>CHOOSE(QUOTIENT(MONTH($A239),3)+1,BaseLoad!$AM$15,BaseLoad!$AN$15,BaseLoad!$AL$15,BaseLoad!$AO$15,BaseLoad!$AM$15)</f>
        <v>705</v>
      </c>
      <c r="AB239" s="471"/>
      <c r="AD239" s="471"/>
    </row>
    <row r="240" spans="1:30" x14ac:dyDescent="0.2">
      <c r="A240" s="1">
        <f t="shared" si="9"/>
        <v>43535.910000000295</v>
      </c>
      <c r="B240" s="172" t="str">
        <f>IF($A$1="Peak","-",IF(BaseLoad!H239&gt;BaseLoad!$G239,B$8*$Z240,0))</f>
        <v>-</v>
      </c>
      <c r="C240" s="172" t="str">
        <f>IF($A$1="Peak","-",IF(BaseLoad!I239&gt;BaseLoad!$G239,C$8*$Z240,0))</f>
        <v>-</v>
      </c>
      <c r="D240" s="172" t="str">
        <f>IF($A$1="Peak","-",IF(BaseLoad!J239&gt;BaseLoad!$G239,D$8*$Z240,0))</f>
        <v>-</v>
      </c>
      <c r="E240" s="172" t="str">
        <f>IF($A$1="Peak","-",IF(BaseLoad!K239&gt;BaseLoad!$G239,E$8*$Z240,0))</f>
        <v>-</v>
      </c>
      <c r="F240" s="172" t="str">
        <f>IF($A$1="Peak","-",IF(BaseLoad!L239&gt;BaseLoad!$G239,F$8*$Z240,0))</f>
        <v>-</v>
      </c>
      <c r="G240" s="172" t="str">
        <f>IF($A$1="Peak","-",IF(BaseLoad!M239&gt;BaseLoad!$G239,G$8*$Z240,0))</f>
        <v>-</v>
      </c>
      <c r="H240" s="172" t="str">
        <f>IF($A$1="Peak","-",IF(BaseLoad!N239&gt;BaseLoad!$G239,H$8*$Z240,0))</f>
        <v>-</v>
      </c>
      <c r="I240" s="172" t="str">
        <f>IF($A$1="Peak","-",IF(BaseLoad!O239&gt;BaseLoad!$G239,I$8*$Z240,0))</f>
        <v>-</v>
      </c>
      <c r="J240" s="172" t="str">
        <f>IF($A$1="Peak","-",IF(BaseLoad!P239&gt;BaseLoad!$G239,J$8*$Z240,0))</f>
        <v>-</v>
      </c>
      <c r="K240" s="172" t="str">
        <f>IF($A$1="Peak","-",IF(BaseLoad!Q239&gt;BaseLoad!$G239,K$8*$Z240,0))</f>
        <v>-</v>
      </c>
      <c r="L240" s="172" t="str">
        <f>IF($A$1="Peak","-",IF(BaseLoad!R239&gt;BaseLoad!$G239,L$8*$Z240,0))</f>
        <v>-</v>
      </c>
      <c r="M240" s="172" t="str">
        <f>IF($A$1="Peak","-",IF(BaseLoad!S239&gt;BaseLoad!$G239,M$8*$Z240,0))</f>
        <v>-</v>
      </c>
      <c r="N240" s="172" t="str">
        <f>IF($A$1="Peak","-",IF(BaseLoad!T239&gt;BaseLoad!$G239,N$8*$Z240,0))</f>
        <v>-</v>
      </c>
      <c r="O240" s="172" t="str">
        <f>IF($A$1="Peak","-",IF(BaseLoad!U239&gt;BaseLoad!$G239,O$8*$Z240,0))</f>
        <v>-</v>
      </c>
      <c r="P240" s="172" t="str">
        <f>IF($A$1="Peak","-",IF(BaseLoad!V239&gt;BaseLoad!$G239,P$8*$Z240,0))</f>
        <v>-</v>
      </c>
      <c r="Q240" s="172" t="str">
        <f>IF($A$1="Peak","-",IF(BaseLoad!W239&gt;BaseLoad!$G239,Q$8*$Z240,0))</f>
        <v>-</v>
      </c>
      <c r="R240" s="172" t="str">
        <f>IF($A$1="Peak","-",IF(BaseLoad!X239&gt;BaseLoad!$G239,R$8*$Z240,0))</f>
        <v>-</v>
      </c>
      <c r="S240" s="172" t="str">
        <f>IF($A$1="Peak","-",IF(BaseLoad!Y239&gt;BaseLoad!$G239,S$8*$Z240,0))</f>
        <v>-</v>
      </c>
      <c r="T240" s="172" t="str">
        <f>IF($A$1="Peak","-",IF(BaseLoad!Z239&gt;BaseLoad!$G239,T$8*$Z240,0))</f>
        <v>-</v>
      </c>
      <c r="U240" s="172" t="str">
        <f>IF($A$1="Peak","-",IF(BaseLoad!AA239&gt;BaseLoad!$G239,U$8*$Z240,0))</f>
        <v>-</v>
      </c>
      <c r="V240" s="172">
        <f t="shared" si="8"/>
        <v>0</v>
      </c>
      <c r="W240" s="172"/>
      <c r="X240" s="172"/>
      <c r="Y240" s="172"/>
      <c r="Z240" s="172">
        <f>CHOOSE(QUOTIENT(MONTH($A240),3)+1,BaseLoad!$AM$9,BaseLoad!$AN$9,BaseLoad!$AL$9,BaseLoad!$AO$9,BaseLoad!$AM$9)</f>
        <v>0.95</v>
      </c>
      <c r="AA240" s="172">
        <f>CHOOSE(QUOTIENT(MONTH($A240),3)+1,BaseLoad!$AM$15,BaseLoad!$AN$15,BaseLoad!$AL$15,BaseLoad!$AO$15,BaseLoad!$AM$15)</f>
        <v>705</v>
      </c>
      <c r="AB240" s="471"/>
      <c r="AD240" s="471"/>
    </row>
    <row r="241" spans="1:30" x14ac:dyDescent="0.2">
      <c r="A241" s="1">
        <f t="shared" si="9"/>
        <v>43566.327000000296</v>
      </c>
      <c r="B241" s="172" t="str">
        <f>IF($A$1="Peak","-",IF(BaseLoad!H240&gt;BaseLoad!$G240,B$8*$Z241,0))</f>
        <v>-</v>
      </c>
      <c r="C241" s="172" t="str">
        <f>IF($A$1="Peak","-",IF(BaseLoad!I240&gt;BaseLoad!$G240,C$8*$Z241,0))</f>
        <v>-</v>
      </c>
      <c r="D241" s="172" t="str">
        <f>IF($A$1="Peak","-",IF(BaseLoad!J240&gt;BaseLoad!$G240,D$8*$Z241,0))</f>
        <v>-</v>
      </c>
      <c r="E241" s="172" t="str">
        <f>IF($A$1="Peak","-",IF(BaseLoad!K240&gt;BaseLoad!$G240,E$8*$Z241,0))</f>
        <v>-</v>
      </c>
      <c r="F241" s="172" t="str">
        <f>IF($A$1="Peak","-",IF(BaseLoad!L240&gt;BaseLoad!$G240,F$8*$Z241,0))</f>
        <v>-</v>
      </c>
      <c r="G241" s="172" t="str">
        <f>IF($A$1="Peak","-",IF(BaseLoad!M240&gt;BaseLoad!$G240,G$8*$Z241,0))</f>
        <v>-</v>
      </c>
      <c r="H241" s="172" t="str">
        <f>IF($A$1="Peak","-",IF(BaseLoad!N240&gt;BaseLoad!$G240,H$8*$Z241,0))</f>
        <v>-</v>
      </c>
      <c r="I241" s="172" t="str">
        <f>IF($A$1="Peak","-",IF(BaseLoad!O240&gt;BaseLoad!$G240,I$8*$Z241,0))</f>
        <v>-</v>
      </c>
      <c r="J241" s="172" t="str">
        <f>IF($A$1="Peak","-",IF(BaseLoad!P240&gt;BaseLoad!$G240,J$8*$Z241,0))</f>
        <v>-</v>
      </c>
      <c r="K241" s="172" t="str">
        <f>IF($A$1="Peak","-",IF(BaseLoad!Q240&gt;BaseLoad!$G240,K$8*$Z241,0))</f>
        <v>-</v>
      </c>
      <c r="L241" s="172" t="str">
        <f>IF($A$1="Peak","-",IF(BaseLoad!R240&gt;BaseLoad!$G240,L$8*$Z241,0))</f>
        <v>-</v>
      </c>
      <c r="M241" s="172" t="str">
        <f>IF($A$1="Peak","-",IF(BaseLoad!S240&gt;BaseLoad!$G240,M$8*$Z241,0))</f>
        <v>-</v>
      </c>
      <c r="N241" s="172" t="str">
        <f>IF($A$1="Peak","-",IF(BaseLoad!T240&gt;BaseLoad!$G240,N$8*$Z241,0))</f>
        <v>-</v>
      </c>
      <c r="O241" s="172" t="str">
        <f>IF($A$1="Peak","-",IF(BaseLoad!U240&gt;BaseLoad!$G240,O$8*$Z241,0))</f>
        <v>-</v>
      </c>
      <c r="P241" s="172" t="str">
        <f>IF($A$1="Peak","-",IF(BaseLoad!V240&gt;BaseLoad!$G240,P$8*$Z241,0))</f>
        <v>-</v>
      </c>
      <c r="Q241" s="172" t="str">
        <f>IF($A$1="Peak","-",IF(BaseLoad!W240&gt;BaseLoad!$G240,Q$8*$Z241,0))</f>
        <v>-</v>
      </c>
      <c r="R241" s="172" t="str">
        <f>IF($A$1="Peak","-",IF(BaseLoad!X240&gt;BaseLoad!$G240,R$8*$Z241,0))</f>
        <v>-</v>
      </c>
      <c r="S241" s="172" t="str">
        <f>IF($A$1="Peak","-",IF(BaseLoad!Y240&gt;BaseLoad!$G240,S$8*$Z241,0))</f>
        <v>-</v>
      </c>
      <c r="T241" s="172" t="str">
        <f>IF($A$1="Peak","-",IF(BaseLoad!Z240&gt;BaseLoad!$G240,T$8*$Z241,0))</f>
        <v>-</v>
      </c>
      <c r="U241" s="172" t="str">
        <f>IF($A$1="Peak","-",IF(BaseLoad!AA240&gt;BaseLoad!$G240,U$8*$Z241,0))</f>
        <v>-</v>
      </c>
      <c r="V241" s="172">
        <f t="shared" si="8"/>
        <v>0</v>
      </c>
      <c r="W241" s="172"/>
      <c r="X241" s="172"/>
      <c r="Y241" s="172"/>
      <c r="Z241" s="172">
        <f>CHOOSE(QUOTIENT(MONTH($A241),3)+1,BaseLoad!$AM$9,BaseLoad!$AN$9,BaseLoad!$AL$9,BaseLoad!$AO$9,BaseLoad!$AM$9)</f>
        <v>0.95</v>
      </c>
      <c r="AA241" s="172">
        <f>CHOOSE(QUOTIENT(MONTH($A241),3)+1,BaseLoad!$AM$15,BaseLoad!$AN$15,BaseLoad!$AL$15,BaseLoad!$AO$15,BaseLoad!$AM$15)</f>
        <v>705</v>
      </c>
      <c r="AB241" s="471"/>
      <c r="AD241" s="471"/>
    </row>
    <row r="242" spans="1:30" x14ac:dyDescent="0.2">
      <c r="A242" s="1">
        <f t="shared" si="9"/>
        <v>43596.744000000297</v>
      </c>
      <c r="B242" s="172" t="str">
        <f>IF($A$1="Peak","-",IF(BaseLoad!H241&gt;BaseLoad!$G241,B$8*$Z242,0))</f>
        <v>-</v>
      </c>
      <c r="C242" s="172" t="str">
        <f>IF($A$1="Peak","-",IF(BaseLoad!I241&gt;BaseLoad!$G241,C$8*$Z242,0))</f>
        <v>-</v>
      </c>
      <c r="D242" s="172" t="str">
        <f>IF($A$1="Peak","-",IF(BaseLoad!J241&gt;BaseLoad!$G241,D$8*$Z242,0))</f>
        <v>-</v>
      </c>
      <c r="E242" s="172" t="str">
        <f>IF($A$1="Peak","-",IF(BaseLoad!K241&gt;BaseLoad!$G241,E$8*$Z242,0))</f>
        <v>-</v>
      </c>
      <c r="F242" s="172" t="str">
        <f>IF($A$1="Peak","-",IF(BaseLoad!L241&gt;BaseLoad!$G241,F$8*$Z242,0))</f>
        <v>-</v>
      </c>
      <c r="G242" s="172" t="str">
        <f>IF($A$1="Peak","-",IF(BaseLoad!M241&gt;BaseLoad!$G241,G$8*$Z242,0))</f>
        <v>-</v>
      </c>
      <c r="H242" s="172" t="str">
        <f>IF($A$1="Peak","-",IF(BaseLoad!N241&gt;BaseLoad!$G241,H$8*$Z242,0))</f>
        <v>-</v>
      </c>
      <c r="I242" s="172" t="str">
        <f>IF($A$1="Peak","-",IF(BaseLoad!O241&gt;BaseLoad!$G241,I$8*$Z242,0))</f>
        <v>-</v>
      </c>
      <c r="J242" s="172" t="str">
        <f>IF($A$1="Peak","-",IF(BaseLoad!P241&gt;BaseLoad!$G241,J$8*$Z242,0))</f>
        <v>-</v>
      </c>
      <c r="K242" s="172" t="str">
        <f>IF($A$1="Peak","-",IF(BaseLoad!Q241&gt;BaseLoad!$G241,K$8*$Z242,0))</f>
        <v>-</v>
      </c>
      <c r="L242" s="172" t="str">
        <f>IF($A$1="Peak","-",IF(BaseLoad!R241&gt;BaseLoad!$G241,L$8*$Z242,0))</f>
        <v>-</v>
      </c>
      <c r="M242" s="172" t="str">
        <f>IF($A$1="Peak","-",IF(BaseLoad!S241&gt;BaseLoad!$G241,M$8*$Z242,0))</f>
        <v>-</v>
      </c>
      <c r="N242" s="172" t="str">
        <f>IF($A$1="Peak","-",IF(BaseLoad!T241&gt;BaseLoad!$G241,N$8*$Z242,0))</f>
        <v>-</v>
      </c>
      <c r="O242" s="172" t="str">
        <f>IF($A$1="Peak","-",IF(BaseLoad!U241&gt;BaseLoad!$G241,O$8*$Z242,0))</f>
        <v>-</v>
      </c>
      <c r="P242" s="172" t="str">
        <f>IF($A$1="Peak","-",IF(BaseLoad!V241&gt;BaseLoad!$G241,P$8*$Z242,0))</f>
        <v>-</v>
      </c>
      <c r="Q242" s="172" t="str">
        <f>IF($A$1="Peak","-",IF(BaseLoad!W241&gt;BaseLoad!$G241,Q$8*$Z242,0))</f>
        <v>-</v>
      </c>
      <c r="R242" s="172" t="str">
        <f>IF($A$1="Peak","-",IF(BaseLoad!X241&gt;BaseLoad!$G241,R$8*$Z242,0))</f>
        <v>-</v>
      </c>
      <c r="S242" s="172" t="str">
        <f>IF($A$1="Peak","-",IF(BaseLoad!Y241&gt;BaseLoad!$G241,S$8*$Z242,0))</f>
        <v>-</v>
      </c>
      <c r="T242" s="172" t="str">
        <f>IF($A$1="Peak","-",IF(BaseLoad!Z241&gt;BaseLoad!$G241,T$8*$Z242,0))</f>
        <v>-</v>
      </c>
      <c r="U242" s="172" t="str">
        <f>IF($A$1="Peak","-",IF(BaseLoad!AA241&gt;BaseLoad!$G241,U$8*$Z242,0))</f>
        <v>-</v>
      </c>
      <c r="V242" s="172">
        <f t="shared" si="8"/>
        <v>0</v>
      </c>
      <c r="W242" s="172"/>
      <c r="X242" s="172"/>
      <c r="Y242" s="172"/>
      <c r="Z242" s="172">
        <f>CHOOSE(QUOTIENT(MONTH($A242),3)+1,BaseLoad!$AM$9,BaseLoad!$AN$9,BaseLoad!$AL$9,BaseLoad!$AO$9,BaseLoad!$AM$9)</f>
        <v>0.95</v>
      </c>
      <c r="AA242" s="172">
        <f>CHOOSE(QUOTIENT(MONTH($A242),3)+1,BaseLoad!$AM$15,BaseLoad!$AN$15,BaseLoad!$AL$15,BaseLoad!$AO$15,BaseLoad!$AM$15)</f>
        <v>705</v>
      </c>
      <c r="AB242" s="471"/>
      <c r="AD242" s="471"/>
    </row>
    <row r="243" spans="1:30" x14ac:dyDescent="0.2">
      <c r="A243" s="1">
        <f t="shared" si="9"/>
        <v>43627.161000000298</v>
      </c>
      <c r="B243" s="172" t="str">
        <f>IF($A$1="Peak","-",IF(BaseLoad!H242&gt;BaseLoad!$G242,B$8*$Z243,0))</f>
        <v>-</v>
      </c>
      <c r="C243" s="172" t="str">
        <f>IF($A$1="Peak","-",IF(BaseLoad!I242&gt;BaseLoad!$G242,C$8*$Z243,0))</f>
        <v>-</v>
      </c>
      <c r="D243" s="172" t="str">
        <f>IF($A$1="Peak","-",IF(BaseLoad!J242&gt;BaseLoad!$G242,D$8*$Z243,0))</f>
        <v>-</v>
      </c>
      <c r="E243" s="172" t="str">
        <f>IF($A$1="Peak","-",IF(BaseLoad!K242&gt;BaseLoad!$G242,E$8*$Z243,0))</f>
        <v>-</v>
      </c>
      <c r="F243" s="172" t="str">
        <f>IF($A$1="Peak","-",IF(BaseLoad!L242&gt;BaseLoad!$G242,F$8*$Z243,0))</f>
        <v>-</v>
      </c>
      <c r="G243" s="172" t="str">
        <f>IF($A$1="Peak","-",IF(BaseLoad!M242&gt;BaseLoad!$G242,G$8*$Z243,0))</f>
        <v>-</v>
      </c>
      <c r="H243" s="172" t="str">
        <f>IF($A$1="Peak","-",IF(BaseLoad!N242&gt;BaseLoad!$G242,H$8*$Z243,0))</f>
        <v>-</v>
      </c>
      <c r="I243" s="172" t="str">
        <f>IF($A$1="Peak","-",IF(BaseLoad!O242&gt;BaseLoad!$G242,I$8*$Z243,0))</f>
        <v>-</v>
      </c>
      <c r="J243" s="172" t="str">
        <f>IF($A$1="Peak","-",IF(BaseLoad!P242&gt;BaseLoad!$G242,J$8*$Z243,0))</f>
        <v>-</v>
      </c>
      <c r="K243" s="172" t="str">
        <f>IF($A$1="Peak","-",IF(BaseLoad!Q242&gt;BaseLoad!$G242,K$8*$Z243,0))</f>
        <v>-</v>
      </c>
      <c r="L243" s="172" t="str">
        <f>IF($A$1="Peak","-",IF(BaseLoad!R242&gt;BaseLoad!$G242,L$8*$Z243,0))</f>
        <v>-</v>
      </c>
      <c r="M243" s="172" t="str">
        <f>IF($A$1="Peak","-",IF(BaseLoad!S242&gt;BaseLoad!$G242,M$8*$Z243,0))</f>
        <v>-</v>
      </c>
      <c r="N243" s="172" t="str">
        <f>IF($A$1="Peak","-",IF(BaseLoad!T242&gt;BaseLoad!$G242,N$8*$Z243,0))</f>
        <v>-</v>
      </c>
      <c r="O243" s="172" t="str">
        <f>IF($A$1="Peak","-",IF(BaseLoad!U242&gt;BaseLoad!$G242,O$8*$Z243,0))</f>
        <v>-</v>
      </c>
      <c r="P243" s="172" t="str">
        <f>IF($A$1="Peak","-",IF(BaseLoad!V242&gt;BaseLoad!$G242,P$8*$Z243,0))</f>
        <v>-</v>
      </c>
      <c r="Q243" s="172" t="str">
        <f>IF($A$1="Peak","-",IF(BaseLoad!W242&gt;BaseLoad!$G242,Q$8*$Z243,0))</f>
        <v>-</v>
      </c>
      <c r="R243" s="172" t="str">
        <f>IF($A$1="Peak","-",IF(BaseLoad!X242&gt;BaseLoad!$G242,R$8*$Z243,0))</f>
        <v>-</v>
      </c>
      <c r="S243" s="172" t="str">
        <f>IF($A$1="Peak","-",IF(BaseLoad!Y242&gt;BaseLoad!$G242,S$8*$Z243,0))</f>
        <v>-</v>
      </c>
      <c r="T243" s="172" t="str">
        <f>IF($A$1="Peak","-",IF(BaseLoad!Z242&gt;BaseLoad!$G242,T$8*$Z243,0))</f>
        <v>-</v>
      </c>
      <c r="U243" s="172" t="str">
        <f>IF($A$1="Peak","-",IF(BaseLoad!AA242&gt;BaseLoad!$G242,U$8*$Z243,0))</f>
        <v>-</v>
      </c>
      <c r="V243" s="172">
        <f t="shared" si="8"/>
        <v>0</v>
      </c>
      <c r="W243" s="172"/>
      <c r="X243" s="172"/>
      <c r="Y243" s="172"/>
      <c r="Z243" s="172">
        <f>CHOOSE(QUOTIENT(MONTH($A243),3)+1,BaseLoad!$AM$9,BaseLoad!$AN$9,BaseLoad!$AL$9,BaseLoad!$AO$9,BaseLoad!$AM$9)</f>
        <v>0.96612135909558572</v>
      </c>
      <c r="AA243" s="172">
        <f>CHOOSE(QUOTIENT(MONTH($A243),3)+1,BaseLoad!$AM$15,BaseLoad!$AN$15,BaseLoad!$AL$15,BaseLoad!$AO$15,BaseLoad!$AM$15)</f>
        <v>705</v>
      </c>
      <c r="AB243" s="471"/>
      <c r="AD243" s="471"/>
    </row>
    <row r="244" spans="1:30" x14ac:dyDescent="0.2">
      <c r="A244" s="1">
        <f t="shared" si="9"/>
        <v>43657.5780000003</v>
      </c>
      <c r="B244" s="172" t="str">
        <f>IF($A$1="Peak","-",IF(BaseLoad!H243&gt;BaseLoad!$G243,B$8*$Z244,0))</f>
        <v>-</v>
      </c>
      <c r="C244" s="172" t="str">
        <f>IF($A$1="Peak","-",IF(BaseLoad!I243&gt;BaseLoad!$G243,C$8*$Z244,0))</f>
        <v>-</v>
      </c>
      <c r="D244" s="172" t="str">
        <f>IF($A$1="Peak","-",IF(BaseLoad!J243&gt;BaseLoad!$G243,D$8*$Z244,0))</f>
        <v>-</v>
      </c>
      <c r="E244" s="172" t="str">
        <f>IF($A$1="Peak","-",IF(BaseLoad!K243&gt;BaseLoad!$G243,E$8*$Z244,0))</f>
        <v>-</v>
      </c>
      <c r="F244" s="172" t="str">
        <f>IF($A$1="Peak","-",IF(BaseLoad!L243&gt;BaseLoad!$G243,F$8*$Z244,0))</f>
        <v>-</v>
      </c>
      <c r="G244" s="172" t="str">
        <f>IF($A$1="Peak","-",IF(BaseLoad!M243&gt;BaseLoad!$G243,G$8*$Z244,0))</f>
        <v>-</v>
      </c>
      <c r="H244" s="172" t="str">
        <f>IF($A$1="Peak","-",IF(BaseLoad!N243&gt;BaseLoad!$G243,H$8*$Z244,0))</f>
        <v>-</v>
      </c>
      <c r="I244" s="172" t="str">
        <f>IF($A$1="Peak","-",IF(BaseLoad!O243&gt;BaseLoad!$G243,I$8*$Z244,0))</f>
        <v>-</v>
      </c>
      <c r="J244" s="172" t="str">
        <f>IF($A$1="Peak","-",IF(BaseLoad!P243&gt;BaseLoad!$G243,J$8*$Z244,0))</f>
        <v>-</v>
      </c>
      <c r="K244" s="172" t="str">
        <f>IF($A$1="Peak","-",IF(BaseLoad!Q243&gt;BaseLoad!$G243,K$8*$Z244,0))</f>
        <v>-</v>
      </c>
      <c r="L244" s="172" t="str">
        <f>IF($A$1="Peak","-",IF(BaseLoad!R243&gt;BaseLoad!$G243,L$8*$Z244,0))</f>
        <v>-</v>
      </c>
      <c r="M244" s="172" t="str">
        <f>IF($A$1="Peak","-",IF(BaseLoad!S243&gt;BaseLoad!$G243,M$8*$Z244,0))</f>
        <v>-</v>
      </c>
      <c r="N244" s="172" t="str">
        <f>IF($A$1="Peak","-",IF(BaseLoad!T243&gt;BaseLoad!$G243,N$8*$Z244,0))</f>
        <v>-</v>
      </c>
      <c r="O244" s="172" t="str">
        <f>IF($A$1="Peak","-",IF(BaseLoad!U243&gt;BaseLoad!$G243,O$8*$Z244,0))</f>
        <v>-</v>
      </c>
      <c r="P244" s="172" t="str">
        <f>IF($A$1="Peak","-",IF(BaseLoad!V243&gt;BaseLoad!$G243,P$8*$Z244,0))</f>
        <v>-</v>
      </c>
      <c r="Q244" s="172" t="str">
        <f>IF($A$1="Peak","-",IF(BaseLoad!W243&gt;BaseLoad!$G243,Q$8*$Z244,0))</f>
        <v>-</v>
      </c>
      <c r="R244" s="172" t="str">
        <f>IF($A$1="Peak","-",IF(BaseLoad!X243&gt;BaseLoad!$G243,R$8*$Z244,0))</f>
        <v>-</v>
      </c>
      <c r="S244" s="172" t="str">
        <f>IF($A$1="Peak","-",IF(BaseLoad!Y243&gt;BaseLoad!$G243,S$8*$Z244,0))</f>
        <v>-</v>
      </c>
      <c r="T244" s="172" t="str">
        <f>IF($A$1="Peak","-",IF(BaseLoad!Z243&gt;BaseLoad!$G243,T$8*$Z244,0))</f>
        <v>-</v>
      </c>
      <c r="U244" s="172" t="str">
        <f>IF($A$1="Peak","-",IF(BaseLoad!AA243&gt;BaseLoad!$G243,U$8*$Z244,0))</f>
        <v>-</v>
      </c>
      <c r="V244" s="172">
        <f t="shared" si="8"/>
        <v>0</v>
      </c>
      <c r="W244" s="172"/>
      <c r="X244" s="172"/>
      <c r="Y244" s="172"/>
      <c r="Z244" s="172">
        <f>CHOOSE(QUOTIENT(MONTH($A244),3)+1,BaseLoad!$AM$9,BaseLoad!$AN$9,BaseLoad!$AL$9,BaseLoad!$AO$9,BaseLoad!$AM$9)</f>
        <v>0.96612135909558572</v>
      </c>
      <c r="AA244" s="172">
        <f>CHOOSE(QUOTIENT(MONTH($A244),3)+1,BaseLoad!$AM$15,BaseLoad!$AN$15,BaseLoad!$AL$15,BaseLoad!$AO$15,BaseLoad!$AM$15)</f>
        <v>705</v>
      </c>
      <c r="AB244" s="471"/>
      <c r="AD244" s="471"/>
    </row>
    <row r="245" spans="1:30" x14ac:dyDescent="0.2">
      <c r="A245" s="1">
        <f t="shared" si="9"/>
        <v>43687.995000000301</v>
      </c>
      <c r="B245" s="172" t="str">
        <f>IF($A$1="Peak","-",IF(BaseLoad!H244&gt;BaseLoad!$G244,B$8*$Z245,0))</f>
        <v>-</v>
      </c>
      <c r="C245" s="172" t="str">
        <f>IF($A$1="Peak","-",IF(BaseLoad!I244&gt;BaseLoad!$G244,C$8*$Z245,0))</f>
        <v>-</v>
      </c>
      <c r="D245" s="172" t="str">
        <f>IF($A$1="Peak","-",IF(BaseLoad!J244&gt;BaseLoad!$G244,D$8*$Z245,0))</f>
        <v>-</v>
      </c>
      <c r="E245" s="172" t="str">
        <f>IF($A$1="Peak","-",IF(BaseLoad!K244&gt;BaseLoad!$G244,E$8*$Z245,0))</f>
        <v>-</v>
      </c>
      <c r="F245" s="172" t="str">
        <f>IF($A$1="Peak","-",IF(BaseLoad!L244&gt;BaseLoad!$G244,F$8*$Z245,0))</f>
        <v>-</v>
      </c>
      <c r="G245" s="172" t="str">
        <f>IF($A$1="Peak","-",IF(BaseLoad!M244&gt;BaseLoad!$G244,G$8*$Z245,0))</f>
        <v>-</v>
      </c>
      <c r="H245" s="172" t="str">
        <f>IF($A$1="Peak","-",IF(BaseLoad!N244&gt;BaseLoad!$G244,H$8*$Z245,0))</f>
        <v>-</v>
      </c>
      <c r="I245" s="172" t="str">
        <f>IF($A$1="Peak","-",IF(BaseLoad!O244&gt;BaseLoad!$G244,I$8*$Z245,0))</f>
        <v>-</v>
      </c>
      <c r="J245" s="172" t="str">
        <f>IF($A$1="Peak","-",IF(BaseLoad!P244&gt;BaseLoad!$G244,J$8*$Z245,0))</f>
        <v>-</v>
      </c>
      <c r="K245" s="172" t="str">
        <f>IF($A$1="Peak","-",IF(BaseLoad!Q244&gt;BaseLoad!$G244,K$8*$Z245,0))</f>
        <v>-</v>
      </c>
      <c r="L245" s="172" t="str">
        <f>IF($A$1="Peak","-",IF(BaseLoad!R244&gt;BaseLoad!$G244,L$8*$Z245,0))</f>
        <v>-</v>
      </c>
      <c r="M245" s="172" t="str">
        <f>IF($A$1="Peak","-",IF(BaseLoad!S244&gt;BaseLoad!$G244,M$8*$Z245,0))</f>
        <v>-</v>
      </c>
      <c r="N245" s="172" t="str">
        <f>IF($A$1="Peak","-",IF(BaseLoad!T244&gt;BaseLoad!$G244,N$8*$Z245,0))</f>
        <v>-</v>
      </c>
      <c r="O245" s="172" t="str">
        <f>IF($A$1="Peak","-",IF(BaseLoad!U244&gt;BaseLoad!$G244,O$8*$Z245,0))</f>
        <v>-</v>
      </c>
      <c r="P245" s="172" t="str">
        <f>IF($A$1="Peak","-",IF(BaseLoad!V244&gt;BaseLoad!$G244,P$8*$Z245,0))</f>
        <v>-</v>
      </c>
      <c r="Q245" s="172" t="str">
        <f>IF($A$1="Peak","-",IF(BaseLoad!W244&gt;BaseLoad!$G244,Q$8*$Z245,0))</f>
        <v>-</v>
      </c>
      <c r="R245" s="172" t="str">
        <f>IF($A$1="Peak","-",IF(BaseLoad!X244&gt;BaseLoad!$G244,R$8*$Z245,0))</f>
        <v>-</v>
      </c>
      <c r="S245" s="172" t="str">
        <f>IF($A$1="Peak","-",IF(BaseLoad!Y244&gt;BaseLoad!$G244,S$8*$Z245,0))</f>
        <v>-</v>
      </c>
      <c r="T245" s="172" t="str">
        <f>IF($A$1="Peak","-",IF(BaseLoad!Z244&gt;BaseLoad!$G244,T$8*$Z245,0))</f>
        <v>-</v>
      </c>
      <c r="U245" s="172" t="str">
        <f>IF($A$1="Peak","-",IF(BaseLoad!AA244&gt;BaseLoad!$G244,U$8*$Z245,0))</f>
        <v>-</v>
      </c>
      <c r="V245" s="172">
        <f t="shared" si="8"/>
        <v>0</v>
      </c>
      <c r="W245" s="172"/>
      <c r="X245" s="172"/>
      <c r="Y245" s="172"/>
      <c r="Z245" s="172">
        <f>CHOOSE(QUOTIENT(MONTH($A245),3)+1,BaseLoad!$AM$9,BaseLoad!$AN$9,BaseLoad!$AL$9,BaseLoad!$AO$9,BaseLoad!$AM$9)</f>
        <v>0.96612135909558572</v>
      </c>
      <c r="AA245" s="172">
        <f>CHOOSE(QUOTIENT(MONTH($A245),3)+1,BaseLoad!$AM$15,BaseLoad!$AN$15,BaseLoad!$AL$15,BaseLoad!$AO$15,BaseLoad!$AM$15)</f>
        <v>705</v>
      </c>
      <c r="AB245" s="471"/>
      <c r="AD245" s="471"/>
    </row>
    <row r="246" spans="1:30" x14ac:dyDescent="0.2">
      <c r="A246" s="1">
        <f t="shared" si="9"/>
        <v>43718.412000000302</v>
      </c>
      <c r="B246" s="172" t="str">
        <f>IF($A$1="Peak","-",IF(BaseLoad!H245&gt;BaseLoad!$G245,B$8*$Z246,0))</f>
        <v>-</v>
      </c>
      <c r="C246" s="172" t="str">
        <f>IF($A$1="Peak","-",IF(BaseLoad!I245&gt;BaseLoad!$G245,C$8*$Z246,0))</f>
        <v>-</v>
      </c>
      <c r="D246" s="172" t="str">
        <f>IF($A$1="Peak","-",IF(BaseLoad!J245&gt;BaseLoad!$G245,D$8*$Z246,0))</f>
        <v>-</v>
      </c>
      <c r="E246" s="172" t="str">
        <f>IF($A$1="Peak","-",IF(BaseLoad!K245&gt;BaseLoad!$G245,E$8*$Z246,0))</f>
        <v>-</v>
      </c>
      <c r="F246" s="172" t="str">
        <f>IF($A$1="Peak","-",IF(BaseLoad!L245&gt;BaseLoad!$G245,F$8*$Z246,0))</f>
        <v>-</v>
      </c>
      <c r="G246" s="172" t="str">
        <f>IF($A$1="Peak","-",IF(BaseLoad!M245&gt;BaseLoad!$G245,G$8*$Z246,0))</f>
        <v>-</v>
      </c>
      <c r="H246" s="172" t="str">
        <f>IF($A$1="Peak","-",IF(BaseLoad!N245&gt;BaseLoad!$G245,H$8*$Z246,0))</f>
        <v>-</v>
      </c>
      <c r="I246" s="172" t="str">
        <f>IF($A$1="Peak","-",IF(BaseLoad!O245&gt;BaseLoad!$G245,I$8*$Z246,0))</f>
        <v>-</v>
      </c>
      <c r="J246" s="172" t="str">
        <f>IF($A$1="Peak","-",IF(BaseLoad!P245&gt;BaseLoad!$G245,J$8*$Z246,0))</f>
        <v>-</v>
      </c>
      <c r="K246" s="172" t="str">
        <f>IF($A$1="Peak","-",IF(BaseLoad!Q245&gt;BaseLoad!$G245,K$8*$Z246,0))</f>
        <v>-</v>
      </c>
      <c r="L246" s="172" t="str">
        <f>IF($A$1="Peak","-",IF(BaseLoad!R245&gt;BaseLoad!$G245,L$8*$Z246,0))</f>
        <v>-</v>
      </c>
      <c r="M246" s="172" t="str">
        <f>IF($A$1="Peak","-",IF(BaseLoad!S245&gt;BaseLoad!$G245,M$8*$Z246,0))</f>
        <v>-</v>
      </c>
      <c r="N246" s="172" t="str">
        <f>IF($A$1="Peak","-",IF(BaseLoad!T245&gt;BaseLoad!$G245,N$8*$Z246,0))</f>
        <v>-</v>
      </c>
      <c r="O246" s="172" t="str">
        <f>IF($A$1="Peak","-",IF(BaseLoad!U245&gt;BaseLoad!$G245,O$8*$Z246,0))</f>
        <v>-</v>
      </c>
      <c r="P246" s="172" t="str">
        <f>IF($A$1="Peak","-",IF(BaseLoad!V245&gt;BaseLoad!$G245,P$8*$Z246,0))</f>
        <v>-</v>
      </c>
      <c r="Q246" s="172" t="str">
        <f>IF($A$1="Peak","-",IF(BaseLoad!W245&gt;BaseLoad!$G245,Q$8*$Z246,0))</f>
        <v>-</v>
      </c>
      <c r="R246" s="172" t="str">
        <f>IF($A$1="Peak","-",IF(BaseLoad!X245&gt;BaseLoad!$G245,R$8*$Z246,0))</f>
        <v>-</v>
      </c>
      <c r="S246" s="172" t="str">
        <f>IF($A$1="Peak","-",IF(BaseLoad!Y245&gt;BaseLoad!$G245,S$8*$Z246,0))</f>
        <v>-</v>
      </c>
      <c r="T246" s="172" t="str">
        <f>IF($A$1="Peak","-",IF(BaseLoad!Z245&gt;BaseLoad!$G245,T$8*$Z246,0))</f>
        <v>-</v>
      </c>
      <c r="U246" s="172" t="str">
        <f>IF($A$1="Peak","-",IF(BaseLoad!AA245&gt;BaseLoad!$G245,U$8*$Z246,0))</f>
        <v>-</v>
      </c>
      <c r="V246" s="172">
        <f t="shared" si="8"/>
        <v>0</v>
      </c>
      <c r="W246" s="172"/>
      <c r="X246" s="172"/>
      <c r="Y246" s="172"/>
      <c r="Z246" s="172">
        <f>CHOOSE(QUOTIENT(MONTH($A246),3)+1,BaseLoad!$AM$9,BaseLoad!$AN$9,BaseLoad!$AL$9,BaseLoad!$AO$9,BaseLoad!$AM$9)</f>
        <v>0.95</v>
      </c>
      <c r="AA246" s="172">
        <f>CHOOSE(QUOTIENT(MONTH($A246),3)+1,BaseLoad!$AM$15,BaseLoad!$AN$15,BaseLoad!$AL$15,BaseLoad!$AO$15,BaseLoad!$AM$15)</f>
        <v>705</v>
      </c>
      <c r="AB246" s="471"/>
      <c r="AD246" s="471"/>
    </row>
    <row r="247" spans="1:30" x14ac:dyDescent="0.2">
      <c r="A247" s="1">
        <f t="shared" si="9"/>
        <v>43748.829000000303</v>
      </c>
      <c r="B247" s="172" t="str">
        <f>IF($A$1="Peak","-",IF(BaseLoad!H246&gt;BaseLoad!$G246,B$8*$Z247,0))</f>
        <v>-</v>
      </c>
      <c r="C247" s="172" t="str">
        <f>IF($A$1="Peak","-",IF(BaseLoad!I246&gt;BaseLoad!$G246,C$8*$Z247,0))</f>
        <v>-</v>
      </c>
      <c r="D247" s="172" t="str">
        <f>IF($A$1="Peak","-",IF(BaseLoad!J246&gt;BaseLoad!$G246,D$8*$Z247,0))</f>
        <v>-</v>
      </c>
      <c r="E247" s="172" t="str">
        <f>IF($A$1="Peak","-",IF(BaseLoad!K246&gt;BaseLoad!$G246,E$8*$Z247,0))</f>
        <v>-</v>
      </c>
      <c r="F247" s="172" t="str">
        <f>IF($A$1="Peak","-",IF(BaseLoad!L246&gt;BaseLoad!$G246,F$8*$Z247,0))</f>
        <v>-</v>
      </c>
      <c r="G247" s="172" t="str">
        <f>IF($A$1="Peak","-",IF(BaseLoad!M246&gt;BaseLoad!$G246,G$8*$Z247,0))</f>
        <v>-</v>
      </c>
      <c r="H247" s="172" t="str">
        <f>IF($A$1="Peak","-",IF(BaseLoad!N246&gt;BaseLoad!$G246,H$8*$Z247,0))</f>
        <v>-</v>
      </c>
      <c r="I247" s="172" t="str">
        <f>IF($A$1="Peak","-",IF(BaseLoad!O246&gt;BaseLoad!$G246,I$8*$Z247,0))</f>
        <v>-</v>
      </c>
      <c r="J247" s="172" t="str">
        <f>IF($A$1="Peak","-",IF(BaseLoad!P246&gt;BaseLoad!$G246,J$8*$Z247,0))</f>
        <v>-</v>
      </c>
      <c r="K247" s="172" t="str">
        <f>IF($A$1="Peak","-",IF(BaseLoad!Q246&gt;BaseLoad!$G246,K$8*$Z247,0))</f>
        <v>-</v>
      </c>
      <c r="L247" s="172" t="str">
        <f>IF($A$1="Peak","-",IF(BaseLoad!R246&gt;BaseLoad!$G246,L$8*$Z247,0))</f>
        <v>-</v>
      </c>
      <c r="M247" s="172" t="str">
        <f>IF($A$1="Peak","-",IF(BaseLoad!S246&gt;BaseLoad!$G246,M$8*$Z247,0))</f>
        <v>-</v>
      </c>
      <c r="N247" s="172" t="str">
        <f>IF($A$1="Peak","-",IF(BaseLoad!T246&gt;BaseLoad!$G246,N$8*$Z247,0))</f>
        <v>-</v>
      </c>
      <c r="O247" s="172" t="str">
        <f>IF($A$1="Peak","-",IF(BaseLoad!U246&gt;BaseLoad!$G246,O$8*$Z247,0))</f>
        <v>-</v>
      </c>
      <c r="P247" s="172" t="str">
        <f>IF($A$1="Peak","-",IF(BaseLoad!V246&gt;BaseLoad!$G246,P$8*$Z247,0))</f>
        <v>-</v>
      </c>
      <c r="Q247" s="172" t="str">
        <f>IF($A$1="Peak","-",IF(BaseLoad!W246&gt;BaseLoad!$G246,Q$8*$Z247,0))</f>
        <v>-</v>
      </c>
      <c r="R247" s="172" t="str">
        <f>IF($A$1="Peak","-",IF(BaseLoad!X246&gt;BaseLoad!$G246,R$8*$Z247,0))</f>
        <v>-</v>
      </c>
      <c r="S247" s="172" t="str">
        <f>IF($A$1="Peak","-",IF(BaseLoad!Y246&gt;BaseLoad!$G246,S$8*$Z247,0))</f>
        <v>-</v>
      </c>
      <c r="T247" s="172" t="str">
        <f>IF($A$1="Peak","-",IF(BaseLoad!Z246&gt;BaseLoad!$G246,T$8*$Z247,0))</f>
        <v>-</v>
      </c>
      <c r="U247" s="172" t="str">
        <f>IF($A$1="Peak","-",IF(BaseLoad!AA246&gt;BaseLoad!$G246,U$8*$Z247,0))</f>
        <v>-</v>
      </c>
      <c r="V247" s="172">
        <f t="shared" si="8"/>
        <v>0</v>
      </c>
      <c r="W247" s="172"/>
      <c r="X247" s="172"/>
      <c r="Y247" s="172"/>
      <c r="Z247" s="172">
        <f>CHOOSE(QUOTIENT(MONTH($A247),3)+1,BaseLoad!$AM$9,BaseLoad!$AN$9,BaseLoad!$AL$9,BaseLoad!$AO$9,BaseLoad!$AM$9)</f>
        <v>0.95</v>
      </c>
      <c r="AA247" s="172">
        <f>CHOOSE(QUOTIENT(MONTH($A247),3)+1,BaseLoad!$AM$15,BaseLoad!$AN$15,BaseLoad!$AL$15,BaseLoad!$AO$15,BaseLoad!$AM$15)</f>
        <v>705</v>
      </c>
      <c r="AB247" s="471"/>
      <c r="AD247" s="471"/>
    </row>
    <row r="248" spans="1:30" x14ac:dyDescent="0.2">
      <c r="A248" s="1">
        <f t="shared" si="9"/>
        <v>43779.246000000305</v>
      </c>
      <c r="B248" s="172" t="str">
        <f>IF($A$1="Peak","-",IF(BaseLoad!H247&gt;BaseLoad!$G247,B$8*$Z248,0))</f>
        <v>-</v>
      </c>
      <c r="C248" s="172" t="str">
        <f>IF($A$1="Peak","-",IF(BaseLoad!I247&gt;BaseLoad!$G247,C$8*$Z248,0))</f>
        <v>-</v>
      </c>
      <c r="D248" s="172" t="str">
        <f>IF($A$1="Peak","-",IF(BaseLoad!J247&gt;BaseLoad!$G247,D$8*$Z248,0))</f>
        <v>-</v>
      </c>
      <c r="E248" s="172" t="str">
        <f>IF($A$1="Peak","-",IF(BaseLoad!K247&gt;BaseLoad!$G247,E$8*$Z248,0))</f>
        <v>-</v>
      </c>
      <c r="F248" s="172" t="str">
        <f>IF($A$1="Peak","-",IF(BaseLoad!L247&gt;BaseLoad!$G247,F$8*$Z248,0))</f>
        <v>-</v>
      </c>
      <c r="G248" s="172" t="str">
        <f>IF($A$1="Peak","-",IF(BaseLoad!M247&gt;BaseLoad!$G247,G$8*$Z248,0))</f>
        <v>-</v>
      </c>
      <c r="H248" s="172" t="str">
        <f>IF($A$1="Peak","-",IF(BaseLoad!N247&gt;BaseLoad!$G247,H$8*$Z248,0))</f>
        <v>-</v>
      </c>
      <c r="I248" s="172" t="str">
        <f>IF($A$1="Peak","-",IF(BaseLoad!O247&gt;BaseLoad!$G247,I$8*$Z248,0))</f>
        <v>-</v>
      </c>
      <c r="J248" s="172" t="str">
        <f>IF($A$1="Peak","-",IF(BaseLoad!P247&gt;BaseLoad!$G247,J$8*$Z248,0))</f>
        <v>-</v>
      </c>
      <c r="K248" s="172" t="str">
        <f>IF($A$1="Peak","-",IF(BaseLoad!Q247&gt;BaseLoad!$G247,K$8*$Z248,0))</f>
        <v>-</v>
      </c>
      <c r="L248" s="172" t="str">
        <f>IF($A$1="Peak","-",IF(BaseLoad!R247&gt;BaseLoad!$G247,L$8*$Z248,0))</f>
        <v>-</v>
      </c>
      <c r="M248" s="172" t="str">
        <f>IF($A$1="Peak","-",IF(BaseLoad!S247&gt;BaseLoad!$G247,M$8*$Z248,0))</f>
        <v>-</v>
      </c>
      <c r="N248" s="172" t="str">
        <f>IF($A$1="Peak","-",IF(BaseLoad!T247&gt;BaseLoad!$G247,N$8*$Z248,0))</f>
        <v>-</v>
      </c>
      <c r="O248" s="172" t="str">
        <f>IF($A$1="Peak","-",IF(BaseLoad!U247&gt;BaseLoad!$G247,O$8*$Z248,0))</f>
        <v>-</v>
      </c>
      <c r="P248" s="172" t="str">
        <f>IF($A$1="Peak","-",IF(BaseLoad!V247&gt;BaseLoad!$G247,P$8*$Z248,0))</f>
        <v>-</v>
      </c>
      <c r="Q248" s="172" t="str">
        <f>IF($A$1="Peak","-",IF(BaseLoad!W247&gt;BaseLoad!$G247,Q$8*$Z248,0))</f>
        <v>-</v>
      </c>
      <c r="R248" s="172" t="str">
        <f>IF($A$1="Peak","-",IF(BaseLoad!X247&gt;BaseLoad!$G247,R$8*$Z248,0))</f>
        <v>-</v>
      </c>
      <c r="S248" s="172" t="str">
        <f>IF($A$1="Peak","-",IF(BaseLoad!Y247&gt;BaseLoad!$G247,S$8*$Z248,0))</f>
        <v>-</v>
      </c>
      <c r="T248" s="172" t="str">
        <f>IF($A$1="Peak","-",IF(BaseLoad!Z247&gt;BaseLoad!$G247,T$8*$Z248,0))</f>
        <v>-</v>
      </c>
      <c r="U248" s="172" t="str">
        <f>IF($A$1="Peak","-",IF(BaseLoad!AA247&gt;BaseLoad!$G247,U$8*$Z248,0))</f>
        <v>-</v>
      </c>
      <c r="V248" s="172">
        <f t="shared" si="8"/>
        <v>0</v>
      </c>
      <c r="W248" s="172"/>
      <c r="X248" s="172"/>
      <c r="Y248" s="172"/>
      <c r="Z248" s="172">
        <f>CHOOSE(QUOTIENT(MONTH($A248),3)+1,BaseLoad!$AM$9,BaseLoad!$AN$9,BaseLoad!$AL$9,BaseLoad!$AO$9,BaseLoad!$AM$9)</f>
        <v>0.95</v>
      </c>
      <c r="AA248" s="172">
        <f>CHOOSE(QUOTIENT(MONTH($A248),3)+1,BaseLoad!$AM$15,BaseLoad!$AN$15,BaseLoad!$AL$15,BaseLoad!$AO$15,BaseLoad!$AM$15)</f>
        <v>705</v>
      </c>
      <c r="AB248" s="471"/>
      <c r="AD248" s="471"/>
    </row>
    <row r="249" spans="1:30" x14ac:dyDescent="0.2">
      <c r="A249" s="1">
        <f t="shared" si="9"/>
        <v>43809.663000000306</v>
      </c>
      <c r="B249" s="172" t="str">
        <f>IF($A$1="Peak","-",IF(BaseLoad!H248&gt;BaseLoad!$G248,B$8*$Z249,0))</f>
        <v>-</v>
      </c>
      <c r="C249" s="172" t="str">
        <f>IF($A$1="Peak","-",IF(BaseLoad!I248&gt;BaseLoad!$G248,C$8*$Z249,0))</f>
        <v>-</v>
      </c>
      <c r="D249" s="172" t="str">
        <f>IF($A$1="Peak","-",IF(BaseLoad!J248&gt;BaseLoad!$G248,D$8*$Z249,0))</f>
        <v>-</v>
      </c>
      <c r="E249" s="172" t="str">
        <f>IF($A$1="Peak","-",IF(BaseLoad!K248&gt;BaseLoad!$G248,E$8*$Z249,0))</f>
        <v>-</v>
      </c>
      <c r="F249" s="172" t="str">
        <f>IF($A$1="Peak","-",IF(BaseLoad!L248&gt;BaseLoad!$G248,F$8*$Z249,0))</f>
        <v>-</v>
      </c>
      <c r="G249" s="172" t="str">
        <f>IF($A$1="Peak","-",IF(BaseLoad!M248&gt;BaseLoad!$G248,G$8*$Z249,0))</f>
        <v>-</v>
      </c>
      <c r="H249" s="172" t="str">
        <f>IF($A$1="Peak","-",IF(BaseLoad!N248&gt;BaseLoad!$G248,H$8*$Z249,0))</f>
        <v>-</v>
      </c>
      <c r="I249" s="172" t="str">
        <f>IF($A$1="Peak","-",IF(BaseLoad!O248&gt;BaseLoad!$G248,I$8*$Z249,0))</f>
        <v>-</v>
      </c>
      <c r="J249" s="172" t="str">
        <f>IF($A$1="Peak","-",IF(BaseLoad!P248&gt;BaseLoad!$G248,J$8*$Z249,0))</f>
        <v>-</v>
      </c>
      <c r="K249" s="172" t="str">
        <f>IF($A$1="Peak","-",IF(BaseLoad!Q248&gt;BaseLoad!$G248,K$8*$Z249,0))</f>
        <v>-</v>
      </c>
      <c r="L249" s="172" t="str">
        <f>IF($A$1="Peak","-",IF(BaseLoad!R248&gt;BaseLoad!$G248,L$8*$Z249,0))</f>
        <v>-</v>
      </c>
      <c r="M249" s="172" t="str">
        <f>IF($A$1="Peak","-",IF(BaseLoad!S248&gt;BaseLoad!$G248,M$8*$Z249,0))</f>
        <v>-</v>
      </c>
      <c r="N249" s="172" t="str">
        <f>IF($A$1="Peak","-",IF(BaseLoad!T248&gt;BaseLoad!$G248,N$8*$Z249,0))</f>
        <v>-</v>
      </c>
      <c r="O249" s="172" t="str">
        <f>IF($A$1="Peak","-",IF(BaseLoad!U248&gt;BaseLoad!$G248,O$8*$Z249,0))</f>
        <v>-</v>
      </c>
      <c r="P249" s="172" t="str">
        <f>IF($A$1="Peak","-",IF(BaseLoad!V248&gt;BaseLoad!$G248,P$8*$Z249,0))</f>
        <v>-</v>
      </c>
      <c r="Q249" s="172" t="str">
        <f>IF($A$1="Peak","-",IF(BaseLoad!W248&gt;BaseLoad!$G248,Q$8*$Z249,0))</f>
        <v>-</v>
      </c>
      <c r="R249" s="172" t="str">
        <f>IF($A$1="Peak","-",IF(BaseLoad!X248&gt;BaseLoad!$G248,R$8*$Z249,0))</f>
        <v>-</v>
      </c>
      <c r="S249" s="172" t="str">
        <f>IF($A$1="Peak","-",IF(BaseLoad!Y248&gt;BaseLoad!$G248,S$8*$Z249,0))</f>
        <v>-</v>
      </c>
      <c r="T249" s="172" t="str">
        <f>IF($A$1="Peak","-",IF(BaseLoad!Z248&gt;BaseLoad!$G248,T$8*$Z249,0))</f>
        <v>-</v>
      </c>
      <c r="U249" s="172" t="str">
        <f>IF($A$1="Peak","-",IF(BaseLoad!AA248&gt;BaseLoad!$G248,U$8*$Z249,0))</f>
        <v>-</v>
      </c>
      <c r="V249" s="172">
        <f t="shared" si="8"/>
        <v>0</v>
      </c>
      <c r="W249" s="172"/>
      <c r="X249" s="172"/>
      <c r="Y249" s="172">
        <f>SUM(V238:V249)</f>
        <v>0</v>
      </c>
      <c r="Z249" s="172">
        <f>CHOOSE(QUOTIENT(MONTH($A249),3)+1,BaseLoad!$AM$9,BaseLoad!$AN$9,BaseLoad!$AL$9,BaseLoad!$AO$9,BaseLoad!$AM$9)</f>
        <v>0.92427661878611755</v>
      </c>
      <c r="AA249" s="172">
        <f>CHOOSE(QUOTIENT(MONTH($A249),3)+1,BaseLoad!$AM$15,BaseLoad!$AN$15,BaseLoad!$AL$15,BaseLoad!$AO$15,BaseLoad!$AM$15)</f>
        <v>705</v>
      </c>
      <c r="AB249" s="471"/>
      <c r="AD249" s="471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249"/>
  <sheetViews>
    <sheetView workbookViewId="0">
      <selection activeCell="A10" sqref="A10"/>
    </sheetView>
  </sheetViews>
  <sheetFormatPr defaultRowHeight="12.75" x14ac:dyDescent="0.2"/>
  <cols>
    <col min="22" max="22" width="8.140625" bestFit="1" customWidth="1"/>
    <col min="23" max="23" width="7.28515625" bestFit="1" customWidth="1"/>
  </cols>
  <sheetData>
    <row r="1" spans="1:25" x14ac:dyDescent="0.2">
      <c r="A1" s="13" t="str">
        <f>'Peak Revenue'!A1</f>
        <v>Peak</v>
      </c>
    </row>
    <row r="2" spans="1:25" x14ac:dyDescent="0.2">
      <c r="A2" s="13"/>
    </row>
    <row r="3" spans="1:25" x14ac:dyDescent="0.2">
      <c r="A3" s="13"/>
    </row>
    <row r="4" spans="1:25" x14ac:dyDescent="0.2">
      <c r="A4" s="13"/>
    </row>
    <row r="5" spans="1:25" x14ac:dyDescent="0.2">
      <c r="A5" s="13"/>
    </row>
    <row r="6" spans="1:25" x14ac:dyDescent="0.2">
      <c r="V6" s="12" t="s">
        <v>171</v>
      </c>
      <c r="W6" s="12" t="s">
        <v>172</v>
      </c>
      <c r="X6" s="165" t="s">
        <v>306</v>
      </c>
      <c r="Y6" s="165" t="s">
        <v>306</v>
      </c>
    </row>
    <row r="7" spans="1:25" x14ac:dyDescent="0.2">
      <c r="B7" s="165" t="s">
        <v>0</v>
      </c>
      <c r="C7" s="166" t="s">
        <v>1</v>
      </c>
      <c r="D7" s="166" t="s">
        <v>2</v>
      </c>
      <c r="E7" s="166" t="s">
        <v>3</v>
      </c>
      <c r="F7" s="166" t="s">
        <v>4</v>
      </c>
      <c r="G7" s="166" t="s">
        <v>5</v>
      </c>
      <c r="H7" s="166" t="s">
        <v>6</v>
      </c>
      <c r="I7" s="166" t="s">
        <v>7</v>
      </c>
      <c r="J7" s="166" t="s">
        <v>8</v>
      </c>
      <c r="K7" s="166" t="s">
        <v>9</v>
      </c>
      <c r="L7" s="166" t="s">
        <v>10</v>
      </c>
      <c r="M7" s="166" t="s">
        <v>11</v>
      </c>
      <c r="N7" s="166" t="s">
        <v>12</v>
      </c>
      <c r="O7" s="166" t="s">
        <v>13</v>
      </c>
      <c r="P7" s="166" t="s">
        <v>14</v>
      </c>
      <c r="Q7" s="166" t="s">
        <v>15</v>
      </c>
      <c r="R7" s="166" t="s">
        <v>16</v>
      </c>
      <c r="S7" s="166" t="s">
        <v>17</v>
      </c>
      <c r="T7" s="166" t="s">
        <v>18</v>
      </c>
      <c r="U7" s="166" t="s">
        <v>19</v>
      </c>
      <c r="V7" s="166" t="s">
        <v>135</v>
      </c>
      <c r="W7" s="176" t="s">
        <v>135</v>
      </c>
      <c r="X7" s="165" t="s">
        <v>45</v>
      </c>
      <c r="Y7" s="165" t="s">
        <v>26</v>
      </c>
    </row>
    <row r="8" spans="1:25" x14ac:dyDescent="0.2">
      <c r="B8" s="167">
        <v>5</v>
      </c>
      <c r="C8" s="168">
        <v>5</v>
      </c>
      <c r="D8" s="168">
        <v>10</v>
      </c>
      <c r="E8" s="168">
        <v>20</v>
      </c>
      <c r="F8" s="168">
        <v>20</v>
      </c>
      <c r="G8" s="168">
        <v>40</v>
      </c>
      <c r="H8" s="168">
        <v>40</v>
      </c>
      <c r="I8" s="168">
        <v>40</v>
      </c>
      <c r="J8" s="168">
        <v>40</v>
      </c>
      <c r="K8" s="168">
        <v>40</v>
      </c>
      <c r="L8" s="168">
        <v>40</v>
      </c>
      <c r="M8" s="168">
        <v>40</v>
      </c>
      <c r="N8" s="168">
        <v>40</v>
      </c>
      <c r="O8" s="168">
        <v>40</v>
      </c>
      <c r="P8" s="168">
        <v>40</v>
      </c>
      <c r="Q8" s="168">
        <v>40</v>
      </c>
      <c r="R8" s="168">
        <v>40</v>
      </c>
      <c r="S8" s="168">
        <v>40</v>
      </c>
      <c r="T8" s="168">
        <v>40</v>
      </c>
      <c r="U8" s="168">
        <v>110</v>
      </c>
      <c r="V8" s="169">
        <f>SUM(B8:U8)</f>
        <v>730</v>
      </c>
      <c r="X8" s="167"/>
      <c r="Y8" s="167"/>
    </row>
    <row r="9" spans="1:25" x14ac:dyDescent="0.2">
      <c r="B9" s="170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X9" s="170"/>
      <c r="Y9" s="170"/>
    </row>
    <row r="10" spans="1:25" x14ac:dyDescent="0.2">
      <c r="A10" s="1">
        <v>36540</v>
      </c>
      <c r="B10" s="172">
        <f>IF('Peak Revenue'!$A$1="BL","-",IF(Peak!H11&gt;Peak!$G11,B$8*$X10,0))</f>
        <v>0</v>
      </c>
      <c r="C10" s="172">
        <f>IF('Peak Revenue'!$A$1="BL","-",IF(Peak!I11&gt;Peak!$G11,C$8*$X10,0))</f>
        <v>0</v>
      </c>
      <c r="D10" s="172">
        <f>IF('Peak Revenue'!$A$1="BL","-",IF(Peak!J11&gt;Peak!$G11,D$8*$X10,0))</f>
        <v>0</v>
      </c>
      <c r="E10" s="172">
        <f>IF('Peak Revenue'!$A$1="BL","-",IF(Peak!K11&gt;Peak!$G11,E$8*$X10,0))</f>
        <v>0</v>
      </c>
      <c r="F10" s="172">
        <f>IF('Peak Revenue'!$A$1="BL","-",IF(Peak!L11&gt;Peak!$G11,F$8*$X10,0))</f>
        <v>0</v>
      </c>
      <c r="G10" s="172">
        <f>IF('Peak Revenue'!$A$1="BL","-",IF(Peak!M11&gt;Peak!$G11,G$8*$X10,0))</f>
        <v>0</v>
      </c>
      <c r="H10" s="172">
        <f>IF('Peak Revenue'!$A$1="BL","-",IF(Peak!N11&gt;Peak!$G11,H$8*$X10,0))</f>
        <v>0</v>
      </c>
      <c r="I10" s="172">
        <f>IF('Peak Revenue'!$A$1="BL","-",IF(Peak!O11&gt;Peak!$G11,I$8*$X10,0))</f>
        <v>0</v>
      </c>
      <c r="J10" s="172">
        <f>IF('Peak Revenue'!$A$1="BL","-",IF(Peak!P11&gt;Peak!$G11,J$8*$X10,0))</f>
        <v>0</v>
      </c>
      <c r="K10" s="172">
        <f>IF('Peak Revenue'!$A$1="BL","-",IF(Peak!Q11&gt;Peak!$G11,K$8*$X10,0))</f>
        <v>0</v>
      </c>
      <c r="L10" s="172">
        <f>IF('Peak Revenue'!$A$1="BL","-",IF(Peak!R11&gt;Peak!$G11,L$8*$X10,0))</f>
        <v>0</v>
      </c>
      <c r="M10" s="172">
        <f>IF('Peak Revenue'!$A$1="BL","-",IF(Peak!S11&gt;Peak!$G11,M$8*$X10,0))</f>
        <v>0</v>
      </c>
      <c r="N10" s="172">
        <f>IF('Peak Revenue'!$A$1="BL","-",IF(Peak!T11&gt;Peak!$G11,N$8*$X10,0))</f>
        <v>0</v>
      </c>
      <c r="O10" s="172">
        <f>IF('Peak Revenue'!$A$1="BL","-",IF(Peak!U11&gt;Peak!$G11,O$8*$X10,0))</f>
        <v>0</v>
      </c>
      <c r="P10" s="172">
        <f>IF('Peak Revenue'!$A$1="BL","-",IF(Peak!V11&gt;Peak!$G11,P$8*$X10,0))</f>
        <v>0</v>
      </c>
      <c r="Q10" s="172">
        <f>IF('Peak Revenue'!$A$1="BL","-",IF(Peak!W11&gt;Peak!$G11,Q$8*$X10,0))</f>
        <v>0</v>
      </c>
      <c r="R10" s="172">
        <f>IF('Peak Revenue'!$A$1="BL","-",IF(Peak!X11&gt;Peak!$G11,R$8*$X10,0))</f>
        <v>0</v>
      </c>
      <c r="S10" s="172">
        <f>IF('Peak Revenue'!$A$1="BL","-",IF(Peak!Y11&gt;Peak!$G11,S$8*$X10,0))</f>
        <v>0</v>
      </c>
      <c r="T10" s="172">
        <f>IF('Peak Revenue'!$A$1="BL","-",IF(Peak!Z11&gt;Peak!$G11,T$8*$X10,0))</f>
        <v>0</v>
      </c>
      <c r="U10" s="172">
        <f>IF('Peak Revenue'!$A$1="BL","-",IF(Peak!AA11&gt;Peak!$G11,U$8*$X10,0))</f>
        <v>0</v>
      </c>
      <c r="V10" s="174">
        <f>SUM(B10:U10)</f>
        <v>0</v>
      </c>
      <c r="W10" s="173"/>
      <c r="X10" s="473">
        <f>CHOOSE(QUOTIENT(MONTH($A10),3)+1,Peak!$AM$11,Peak!$AN$11,Peak!$AL$11,Peak!$AO$11,Peak!$AM$11)</f>
        <v>0.92427661878611755</v>
      </c>
      <c r="Y10" s="474">
        <f>CHOOSE(QUOTIENT(MONTH($A10),3)+1,Peak!$AM$17,Peak!$AN$17,Peak!$AL$17,Peak!$AO$17,Peak!$AM$17)</f>
        <v>705</v>
      </c>
    </row>
    <row r="11" spans="1:25" x14ac:dyDescent="0.2">
      <c r="A11" s="1">
        <f>A10+30.417</f>
        <v>36570.417000000001</v>
      </c>
      <c r="B11" s="172">
        <f>IF('Peak Revenue'!$A$1="BL","-",IF(Peak!H12&gt;Peak!$G12,B$8*$X11,0))</f>
        <v>0</v>
      </c>
      <c r="C11" s="172">
        <f>IF('Peak Revenue'!$A$1="BL","-",IF(Peak!I12&gt;Peak!$G12,C$8*$X11,0))</f>
        <v>0</v>
      </c>
      <c r="D11" s="172">
        <f>IF('Peak Revenue'!$A$1="BL","-",IF(Peak!J12&gt;Peak!$G12,D$8*$X11,0))</f>
        <v>0</v>
      </c>
      <c r="E11" s="172">
        <f>IF('Peak Revenue'!$A$1="BL","-",IF(Peak!K12&gt;Peak!$G12,E$8*$X11,0))</f>
        <v>0</v>
      </c>
      <c r="F11" s="172">
        <f>IF('Peak Revenue'!$A$1="BL","-",IF(Peak!L12&gt;Peak!$G12,F$8*$X11,0))</f>
        <v>0</v>
      </c>
      <c r="G11" s="172">
        <f>IF('Peak Revenue'!$A$1="BL","-",IF(Peak!M12&gt;Peak!$G12,G$8*$X11,0))</f>
        <v>0</v>
      </c>
      <c r="H11" s="172">
        <f>IF('Peak Revenue'!$A$1="BL","-",IF(Peak!N12&gt;Peak!$G12,H$8*$X11,0))</f>
        <v>0</v>
      </c>
      <c r="I11" s="172">
        <f>IF('Peak Revenue'!$A$1="BL","-",IF(Peak!O12&gt;Peak!$G12,I$8*$X11,0))</f>
        <v>0</v>
      </c>
      <c r="J11" s="172">
        <f>IF('Peak Revenue'!$A$1="BL","-",IF(Peak!P12&gt;Peak!$G12,J$8*$X11,0))</f>
        <v>0</v>
      </c>
      <c r="K11" s="172">
        <f>IF('Peak Revenue'!$A$1="BL","-",IF(Peak!Q12&gt;Peak!$G12,K$8*$X11,0))</f>
        <v>0</v>
      </c>
      <c r="L11" s="172">
        <f>IF('Peak Revenue'!$A$1="BL","-",IF(Peak!R12&gt;Peak!$G12,L$8*$X11,0))</f>
        <v>0</v>
      </c>
      <c r="M11" s="172">
        <f>IF('Peak Revenue'!$A$1="BL","-",IF(Peak!S12&gt;Peak!$G12,M$8*$X11,0))</f>
        <v>0</v>
      </c>
      <c r="N11" s="172">
        <f>IF('Peak Revenue'!$A$1="BL","-",IF(Peak!T12&gt;Peak!$G12,N$8*$X11,0))</f>
        <v>0</v>
      </c>
      <c r="O11" s="172">
        <f>IF('Peak Revenue'!$A$1="BL","-",IF(Peak!U12&gt;Peak!$G12,O$8*$X11,0))</f>
        <v>0</v>
      </c>
      <c r="P11" s="172">
        <f>IF('Peak Revenue'!$A$1="BL","-",IF(Peak!V12&gt;Peak!$G12,P$8*$X11,0))</f>
        <v>0</v>
      </c>
      <c r="Q11" s="172">
        <f>IF('Peak Revenue'!$A$1="BL","-",IF(Peak!W12&gt;Peak!$G12,Q$8*$X11,0))</f>
        <v>0</v>
      </c>
      <c r="R11" s="172">
        <f>IF('Peak Revenue'!$A$1="BL","-",IF(Peak!X12&gt;Peak!$G12,R$8*$X11,0))</f>
        <v>0</v>
      </c>
      <c r="S11" s="172">
        <f>IF('Peak Revenue'!$A$1="BL","-",IF(Peak!Y12&gt;Peak!$G12,S$8*$X11,0))</f>
        <v>0</v>
      </c>
      <c r="T11" s="172">
        <f>IF('Peak Revenue'!$A$1="BL","-",IF(Peak!Z12&gt;Peak!$G12,T$8*$X11,0))</f>
        <v>0</v>
      </c>
      <c r="U11" s="172">
        <f>IF('Peak Revenue'!$A$1="BL","-",IF(Peak!AA12&gt;Peak!$G12,U$8*$X11,0))</f>
        <v>0</v>
      </c>
      <c r="V11" s="175">
        <f t="shared" ref="V11:V74" si="0">SUM(B11:U11)</f>
        <v>0</v>
      </c>
      <c r="W11" s="164"/>
      <c r="X11" s="473">
        <f>CHOOSE(QUOTIENT(MONTH($A11),3)+1,Peak!$AM$11,Peak!$AN$11,Peak!$AL$11,Peak!$AO$11,Peak!$AM$11)</f>
        <v>0.92427661878611755</v>
      </c>
      <c r="Y11" s="474">
        <f>CHOOSE(QUOTIENT(MONTH($A11),3)+1,Peak!$AM$17,Peak!$AN$17,Peak!$AL$17,Peak!$AO$17,Peak!$AM$17)</f>
        <v>705</v>
      </c>
    </row>
    <row r="12" spans="1:25" x14ac:dyDescent="0.2">
      <c r="A12" s="1">
        <f t="shared" ref="A12:A75" si="1">A11+30.417</f>
        <v>36600.834000000003</v>
      </c>
      <c r="B12" s="172">
        <f>IF('Peak Revenue'!$A$1="BL","-",IF(Peak!H13&gt;Peak!$G13,B$8*$X12,0))</f>
        <v>0</v>
      </c>
      <c r="C12" s="172">
        <f>IF('Peak Revenue'!$A$1="BL","-",IF(Peak!I13&gt;Peak!$G13,C$8*$X12,0))</f>
        <v>0</v>
      </c>
      <c r="D12" s="172">
        <f>IF('Peak Revenue'!$A$1="BL","-",IF(Peak!J13&gt;Peak!$G13,D$8*$X12,0))</f>
        <v>0</v>
      </c>
      <c r="E12" s="172">
        <f>IF('Peak Revenue'!$A$1="BL","-",IF(Peak!K13&gt;Peak!$G13,E$8*$X12,0))</f>
        <v>0</v>
      </c>
      <c r="F12" s="172">
        <f>IF('Peak Revenue'!$A$1="BL","-",IF(Peak!L13&gt;Peak!$G13,F$8*$X12,0))</f>
        <v>0</v>
      </c>
      <c r="G12" s="172">
        <f>IF('Peak Revenue'!$A$1="BL","-",IF(Peak!M13&gt;Peak!$G13,G$8*$X12,0))</f>
        <v>0</v>
      </c>
      <c r="H12" s="172">
        <f>IF('Peak Revenue'!$A$1="BL","-",IF(Peak!N13&gt;Peak!$G13,H$8*$X12,0))</f>
        <v>0</v>
      </c>
      <c r="I12" s="172">
        <f>IF('Peak Revenue'!$A$1="BL","-",IF(Peak!O13&gt;Peak!$G13,I$8*$X12,0))</f>
        <v>0</v>
      </c>
      <c r="J12" s="172">
        <f>IF('Peak Revenue'!$A$1="BL","-",IF(Peak!P13&gt;Peak!$G13,J$8*$X12,0))</f>
        <v>0</v>
      </c>
      <c r="K12" s="172">
        <f>IF('Peak Revenue'!$A$1="BL","-",IF(Peak!Q13&gt;Peak!$G13,K$8*$X12,0))</f>
        <v>0</v>
      </c>
      <c r="L12" s="172">
        <f>IF('Peak Revenue'!$A$1="BL","-",IF(Peak!R13&gt;Peak!$G13,L$8*$X12,0))</f>
        <v>0</v>
      </c>
      <c r="M12" s="172">
        <f>IF('Peak Revenue'!$A$1="BL","-",IF(Peak!S13&gt;Peak!$G13,M$8*$X12,0))</f>
        <v>0</v>
      </c>
      <c r="N12" s="172">
        <f>IF('Peak Revenue'!$A$1="BL","-",IF(Peak!T13&gt;Peak!$G13,N$8*$X12,0))</f>
        <v>0</v>
      </c>
      <c r="O12" s="172">
        <f>IF('Peak Revenue'!$A$1="BL","-",IF(Peak!U13&gt;Peak!$G13,O$8*$X12,0))</f>
        <v>0</v>
      </c>
      <c r="P12" s="172">
        <f>IF('Peak Revenue'!$A$1="BL","-",IF(Peak!V13&gt;Peak!$G13,P$8*$X12,0))</f>
        <v>0</v>
      </c>
      <c r="Q12" s="172">
        <f>IF('Peak Revenue'!$A$1="BL","-",IF(Peak!W13&gt;Peak!$G13,Q$8*$X12,0))</f>
        <v>0</v>
      </c>
      <c r="R12" s="172">
        <f>IF('Peak Revenue'!$A$1="BL","-",IF(Peak!X13&gt;Peak!$G13,R$8*$X12,0))</f>
        <v>0</v>
      </c>
      <c r="S12" s="172">
        <f>IF('Peak Revenue'!$A$1="BL","-",IF(Peak!Y13&gt;Peak!$G13,S$8*$X12,0))</f>
        <v>0</v>
      </c>
      <c r="T12" s="172">
        <f>IF('Peak Revenue'!$A$1="BL","-",IF(Peak!Z13&gt;Peak!$G13,T$8*$X12,0))</f>
        <v>0</v>
      </c>
      <c r="U12" s="172">
        <f>IF('Peak Revenue'!$A$1="BL","-",IF(Peak!AA13&gt;Peak!$G13,U$8*$X12,0))</f>
        <v>0</v>
      </c>
      <c r="V12" s="175">
        <f t="shared" si="0"/>
        <v>0</v>
      </c>
      <c r="W12" s="164"/>
      <c r="X12" s="473">
        <f>CHOOSE(QUOTIENT(MONTH($A12),3)+1,Peak!$AM$11,Peak!$AN$11,Peak!$AL$11,Peak!$AO$11,Peak!$AM$11)</f>
        <v>0.95</v>
      </c>
      <c r="Y12" s="474">
        <f>CHOOSE(QUOTIENT(MONTH($A12),3)+1,Peak!$AM$17,Peak!$AN$17,Peak!$AL$17,Peak!$AO$17,Peak!$AM$17)</f>
        <v>705</v>
      </c>
    </row>
    <row r="13" spans="1:25" x14ac:dyDescent="0.2">
      <c r="A13" s="1">
        <f t="shared" si="1"/>
        <v>36631.251000000004</v>
      </c>
      <c r="B13" s="172">
        <f>IF('Peak Revenue'!$A$1="BL","-",IF(Peak!H14&gt;Peak!$G14,B$8*$X13,0))</f>
        <v>0</v>
      </c>
      <c r="C13" s="172">
        <f>IF('Peak Revenue'!$A$1="BL","-",IF(Peak!I14&gt;Peak!$G14,C$8*$X13,0))</f>
        <v>0</v>
      </c>
      <c r="D13" s="172">
        <f>IF('Peak Revenue'!$A$1="BL","-",IF(Peak!J14&gt;Peak!$G14,D$8*$X13,0))</f>
        <v>0</v>
      </c>
      <c r="E13" s="172">
        <f>IF('Peak Revenue'!$A$1="BL","-",IF(Peak!K14&gt;Peak!$G14,E$8*$X13,0))</f>
        <v>0</v>
      </c>
      <c r="F13" s="172">
        <f>IF('Peak Revenue'!$A$1="BL","-",IF(Peak!L14&gt;Peak!$G14,F$8*$X13,0))</f>
        <v>0</v>
      </c>
      <c r="G13" s="172">
        <f>IF('Peak Revenue'!$A$1="BL","-",IF(Peak!M14&gt;Peak!$G14,G$8*$X13,0))</f>
        <v>0</v>
      </c>
      <c r="H13" s="172">
        <f>IF('Peak Revenue'!$A$1="BL","-",IF(Peak!N14&gt;Peak!$G14,H$8*$X13,0))</f>
        <v>0</v>
      </c>
      <c r="I13" s="172">
        <f>IF('Peak Revenue'!$A$1="BL","-",IF(Peak!O14&gt;Peak!$G14,I$8*$X13,0))</f>
        <v>0</v>
      </c>
      <c r="J13" s="172">
        <f>IF('Peak Revenue'!$A$1="BL","-",IF(Peak!P14&gt;Peak!$G14,J$8*$X13,0))</f>
        <v>0</v>
      </c>
      <c r="K13" s="172">
        <f>IF('Peak Revenue'!$A$1="BL","-",IF(Peak!Q14&gt;Peak!$G14,K$8*$X13,0))</f>
        <v>0</v>
      </c>
      <c r="L13" s="172">
        <f>IF('Peak Revenue'!$A$1="BL","-",IF(Peak!R14&gt;Peak!$G14,L$8*$X13,0))</f>
        <v>0</v>
      </c>
      <c r="M13" s="172">
        <f>IF('Peak Revenue'!$A$1="BL","-",IF(Peak!S14&gt;Peak!$G14,M$8*$X13,0))</f>
        <v>0</v>
      </c>
      <c r="N13" s="172">
        <f>IF('Peak Revenue'!$A$1="BL","-",IF(Peak!T14&gt;Peak!$G14,N$8*$X13,0))</f>
        <v>0</v>
      </c>
      <c r="O13" s="172">
        <f>IF('Peak Revenue'!$A$1="BL","-",IF(Peak!U14&gt;Peak!$G14,O$8*$X13,0))</f>
        <v>0</v>
      </c>
      <c r="P13" s="172">
        <f>IF('Peak Revenue'!$A$1="BL","-",IF(Peak!V14&gt;Peak!$G14,P$8*$X13,0))</f>
        <v>0</v>
      </c>
      <c r="Q13" s="172">
        <f>IF('Peak Revenue'!$A$1="BL","-",IF(Peak!W14&gt;Peak!$G14,Q$8*$X13,0))</f>
        <v>0</v>
      </c>
      <c r="R13" s="172">
        <f>IF('Peak Revenue'!$A$1="BL","-",IF(Peak!X14&gt;Peak!$G14,R$8*$X13,0))</f>
        <v>0</v>
      </c>
      <c r="S13" s="172">
        <f>IF('Peak Revenue'!$A$1="BL","-",IF(Peak!Y14&gt;Peak!$G14,S$8*$X13,0))</f>
        <v>0</v>
      </c>
      <c r="T13" s="172">
        <f>IF('Peak Revenue'!$A$1="BL","-",IF(Peak!Z14&gt;Peak!$G14,T$8*$X13,0))</f>
        <v>0</v>
      </c>
      <c r="U13" s="172">
        <f>IF('Peak Revenue'!$A$1="BL","-",IF(Peak!AA14&gt;Peak!$G14,U$8*$X13,0))</f>
        <v>0</v>
      </c>
      <c r="V13" s="175">
        <f t="shared" si="0"/>
        <v>0</v>
      </c>
      <c r="W13" s="164"/>
      <c r="X13" s="473">
        <f>CHOOSE(QUOTIENT(MONTH($A13),3)+1,Peak!$AM$11,Peak!$AN$11,Peak!$AL$11,Peak!$AO$11,Peak!$AM$11)</f>
        <v>0.95</v>
      </c>
      <c r="Y13" s="474">
        <f>CHOOSE(QUOTIENT(MONTH($A13),3)+1,Peak!$AM$17,Peak!$AN$17,Peak!$AL$17,Peak!$AO$17,Peak!$AM$17)</f>
        <v>705</v>
      </c>
    </row>
    <row r="14" spans="1:25" x14ac:dyDescent="0.2">
      <c r="A14" s="1">
        <f t="shared" si="1"/>
        <v>36661.668000000005</v>
      </c>
      <c r="B14" s="172">
        <f>IF('Peak Revenue'!$A$1="BL","-",IF(Peak!H15&gt;Peak!$G15,B$8*$X14,0))</f>
        <v>0</v>
      </c>
      <c r="C14" s="172">
        <f>IF('Peak Revenue'!$A$1="BL","-",IF(Peak!I15&gt;Peak!$G15,C$8*$X14,0))</f>
        <v>0</v>
      </c>
      <c r="D14" s="172">
        <f>IF('Peak Revenue'!$A$1="BL","-",IF(Peak!J15&gt;Peak!$G15,D$8*$X14,0))</f>
        <v>0</v>
      </c>
      <c r="E14" s="172">
        <f>IF('Peak Revenue'!$A$1="BL","-",IF(Peak!K15&gt;Peak!$G15,E$8*$X14,0))</f>
        <v>0</v>
      </c>
      <c r="F14" s="172">
        <f>IF('Peak Revenue'!$A$1="BL","-",IF(Peak!L15&gt;Peak!$G15,F$8*$X14,0))</f>
        <v>0</v>
      </c>
      <c r="G14" s="172">
        <f>IF('Peak Revenue'!$A$1="BL","-",IF(Peak!M15&gt;Peak!$G15,G$8*$X14,0))</f>
        <v>0</v>
      </c>
      <c r="H14" s="172">
        <f>IF('Peak Revenue'!$A$1="BL","-",IF(Peak!N15&gt;Peak!$G15,H$8*$X14,0))</f>
        <v>0</v>
      </c>
      <c r="I14" s="172">
        <f>IF('Peak Revenue'!$A$1="BL","-",IF(Peak!O15&gt;Peak!$G15,I$8*$X14,0))</f>
        <v>0</v>
      </c>
      <c r="J14" s="172">
        <f>IF('Peak Revenue'!$A$1="BL","-",IF(Peak!P15&gt;Peak!$G15,J$8*$X14,0))</f>
        <v>0</v>
      </c>
      <c r="K14" s="172">
        <f>IF('Peak Revenue'!$A$1="BL","-",IF(Peak!Q15&gt;Peak!$G15,K$8*$X14,0))</f>
        <v>0</v>
      </c>
      <c r="L14" s="172">
        <f>IF('Peak Revenue'!$A$1="BL","-",IF(Peak!R15&gt;Peak!$G15,L$8*$X14,0))</f>
        <v>0</v>
      </c>
      <c r="M14" s="172">
        <f>IF('Peak Revenue'!$A$1="BL","-",IF(Peak!S15&gt;Peak!$G15,M$8*$X14,0))</f>
        <v>0</v>
      </c>
      <c r="N14" s="172">
        <f>IF('Peak Revenue'!$A$1="BL","-",IF(Peak!T15&gt;Peak!$G15,N$8*$X14,0))</f>
        <v>0</v>
      </c>
      <c r="O14" s="172">
        <f>IF('Peak Revenue'!$A$1="BL","-",IF(Peak!U15&gt;Peak!$G15,O$8*$X14,0))</f>
        <v>0</v>
      </c>
      <c r="P14" s="172">
        <f>IF('Peak Revenue'!$A$1="BL","-",IF(Peak!V15&gt;Peak!$G15,P$8*$X14,0))</f>
        <v>0</v>
      </c>
      <c r="Q14" s="172">
        <f>IF('Peak Revenue'!$A$1="BL","-",IF(Peak!W15&gt;Peak!$G15,Q$8*$X14,0))</f>
        <v>0</v>
      </c>
      <c r="R14" s="172">
        <f>IF('Peak Revenue'!$A$1="BL","-",IF(Peak!X15&gt;Peak!$G15,R$8*$X14,0))</f>
        <v>0</v>
      </c>
      <c r="S14" s="172">
        <f>IF('Peak Revenue'!$A$1="BL","-",IF(Peak!Y15&gt;Peak!$G15,S$8*$X14,0))</f>
        <v>0</v>
      </c>
      <c r="T14" s="172">
        <f>IF('Peak Revenue'!$A$1="BL","-",IF(Peak!Z15&gt;Peak!$G15,T$8*$X14,0))</f>
        <v>0</v>
      </c>
      <c r="U14" s="172">
        <f>IF('Peak Revenue'!$A$1="BL","-",IF(Peak!AA15&gt;Peak!$G15,U$8*$X14,0))</f>
        <v>0</v>
      </c>
      <c r="V14" s="175">
        <f t="shared" si="0"/>
        <v>0</v>
      </c>
      <c r="W14" s="164"/>
      <c r="X14" s="473">
        <f>CHOOSE(QUOTIENT(MONTH($A14),3)+1,Peak!$AM$11,Peak!$AN$11,Peak!$AL$11,Peak!$AO$11,Peak!$AM$11)</f>
        <v>0.95</v>
      </c>
      <c r="Y14" s="474">
        <f>CHOOSE(QUOTIENT(MONTH($A14),3)+1,Peak!$AM$17,Peak!$AN$17,Peak!$AL$17,Peak!$AO$17,Peak!$AM$17)</f>
        <v>705</v>
      </c>
    </row>
    <row r="15" spans="1:25" x14ac:dyDescent="0.2">
      <c r="A15" s="1">
        <f t="shared" si="1"/>
        <v>36692.085000000006</v>
      </c>
      <c r="B15" s="172">
        <f>IF('Peak Revenue'!$A$1="BL","-",IF(Peak!H16&gt;Peak!$G16,B$8*$X15,0))</f>
        <v>0</v>
      </c>
      <c r="C15" s="172">
        <f>IF('Peak Revenue'!$A$1="BL","-",IF(Peak!I16&gt;Peak!$G16,C$8*$X15,0))</f>
        <v>0</v>
      </c>
      <c r="D15" s="172">
        <f>IF('Peak Revenue'!$A$1="BL","-",IF(Peak!J16&gt;Peak!$G16,D$8*$X15,0))</f>
        <v>0</v>
      </c>
      <c r="E15" s="172">
        <f>IF('Peak Revenue'!$A$1="BL","-",IF(Peak!K16&gt;Peak!$G16,E$8*$X15,0))</f>
        <v>0</v>
      </c>
      <c r="F15" s="172">
        <f>IF('Peak Revenue'!$A$1="BL","-",IF(Peak!L16&gt;Peak!$G16,F$8*$X15,0))</f>
        <v>0</v>
      </c>
      <c r="G15" s="172">
        <f>IF('Peak Revenue'!$A$1="BL","-",IF(Peak!M16&gt;Peak!$G16,G$8*$X15,0))</f>
        <v>0</v>
      </c>
      <c r="H15" s="172">
        <f>IF('Peak Revenue'!$A$1="BL","-",IF(Peak!N16&gt;Peak!$G16,H$8*$X15,0))</f>
        <v>0</v>
      </c>
      <c r="I15" s="172">
        <f>IF('Peak Revenue'!$A$1="BL","-",IF(Peak!O16&gt;Peak!$G16,I$8*$X15,0))</f>
        <v>0</v>
      </c>
      <c r="J15" s="172">
        <f>IF('Peak Revenue'!$A$1="BL","-",IF(Peak!P16&gt;Peak!$G16,J$8*$X15,0))</f>
        <v>0</v>
      </c>
      <c r="K15" s="172">
        <f>IF('Peak Revenue'!$A$1="BL","-",IF(Peak!Q16&gt;Peak!$G16,K$8*$X15,0))</f>
        <v>0</v>
      </c>
      <c r="L15" s="172">
        <f>IF('Peak Revenue'!$A$1="BL","-",IF(Peak!R16&gt;Peak!$G16,L$8*$X15,0))</f>
        <v>0</v>
      </c>
      <c r="M15" s="172">
        <f>IF('Peak Revenue'!$A$1="BL","-",IF(Peak!S16&gt;Peak!$G16,M$8*$X15,0))</f>
        <v>0</v>
      </c>
      <c r="N15" s="172">
        <f>IF('Peak Revenue'!$A$1="BL","-",IF(Peak!T16&gt;Peak!$G16,N$8*$X15,0))</f>
        <v>0</v>
      </c>
      <c r="O15" s="172">
        <f>IF('Peak Revenue'!$A$1="BL","-",IF(Peak!U16&gt;Peak!$G16,O$8*$X15,0))</f>
        <v>0</v>
      </c>
      <c r="P15" s="172">
        <f>IF('Peak Revenue'!$A$1="BL","-",IF(Peak!V16&gt;Peak!$G16,P$8*$X15,0))</f>
        <v>0</v>
      </c>
      <c r="Q15" s="172">
        <f>IF('Peak Revenue'!$A$1="BL","-",IF(Peak!W16&gt;Peak!$G16,Q$8*$X15,0))</f>
        <v>0</v>
      </c>
      <c r="R15" s="172">
        <f>IF('Peak Revenue'!$A$1="BL","-",IF(Peak!X16&gt;Peak!$G16,R$8*$X15,0))</f>
        <v>0</v>
      </c>
      <c r="S15" s="172">
        <f>IF('Peak Revenue'!$A$1="BL","-",IF(Peak!Y16&gt;Peak!$G16,S$8*$X15,0))</f>
        <v>0</v>
      </c>
      <c r="T15" s="172">
        <f>IF('Peak Revenue'!$A$1="BL","-",IF(Peak!Z16&gt;Peak!$G16,T$8*$X15,0))</f>
        <v>0</v>
      </c>
      <c r="U15" s="172">
        <f>IF('Peak Revenue'!$A$1="BL","-",IF(Peak!AA16&gt;Peak!$G16,U$8*$X15,0))</f>
        <v>0</v>
      </c>
      <c r="V15" s="175">
        <f t="shared" si="0"/>
        <v>0</v>
      </c>
      <c r="W15" s="164"/>
      <c r="X15" s="473">
        <f>CHOOSE(QUOTIENT(MONTH($A15),3)+1,Peak!$AM$11,Peak!$AN$11,Peak!$AL$11,Peak!$AO$11,Peak!$AM$11)</f>
        <v>0.96612135909558572</v>
      </c>
      <c r="Y15" s="474">
        <f>CHOOSE(QUOTIENT(MONTH($A15),3)+1,Peak!$AM$17,Peak!$AN$17,Peak!$AL$17,Peak!$AO$17,Peak!$AM$17)</f>
        <v>705</v>
      </c>
    </row>
    <row r="16" spans="1:25" x14ac:dyDescent="0.2">
      <c r="A16" s="1">
        <f t="shared" si="1"/>
        <v>36722.502000000008</v>
      </c>
      <c r="B16" s="172">
        <f>IF('Peak Revenue'!$A$1="BL","-",IF(Peak!H17&gt;Peak!$G17,B$8*$X16,0))</f>
        <v>0</v>
      </c>
      <c r="C16" s="172">
        <f>IF('Peak Revenue'!$A$1="BL","-",IF(Peak!I17&gt;Peak!$G17,C$8*$X16,0))</f>
        <v>0</v>
      </c>
      <c r="D16" s="172">
        <f>IF('Peak Revenue'!$A$1="BL","-",IF(Peak!J17&gt;Peak!$G17,D$8*$X16,0))</f>
        <v>0</v>
      </c>
      <c r="E16" s="172">
        <f>IF('Peak Revenue'!$A$1="BL","-",IF(Peak!K17&gt;Peak!$G17,E$8*$X16,0))</f>
        <v>0</v>
      </c>
      <c r="F16" s="172">
        <f>IF('Peak Revenue'!$A$1="BL","-",IF(Peak!L17&gt;Peak!$G17,F$8*$X16,0))</f>
        <v>0</v>
      </c>
      <c r="G16" s="172">
        <f>IF('Peak Revenue'!$A$1="BL","-",IF(Peak!M17&gt;Peak!$G17,G$8*$X16,0))</f>
        <v>0</v>
      </c>
      <c r="H16" s="172">
        <f>IF('Peak Revenue'!$A$1="BL","-",IF(Peak!N17&gt;Peak!$G17,H$8*$X16,0))</f>
        <v>0</v>
      </c>
      <c r="I16" s="172">
        <f>IF('Peak Revenue'!$A$1="BL","-",IF(Peak!O17&gt;Peak!$G17,I$8*$X16,0))</f>
        <v>0</v>
      </c>
      <c r="J16" s="172">
        <f>IF('Peak Revenue'!$A$1="BL","-",IF(Peak!P17&gt;Peak!$G17,J$8*$X16,0))</f>
        <v>0</v>
      </c>
      <c r="K16" s="172">
        <f>IF('Peak Revenue'!$A$1="BL","-",IF(Peak!Q17&gt;Peak!$G17,K$8*$X16,0))</f>
        <v>0</v>
      </c>
      <c r="L16" s="172">
        <f>IF('Peak Revenue'!$A$1="BL","-",IF(Peak!R17&gt;Peak!$G17,L$8*$X16,0))</f>
        <v>0</v>
      </c>
      <c r="M16" s="172">
        <f>IF('Peak Revenue'!$A$1="BL","-",IF(Peak!S17&gt;Peak!$G17,M$8*$X16,0))</f>
        <v>0</v>
      </c>
      <c r="N16" s="172">
        <f>IF('Peak Revenue'!$A$1="BL","-",IF(Peak!T17&gt;Peak!$G17,N$8*$X16,0))</f>
        <v>0</v>
      </c>
      <c r="O16" s="172">
        <f>IF('Peak Revenue'!$A$1="BL","-",IF(Peak!U17&gt;Peak!$G17,O$8*$X16,0))</f>
        <v>0</v>
      </c>
      <c r="P16" s="172">
        <f>IF('Peak Revenue'!$A$1="BL","-",IF(Peak!V17&gt;Peak!$G17,P$8*$X16,0))</f>
        <v>0</v>
      </c>
      <c r="Q16" s="172">
        <f>IF('Peak Revenue'!$A$1="BL","-",IF(Peak!W17&gt;Peak!$G17,Q$8*$X16,0))</f>
        <v>0</v>
      </c>
      <c r="R16" s="172">
        <f>IF('Peak Revenue'!$A$1="BL","-",IF(Peak!X17&gt;Peak!$G17,R$8*$X16,0))</f>
        <v>0</v>
      </c>
      <c r="S16" s="172">
        <f>IF('Peak Revenue'!$A$1="BL","-",IF(Peak!Y17&gt;Peak!$G17,S$8*$X16,0))</f>
        <v>0</v>
      </c>
      <c r="T16" s="172">
        <f>IF('Peak Revenue'!$A$1="BL","-",IF(Peak!Z17&gt;Peak!$G17,T$8*$X16,0))</f>
        <v>0</v>
      </c>
      <c r="U16" s="172">
        <f>IF('Peak Revenue'!$A$1="BL","-",IF(Peak!AA17&gt;Peak!$G17,U$8*$X16,0))</f>
        <v>0</v>
      </c>
      <c r="V16" s="175">
        <f t="shared" si="0"/>
        <v>0</v>
      </c>
      <c r="W16" s="164"/>
      <c r="X16" s="473">
        <f>CHOOSE(QUOTIENT(MONTH($A16),3)+1,Peak!$AM$11,Peak!$AN$11,Peak!$AL$11,Peak!$AO$11,Peak!$AM$11)</f>
        <v>0.96612135909558572</v>
      </c>
      <c r="Y16" s="474">
        <f>CHOOSE(QUOTIENT(MONTH($A16),3)+1,Peak!$AM$17,Peak!$AN$17,Peak!$AL$17,Peak!$AO$17,Peak!$AM$17)</f>
        <v>705</v>
      </c>
    </row>
    <row r="17" spans="1:25" x14ac:dyDescent="0.2">
      <c r="A17" s="1">
        <f t="shared" si="1"/>
        <v>36752.919000000009</v>
      </c>
      <c r="B17" s="172">
        <f>IF('Peak Revenue'!$A$1="BL","-",IF(Peak!H18&gt;Peak!$G18,B$8*$X17,0))</f>
        <v>0</v>
      </c>
      <c r="C17" s="172">
        <f>IF('Peak Revenue'!$A$1="BL","-",IF(Peak!I18&gt;Peak!$G18,C$8*$X17,0))</f>
        <v>0</v>
      </c>
      <c r="D17" s="172">
        <f>IF('Peak Revenue'!$A$1="BL","-",IF(Peak!J18&gt;Peak!$G18,D$8*$X17,0))</f>
        <v>0</v>
      </c>
      <c r="E17" s="172">
        <f>IF('Peak Revenue'!$A$1="BL","-",IF(Peak!K18&gt;Peak!$G18,E$8*$X17,0))</f>
        <v>0</v>
      </c>
      <c r="F17" s="172">
        <f>IF('Peak Revenue'!$A$1="BL","-",IF(Peak!L18&gt;Peak!$G18,F$8*$X17,0))</f>
        <v>0</v>
      </c>
      <c r="G17" s="172">
        <f>IF('Peak Revenue'!$A$1="BL","-",IF(Peak!M18&gt;Peak!$G18,G$8*$X17,0))</f>
        <v>0</v>
      </c>
      <c r="H17" s="172">
        <f>IF('Peak Revenue'!$A$1="BL","-",IF(Peak!N18&gt;Peak!$G18,H$8*$X17,0))</f>
        <v>0</v>
      </c>
      <c r="I17" s="172">
        <f>IF('Peak Revenue'!$A$1="BL","-",IF(Peak!O18&gt;Peak!$G18,I$8*$X17,0))</f>
        <v>0</v>
      </c>
      <c r="J17" s="172">
        <f>IF('Peak Revenue'!$A$1="BL","-",IF(Peak!P18&gt;Peak!$G18,J$8*$X17,0))</f>
        <v>0</v>
      </c>
      <c r="K17" s="172">
        <f>IF('Peak Revenue'!$A$1="BL","-",IF(Peak!Q18&gt;Peak!$G18,K$8*$X17,0))</f>
        <v>0</v>
      </c>
      <c r="L17" s="172">
        <f>IF('Peak Revenue'!$A$1="BL","-",IF(Peak!R18&gt;Peak!$G18,L$8*$X17,0))</f>
        <v>0</v>
      </c>
      <c r="M17" s="172">
        <f>IF('Peak Revenue'!$A$1="BL","-",IF(Peak!S18&gt;Peak!$G18,M$8*$X17,0))</f>
        <v>0</v>
      </c>
      <c r="N17" s="172">
        <f>IF('Peak Revenue'!$A$1="BL","-",IF(Peak!T18&gt;Peak!$G18,N$8*$X17,0))</f>
        <v>0</v>
      </c>
      <c r="O17" s="172">
        <f>IF('Peak Revenue'!$A$1="BL","-",IF(Peak!U18&gt;Peak!$G18,O$8*$X17,0))</f>
        <v>0</v>
      </c>
      <c r="P17" s="172">
        <f>IF('Peak Revenue'!$A$1="BL","-",IF(Peak!V18&gt;Peak!$G18,P$8*$X17,0))</f>
        <v>0</v>
      </c>
      <c r="Q17" s="172">
        <f>IF('Peak Revenue'!$A$1="BL","-",IF(Peak!W18&gt;Peak!$G18,Q$8*$X17,0))</f>
        <v>0</v>
      </c>
      <c r="R17" s="172">
        <f>IF('Peak Revenue'!$A$1="BL","-",IF(Peak!X18&gt;Peak!$G18,R$8*$X17,0))</f>
        <v>0</v>
      </c>
      <c r="S17" s="172">
        <f>IF('Peak Revenue'!$A$1="BL","-",IF(Peak!Y18&gt;Peak!$G18,S$8*$X17,0))</f>
        <v>0</v>
      </c>
      <c r="T17" s="172">
        <f>IF('Peak Revenue'!$A$1="BL","-",IF(Peak!Z18&gt;Peak!$G18,T$8*$X17,0))</f>
        <v>0</v>
      </c>
      <c r="U17" s="172">
        <f>IF('Peak Revenue'!$A$1="BL","-",IF(Peak!AA18&gt;Peak!$G18,U$8*$X17,0))</f>
        <v>0</v>
      </c>
      <c r="V17" s="175">
        <f t="shared" si="0"/>
        <v>0</v>
      </c>
      <c r="W17" s="164"/>
      <c r="X17" s="473">
        <f>CHOOSE(QUOTIENT(MONTH($A17),3)+1,Peak!$AM$11,Peak!$AN$11,Peak!$AL$11,Peak!$AO$11,Peak!$AM$11)</f>
        <v>0.96612135909558572</v>
      </c>
      <c r="Y17" s="474">
        <f>CHOOSE(QUOTIENT(MONTH($A17),3)+1,Peak!$AM$17,Peak!$AN$17,Peak!$AL$17,Peak!$AO$17,Peak!$AM$17)</f>
        <v>705</v>
      </c>
    </row>
    <row r="18" spans="1:25" x14ac:dyDescent="0.2">
      <c r="A18" s="1">
        <f t="shared" si="1"/>
        <v>36783.33600000001</v>
      </c>
      <c r="B18" s="172">
        <f>IF('Peak Revenue'!$A$1="BL","-",IF(Peak!H19&gt;Peak!$G19,B$8*$X18,0))</f>
        <v>0</v>
      </c>
      <c r="C18" s="172">
        <f>IF('Peak Revenue'!$A$1="BL","-",IF(Peak!I19&gt;Peak!$G19,C$8*$X18,0))</f>
        <v>0</v>
      </c>
      <c r="D18" s="172">
        <f>IF('Peak Revenue'!$A$1="BL","-",IF(Peak!J19&gt;Peak!$G19,D$8*$X18,0))</f>
        <v>0</v>
      </c>
      <c r="E18" s="172">
        <f>IF('Peak Revenue'!$A$1="BL","-",IF(Peak!K19&gt;Peak!$G19,E$8*$X18,0))</f>
        <v>0</v>
      </c>
      <c r="F18" s="172">
        <f>IF('Peak Revenue'!$A$1="BL","-",IF(Peak!L19&gt;Peak!$G19,F$8*$X18,0))</f>
        <v>0</v>
      </c>
      <c r="G18" s="172">
        <f>IF('Peak Revenue'!$A$1="BL","-",IF(Peak!M19&gt;Peak!$G19,G$8*$X18,0))</f>
        <v>0</v>
      </c>
      <c r="H18" s="172">
        <f>IF('Peak Revenue'!$A$1="BL","-",IF(Peak!N19&gt;Peak!$G19,H$8*$X18,0))</f>
        <v>0</v>
      </c>
      <c r="I18" s="172">
        <f>IF('Peak Revenue'!$A$1="BL","-",IF(Peak!O19&gt;Peak!$G19,I$8*$X18,0))</f>
        <v>0</v>
      </c>
      <c r="J18" s="172">
        <f>IF('Peak Revenue'!$A$1="BL","-",IF(Peak!P19&gt;Peak!$G19,J$8*$X18,0))</f>
        <v>0</v>
      </c>
      <c r="K18" s="172">
        <f>IF('Peak Revenue'!$A$1="BL","-",IF(Peak!Q19&gt;Peak!$G19,K$8*$X18,0))</f>
        <v>0</v>
      </c>
      <c r="L18" s="172">
        <f>IF('Peak Revenue'!$A$1="BL","-",IF(Peak!R19&gt;Peak!$G19,L$8*$X18,0))</f>
        <v>0</v>
      </c>
      <c r="M18" s="172">
        <f>IF('Peak Revenue'!$A$1="BL","-",IF(Peak!S19&gt;Peak!$G19,M$8*$X18,0))</f>
        <v>0</v>
      </c>
      <c r="N18" s="172">
        <f>IF('Peak Revenue'!$A$1="BL","-",IF(Peak!T19&gt;Peak!$G19,N$8*$X18,0))</f>
        <v>0</v>
      </c>
      <c r="O18" s="172">
        <f>IF('Peak Revenue'!$A$1="BL","-",IF(Peak!U19&gt;Peak!$G19,O$8*$X18,0))</f>
        <v>0</v>
      </c>
      <c r="P18" s="172">
        <f>IF('Peak Revenue'!$A$1="BL","-",IF(Peak!V19&gt;Peak!$G19,P$8*$X18,0))</f>
        <v>0</v>
      </c>
      <c r="Q18" s="172">
        <f>IF('Peak Revenue'!$A$1="BL","-",IF(Peak!W19&gt;Peak!$G19,Q$8*$X18,0))</f>
        <v>0</v>
      </c>
      <c r="R18" s="172">
        <f>IF('Peak Revenue'!$A$1="BL","-",IF(Peak!X19&gt;Peak!$G19,R$8*$X18,0))</f>
        <v>0</v>
      </c>
      <c r="S18" s="172">
        <f>IF('Peak Revenue'!$A$1="BL","-",IF(Peak!Y19&gt;Peak!$G19,S$8*$X18,0))</f>
        <v>0</v>
      </c>
      <c r="T18" s="172">
        <f>IF('Peak Revenue'!$A$1="BL","-",IF(Peak!Z19&gt;Peak!$G19,T$8*$X18,0))</f>
        <v>0</v>
      </c>
      <c r="U18" s="172">
        <f>IF('Peak Revenue'!$A$1="BL","-",IF(Peak!AA19&gt;Peak!$G19,U$8*$X18,0))</f>
        <v>0</v>
      </c>
      <c r="V18" s="175">
        <f t="shared" si="0"/>
        <v>0</v>
      </c>
      <c r="W18" s="164"/>
      <c r="X18" s="473">
        <f>CHOOSE(QUOTIENT(MONTH($A18),3)+1,Peak!$AM$11,Peak!$AN$11,Peak!$AL$11,Peak!$AO$11,Peak!$AM$11)</f>
        <v>0.95</v>
      </c>
      <c r="Y18" s="474">
        <f>CHOOSE(QUOTIENT(MONTH($A18),3)+1,Peak!$AM$17,Peak!$AN$17,Peak!$AL$17,Peak!$AO$17,Peak!$AM$17)</f>
        <v>705</v>
      </c>
    </row>
    <row r="19" spans="1:25" x14ac:dyDescent="0.2">
      <c r="A19" s="1">
        <f t="shared" si="1"/>
        <v>36813.753000000012</v>
      </c>
      <c r="B19" s="172">
        <f>IF('Peak Revenue'!$A$1="BL","-",IF(Peak!H20&gt;Peak!$G20,B$8*$X19,0))</f>
        <v>0</v>
      </c>
      <c r="C19" s="172">
        <f>IF('Peak Revenue'!$A$1="BL","-",IF(Peak!I20&gt;Peak!$G20,C$8*$X19,0))</f>
        <v>0</v>
      </c>
      <c r="D19" s="172">
        <f>IF('Peak Revenue'!$A$1="BL","-",IF(Peak!J20&gt;Peak!$G20,D$8*$X19,0))</f>
        <v>0</v>
      </c>
      <c r="E19" s="172">
        <f>IF('Peak Revenue'!$A$1="BL","-",IF(Peak!K20&gt;Peak!$G20,E$8*$X19,0))</f>
        <v>0</v>
      </c>
      <c r="F19" s="172">
        <f>IF('Peak Revenue'!$A$1="BL","-",IF(Peak!L20&gt;Peak!$G20,F$8*$X19,0))</f>
        <v>0</v>
      </c>
      <c r="G19" s="172">
        <f>IF('Peak Revenue'!$A$1="BL","-",IF(Peak!M20&gt;Peak!$G20,G$8*$X19,0))</f>
        <v>0</v>
      </c>
      <c r="H19" s="172">
        <f>IF('Peak Revenue'!$A$1="BL","-",IF(Peak!N20&gt;Peak!$G20,H$8*$X19,0))</f>
        <v>0</v>
      </c>
      <c r="I19" s="172">
        <f>IF('Peak Revenue'!$A$1="BL","-",IF(Peak!O20&gt;Peak!$G20,I$8*$X19,0))</f>
        <v>0</v>
      </c>
      <c r="J19" s="172">
        <f>IF('Peak Revenue'!$A$1="BL","-",IF(Peak!P20&gt;Peak!$G20,J$8*$X19,0))</f>
        <v>0</v>
      </c>
      <c r="K19" s="172">
        <f>IF('Peak Revenue'!$A$1="BL","-",IF(Peak!Q20&gt;Peak!$G20,K$8*$X19,0))</f>
        <v>0</v>
      </c>
      <c r="L19" s="172">
        <f>IF('Peak Revenue'!$A$1="BL","-",IF(Peak!R20&gt;Peak!$G20,L$8*$X19,0))</f>
        <v>0</v>
      </c>
      <c r="M19" s="172">
        <f>IF('Peak Revenue'!$A$1="BL","-",IF(Peak!S20&gt;Peak!$G20,M$8*$X19,0))</f>
        <v>0</v>
      </c>
      <c r="N19" s="172">
        <f>IF('Peak Revenue'!$A$1="BL","-",IF(Peak!T20&gt;Peak!$G20,N$8*$X19,0))</f>
        <v>0</v>
      </c>
      <c r="O19" s="172">
        <f>IF('Peak Revenue'!$A$1="BL","-",IF(Peak!U20&gt;Peak!$G20,O$8*$X19,0))</f>
        <v>0</v>
      </c>
      <c r="P19" s="172">
        <f>IF('Peak Revenue'!$A$1="BL","-",IF(Peak!V20&gt;Peak!$G20,P$8*$X19,0))</f>
        <v>0</v>
      </c>
      <c r="Q19" s="172">
        <f>IF('Peak Revenue'!$A$1="BL","-",IF(Peak!W20&gt;Peak!$G20,Q$8*$X19,0))</f>
        <v>0</v>
      </c>
      <c r="R19" s="172">
        <f>IF('Peak Revenue'!$A$1="BL","-",IF(Peak!X20&gt;Peak!$G20,R$8*$X19,0))</f>
        <v>0</v>
      </c>
      <c r="S19" s="172">
        <f>IF('Peak Revenue'!$A$1="BL","-",IF(Peak!Y20&gt;Peak!$G20,S$8*$X19,0))</f>
        <v>0</v>
      </c>
      <c r="T19" s="172">
        <f>IF('Peak Revenue'!$A$1="BL","-",IF(Peak!Z20&gt;Peak!$G20,T$8*$X19,0))</f>
        <v>0</v>
      </c>
      <c r="U19" s="172">
        <f>IF('Peak Revenue'!$A$1="BL","-",IF(Peak!AA20&gt;Peak!$G20,U$8*$X19,0))</f>
        <v>0</v>
      </c>
      <c r="V19" s="175">
        <f t="shared" si="0"/>
        <v>0</v>
      </c>
      <c r="W19" s="164"/>
      <c r="X19" s="473">
        <f>CHOOSE(QUOTIENT(MONTH($A19),3)+1,Peak!$AM$11,Peak!$AN$11,Peak!$AL$11,Peak!$AO$11,Peak!$AM$11)</f>
        <v>0.95</v>
      </c>
      <c r="Y19" s="474">
        <f>CHOOSE(QUOTIENT(MONTH($A19),3)+1,Peak!$AM$17,Peak!$AN$17,Peak!$AL$17,Peak!$AO$17,Peak!$AM$17)</f>
        <v>705</v>
      </c>
    </row>
    <row r="20" spans="1:25" x14ac:dyDescent="0.2">
      <c r="A20" s="1">
        <f t="shared" si="1"/>
        <v>36844.170000000013</v>
      </c>
      <c r="B20" s="172">
        <f>IF('Peak Revenue'!$A$1="BL","-",IF(Peak!H21&gt;Peak!$G21,B$8*$X20,0))</f>
        <v>0</v>
      </c>
      <c r="C20" s="172">
        <f>IF('Peak Revenue'!$A$1="BL","-",IF(Peak!I21&gt;Peak!$G21,C$8*$X20,0))</f>
        <v>0</v>
      </c>
      <c r="D20" s="172">
        <f>IF('Peak Revenue'!$A$1="BL","-",IF(Peak!J21&gt;Peak!$G21,D$8*$X20,0))</f>
        <v>0</v>
      </c>
      <c r="E20" s="172">
        <f>IF('Peak Revenue'!$A$1="BL","-",IF(Peak!K21&gt;Peak!$G21,E$8*$X20,0))</f>
        <v>0</v>
      </c>
      <c r="F20" s="172">
        <f>IF('Peak Revenue'!$A$1="BL","-",IF(Peak!L21&gt;Peak!$G21,F$8*$X20,0))</f>
        <v>0</v>
      </c>
      <c r="G20" s="172">
        <f>IF('Peak Revenue'!$A$1="BL","-",IF(Peak!M21&gt;Peak!$G21,G$8*$X20,0))</f>
        <v>0</v>
      </c>
      <c r="H20" s="172">
        <f>IF('Peak Revenue'!$A$1="BL","-",IF(Peak!N21&gt;Peak!$G21,H$8*$X20,0))</f>
        <v>0</v>
      </c>
      <c r="I20" s="172">
        <f>IF('Peak Revenue'!$A$1="BL","-",IF(Peak!O21&gt;Peak!$G21,I$8*$X20,0))</f>
        <v>0</v>
      </c>
      <c r="J20" s="172">
        <f>IF('Peak Revenue'!$A$1="BL","-",IF(Peak!P21&gt;Peak!$G21,J$8*$X20,0))</f>
        <v>0</v>
      </c>
      <c r="K20" s="172">
        <f>IF('Peak Revenue'!$A$1="BL","-",IF(Peak!Q21&gt;Peak!$G21,K$8*$X20,0))</f>
        <v>0</v>
      </c>
      <c r="L20" s="172">
        <f>IF('Peak Revenue'!$A$1="BL","-",IF(Peak!R21&gt;Peak!$G21,L$8*$X20,0))</f>
        <v>0</v>
      </c>
      <c r="M20" s="172">
        <f>IF('Peak Revenue'!$A$1="BL","-",IF(Peak!S21&gt;Peak!$G21,M$8*$X20,0))</f>
        <v>0</v>
      </c>
      <c r="N20" s="172">
        <f>IF('Peak Revenue'!$A$1="BL","-",IF(Peak!T21&gt;Peak!$G21,N$8*$X20,0))</f>
        <v>0</v>
      </c>
      <c r="O20" s="172">
        <f>IF('Peak Revenue'!$A$1="BL","-",IF(Peak!U21&gt;Peak!$G21,O$8*$X20,0))</f>
        <v>0</v>
      </c>
      <c r="P20" s="172">
        <f>IF('Peak Revenue'!$A$1="BL","-",IF(Peak!V21&gt;Peak!$G21,P$8*$X20,0))</f>
        <v>0</v>
      </c>
      <c r="Q20" s="172">
        <f>IF('Peak Revenue'!$A$1="BL","-",IF(Peak!W21&gt;Peak!$G21,Q$8*$X20,0))</f>
        <v>0</v>
      </c>
      <c r="R20" s="172">
        <f>IF('Peak Revenue'!$A$1="BL","-",IF(Peak!X21&gt;Peak!$G21,R$8*$X20,0))</f>
        <v>0</v>
      </c>
      <c r="S20" s="172">
        <f>IF('Peak Revenue'!$A$1="BL","-",IF(Peak!Y21&gt;Peak!$G21,S$8*$X20,0))</f>
        <v>0</v>
      </c>
      <c r="T20" s="172">
        <f>IF('Peak Revenue'!$A$1="BL","-",IF(Peak!Z21&gt;Peak!$G21,T$8*$X20,0))</f>
        <v>0</v>
      </c>
      <c r="U20" s="172">
        <f>IF('Peak Revenue'!$A$1="BL","-",IF(Peak!AA21&gt;Peak!$G21,U$8*$X20,0))</f>
        <v>0</v>
      </c>
      <c r="V20" s="175">
        <f t="shared" si="0"/>
        <v>0</v>
      </c>
      <c r="W20" s="164"/>
      <c r="X20" s="473">
        <f>CHOOSE(QUOTIENT(MONTH($A20),3)+1,Peak!$AM$11,Peak!$AN$11,Peak!$AL$11,Peak!$AO$11,Peak!$AM$11)</f>
        <v>0.95</v>
      </c>
      <c r="Y20" s="474">
        <f>CHOOSE(QUOTIENT(MONTH($A20),3)+1,Peak!$AM$17,Peak!$AN$17,Peak!$AL$17,Peak!$AO$17,Peak!$AM$17)</f>
        <v>705</v>
      </c>
    </row>
    <row r="21" spans="1:25" x14ac:dyDescent="0.2">
      <c r="A21" s="1">
        <f t="shared" si="1"/>
        <v>36874.587000000014</v>
      </c>
      <c r="B21" s="172">
        <f>IF('Peak Revenue'!$A$1="BL","-",IF(Peak!H22&gt;Peak!$G22,B$8*$X21,0))</f>
        <v>0</v>
      </c>
      <c r="C21" s="172">
        <f>IF('Peak Revenue'!$A$1="BL","-",IF(Peak!I22&gt;Peak!$G22,C$8*$X21,0))</f>
        <v>0</v>
      </c>
      <c r="D21" s="172">
        <f>IF('Peak Revenue'!$A$1="BL","-",IF(Peak!J22&gt;Peak!$G22,D$8*$X21,0))</f>
        <v>0</v>
      </c>
      <c r="E21" s="172">
        <f>IF('Peak Revenue'!$A$1="BL","-",IF(Peak!K22&gt;Peak!$G22,E$8*$X21,0))</f>
        <v>0</v>
      </c>
      <c r="F21" s="172">
        <f>IF('Peak Revenue'!$A$1="BL","-",IF(Peak!L22&gt;Peak!$G22,F$8*$X21,0))</f>
        <v>0</v>
      </c>
      <c r="G21" s="172">
        <f>IF('Peak Revenue'!$A$1="BL","-",IF(Peak!M22&gt;Peak!$G22,G$8*$X21,0))</f>
        <v>0</v>
      </c>
      <c r="H21" s="172">
        <f>IF('Peak Revenue'!$A$1="BL","-",IF(Peak!N22&gt;Peak!$G22,H$8*$X21,0))</f>
        <v>0</v>
      </c>
      <c r="I21" s="172">
        <f>IF('Peak Revenue'!$A$1="BL","-",IF(Peak!O22&gt;Peak!$G22,I$8*$X21,0))</f>
        <v>0</v>
      </c>
      <c r="J21" s="172">
        <f>IF('Peak Revenue'!$A$1="BL","-",IF(Peak!P22&gt;Peak!$G22,J$8*$X21,0))</f>
        <v>0</v>
      </c>
      <c r="K21" s="172">
        <f>IF('Peak Revenue'!$A$1="BL","-",IF(Peak!Q22&gt;Peak!$G22,K$8*$X21,0))</f>
        <v>0</v>
      </c>
      <c r="L21" s="172">
        <f>IF('Peak Revenue'!$A$1="BL","-",IF(Peak!R22&gt;Peak!$G22,L$8*$X21,0))</f>
        <v>0</v>
      </c>
      <c r="M21" s="172">
        <f>IF('Peak Revenue'!$A$1="BL","-",IF(Peak!S22&gt;Peak!$G22,M$8*$X21,0))</f>
        <v>0</v>
      </c>
      <c r="N21" s="172">
        <f>IF('Peak Revenue'!$A$1="BL","-",IF(Peak!T22&gt;Peak!$G22,N$8*$X21,0))</f>
        <v>0</v>
      </c>
      <c r="O21" s="172">
        <f>IF('Peak Revenue'!$A$1="BL","-",IF(Peak!U22&gt;Peak!$G22,O$8*$X21,0))</f>
        <v>0</v>
      </c>
      <c r="P21" s="172">
        <f>IF('Peak Revenue'!$A$1="BL","-",IF(Peak!V22&gt;Peak!$G22,P$8*$X21,0))</f>
        <v>0</v>
      </c>
      <c r="Q21" s="172">
        <f>IF('Peak Revenue'!$A$1="BL","-",IF(Peak!W22&gt;Peak!$G22,Q$8*$X21,0))</f>
        <v>0</v>
      </c>
      <c r="R21" s="172">
        <f>IF('Peak Revenue'!$A$1="BL","-",IF(Peak!X22&gt;Peak!$G22,R$8*$X21,0))</f>
        <v>0</v>
      </c>
      <c r="S21" s="172">
        <f>IF('Peak Revenue'!$A$1="BL","-",IF(Peak!Y22&gt;Peak!$G22,S$8*$X21,0))</f>
        <v>0</v>
      </c>
      <c r="T21" s="172">
        <f>IF('Peak Revenue'!$A$1="BL","-",IF(Peak!Z22&gt;Peak!$G22,T$8*$X21,0))</f>
        <v>0</v>
      </c>
      <c r="U21" s="172">
        <f>IF('Peak Revenue'!$A$1="BL","-",IF(Peak!AA22&gt;Peak!$G22,U$8*$X21,0))</f>
        <v>0</v>
      </c>
      <c r="V21" s="175">
        <f t="shared" si="0"/>
        <v>0</v>
      </c>
      <c r="W21" s="163">
        <f>SUM(V10:V21)</f>
        <v>0</v>
      </c>
      <c r="X21" s="473">
        <f>CHOOSE(QUOTIENT(MONTH($A21),3)+1,Peak!$AM$11,Peak!$AN$11,Peak!$AL$11,Peak!$AO$11,Peak!$AM$11)</f>
        <v>0.92427661878611755</v>
      </c>
      <c r="Y21" s="474">
        <f>CHOOSE(QUOTIENT(MONTH($A21),3)+1,Peak!$AM$17,Peak!$AN$17,Peak!$AL$17,Peak!$AO$17,Peak!$AM$17)</f>
        <v>705</v>
      </c>
    </row>
    <row r="22" spans="1:25" x14ac:dyDescent="0.2">
      <c r="A22" s="1">
        <f t="shared" si="1"/>
        <v>36905.004000000015</v>
      </c>
      <c r="B22" s="172">
        <f>IF('Peak Revenue'!$A$1="BL","-",IF(Peak!H23&gt;Peak!$G23,B$8*$X22,0))</f>
        <v>4.6213830939305875</v>
      </c>
      <c r="C22" s="172">
        <f>IF('Peak Revenue'!$A$1="BL","-",IF(Peak!I23&gt;Peak!$G23,C$8*$X22,0))</f>
        <v>4.6213830939305875</v>
      </c>
      <c r="D22" s="172">
        <f>IF('Peak Revenue'!$A$1="BL","-",IF(Peak!J23&gt;Peak!$G23,D$8*$X22,0))</f>
        <v>9.2427661878611751</v>
      </c>
      <c r="E22" s="172">
        <f>IF('Peak Revenue'!$A$1="BL","-",IF(Peak!K23&gt;Peak!$G23,E$8*$X22,0))</f>
        <v>18.48553237572235</v>
      </c>
      <c r="F22" s="172">
        <f>IF('Peak Revenue'!$A$1="BL","-",IF(Peak!L23&gt;Peak!$G23,F$8*$X22,0))</f>
        <v>18.48553237572235</v>
      </c>
      <c r="G22" s="172">
        <f>IF('Peak Revenue'!$A$1="BL","-",IF(Peak!M23&gt;Peak!$G23,G$8*$X22,0))</f>
        <v>36.9710647514447</v>
      </c>
      <c r="H22" s="172">
        <f>IF('Peak Revenue'!$A$1="BL","-",IF(Peak!N23&gt;Peak!$G23,H$8*$X22,0))</f>
        <v>36.9710647514447</v>
      </c>
      <c r="I22" s="172">
        <f>IF('Peak Revenue'!$A$1="BL","-",IF(Peak!O23&gt;Peak!$G23,I$8*$X22,0))</f>
        <v>0</v>
      </c>
      <c r="J22" s="172">
        <f>IF('Peak Revenue'!$A$1="BL","-",IF(Peak!P23&gt;Peak!$G23,J$8*$X22,0))</f>
        <v>0</v>
      </c>
      <c r="K22" s="172">
        <f>IF('Peak Revenue'!$A$1="BL","-",IF(Peak!Q23&gt;Peak!$G23,K$8*$X22,0))</f>
        <v>0</v>
      </c>
      <c r="L22" s="172">
        <f>IF('Peak Revenue'!$A$1="BL","-",IF(Peak!R23&gt;Peak!$G23,L$8*$X22,0))</f>
        <v>0</v>
      </c>
      <c r="M22" s="172">
        <f>IF('Peak Revenue'!$A$1="BL","-",IF(Peak!S23&gt;Peak!$G23,M$8*$X22,0))</f>
        <v>0</v>
      </c>
      <c r="N22" s="172">
        <f>IF('Peak Revenue'!$A$1="BL","-",IF(Peak!T23&gt;Peak!$G23,N$8*$X22,0))</f>
        <v>0</v>
      </c>
      <c r="O22" s="172">
        <f>IF('Peak Revenue'!$A$1="BL","-",IF(Peak!U23&gt;Peak!$G23,O$8*$X22,0))</f>
        <v>0</v>
      </c>
      <c r="P22" s="172">
        <f>IF('Peak Revenue'!$A$1="BL","-",IF(Peak!V23&gt;Peak!$G23,P$8*$X22,0))</f>
        <v>0</v>
      </c>
      <c r="Q22" s="172">
        <f>IF('Peak Revenue'!$A$1="BL","-",IF(Peak!W23&gt;Peak!$G23,Q$8*$X22,0))</f>
        <v>0</v>
      </c>
      <c r="R22" s="172">
        <f>IF('Peak Revenue'!$A$1="BL","-",IF(Peak!X23&gt;Peak!$G23,R$8*$X22,0))</f>
        <v>0</v>
      </c>
      <c r="S22" s="172">
        <f>IF('Peak Revenue'!$A$1="BL","-",IF(Peak!Y23&gt;Peak!$G23,S$8*$X22,0))</f>
        <v>0</v>
      </c>
      <c r="T22" s="172">
        <f>IF('Peak Revenue'!$A$1="BL","-",IF(Peak!Z23&gt;Peak!$G23,T$8*$X22,0))</f>
        <v>0</v>
      </c>
      <c r="U22" s="172">
        <f>IF('Peak Revenue'!$A$1="BL","-",IF(Peak!AA23&gt;Peak!$G23,U$8*$X22,0))</f>
        <v>0</v>
      </c>
      <c r="V22" s="175">
        <f t="shared" si="0"/>
        <v>129.39872663005644</v>
      </c>
      <c r="W22" s="164"/>
      <c r="X22" s="473">
        <f>CHOOSE(QUOTIENT(MONTH($A22),3)+1,Peak!$AM$11,Peak!$AN$11,Peak!$AL$11,Peak!$AO$11,Peak!$AM$11)</f>
        <v>0.92427661878611755</v>
      </c>
      <c r="Y22" s="474">
        <f>CHOOSE(QUOTIENT(MONTH($A22),3)+1,Peak!$AM$17,Peak!$AN$17,Peak!$AL$17,Peak!$AO$17,Peak!$AM$17)</f>
        <v>705</v>
      </c>
    </row>
    <row r="23" spans="1:25" x14ac:dyDescent="0.2">
      <c r="A23" s="1">
        <f t="shared" si="1"/>
        <v>36935.421000000017</v>
      </c>
      <c r="B23" s="172">
        <f>IF('Peak Revenue'!$A$1="BL","-",IF(Peak!H24&gt;Peak!$G24,B$8*$X23,0))</f>
        <v>4.6213830939305875</v>
      </c>
      <c r="C23" s="172">
        <f>IF('Peak Revenue'!$A$1="BL","-",IF(Peak!I24&gt;Peak!$G24,C$8*$X23,0))</f>
        <v>4.6213830939305875</v>
      </c>
      <c r="D23" s="172">
        <f>IF('Peak Revenue'!$A$1="BL","-",IF(Peak!J24&gt;Peak!$G24,D$8*$X23,0))</f>
        <v>9.2427661878611751</v>
      </c>
      <c r="E23" s="172">
        <f>IF('Peak Revenue'!$A$1="BL","-",IF(Peak!K24&gt;Peak!$G24,E$8*$X23,0))</f>
        <v>18.48553237572235</v>
      </c>
      <c r="F23" s="172">
        <f>IF('Peak Revenue'!$A$1="BL","-",IF(Peak!L24&gt;Peak!$G24,F$8*$X23,0))</f>
        <v>18.48553237572235</v>
      </c>
      <c r="G23" s="172">
        <f>IF('Peak Revenue'!$A$1="BL","-",IF(Peak!M24&gt;Peak!$G24,G$8*$X23,0))</f>
        <v>36.9710647514447</v>
      </c>
      <c r="H23" s="172">
        <f>IF('Peak Revenue'!$A$1="BL","-",IF(Peak!N24&gt;Peak!$G24,H$8*$X23,0))</f>
        <v>36.9710647514447</v>
      </c>
      <c r="I23" s="172">
        <f>IF('Peak Revenue'!$A$1="BL","-",IF(Peak!O24&gt;Peak!$G24,I$8*$X23,0))</f>
        <v>0</v>
      </c>
      <c r="J23" s="172">
        <f>IF('Peak Revenue'!$A$1="BL","-",IF(Peak!P24&gt;Peak!$G24,J$8*$X23,0))</f>
        <v>0</v>
      </c>
      <c r="K23" s="172">
        <f>IF('Peak Revenue'!$A$1="BL","-",IF(Peak!Q24&gt;Peak!$G24,K$8*$X23,0))</f>
        <v>0</v>
      </c>
      <c r="L23" s="172">
        <f>IF('Peak Revenue'!$A$1="BL","-",IF(Peak!R24&gt;Peak!$G24,L$8*$X23,0))</f>
        <v>0</v>
      </c>
      <c r="M23" s="172">
        <f>IF('Peak Revenue'!$A$1="BL","-",IF(Peak!S24&gt;Peak!$G24,M$8*$X23,0))</f>
        <v>0</v>
      </c>
      <c r="N23" s="172">
        <f>IF('Peak Revenue'!$A$1="BL","-",IF(Peak!T24&gt;Peak!$G24,N$8*$X23,0))</f>
        <v>0</v>
      </c>
      <c r="O23" s="172">
        <f>IF('Peak Revenue'!$A$1="BL","-",IF(Peak!U24&gt;Peak!$G24,O$8*$X23,0))</f>
        <v>0</v>
      </c>
      <c r="P23" s="172">
        <f>IF('Peak Revenue'!$A$1="BL","-",IF(Peak!V24&gt;Peak!$G24,P$8*$X23,0))</f>
        <v>0</v>
      </c>
      <c r="Q23" s="172">
        <f>IF('Peak Revenue'!$A$1="BL","-",IF(Peak!W24&gt;Peak!$G24,Q$8*$X23,0))</f>
        <v>0</v>
      </c>
      <c r="R23" s="172">
        <f>IF('Peak Revenue'!$A$1="BL","-",IF(Peak!X24&gt;Peak!$G24,R$8*$X23,0))</f>
        <v>0</v>
      </c>
      <c r="S23" s="172">
        <f>IF('Peak Revenue'!$A$1="BL","-",IF(Peak!Y24&gt;Peak!$G24,S$8*$X23,0))</f>
        <v>0</v>
      </c>
      <c r="T23" s="172">
        <f>IF('Peak Revenue'!$A$1="BL","-",IF(Peak!Z24&gt;Peak!$G24,T$8*$X23,0))</f>
        <v>0</v>
      </c>
      <c r="U23" s="172">
        <f>IF('Peak Revenue'!$A$1="BL","-",IF(Peak!AA24&gt;Peak!$G24,U$8*$X23,0))</f>
        <v>0</v>
      </c>
      <c r="V23" s="175">
        <f t="shared" si="0"/>
        <v>129.39872663005644</v>
      </c>
      <c r="W23" s="164"/>
      <c r="X23" s="473">
        <f>CHOOSE(QUOTIENT(MONTH($A23),3)+1,Peak!$AM$11,Peak!$AN$11,Peak!$AL$11,Peak!$AO$11,Peak!$AM$11)</f>
        <v>0.92427661878611755</v>
      </c>
      <c r="Y23" s="474">
        <f>CHOOSE(QUOTIENT(MONTH($A23),3)+1,Peak!$AM$17,Peak!$AN$17,Peak!$AL$17,Peak!$AO$17,Peak!$AM$17)</f>
        <v>705</v>
      </c>
    </row>
    <row r="24" spans="1:25" x14ac:dyDescent="0.2">
      <c r="A24" s="1">
        <f t="shared" si="1"/>
        <v>36965.838000000018</v>
      </c>
      <c r="B24" s="172">
        <f>IF('Peak Revenue'!$A$1="BL","-",IF(Peak!H25&gt;Peak!$G25,B$8*$X24,0))</f>
        <v>4.75</v>
      </c>
      <c r="C24" s="172">
        <f>IF('Peak Revenue'!$A$1="BL","-",IF(Peak!I25&gt;Peak!$G25,C$8*$X24,0))</f>
        <v>4.75</v>
      </c>
      <c r="D24" s="172">
        <f>IF('Peak Revenue'!$A$1="BL","-",IF(Peak!J25&gt;Peak!$G25,D$8*$X24,0))</f>
        <v>9.5</v>
      </c>
      <c r="E24" s="172">
        <f>IF('Peak Revenue'!$A$1="BL","-",IF(Peak!K25&gt;Peak!$G25,E$8*$X24,0))</f>
        <v>19</v>
      </c>
      <c r="F24" s="172">
        <f>IF('Peak Revenue'!$A$1="BL","-",IF(Peak!L25&gt;Peak!$G25,F$8*$X24,0))</f>
        <v>19</v>
      </c>
      <c r="G24" s="172">
        <f>IF('Peak Revenue'!$A$1="BL","-",IF(Peak!M25&gt;Peak!$G25,G$8*$X24,0))</f>
        <v>38</v>
      </c>
      <c r="H24" s="172">
        <f>IF('Peak Revenue'!$A$1="BL","-",IF(Peak!N25&gt;Peak!$G25,H$8*$X24,0))</f>
        <v>38</v>
      </c>
      <c r="I24" s="172">
        <f>IF('Peak Revenue'!$A$1="BL","-",IF(Peak!O25&gt;Peak!$G25,I$8*$X24,0))</f>
        <v>38</v>
      </c>
      <c r="J24" s="172">
        <f>IF('Peak Revenue'!$A$1="BL","-",IF(Peak!P25&gt;Peak!$G25,J$8*$X24,0))</f>
        <v>0</v>
      </c>
      <c r="K24" s="172">
        <f>IF('Peak Revenue'!$A$1="BL","-",IF(Peak!Q25&gt;Peak!$G25,K$8*$X24,0))</f>
        <v>0</v>
      </c>
      <c r="L24" s="172">
        <f>IF('Peak Revenue'!$A$1="BL","-",IF(Peak!R25&gt;Peak!$G25,L$8*$X24,0))</f>
        <v>0</v>
      </c>
      <c r="M24" s="172">
        <f>IF('Peak Revenue'!$A$1="BL","-",IF(Peak!S25&gt;Peak!$G25,M$8*$X24,0))</f>
        <v>0</v>
      </c>
      <c r="N24" s="172">
        <f>IF('Peak Revenue'!$A$1="BL","-",IF(Peak!T25&gt;Peak!$G25,N$8*$X24,0))</f>
        <v>0</v>
      </c>
      <c r="O24" s="172">
        <f>IF('Peak Revenue'!$A$1="BL","-",IF(Peak!U25&gt;Peak!$G25,O$8*$X24,0))</f>
        <v>0</v>
      </c>
      <c r="P24" s="172">
        <f>IF('Peak Revenue'!$A$1="BL","-",IF(Peak!V25&gt;Peak!$G25,P$8*$X24,0))</f>
        <v>0</v>
      </c>
      <c r="Q24" s="172">
        <f>IF('Peak Revenue'!$A$1="BL","-",IF(Peak!W25&gt;Peak!$G25,Q$8*$X24,0))</f>
        <v>0</v>
      </c>
      <c r="R24" s="172">
        <f>IF('Peak Revenue'!$A$1="BL","-",IF(Peak!X25&gt;Peak!$G25,R$8*$X24,0))</f>
        <v>0</v>
      </c>
      <c r="S24" s="172">
        <f>IF('Peak Revenue'!$A$1="BL","-",IF(Peak!Y25&gt;Peak!$G25,S$8*$X24,0))</f>
        <v>0</v>
      </c>
      <c r="T24" s="172">
        <f>IF('Peak Revenue'!$A$1="BL","-",IF(Peak!Z25&gt;Peak!$G25,T$8*$X24,0))</f>
        <v>0</v>
      </c>
      <c r="U24" s="172">
        <f>IF('Peak Revenue'!$A$1="BL","-",IF(Peak!AA25&gt;Peak!$G25,U$8*$X24,0))</f>
        <v>0</v>
      </c>
      <c r="V24" s="175">
        <f t="shared" si="0"/>
        <v>171</v>
      </c>
      <c r="W24" s="164"/>
      <c r="X24" s="473">
        <f>CHOOSE(QUOTIENT(MONTH($A24),3)+1,Peak!$AM$11,Peak!$AN$11,Peak!$AL$11,Peak!$AO$11,Peak!$AM$11)</f>
        <v>0.95</v>
      </c>
      <c r="Y24" s="474">
        <f>CHOOSE(QUOTIENT(MONTH($A24),3)+1,Peak!$AM$17,Peak!$AN$17,Peak!$AL$17,Peak!$AO$17,Peak!$AM$17)</f>
        <v>705</v>
      </c>
    </row>
    <row r="25" spans="1:25" x14ac:dyDescent="0.2">
      <c r="A25" s="1">
        <f t="shared" si="1"/>
        <v>36996.255000000019</v>
      </c>
      <c r="B25" s="172">
        <f>IF('Peak Revenue'!$A$1="BL","-",IF(Peak!H26&gt;Peak!$G26,B$8*$X25,0))</f>
        <v>4.75</v>
      </c>
      <c r="C25" s="172">
        <f>IF('Peak Revenue'!$A$1="BL","-",IF(Peak!I26&gt;Peak!$G26,C$8*$X25,0))</f>
        <v>4.75</v>
      </c>
      <c r="D25" s="172">
        <f>IF('Peak Revenue'!$A$1="BL","-",IF(Peak!J26&gt;Peak!$G26,D$8*$X25,0))</f>
        <v>9.5</v>
      </c>
      <c r="E25" s="172">
        <f>IF('Peak Revenue'!$A$1="BL","-",IF(Peak!K26&gt;Peak!$G26,E$8*$X25,0))</f>
        <v>19</v>
      </c>
      <c r="F25" s="172">
        <f>IF('Peak Revenue'!$A$1="BL","-",IF(Peak!L26&gt;Peak!$G26,F$8*$X25,0))</f>
        <v>19</v>
      </c>
      <c r="G25" s="172">
        <f>IF('Peak Revenue'!$A$1="BL","-",IF(Peak!M26&gt;Peak!$G26,G$8*$X25,0))</f>
        <v>38</v>
      </c>
      <c r="H25" s="172">
        <f>IF('Peak Revenue'!$A$1="BL","-",IF(Peak!N26&gt;Peak!$G26,H$8*$X25,0))</f>
        <v>38</v>
      </c>
      <c r="I25" s="172">
        <f>IF('Peak Revenue'!$A$1="BL","-",IF(Peak!O26&gt;Peak!$G26,I$8*$X25,0))</f>
        <v>0</v>
      </c>
      <c r="J25" s="172">
        <f>IF('Peak Revenue'!$A$1="BL","-",IF(Peak!P26&gt;Peak!$G26,J$8*$X25,0))</f>
        <v>0</v>
      </c>
      <c r="K25" s="172">
        <f>IF('Peak Revenue'!$A$1="BL","-",IF(Peak!Q26&gt;Peak!$G26,K$8*$X25,0))</f>
        <v>0</v>
      </c>
      <c r="L25" s="172">
        <f>IF('Peak Revenue'!$A$1="BL","-",IF(Peak!R26&gt;Peak!$G26,L$8*$X25,0))</f>
        <v>0</v>
      </c>
      <c r="M25" s="172">
        <f>IF('Peak Revenue'!$A$1="BL","-",IF(Peak!S26&gt;Peak!$G26,M$8*$X25,0))</f>
        <v>0</v>
      </c>
      <c r="N25" s="172">
        <f>IF('Peak Revenue'!$A$1="BL","-",IF(Peak!T26&gt;Peak!$G26,N$8*$X25,0))</f>
        <v>0</v>
      </c>
      <c r="O25" s="172">
        <f>IF('Peak Revenue'!$A$1="BL","-",IF(Peak!U26&gt;Peak!$G26,O$8*$X25,0))</f>
        <v>0</v>
      </c>
      <c r="P25" s="172">
        <f>IF('Peak Revenue'!$A$1="BL","-",IF(Peak!V26&gt;Peak!$G26,P$8*$X25,0))</f>
        <v>0</v>
      </c>
      <c r="Q25" s="172">
        <f>IF('Peak Revenue'!$A$1="BL","-",IF(Peak!W26&gt;Peak!$G26,Q$8*$X25,0))</f>
        <v>0</v>
      </c>
      <c r="R25" s="172">
        <f>IF('Peak Revenue'!$A$1="BL","-",IF(Peak!X26&gt;Peak!$G26,R$8*$X25,0))</f>
        <v>0</v>
      </c>
      <c r="S25" s="172">
        <f>IF('Peak Revenue'!$A$1="BL","-",IF(Peak!Y26&gt;Peak!$G26,S$8*$X25,0))</f>
        <v>0</v>
      </c>
      <c r="T25" s="172">
        <f>IF('Peak Revenue'!$A$1="BL","-",IF(Peak!Z26&gt;Peak!$G26,T$8*$X25,0))</f>
        <v>0</v>
      </c>
      <c r="U25" s="172">
        <f>IF('Peak Revenue'!$A$1="BL","-",IF(Peak!AA26&gt;Peak!$G26,U$8*$X25,0))</f>
        <v>0</v>
      </c>
      <c r="V25" s="175">
        <f t="shared" si="0"/>
        <v>133</v>
      </c>
      <c r="W25" s="164"/>
      <c r="X25" s="473">
        <f>CHOOSE(QUOTIENT(MONTH($A25),3)+1,Peak!$AM$11,Peak!$AN$11,Peak!$AL$11,Peak!$AO$11,Peak!$AM$11)</f>
        <v>0.95</v>
      </c>
      <c r="Y25" s="474">
        <f>CHOOSE(QUOTIENT(MONTH($A25),3)+1,Peak!$AM$17,Peak!$AN$17,Peak!$AL$17,Peak!$AO$17,Peak!$AM$17)</f>
        <v>705</v>
      </c>
    </row>
    <row r="26" spans="1:25" x14ac:dyDescent="0.2">
      <c r="A26" s="1">
        <f t="shared" si="1"/>
        <v>37026.67200000002</v>
      </c>
      <c r="B26" s="172">
        <f>IF('Peak Revenue'!$A$1="BL","-",IF(Peak!H27&gt;Peak!$G27,B$8*$X26,0))</f>
        <v>4.75</v>
      </c>
      <c r="C26" s="172">
        <f>IF('Peak Revenue'!$A$1="BL","-",IF(Peak!I27&gt;Peak!$G27,C$8*$X26,0))</f>
        <v>4.75</v>
      </c>
      <c r="D26" s="172">
        <f>IF('Peak Revenue'!$A$1="BL","-",IF(Peak!J27&gt;Peak!$G27,D$8*$X26,0))</f>
        <v>9.5</v>
      </c>
      <c r="E26" s="172">
        <f>IF('Peak Revenue'!$A$1="BL","-",IF(Peak!K27&gt;Peak!$G27,E$8*$X26,0))</f>
        <v>19</v>
      </c>
      <c r="F26" s="172">
        <f>IF('Peak Revenue'!$A$1="BL","-",IF(Peak!L27&gt;Peak!$G27,F$8*$X26,0))</f>
        <v>19</v>
      </c>
      <c r="G26" s="172">
        <f>IF('Peak Revenue'!$A$1="BL","-",IF(Peak!M27&gt;Peak!$G27,G$8*$X26,0))</f>
        <v>38</v>
      </c>
      <c r="H26" s="172">
        <f>IF('Peak Revenue'!$A$1="BL","-",IF(Peak!N27&gt;Peak!$G27,H$8*$X26,0))</f>
        <v>0</v>
      </c>
      <c r="I26" s="172">
        <f>IF('Peak Revenue'!$A$1="BL","-",IF(Peak!O27&gt;Peak!$G27,I$8*$X26,0))</f>
        <v>0</v>
      </c>
      <c r="J26" s="172">
        <f>IF('Peak Revenue'!$A$1="BL","-",IF(Peak!P27&gt;Peak!$G27,J$8*$X26,0))</f>
        <v>0</v>
      </c>
      <c r="K26" s="172">
        <f>IF('Peak Revenue'!$A$1="BL","-",IF(Peak!Q27&gt;Peak!$G27,K$8*$X26,0))</f>
        <v>0</v>
      </c>
      <c r="L26" s="172">
        <f>IF('Peak Revenue'!$A$1="BL","-",IF(Peak!R27&gt;Peak!$G27,L$8*$X26,0))</f>
        <v>0</v>
      </c>
      <c r="M26" s="172">
        <f>IF('Peak Revenue'!$A$1="BL","-",IF(Peak!S27&gt;Peak!$G27,M$8*$X26,0))</f>
        <v>0</v>
      </c>
      <c r="N26" s="172">
        <f>IF('Peak Revenue'!$A$1="BL","-",IF(Peak!T27&gt;Peak!$G27,N$8*$X26,0))</f>
        <v>0</v>
      </c>
      <c r="O26" s="172">
        <f>IF('Peak Revenue'!$A$1="BL","-",IF(Peak!U27&gt;Peak!$G27,O$8*$X26,0))</f>
        <v>0</v>
      </c>
      <c r="P26" s="172">
        <f>IF('Peak Revenue'!$A$1="BL","-",IF(Peak!V27&gt;Peak!$G27,P$8*$X26,0))</f>
        <v>0</v>
      </c>
      <c r="Q26" s="172">
        <f>IF('Peak Revenue'!$A$1="BL","-",IF(Peak!W27&gt;Peak!$G27,Q$8*$X26,0))</f>
        <v>0</v>
      </c>
      <c r="R26" s="172">
        <f>IF('Peak Revenue'!$A$1="BL","-",IF(Peak!X27&gt;Peak!$G27,R$8*$X26,0))</f>
        <v>0</v>
      </c>
      <c r="S26" s="172">
        <f>IF('Peak Revenue'!$A$1="BL","-",IF(Peak!Y27&gt;Peak!$G27,S$8*$X26,0))</f>
        <v>0</v>
      </c>
      <c r="T26" s="172">
        <f>IF('Peak Revenue'!$A$1="BL","-",IF(Peak!Z27&gt;Peak!$G27,T$8*$X26,0))</f>
        <v>0</v>
      </c>
      <c r="U26" s="172">
        <f>IF('Peak Revenue'!$A$1="BL","-",IF(Peak!AA27&gt;Peak!$G27,U$8*$X26,0))</f>
        <v>0</v>
      </c>
      <c r="V26" s="175">
        <f t="shared" si="0"/>
        <v>95</v>
      </c>
      <c r="W26" s="164"/>
      <c r="X26" s="473">
        <f>CHOOSE(QUOTIENT(MONTH($A26),3)+1,Peak!$AM$11,Peak!$AN$11,Peak!$AL$11,Peak!$AO$11,Peak!$AM$11)</f>
        <v>0.95</v>
      </c>
      <c r="Y26" s="474">
        <f>CHOOSE(QUOTIENT(MONTH($A26),3)+1,Peak!$AM$17,Peak!$AN$17,Peak!$AL$17,Peak!$AO$17,Peak!$AM$17)</f>
        <v>705</v>
      </c>
    </row>
    <row r="27" spans="1:25" x14ac:dyDescent="0.2">
      <c r="A27" s="1">
        <f t="shared" si="1"/>
        <v>37057.089000000022</v>
      </c>
      <c r="B27" s="172">
        <f>IF('Peak Revenue'!$A$1="BL","-",IF(Peak!H28&gt;Peak!$G28,B$8*$X27,0))</f>
        <v>4.8306067954779284</v>
      </c>
      <c r="C27" s="172">
        <f>IF('Peak Revenue'!$A$1="BL","-",IF(Peak!I28&gt;Peak!$G28,C$8*$X27,0))</f>
        <v>4.8306067954779284</v>
      </c>
      <c r="D27" s="172">
        <f>IF('Peak Revenue'!$A$1="BL","-",IF(Peak!J28&gt;Peak!$G28,D$8*$X27,0))</f>
        <v>9.6612135909558567</v>
      </c>
      <c r="E27" s="172">
        <f>IF('Peak Revenue'!$A$1="BL","-",IF(Peak!K28&gt;Peak!$G28,E$8*$X27,0))</f>
        <v>19.322427181911713</v>
      </c>
      <c r="F27" s="172">
        <f>IF('Peak Revenue'!$A$1="BL","-",IF(Peak!L28&gt;Peak!$G28,F$8*$X27,0))</f>
        <v>19.322427181911713</v>
      </c>
      <c r="G27" s="172">
        <f>IF('Peak Revenue'!$A$1="BL","-",IF(Peak!M28&gt;Peak!$G28,G$8*$X27,0))</f>
        <v>38.644854363823427</v>
      </c>
      <c r="H27" s="172">
        <f>IF('Peak Revenue'!$A$1="BL","-",IF(Peak!N28&gt;Peak!$G28,H$8*$X27,0))</f>
        <v>38.644854363823427</v>
      </c>
      <c r="I27" s="172">
        <f>IF('Peak Revenue'!$A$1="BL","-",IF(Peak!O28&gt;Peak!$G28,I$8*$X27,0))</f>
        <v>0</v>
      </c>
      <c r="J27" s="172">
        <f>IF('Peak Revenue'!$A$1="BL","-",IF(Peak!P28&gt;Peak!$G28,J$8*$X27,0))</f>
        <v>0</v>
      </c>
      <c r="K27" s="172">
        <f>IF('Peak Revenue'!$A$1="BL","-",IF(Peak!Q28&gt;Peak!$G28,K$8*$X27,0))</f>
        <v>0</v>
      </c>
      <c r="L27" s="172">
        <f>IF('Peak Revenue'!$A$1="BL","-",IF(Peak!R28&gt;Peak!$G28,L$8*$X27,0))</f>
        <v>0</v>
      </c>
      <c r="M27" s="172">
        <f>IF('Peak Revenue'!$A$1="BL","-",IF(Peak!S28&gt;Peak!$G28,M$8*$X27,0))</f>
        <v>0</v>
      </c>
      <c r="N27" s="172">
        <f>IF('Peak Revenue'!$A$1="BL","-",IF(Peak!T28&gt;Peak!$G28,N$8*$X27,0))</f>
        <v>0</v>
      </c>
      <c r="O27" s="172">
        <f>IF('Peak Revenue'!$A$1="BL","-",IF(Peak!U28&gt;Peak!$G28,O$8*$X27,0))</f>
        <v>0</v>
      </c>
      <c r="P27" s="172">
        <f>IF('Peak Revenue'!$A$1="BL","-",IF(Peak!V28&gt;Peak!$G28,P$8*$X27,0))</f>
        <v>0</v>
      </c>
      <c r="Q27" s="172">
        <f>IF('Peak Revenue'!$A$1="BL","-",IF(Peak!W28&gt;Peak!$G28,Q$8*$X27,0))</f>
        <v>0</v>
      </c>
      <c r="R27" s="172">
        <f>IF('Peak Revenue'!$A$1="BL","-",IF(Peak!X28&gt;Peak!$G28,R$8*$X27,0))</f>
        <v>0</v>
      </c>
      <c r="S27" s="172">
        <f>IF('Peak Revenue'!$A$1="BL","-",IF(Peak!Y28&gt;Peak!$G28,S$8*$X27,0))</f>
        <v>0</v>
      </c>
      <c r="T27" s="172">
        <f>IF('Peak Revenue'!$A$1="BL","-",IF(Peak!Z28&gt;Peak!$G28,T$8*$X27,0))</f>
        <v>0</v>
      </c>
      <c r="U27" s="172">
        <f>IF('Peak Revenue'!$A$1="BL","-",IF(Peak!AA28&gt;Peak!$G28,U$8*$X27,0))</f>
        <v>0</v>
      </c>
      <c r="V27" s="175">
        <f t="shared" si="0"/>
        <v>135.25699027338197</v>
      </c>
      <c r="W27" s="164"/>
      <c r="X27" s="473">
        <f>CHOOSE(QUOTIENT(MONTH($A27),3)+1,Peak!$AM$11,Peak!$AN$11,Peak!$AL$11,Peak!$AO$11,Peak!$AM$11)</f>
        <v>0.96612135909558572</v>
      </c>
      <c r="Y27" s="474">
        <f>CHOOSE(QUOTIENT(MONTH($A27),3)+1,Peak!$AM$17,Peak!$AN$17,Peak!$AL$17,Peak!$AO$17,Peak!$AM$17)</f>
        <v>705</v>
      </c>
    </row>
    <row r="28" spans="1:25" x14ac:dyDescent="0.2">
      <c r="A28" s="1">
        <f t="shared" si="1"/>
        <v>37087.506000000023</v>
      </c>
      <c r="B28" s="172">
        <f>IF('Peak Revenue'!$A$1="BL","-",IF(Peak!H29&gt;Peak!$G29,B$8*$X28,0))</f>
        <v>4.8306067954779284</v>
      </c>
      <c r="C28" s="172">
        <f>IF('Peak Revenue'!$A$1="BL","-",IF(Peak!I29&gt;Peak!$G29,C$8*$X28,0))</f>
        <v>4.8306067954779284</v>
      </c>
      <c r="D28" s="172">
        <f>IF('Peak Revenue'!$A$1="BL","-",IF(Peak!J29&gt;Peak!$G29,D$8*$X28,0))</f>
        <v>9.6612135909558567</v>
      </c>
      <c r="E28" s="172">
        <f>IF('Peak Revenue'!$A$1="BL","-",IF(Peak!K29&gt;Peak!$G29,E$8*$X28,0))</f>
        <v>19.322427181911713</v>
      </c>
      <c r="F28" s="172">
        <f>IF('Peak Revenue'!$A$1="BL","-",IF(Peak!L29&gt;Peak!$G29,F$8*$X28,0))</f>
        <v>19.322427181911713</v>
      </c>
      <c r="G28" s="172">
        <f>IF('Peak Revenue'!$A$1="BL","-",IF(Peak!M29&gt;Peak!$G29,G$8*$X28,0))</f>
        <v>38.644854363823427</v>
      </c>
      <c r="H28" s="172">
        <f>IF('Peak Revenue'!$A$1="BL","-",IF(Peak!N29&gt;Peak!$G29,H$8*$X28,0))</f>
        <v>38.644854363823427</v>
      </c>
      <c r="I28" s="172">
        <f>IF('Peak Revenue'!$A$1="BL","-",IF(Peak!O29&gt;Peak!$G29,I$8*$X28,0))</f>
        <v>38.644854363823427</v>
      </c>
      <c r="J28" s="172">
        <f>IF('Peak Revenue'!$A$1="BL","-",IF(Peak!P29&gt;Peak!$G29,J$8*$X28,0))</f>
        <v>38.644854363823427</v>
      </c>
      <c r="K28" s="172">
        <f>IF('Peak Revenue'!$A$1="BL","-",IF(Peak!Q29&gt;Peak!$G29,K$8*$X28,0))</f>
        <v>0</v>
      </c>
      <c r="L28" s="172">
        <f>IF('Peak Revenue'!$A$1="BL","-",IF(Peak!R29&gt;Peak!$G29,L$8*$X28,0))</f>
        <v>0</v>
      </c>
      <c r="M28" s="172">
        <f>IF('Peak Revenue'!$A$1="BL","-",IF(Peak!S29&gt;Peak!$G29,M$8*$X28,0))</f>
        <v>0</v>
      </c>
      <c r="N28" s="172">
        <f>IF('Peak Revenue'!$A$1="BL","-",IF(Peak!T29&gt;Peak!$G29,N$8*$X28,0))</f>
        <v>0</v>
      </c>
      <c r="O28" s="172">
        <f>IF('Peak Revenue'!$A$1="BL","-",IF(Peak!U29&gt;Peak!$G29,O$8*$X28,0))</f>
        <v>0</v>
      </c>
      <c r="P28" s="172">
        <f>IF('Peak Revenue'!$A$1="BL","-",IF(Peak!V29&gt;Peak!$G29,P$8*$X28,0))</f>
        <v>0</v>
      </c>
      <c r="Q28" s="172">
        <f>IF('Peak Revenue'!$A$1="BL","-",IF(Peak!W29&gt;Peak!$G29,Q$8*$X28,0))</f>
        <v>0</v>
      </c>
      <c r="R28" s="172">
        <f>IF('Peak Revenue'!$A$1="BL","-",IF(Peak!X29&gt;Peak!$G29,R$8*$X28,0))</f>
        <v>0</v>
      </c>
      <c r="S28" s="172">
        <f>IF('Peak Revenue'!$A$1="BL","-",IF(Peak!Y29&gt;Peak!$G29,S$8*$X28,0))</f>
        <v>0</v>
      </c>
      <c r="T28" s="172">
        <f>IF('Peak Revenue'!$A$1="BL","-",IF(Peak!Z29&gt;Peak!$G29,T$8*$X28,0))</f>
        <v>0</v>
      </c>
      <c r="U28" s="172">
        <f>IF('Peak Revenue'!$A$1="BL","-",IF(Peak!AA29&gt;Peak!$G29,U$8*$X28,0))</f>
        <v>0</v>
      </c>
      <c r="V28" s="175">
        <f t="shared" si="0"/>
        <v>212.5466990010288</v>
      </c>
      <c r="W28" s="164"/>
      <c r="X28" s="473">
        <f>CHOOSE(QUOTIENT(MONTH($A28),3)+1,Peak!$AM$11,Peak!$AN$11,Peak!$AL$11,Peak!$AO$11,Peak!$AM$11)</f>
        <v>0.96612135909558572</v>
      </c>
      <c r="Y28" s="474">
        <f>CHOOSE(QUOTIENT(MONTH($A28),3)+1,Peak!$AM$17,Peak!$AN$17,Peak!$AL$17,Peak!$AO$17,Peak!$AM$17)</f>
        <v>705</v>
      </c>
    </row>
    <row r="29" spans="1:25" x14ac:dyDescent="0.2">
      <c r="A29" s="1">
        <f t="shared" si="1"/>
        <v>37117.923000000024</v>
      </c>
      <c r="B29" s="172">
        <f>IF('Peak Revenue'!$A$1="BL","-",IF(Peak!H30&gt;Peak!$G30,B$8*$X29,0))</f>
        <v>4.8306067954779284</v>
      </c>
      <c r="C29" s="172">
        <f>IF('Peak Revenue'!$A$1="BL","-",IF(Peak!I30&gt;Peak!$G30,C$8*$X29,0))</f>
        <v>4.8306067954779284</v>
      </c>
      <c r="D29" s="172">
        <f>IF('Peak Revenue'!$A$1="BL","-",IF(Peak!J30&gt;Peak!$G30,D$8*$X29,0))</f>
        <v>9.6612135909558567</v>
      </c>
      <c r="E29" s="172">
        <f>IF('Peak Revenue'!$A$1="BL","-",IF(Peak!K30&gt;Peak!$G30,E$8*$X29,0))</f>
        <v>19.322427181911713</v>
      </c>
      <c r="F29" s="172">
        <f>IF('Peak Revenue'!$A$1="BL","-",IF(Peak!L30&gt;Peak!$G30,F$8*$X29,0))</f>
        <v>19.322427181911713</v>
      </c>
      <c r="G29" s="172">
        <f>IF('Peak Revenue'!$A$1="BL","-",IF(Peak!M30&gt;Peak!$G30,G$8*$X29,0))</f>
        <v>38.644854363823427</v>
      </c>
      <c r="H29" s="172">
        <f>IF('Peak Revenue'!$A$1="BL","-",IF(Peak!N30&gt;Peak!$G30,H$8*$X29,0))</f>
        <v>38.644854363823427</v>
      </c>
      <c r="I29" s="172">
        <f>IF('Peak Revenue'!$A$1="BL","-",IF(Peak!O30&gt;Peak!$G30,I$8*$X29,0))</f>
        <v>0</v>
      </c>
      <c r="J29" s="172">
        <f>IF('Peak Revenue'!$A$1="BL","-",IF(Peak!P30&gt;Peak!$G30,J$8*$X29,0))</f>
        <v>0</v>
      </c>
      <c r="K29" s="172">
        <f>IF('Peak Revenue'!$A$1="BL","-",IF(Peak!Q30&gt;Peak!$G30,K$8*$X29,0))</f>
        <v>0</v>
      </c>
      <c r="L29" s="172">
        <f>IF('Peak Revenue'!$A$1="BL","-",IF(Peak!R30&gt;Peak!$G30,L$8*$X29,0))</f>
        <v>0</v>
      </c>
      <c r="M29" s="172">
        <f>IF('Peak Revenue'!$A$1="BL","-",IF(Peak!S30&gt;Peak!$G30,M$8*$X29,0))</f>
        <v>0</v>
      </c>
      <c r="N29" s="172">
        <f>IF('Peak Revenue'!$A$1="BL","-",IF(Peak!T30&gt;Peak!$G30,N$8*$X29,0))</f>
        <v>0</v>
      </c>
      <c r="O29" s="172">
        <f>IF('Peak Revenue'!$A$1="BL","-",IF(Peak!U30&gt;Peak!$G30,O$8*$X29,0))</f>
        <v>0</v>
      </c>
      <c r="P29" s="172">
        <f>IF('Peak Revenue'!$A$1="BL","-",IF(Peak!V30&gt;Peak!$G30,P$8*$X29,0))</f>
        <v>0</v>
      </c>
      <c r="Q29" s="172">
        <f>IF('Peak Revenue'!$A$1="BL","-",IF(Peak!W30&gt;Peak!$G30,Q$8*$X29,0))</f>
        <v>0</v>
      </c>
      <c r="R29" s="172">
        <f>IF('Peak Revenue'!$A$1="BL","-",IF(Peak!X30&gt;Peak!$G30,R$8*$X29,0))</f>
        <v>0</v>
      </c>
      <c r="S29" s="172">
        <f>IF('Peak Revenue'!$A$1="BL","-",IF(Peak!Y30&gt;Peak!$G30,S$8*$X29,0))</f>
        <v>0</v>
      </c>
      <c r="T29" s="172">
        <f>IF('Peak Revenue'!$A$1="BL","-",IF(Peak!Z30&gt;Peak!$G30,T$8*$X29,0))</f>
        <v>0</v>
      </c>
      <c r="U29" s="172">
        <f>IF('Peak Revenue'!$A$1="BL","-",IF(Peak!AA30&gt;Peak!$G30,U$8*$X29,0))</f>
        <v>0</v>
      </c>
      <c r="V29" s="175">
        <f t="shared" si="0"/>
        <v>135.25699027338197</v>
      </c>
      <c r="W29" s="164"/>
      <c r="X29" s="473">
        <f>CHOOSE(QUOTIENT(MONTH($A29),3)+1,Peak!$AM$11,Peak!$AN$11,Peak!$AL$11,Peak!$AO$11,Peak!$AM$11)</f>
        <v>0.96612135909558572</v>
      </c>
      <c r="Y29" s="474">
        <f>CHOOSE(QUOTIENT(MONTH($A29),3)+1,Peak!$AM$17,Peak!$AN$17,Peak!$AL$17,Peak!$AO$17,Peak!$AM$17)</f>
        <v>705</v>
      </c>
    </row>
    <row r="30" spans="1:25" x14ac:dyDescent="0.2">
      <c r="A30" s="1">
        <f t="shared" si="1"/>
        <v>37148.340000000026</v>
      </c>
      <c r="B30" s="172">
        <f>IF('Peak Revenue'!$A$1="BL","-",IF(Peak!H31&gt;Peak!$G31,B$8*$X30,0))</f>
        <v>4.75</v>
      </c>
      <c r="C30" s="172">
        <f>IF('Peak Revenue'!$A$1="BL","-",IF(Peak!I31&gt;Peak!$G31,C$8*$X30,0))</f>
        <v>4.75</v>
      </c>
      <c r="D30" s="172">
        <f>IF('Peak Revenue'!$A$1="BL","-",IF(Peak!J31&gt;Peak!$G31,D$8*$X30,0))</f>
        <v>9.5</v>
      </c>
      <c r="E30" s="172">
        <f>IF('Peak Revenue'!$A$1="BL","-",IF(Peak!K31&gt;Peak!$G31,E$8*$X30,0))</f>
        <v>19</v>
      </c>
      <c r="F30" s="172">
        <f>IF('Peak Revenue'!$A$1="BL","-",IF(Peak!L31&gt;Peak!$G31,F$8*$X30,0))</f>
        <v>19</v>
      </c>
      <c r="G30" s="172">
        <f>IF('Peak Revenue'!$A$1="BL","-",IF(Peak!M31&gt;Peak!$G31,G$8*$X30,0))</f>
        <v>38</v>
      </c>
      <c r="H30" s="172">
        <f>IF('Peak Revenue'!$A$1="BL","-",IF(Peak!N31&gt;Peak!$G31,H$8*$X30,0))</f>
        <v>0</v>
      </c>
      <c r="I30" s="172">
        <f>IF('Peak Revenue'!$A$1="BL","-",IF(Peak!O31&gt;Peak!$G31,I$8*$X30,0))</f>
        <v>0</v>
      </c>
      <c r="J30" s="172">
        <f>IF('Peak Revenue'!$A$1="BL","-",IF(Peak!P31&gt;Peak!$G31,J$8*$X30,0))</f>
        <v>0</v>
      </c>
      <c r="K30" s="172">
        <f>IF('Peak Revenue'!$A$1="BL","-",IF(Peak!Q31&gt;Peak!$G31,K$8*$X30,0))</f>
        <v>0</v>
      </c>
      <c r="L30" s="172">
        <f>IF('Peak Revenue'!$A$1="BL","-",IF(Peak!R31&gt;Peak!$G31,L$8*$X30,0))</f>
        <v>0</v>
      </c>
      <c r="M30" s="172">
        <f>IF('Peak Revenue'!$A$1="BL","-",IF(Peak!S31&gt;Peak!$G31,M$8*$X30,0))</f>
        <v>0</v>
      </c>
      <c r="N30" s="172">
        <f>IF('Peak Revenue'!$A$1="BL","-",IF(Peak!T31&gt;Peak!$G31,N$8*$X30,0))</f>
        <v>0</v>
      </c>
      <c r="O30" s="172">
        <f>IF('Peak Revenue'!$A$1="BL","-",IF(Peak!U31&gt;Peak!$G31,O$8*$X30,0))</f>
        <v>0</v>
      </c>
      <c r="P30" s="172">
        <f>IF('Peak Revenue'!$A$1="BL","-",IF(Peak!V31&gt;Peak!$G31,P$8*$X30,0))</f>
        <v>0</v>
      </c>
      <c r="Q30" s="172">
        <f>IF('Peak Revenue'!$A$1="BL","-",IF(Peak!W31&gt;Peak!$G31,Q$8*$X30,0))</f>
        <v>0</v>
      </c>
      <c r="R30" s="172">
        <f>IF('Peak Revenue'!$A$1="BL","-",IF(Peak!X31&gt;Peak!$G31,R$8*$X30,0))</f>
        <v>0</v>
      </c>
      <c r="S30" s="172">
        <f>IF('Peak Revenue'!$A$1="BL","-",IF(Peak!Y31&gt;Peak!$G31,S$8*$X30,0))</f>
        <v>0</v>
      </c>
      <c r="T30" s="172">
        <f>IF('Peak Revenue'!$A$1="BL","-",IF(Peak!Z31&gt;Peak!$G31,T$8*$X30,0))</f>
        <v>0</v>
      </c>
      <c r="U30" s="172">
        <f>IF('Peak Revenue'!$A$1="BL","-",IF(Peak!AA31&gt;Peak!$G31,U$8*$X30,0))</f>
        <v>0</v>
      </c>
      <c r="V30" s="175">
        <f t="shared" si="0"/>
        <v>95</v>
      </c>
      <c r="W30" s="164"/>
      <c r="X30" s="473">
        <f>CHOOSE(QUOTIENT(MONTH($A30),3)+1,Peak!$AM$11,Peak!$AN$11,Peak!$AL$11,Peak!$AO$11,Peak!$AM$11)</f>
        <v>0.95</v>
      </c>
      <c r="Y30" s="474">
        <f>CHOOSE(QUOTIENT(MONTH($A30),3)+1,Peak!$AM$17,Peak!$AN$17,Peak!$AL$17,Peak!$AO$17,Peak!$AM$17)</f>
        <v>705</v>
      </c>
    </row>
    <row r="31" spans="1:25" x14ac:dyDescent="0.2">
      <c r="A31" s="1">
        <f t="shared" si="1"/>
        <v>37178.757000000027</v>
      </c>
      <c r="B31" s="172">
        <f>IF('Peak Revenue'!$A$1="BL","-",IF(Peak!H32&gt;Peak!$G32,B$8*$X31,0))</f>
        <v>4.75</v>
      </c>
      <c r="C31" s="172">
        <f>IF('Peak Revenue'!$A$1="BL","-",IF(Peak!I32&gt;Peak!$G32,C$8*$X31,0))</f>
        <v>4.75</v>
      </c>
      <c r="D31" s="172">
        <f>IF('Peak Revenue'!$A$1="BL","-",IF(Peak!J32&gt;Peak!$G32,D$8*$X31,0))</f>
        <v>9.5</v>
      </c>
      <c r="E31" s="172">
        <f>IF('Peak Revenue'!$A$1="BL","-",IF(Peak!K32&gt;Peak!$G32,E$8*$X31,0))</f>
        <v>19</v>
      </c>
      <c r="F31" s="172">
        <f>IF('Peak Revenue'!$A$1="BL","-",IF(Peak!L32&gt;Peak!$G32,F$8*$X31,0))</f>
        <v>19</v>
      </c>
      <c r="G31" s="172">
        <f>IF('Peak Revenue'!$A$1="BL","-",IF(Peak!M32&gt;Peak!$G32,G$8*$X31,0))</f>
        <v>38</v>
      </c>
      <c r="H31" s="172">
        <f>IF('Peak Revenue'!$A$1="BL","-",IF(Peak!N32&gt;Peak!$G32,H$8*$X31,0))</f>
        <v>38</v>
      </c>
      <c r="I31" s="172">
        <f>IF('Peak Revenue'!$A$1="BL","-",IF(Peak!O32&gt;Peak!$G32,I$8*$X31,0))</f>
        <v>0</v>
      </c>
      <c r="J31" s="172">
        <f>IF('Peak Revenue'!$A$1="BL","-",IF(Peak!P32&gt;Peak!$G32,J$8*$X31,0))</f>
        <v>0</v>
      </c>
      <c r="K31" s="172">
        <f>IF('Peak Revenue'!$A$1="BL","-",IF(Peak!Q32&gt;Peak!$G32,K$8*$X31,0))</f>
        <v>0</v>
      </c>
      <c r="L31" s="172">
        <f>IF('Peak Revenue'!$A$1="BL","-",IF(Peak!R32&gt;Peak!$G32,L$8*$X31,0))</f>
        <v>0</v>
      </c>
      <c r="M31" s="172">
        <f>IF('Peak Revenue'!$A$1="BL","-",IF(Peak!S32&gt;Peak!$G32,M$8*$X31,0))</f>
        <v>0</v>
      </c>
      <c r="N31" s="172">
        <f>IF('Peak Revenue'!$A$1="BL","-",IF(Peak!T32&gt;Peak!$G32,N$8*$X31,0))</f>
        <v>0</v>
      </c>
      <c r="O31" s="172">
        <f>IF('Peak Revenue'!$A$1="BL","-",IF(Peak!U32&gt;Peak!$G32,O$8*$X31,0))</f>
        <v>0</v>
      </c>
      <c r="P31" s="172">
        <f>IF('Peak Revenue'!$A$1="BL","-",IF(Peak!V32&gt;Peak!$G32,P$8*$X31,0))</f>
        <v>0</v>
      </c>
      <c r="Q31" s="172">
        <f>IF('Peak Revenue'!$A$1="BL","-",IF(Peak!W32&gt;Peak!$G32,Q$8*$X31,0))</f>
        <v>0</v>
      </c>
      <c r="R31" s="172">
        <f>IF('Peak Revenue'!$A$1="BL","-",IF(Peak!X32&gt;Peak!$G32,R$8*$X31,0))</f>
        <v>0</v>
      </c>
      <c r="S31" s="172">
        <f>IF('Peak Revenue'!$A$1="BL","-",IF(Peak!Y32&gt;Peak!$G32,S$8*$X31,0))</f>
        <v>0</v>
      </c>
      <c r="T31" s="172">
        <f>IF('Peak Revenue'!$A$1="BL","-",IF(Peak!Z32&gt;Peak!$G32,T$8*$X31,0))</f>
        <v>0</v>
      </c>
      <c r="U31" s="172">
        <f>IF('Peak Revenue'!$A$1="BL","-",IF(Peak!AA32&gt;Peak!$G32,U$8*$X31,0))</f>
        <v>0</v>
      </c>
      <c r="V31" s="175">
        <f t="shared" si="0"/>
        <v>133</v>
      </c>
      <c r="W31" s="164"/>
      <c r="X31" s="473">
        <f>CHOOSE(QUOTIENT(MONTH($A31),3)+1,Peak!$AM$11,Peak!$AN$11,Peak!$AL$11,Peak!$AO$11,Peak!$AM$11)</f>
        <v>0.95</v>
      </c>
      <c r="Y31" s="474">
        <f>CHOOSE(QUOTIENT(MONTH($A31),3)+1,Peak!$AM$17,Peak!$AN$17,Peak!$AL$17,Peak!$AO$17,Peak!$AM$17)</f>
        <v>705</v>
      </c>
    </row>
    <row r="32" spans="1:25" x14ac:dyDescent="0.2">
      <c r="A32" s="1">
        <f t="shared" si="1"/>
        <v>37209.174000000028</v>
      </c>
      <c r="B32" s="172">
        <f>IF('Peak Revenue'!$A$1="BL","-",IF(Peak!H33&gt;Peak!$G33,B$8*$X32,0))</f>
        <v>4.75</v>
      </c>
      <c r="C32" s="172">
        <f>IF('Peak Revenue'!$A$1="BL","-",IF(Peak!I33&gt;Peak!$G33,C$8*$X32,0))</f>
        <v>4.75</v>
      </c>
      <c r="D32" s="172">
        <f>IF('Peak Revenue'!$A$1="BL","-",IF(Peak!J33&gt;Peak!$G33,D$8*$X32,0))</f>
        <v>9.5</v>
      </c>
      <c r="E32" s="172">
        <f>IF('Peak Revenue'!$A$1="BL","-",IF(Peak!K33&gt;Peak!$G33,E$8*$X32,0))</f>
        <v>19</v>
      </c>
      <c r="F32" s="172">
        <f>IF('Peak Revenue'!$A$1="BL","-",IF(Peak!L33&gt;Peak!$G33,F$8*$X32,0))</f>
        <v>19</v>
      </c>
      <c r="G32" s="172">
        <f>IF('Peak Revenue'!$A$1="BL","-",IF(Peak!M33&gt;Peak!$G33,G$8*$X32,0))</f>
        <v>38</v>
      </c>
      <c r="H32" s="172">
        <f>IF('Peak Revenue'!$A$1="BL","-",IF(Peak!N33&gt;Peak!$G33,H$8*$X32,0))</f>
        <v>38</v>
      </c>
      <c r="I32" s="172">
        <f>IF('Peak Revenue'!$A$1="BL","-",IF(Peak!O33&gt;Peak!$G33,I$8*$X32,0))</f>
        <v>38</v>
      </c>
      <c r="J32" s="172">
        <f>IF('Peak Revenue'!$A$1="BL","-",IF(Peak!P33&gt;Peak!$G33,J$8*$X32,0))</f>
        <v>0</v>
      </c>
      <c r="K32" s="172">
        <f>IF('Peak Revenue'!$A$1="BL","-",IF(Peak!Q33&gt;Peak!$G33,K$8*$X32,0))</f>
        <v>0</v>
      </c>
      <c r="L32" s="172">
        <f>IF('Peak Revenue'!$A$1="BL","-",IF(Peak!R33&gt;Peak!$G33,L$8*$X32,0))</f>
        <v>0</v>
      </c>
      <c r="M32" s="172">
        <f>IF('Peak Revenue'!$A$1="BL","-",IF(Peak!S33&gt;Peak!$G33,M$8*$X32,0))</f>
        <v>0</v>
      </c>
      <c r="N32" s="172">
        <f>IF('Peak Revenue'!$A$1="BL","-",IF(Peak!T33&gt;Peak!$G33,N$8*$X32,0))</f>
        <v>0</v>
      </c>
      <c r="O32" s="172">
        <f>IF('Peak Revenue'!$A$1="BL","-",IF(Peak!U33&gt;Peak!$G33,O$8*$X32,0))</f>
        <v>0</v>
      </c>
      <c r="P32" s="172">
        <f>IF('Peak Revenue'!$A$1="BL","-",IF(Peak!V33&gt;Peak!$G33,P$8*$X32,0))</f>
        <v>0</v>
      </c>
      <c r="Q32" s="172">
        <f>IF('Peak Revenue'!$A$1="BL","-",IF(Peak!W33&gt;Peak!$G33,Q$8*$X32,0))</f>
        <v>0</v>
      </c>
      <c r="R32" s="172">
        <f>IF('Peak Revenue'!$A$1="BL","-",IF(Peak!X33&gt;Peak!$G33,R$8*$X32,0))</f>
        <v>0</v>
      </c>
      <c r="S32" s="172">
        <f>IF('Peak Revenue'!$A$1="BL","-",IF(Peak!Y33&gt;Peak!$G33,S$8*$X32,0))</f>
        <v>0</v>
      </c>
      <c r="T32" s="172">
        <f>IF('Peak Revenue'!$A$1="BL","-",IF(Peak!Z33&gt;Peak!$G33,T$8*$X32,0))</f>
        <v>0</v>
      </c>
      <c r="U32" s="172">
        <f>IF('Peak Revenue'!$A$1="BL","-",IF(Peak!AA33&gt;Peak!$G33,U$8*$X32,0))</f>
        <v>0</v>
      </c>
      <c r="V32" s="175">
        <f t="shared" si="0"/>
        <v>171</v>
      </c>
      <c r="W32" s="164"/>
      <c r="X32" s="473">
        <f>CHOOSE(QUOTIENT(MONTH($A32),3)+1,Peak!$AM$11,Peak!$AN$11,Peak!$AL$11,Peak!$AO$11,Peak!$AM$11)</f>
        <v>0.95</v>
      </c>
      <c r="Y32" s="474">
        <f>CHOOSE(QUOTIENT(MONTH($A32),3)+1,Peak!$AM$17,Peak!$AN$17,Peak!$AL$17,Peak!$AO$17,Peak!$AM$17)</f>
        <v>705</v>
      </c>
    </row>
    <row r="33" spans="1:25" x14ac:dyDescent="0.2">
      <c r="A33" s="1">
        <f t="shared" si="1"/>
        <v>37239.591000000029</v>
      </c>
      <c r="B33" s="172">
        <f>IF('Peak Revenue'!$A$1="BL","-",IF(Peak!H34&gt;Peak!$G34,B$8*$X33,0))</f>
        <v>4.6213830939305875</v>
      </c>
      <c r="C33" s="172">
        <f>IF('Peak Revenue'!$A$1="BL","-",IF(Peak!I34&gt;Peak!$G34,C$8*$X33,0))</f>
        <v>4.6213830939305875</v>
      </c>
      <c r="D33" s="172">
        <f>IF('Peak Revenue'!$A$1="BL","-",IF(Peak!J34&gt;Peak!$G34,D$8*$X33,0))</f>
        <v>9.2427661878611751</v>
      </c>
      <c r="E33" s="172">
        <f>IF('Peak Revenue'!$A$1="BL","-",IF(Peak!K34&gt;Peak!$G34,E$8*$X33,0))</f>
        <v>18.48553237572235</v>
      </c>
      <c r="F33" s="172">
        <f>IF('Peak Revenue'!$A$1="BL","-",IF(Peak!L34&gt;Peak!$G34,F$8*$X33,0))</f>
        <v>18.48553237572235</v>
      </c>
      <c r="G33" s="172">
        <f>IF('Peak Revenue'!$A$1="BL","-",IF(Peak!M34&gt;Peak!$G34,G$8*$X33,0))</f>
        <v>36.9710647514447</v>
      </c>
      <c r="H33" s="172">
        <f>IF('Peak Revenue'!$A$1="BL","-",IF(Peak!N34&gt;Peak!$G34,H$8*$X33,0))</f>
        <v>36.9710647514447</v>
      </c>
      <c r="I33" s="172">
        <f>IF('Peak Revenue'!$A$1="BL","-",IF(Peak!O34&gt;Peak!$G34,I$8*$X33,0))</f>
        <v>36.9710647514447</v>
      </c>
      <c r="J33" s="172">
        <f>IF('Peak Revenue'!$A$1="BL","-",IF(Peak!P34&gt;Peak!$G34,J$8*$X33,0))</f>
        <v>36.9710647514447</v>
      </c>
      <c r="K33" s="172">
        <f>IF('Peak Revenue'!$A$1="BL","-",IF(Peak!Q34&gt;Peak!$G34,K$8*$X33,0))</f>
        <v>36.9710647514447</v>
      </c>
      <c r="L33" s="172">
        <f>IF('Peak Revenue'!$A$1="BL","-",IF(Peak!R34&gt;Peak!$G34,L$8*$X33,0))</f>
        <v>0</v>
      </c>
      <c r="M33" s="172">
        <f>IF('Peak Revenue'!$A$1="BL","-",IF(Peak!S34&gt;Peak!$G34,M$8*$X33,0))</f>
        <v>0</v>
      </c>
      <c r="N33" s="172">
        <f>IF('Peak Revenue'!$A$1="BL","-",IF(Peak!T34&gt;Peak!$G34,N$8*$X33,0))</f>
        <v>0</v>
      </c>
      <c r="O33" s="172">
        <f>IF('Peak Revenue'!$A$1="BL","-",IF(Peak!U34&gt;Peak!$G34,O$8*$X33,0))</f>
        <v>0</v>
      </c>
      <c r="P33" s="172">
        <f>IF('Peak Revenue'!$A$1="BL","-",IF(Peak!V34&gt;Peak!$G34,P$8*$X33,0))</f>
        <v>0</v>
      </c>
      <c r="Q33" s="172">
        <f>IF('Peak Revenue'!$A$1="BL","-",IF(Peak!W34&gt;Peak!$G34,Q$8*$X33,0))</f>
        <v>0</v>
      </c>
      <c r="R33" s="172">
        <f>IF('Peak Revenue'!$A$1="BL","-",IF(Peak!X34&gt;Peak!$G34,R$8*$X33,0))</f>
        <v>0</v>
      </c>
      <c r="S33" s="172">
        <f>IF('Peak Revenue'!$A$1="BL","-",IF(Peak!Y34&gt;Peak!$G34,S$8*$X33,0))</f>
        <v>0</v>
      </c>
      <c r="T33" s="172">
        <f>IF('Peak Revenue'!$A$1="BL","-",IF(Peak!Z34&gt;Peak!$G34,T$8*$X33,0))</f>
        <v>0</v>
      </c>
      <c r="U33" s="172">
        <f>IF('Peak Revenue'!$A$1="BL","-",IF(Peak!AA34&gt;Peak!$G34,U$8*$X33,0))</f>
        <v>0</v>
      </c>
      <c r="V33" s="175">
        <f t="shared" si="0"/>
        <v>240.31192088439059</v>
      </c>
      <c r="W33" s="163">
        <f>SUM(V22:V33)</f>
        <v>1780.1700536922963</v>
      </c>
      <c r="X33" s="473">
        <f>CHOOSE(QUOTIENT(MONTH($A33),3)+1,Peak!$AM$11,Peak!$AN$11,Peak!$AL$11,Peak!$AO$11,Peak!$AM$11)</f>
        <v>0.92427661878611755</v>
      </c>
      <c r="Y33" s="474">
        <f>CHOOSE(QUOTIENT(MONTH($A33),3)+1,Peak!$AM$17,Peak!$AN$17,Peak!$AL$17,Peak!$AO$17,Peak!$AM$17)</f>
        <v>705</v>
      </c>
    </row>
    <row r="34" spans="1:25" x14ac:dyDescent="0.2">
      <c r="A34" s="1">
        <f t="shared" si="1"/>
        <v>37270.008000000031</v>
      </c>
      <c r="B34" s="172">
        <f>IF('Peak Revenue'!$A$1="BL","-",IF(Peak!H35&gt;Peak!$G35,B$8*$X34,0))</f>
        <v>4.6213830939305875</v>
      </c>
      <c r="C34" s="172">
        <f>IF('Peak Revenue'!$A$1="BL","-",IF(Peak!I35&gt;Peak!$G35,C$8*$X34,0))</f>
        <v>4.6213830939305875</v>
      </c>
      <c r="D34" s="172">
        <f>IF('Peak Revenue'!$A$1="BL","-",IF(Peak!J35&gt;Peak!$G35,D$8*$X34,0))</f>
        <v>9.2427661878611751</v>
      </c>
      <c r="E34" s="172">
        <f>IF('Peak Revenue'!$A$1="BL","-",IF(Peak!K35&gt;Peak!$G35,E$8*$X34,0))</f>
        <v>18.48553237572235</v>
      </c>
      <c r="F34" s="172">
        <f>IF('Peak Revenue'!$A$1="BL","-",IF(Peak!L35&gt;Peak!$G35,F$8*$X34,0))</f>
        <v>18.48553237572235</v>
      </c>
      <c r="G34" s="172">
        <f>IF('Peak Revenue'!$A$1="BL","-",IF(Peak!M35&gt;Peak!$G35,G$8*$X34,0))</f>
        <v>36.9710647514447</v>
      </c>
      <c r="H34" s="172">
        <f>IF('Peak Revenue'!$A$1="BL","-",IF(Peak!N35&gt;Peak!$G35,H$8*$X34,0))</f>
        <v>36.9710647514447</v>
      </c>
      <c r="I34" s="172">
        <f>IF('Peak Revenue'!$A$1="BL","-",IF(Peak!O35&gt;Peak!$G35,I$8*$X34,0))</f>
        <v>36.9710647514447</v>
      </c>
      <c r="J34" s="172">
        <f>IF('Peak Revenue'!$A$1="BL","-",IF(Peak!P35&gt;Peak!$G35,J$8*$X34,0))</f>
        <v>0</v>
      </c>
      <c r="K34" s="172">
        <f>IF('Peak Revenue'!$A$1="BL","-",IF(Peak!Q35&gt;Peak!$G35,K$8*$X34,0))</f>
        <v>0</v>
      </c>
      <c r="L34" s="172">
        <f>IF('Peak Revenue'!$A$1="BL","-",IF(Peak!R35&gt;Peak!$G35,L$8*$X34,0))</f>
        <v>0</v>
      </c>
      <c r="M34" s="172">
        <f>IF('Peak Revenue'!$A$1="BL","-",IF(Peak!S35&gt;Peak!$G35,M$8*$X34,0))</f>
        <v>0</v>
      </c>
      <c r="N34" s="172">
        <f>IF('Peak Revenue'!$A$1="BL","-",IF(Peak!T35&gt;Peak!$G35,N$8*$X34,0))</f>
        <v>0</v>
      </c>
      <c r="O34" s="172">
        <f>IF('Peak Revenue'!$A$1="BL","-",IF(Peak!U35&gt;Peak!$G35,O$8*$X34,0))</f>
        <v>0</v>
      </c>
      <c r="P34" s="172">
        <f>IF('Peak Revenue'!$A$1="BL","-",IF(Peak!V35&gt;Peak!$G35,P$8*$X34,0))</f>
        <v>0</v>
      </c>
      <c r="Q34" s="172">
        <f>IF('Peak Revenue'!$A$1="BL","-",IF(Peak!W35&gt;Peak!$G35,Q$8*$X34,0))</f>
        <v>0</v>
      </c>
      <c r="R34" s="172">
        <f>IF('Peak Revenue'!$A$1="BL","-",IF(Peak!X35&gt;Peak!$G35,R$8*$X34,0))</f>
        <v>0</v>
      </c>
      <c r="S34" s="172">
        <f>IF('Peak Revenue'!$A$1="BL","-",IF(Peak!Y35&gt;Peak!$G35,S$8*$X34,0))</f>
        <v>0</v>
      </c>
      <c r="T34" s="172">
        <f>IF('Peak Revenue'!$A$1="BL","-",IF(Peak!Z35&gt;Peak!$G35,T$8*$X34,0))</f>
        <v>0</v>
      </c>
      <c r="U34" s="172">
        <f>IF('Peak Revenue'!$A$1="BL","-",IF(Peak!AA35&gt;Peak!$G35,U$8*$X34,0))</f>
        <v>0</v>
      </c>
      <c r="V34" s="175">
        <f t="shared" si="0"/>
        <v>166.36979138150116</v>
      </c>
      <c r="W34" s="164"/>
      <c r="X34" s="473">
        <f>CHOOSE(QUOTIENT(MONTH($A34),3)+1,Peak!$AM$11,Peak!$AN$11,Peak!$AL$11,Peak!$AO$11,Peak!$AM$11)</f>
        <v>0.92427661878611755</v>
      </c>
      <c r="Y34" s="474">
        <f>CHOOSE(QUOTIENT(MONTH($A34),3)+1,Peak!$AM$17,Peak!$AN$17,Peak!$AL$17,Peak!$AO$17,Peak!$AM$17)</f>
        <v>705</v>
      </c>
    </row>
    <row r="35" spans="1:25" x14ac:dyDescent="0.2">
      <c r="A35" s="1">
        <f t="shared" si="1"/>
        <v>37300.425000000032</v>
      </c>
      <c r="B35" s="172">
        <f>IF('Peak Revenue'!$A$1="BL","-",IF(Peak!H36&gt;Peak!$G36,B$8*$X35,0))</f>
        <v>4.6213830939305875</v>
      </c>
      <c r="C35" s="172">
        <f>IF('Peak Revenue'!$A$1="BL","-",IF(Peak!I36&gt;Peak!$G36,C$8*$X35,0))</f>
        <v>4.6213830939305875</v>
      </c>
      <c r="D35" s="172">
        <f>IF('Peak Revenue'!$A$1="BL","-",IF(Peak!J36&gt;Peak!$G36,D$8*$X35,0))</f>
        <v>9.2427661878611751</v>
      </c>
      <c r="E35" s="172">
        <f>IF('Peak Revenue'!$A$1="BL","-",IF(Peak!K36&gt;Peak!$G36,E$8*$X35,0))</f>
        <v>18.48553237572235</v>
      </c>
      <c r="F35" s="172">
        <f>IF('Peak Revenue'!$A$1="BL","-",IF(Peak!L36&gt;Peak!$G36,F$8*$X35,0))</f>
        <v>18.48553237572235</v>
      </c>
      <c r="G35" s="172">
        <f>IF('Peak Revenue'!$A$1="BL","-",IF(Peak!M36&gt;Peak!$G36,G$8*$X35,0))</f>
        <v>36.9710647514447</v>
      </c>
      <c r="H35" s="172">
        <f>IF('Peak Revenue'!$A$1="BL","-",IF(Peak!N36&gt;Peak!$G36,H$8*$X35,0))</f>
        <v>36.9710647514447</v>
      </c>
      <c r="I35" s="172">
        <f>IF('Peak Revenue'!$A$1="BL","-",IF(Peak!O36&gt;Peak!$G36,I$8*$X35,0))</f>
        <v>36.9710647514447</v>
      </c>
      <c r="J35" s="172">
        <f>IF('Peak Revenue'!$A$1="BL","-",IF(Peak!P36&gt;Peak!$G36,J$8*$X35,0))</f>
        <v>36.9710647514447</v>
      </c>
      <c r="K35" s="172">
        <f>IF('Peak Revenue'!$A$1="BL","-",IF(Peak!Q36&gt;Peak!$G36,K$8*$X35,0))</f>
        <v>0</v>
      </c>
      <c r="L35" s="172">
        <f>IF('Peak Revenue'!$A$1="BL","-",IF(Peak!R36&gt;Peak!$G36,L$8*$X35,0))</f>
        <v>0</v>
      </c>
      <c r="M35" s="172">
        <f>IF('Peak Revenue'!$A$1="BL","-",IF(Peak!S36&gt;Peak!$G36,M$8*$X35,0))</f>
        <v>0</v>
      </c>
      <c r="N35" s="172">
        <f>IF('Peak Revenue'!$A$1="BL","-",IF(Peak!T36&gt;Peak!$G36,N$8*$X35,0))</f>
        <v>0</v>
      </c>
      <c r="O35" s="172">
        <f>IF('Peak Revenue'!$A$1="BL","-",IF(Peak!U36&gt;Peak!$G36,O$8*$X35,0))</f>
        <v>0</v>
      </c>
      <c r="P35" s="172">
        <f>IF('Peak Revenue'!$A$1="BL","-",IF(Peak!V36&gt;Peak!$G36,P$8*$X35,0))</f>
        <v>0</v>
      </c>
      <c r="Q35" s="172">
        <f>IF('Peak Revenue'!$A$1="BL","-",IF(Peak!W36&gt;Peak!$G36,Q$8*$X35,0))</f>
        <v>0</v>
      </c>
      <c r="R35" s="172">
        <f>IF('Peak Revenue'!$A$1="BL","-",IF(Peak!X36&gt;Peak!$G36,R$8*$X35,0))</f>
        <v>0</v>
      </c>
      <c r="S35" s="172">
        <f>IF('Peak Revenue'!$A$1="BL","-",IF(Peak!Y36&gt;Peak!$G36,S$8*$X35,0))</f>
        <v>0</v>
      </c>
      <c r="T35" s="172">
        <f>IF('Peak Revenue'!$A$1="BL","-",IF(Peak!Z36&gt;Peak!$G36,T$8*$X35,0))</f>
        <v>0</v>
      </c>
      <c r="U35" s="172">
        <f>IF('Peak Revenue'!$A$1="BL","-",IF(Peak!AA36&gt;Peak!$G36,U$8*$X35,0))</f>
        <v>0</v>
      </c>
      <c r="V35" s="175">
        <f t="shared" si="0"/>
        <v>203.34085613294587</v>
      </c>
      <c r="W35" s="164"/>
      <c r="X35" s="473">
        <f>CHOOSE(QUOTIENT(MONTH($A35),3)+1,Peak!$AM$11,Peak!$AN$11,Peak!$AL$11,Peak!$AO$11,Peak!$AM$11)</f>
        <v>0.92427661878611755</v>
      </c>
      <c r="Y35" s="474">
        <f>CHOOSE(QUOTIENT(MONTH($A35),3)+1,Peak!$AM$17,Peak!$AN$17,Peak!$AL$17,Peak!$AO$17,Peak!$AM$17)</f>
        <v>705</v>
      </c>
    </row>
    <row r="36" spans="1:25" x14ac:dyDescent="0.2">
      <c r="A36" s="1">
        <f t="shared" si="1"/>
        <v>37330.842000000033</v>
      </c>
      <c r="B36" s="172">
        <f>IF('Peak Revenue'!$A$1="BL","-",IF(Peak!H37&gt;Peak!$G37,B$8*$X36,0))</f>
        <v>4.75</v>
      </c>
      <c r="C36" s="172">
        <f>IF('Peak Revenue'!$A$1="BL","-",IF(Peak!I37&gt;Peak!$G37,C$8*$X36,0))</f>
        <v>4.75</v>
      </c>
      <c r="D36" s="172">
        <f>IF('Peak Revenue'!$A$1="BL","-",IF(Peak!J37&gt;Peak!$G37,D$8*$X36,0))</f>
        <v>9.5</v>
      </c>
      <c r="E36" s="172">
        <f>IF('Peak Revenue'!$A$1="BL","-",IF(Peak!K37&gt;Peak!$G37,E$8*$X36,0))</f>
        <v>19</v>
      </c>
      <c r="F36" s="172">
        <f>IF('Peak Revenue'!$A$1="BL","-",IF(Peak!L37&gt;Peak!$G37,F$8*$X36,0))</f>
        <v>19</v>
      </c>
      <c r="G36" s="172">
        <f>IF('Peak Revenue'!$A$1="BL","-",IF(Peak!M37&gt;Peak!$G37,G$8*$X36,0))</f>
        <v>38</v>
      </c>
      <c r="H36" s="172">
        <f>IF('Peak Revenue'!$A$1="BL","-",IF(Peak!N37&gt;Peak!$G37,H$8*$X36,0))</f>
        <v>38</v>
      </c>
      <c r="I36" s="172">
        <f>IF('Peak Revenue'!$A$1="BL","-",IF(Peak!O37&gt;Peak!$G37,I$8*$X36,0))</f>
        <v>38</v>
      </c>
      <c r="J36" s="172">
        <f>IF('Peak Revenue'!$A$1="BL","-",IF(Peak!P37&gt;Peak!$G37,J$8*$X36,0))</f>
        <v>38</v>
      </c>
      <c r="K36" s="172">
        <f>IF('Peak Revenue'!$A$1="BL","-",IF(Peak!Q37&gt;Peak!$G37,K$8*$X36,0))</f>
        <v>38</v>
      </c>
      <c r="L36" s="172">
        <f>IF('Peak Revenue'!$A$1="BL","-",IF(Peak!R37&gt;Peak!$G37,L$8*$X36,0))</f>
        <v>38</v>
      </c>
      <c r="M36" s="172">
        <f>IF('Peak Revenue'!$A$1="BL","-",IF(Peak!S37&gt;Peak!$G37,M$8*$X36,0))</f>
        <v>0</v>
      </c>
      <c r="N36" s="172">
        <f>IF('Peak Revenue'!$A$1="BL","-",IF(Peak!T37&gt;Peak!$G37,N$8*$X36,0))</f>
        <v>0</v>
      </c>
      <c r="O36" s="172">
        <f>IF('Peak Revenue'!$A$1="BL","-",IF(Peak!U37&gt;Peak!$G37,O$8*$X36,0))</f>
        <v>0</v>
      </c>
      <c r="P36" s="172">
        <f>IF('Peak Revenue'!$A$1="BL","-",IF(Peak!V37&gt;Peak!$G37,P$8*$X36,0))</f>
        <v>0</v>
      </c>
      <c r="Q36" s="172">
        <f>IF('Peak Revenue'!$A$1="BL","-",IF(Peak!W37&gt;Peak!$G37,Q$8*$X36,0))</f>
        <v>0</v>
      </c>
      <c r="R36" s="172">
        <f>IF('Peak Revenue'!$A$1="BL","-",IF(Peak!X37&gt;Peak!$G37,R$8*$X36,0))</f>
        <v>0</v>
      </c>
      <c r="S36" s="172">
        <f>IF('Peak Revenue'!$A$1="BL","-",IF(Peak!Y37&gt;Peak!$G37,S$8*$X36,0))</f>
        <v>0</v>
      </c>
      <c r="T36" s="172">
        <f>IF('Peak Revenue'!$A$1="BL","-",IF(Peak!Z37&gt;Peak!$G37,T$8*$X36,0))</f>
        <v>0</v>
      </c>
      <c r="U36" s="172">
        <f>IF('Peak Revenue'!$A$1="BL","-",IF(Peak!AA37&gt;Peak!$G37,U$8*$X36,0))</f>
        <v>0</v>
      </c>
      <c r="V36" s="175">
        <f t="shared" si="0"/>
        <v>285</v>
      </c>
      <c r="W36" s="164"/>
      <c r="X36" s="473">
        <f>CHOOSE(QUOTIENT(MONTH($A36),3)+1,Peak!$AM$11,Peak!$AN$11,Peak!$AL$11,Peak!$AO$11,Peak!$AM$11)</f>
        <v>0.95</v>
      </c>
      <c r="Y36" s="474">
        <f>CHOOSE(QUOTIENT(MONTH($A36),3)+1,Peak!$AM$17,Peak!$AN$17,Peak!$AL$17,Peak!$AO$17,Peak!$AM$17)</f>
        <v>705</v>
      </c>
    </row>
    <row r="37" spans="1:25" x14ac:dyDescent="0.2">
      <c r="A37" s="1">
        <f t="shared" si="1"/>
        <v>37361.259000000035</v>
      </c>
      <c r="B37" s="172">
        <f>IF('Peak Revenue'!$A$1="BL","-",IF(Peak!H38&gt;Peak!$G38,B$8*$X37,0))</f>
        <v>4.75</v>
      </c>
      <c r="C37" s="172">
        <f>IF('Peak Revenue'!$A$1="BL","-",IF(Peak!I38&gt;Peak!$G38,C$8*$X37,0))</f>
        <v>4.75</v>
      </c>
      <c r="D37" s="172">
        <f>IF('Peak Revenue'!$A$1="BL","-",IF(Peak!J38&gt;Peak!$G38,D$8*$X37,0))</f>
        <v>9.5</v>
      </c>
      <c r="E37" s="172">
        <f>IF('Peak Revenue'!$A$1="BL","-",IF(Peak!K38&gt;Peak!$G38,E$8*$X37,0))</f>
        <v>19</v>
      </c>
      <c r="F37" s="172">
        <f>IF('Peak Revenue'!$A$1="BL","-",IF(Peak!L38&gt;Peak!$G38,F$8*$X37,0))</f>
        <v>19</v>
      </c>
      <c r="G37" s="172">
        <f>IF('Peak Revenue'!$A$1="BL","-",IF(Peak!M38&gt;Peak!$G38,G$8*$X37,0))</f>
        <v>38</v>
      </c>
      <c r="H37" s="172">
        <f>IF('Peak Revenue'!$A$1="BL","-",IF(Peak!N38&gt;Peak!$G38,H$8*$X37,0))</f>
        <v>38</v>
      </c>
      <c r="I37" s="172">
        <f>IF('Peak Revenue'!$A$1="BL","-",IF(Peak!O38&gt;Peak!$G38,I$8*$X37,0))</f>
        <v>38</v>
      </c>
      <c r="J37" s="172">
        <f>IF('Peak Revenue'!$A$1="BL","-",IF(Peak!P38&gt;Peak!$G38,J$8*$X37,0))</f>
        <v>0</v>
      </c>
      <c r="K37" s="172">
        <f>IF('Peak Revenue'!$A$1="BL","-",IF(Peak!Q38&gt;Peak!$G38,K$8*$X37,0))</f>
        <v>0</v>
      </c>
      <c r="L37" s="172">
        <f>IF('Peak Revenue'!$A$1="BL","-",IF(Peak!R38&gt;Peak!$G38,L$8*$X37,0))</f>
        <v>0</v>
      </c>
      <c r="M37" s="172">
        <f>IF('Peak Revenue'!$A$1="BL","-",IF(Peak!S38&gt;Peak!$G38,M$8*$X37,0))</f>
        <v>0</v>
      </c>
      <c r="N37" s="172">
        <f>IF('Peak Revenue'!$A$1="BL","-",IF(Peak!T38&gt;Peak!$G38,N$8*$X37,0))</f>
        <v>0</v>
      </c>
      <c r="O37" s="172">
        <f>IF('Peak Revenue'!$A$1="BL","-",IF(Peak!U38&gt;Peak!$G38,O$8*$X37,0))</f>
        <v>0</v>
      </c>
      <c r="P37" s="172">
        <f>IF('Peak Revenue'!$A$1="BL","-",IF(Peak!V38&gt;Peak!$G38,P$8*$X37,0))</f>
        <v>0</v>
      </c>
      <c r="Q37" s="172">
        <f>IF('Peak Revenue'!$A$1="BL","-",IF(Peak!W38&gt;Peak!$G38,Q$8*$X37,0))</f>
        <v>0</v>
      </c>
      <c r="R37" s="172">
        <f>IF('Peak Revenue'!$A$1="BL","-",IF(Peak!X38&gt;Peak!$G38,R$8*$X37,0))</f>
        <v>0</v>
      </c>
      <c r="S37" s="172">
        <f>IF('Peak Revenue'!$A$1="BL","-",IF(Peak!Y38&gt;Peak!$G38,S$8*$X37,0))</f>
        <v>0</v>
      </c>
      <c r="T37" s="172">
        <f>IF('Peak Revenue'!$A$1="BL","-",IF(Peak!Z38&gt;Peak!$G38,T$8*$X37,0))</f>
        <v>0</v>
      </c>
      <c r="U37" s="172">
        <f>IF('Peak Revenue'!$A$1="BL","-",IF(Peak!AA38&gt;Peak!$G38,U$8*$X37,0))</f>
        <v>0</v>
      </c>
      <c r="V37" s="175">
        <f t="shared" si="0"/>
        <v>171</v>
      </c>
      <c r="W37" s="164"/>
      <c r="X37" s="473">
        <f>CHOOSE(QUOTIENT(MONTH($A37),3)+1,Peak!$AM$11,Peak!$AN$11,Peak!$AL$11,Peak!$AO$11,Peak!$AM$11)</f>
        <v>0.95</v>
      </c>
      <c r="Y37" s="474">
        <f>CHOOSE(QUOTIENT(MONTH($A37),3)+1,Peak!$AM$17,Peak!$AN$17,Peak!$AL$17,Peak!$AO$17,Peak!$AM$17)</f>
        <v>705</v>
      </c>
    </row>
    <row r="38" spans="1:25" x14ac:dyDescent="0.2">
      <c r="A38" s="1">
        <f t="shared" si="1"/>
        <v>37391.676000000036</v>
      </c>
      <c r="B38" s="172">
        <f>IF('Peak Revenue'!$A$1="BL","-",IF(Peak!H39&gt;Peak!$G39,B$8*$X38,0))</f>
        <v>4.75</v>
      </c>
      <c r="C38" s="172">
        <f>IF('Peak Revenue'!$A$1="BL","-",IF(Peak!I39&gt;Peak!$G39,C$8*$X38,0))</f>
        <v>4.75</v>
      </c>
      <c r="D38" s="172">
        <f>IF('Peak Revenue'!$A$1="BL","-",IF(Peak!J39&gt;Peak!$G39,D$8*$X38,0))</f>
        <v>9.5</v>
      </c>
      <c r="E38" s="172">
        <f>IF('Peak Revenue'!$A$1="BL","-",IF(Peak!K39&gt;Peak!$G39,E$8*$X38,0))</f>
        <v>19</v>
      </c>
      <c r="F38" s="172">
        <f>IF('Peak Revenue'!$A$1="BL","-",IF(Peak!L39&gt;Peak!$G39,F$8*$X38,0))</f>
        <v>19</v>
      </c>
      <c r="G38" s="172">
        <f>IF('Peak Revenue'!$A$1="BL","-",IF(Peak!M39&gt;Peak!$G39,G$8*$X38,0))</f>
        <v>38</v>
      </c>
      <c r="H38" s="172">
        <f>IF('Peak Revenue'!$A$1="BL","-",IF(Peak!N39&gt;Peak!$G39,H$8*$X38,0))</f>
        <v>0</v>
      </c>
      <c r="I38" s="172">
        <f>IF('Peak Revenue'!$A$1="BL","-",IF(Peak!O39&gt;Peak!$G39,I$8*$X38,0))</f>
        <v>0</v>
      </c>
      <c r="J38" s="172">
        <f>IF('Peak Revenue'!$A$1="BL","-",IF(Peak!P39&gt;Peak!$G39,J$8*$X38,0))</f>
        <v>0</v>
      </c>
      <c r="K38" s="172">
        <f>IF('Peak Revenue'!$A$1="BL","-",IF(Peak!Q39&gt;Peak!$G39,K$8*$X38,0))</f>
        <v>0</v>
      </c>
      <c r="L38" s="172">
        <f>IF('Peak Revenue'!$A$1="BL","-",IF(Peak!R39&gt;Peak!$G39,L$8*$X38,0))</f>
        <v>0</v>
      </c>
      <c r="M38" s="172">
        <f>IF('Peak Revenue'!$A$1="BL","-",IF(Peak!S39&gt;Peak!$G39,M$8*$X38,0))</f>
        <v>0</v>
      </c>
      <c r="N38" s="172">
        <f>IF('Peak Revenue'!$A$1="BL","-",IF(Peak!T39&gt;Peak!$G39,N$8*$X38,0))</f>
        <v>0</v>
      </c>
      <c r="O38" s="172">
        <f>IF('Peak Revenue'!$A$1="BL","-",IF(Peak!U39&gt;Peak!$G39,O$8*$X38,0))</f>
        <v>0</v>
      </c>
      <c r="P38" s="172">
        <f>IF('Peak Revenue'!$A$1="BL","-",IF(Peak!V39&gt;Peak!$G39,P$8*$X38,0))</f>
        <v>0</v>
      </c>
      <c r="Q38" s="172">
        <f>IF('Peak Revenue'!$A$1="BL","-",IF(Peak!W39&gt;Peak!$G39,Q$8*$X38,0))</f>
        <v>0</v>
      </c>
      <c r="R38" s="172">
        <f>IF('Peak Revenue'!$A$1="BL","-",IF(Peak!X39&gt;Peak!$G39,R$8*$X38,0))</f>
        <v>0</v>
      </c>
      <c r="S38" s="172">
        <f>IF('Peak Revenue'!$A$1="BL","-",IF(Peak!Y39&gt;Peak!$G39,S$8*$X38,0))</f>
        <v>0</v>
      </c>
      <c r="T38" s="172">
        <f>IF('Peak Revenue'!$A$1="BL","-",IF(Peak!Z39&gt;Peak!$G39,T$8*$X38,0))</f>
        <v>0</v>
      </c>
      <c r="U38" s="172">
        <f>IF('Peak Revenue'!$A$1="BL","-",IF(Peak!AA39&gt;Peak!$G39,U$8*$X38,0))</f>
        <v>0</v>
      </c>
      <c r="V38" s="175">
        <f t="shared" si="0"/>
        <v>95</v>
      </c>
      <c r="W38" s="164"/>
      <c r="X38" s="473">
        <f>CHOOSE(QUOTIENT(MONTH($A38),3)+1,Peak!$AM$11,Peak!$AN$11,Peak!$AL$11,Peak!$AO$11,Peak!$AM$11)</f>
        <v>0.95</v>
      </c>
      <c r="Y38" s="474">
        <f>CHOOSE(QUOTIENT(MONTH($A38),3)+1,Peak!$AM$17,Peak!$AN$17,Peak!$AL$17,Peak!$AO$17,Peak!$AM$17)</f>
        <v>705</v>
      </c>
    </row>
    <row r="39" spans="1:25" x14ac:dyDescent="0.2">
      <c r="A39" s="1">
        <f t="shared" si="1"/>
        <v>37422.093000000037</v>
      </c>
      <c r="B39" s="172">
        <f>IF('Peak Revenue'!$A$1="BL","-",IF(Peak!H40&gt;Peak!$G40,B$8*$X39,0))</f>
        <v>4.8306067954779284</v>
      </c>
      <c r="C39" s="172">
        <f>IF('Peak Revenue'!$A$1="BL","-",IF(Peak!I40&gt;Peak!$G40,C$8*$X39,0))</f>
        <v>4.8306067954779284</v>
      </c>
      <c r="D39" s="172">
        <f>IF('Peak Revenue'!$A$1="BL","-",IF(Peak!J40&gt;Peak!$G40,D$8*$X39,0))</f>
        <v>9.6612135909558567</v>
      </c>
      <c r="E39" s="172">
        <f>IF('Peak Revenue'!$A$1="BL","-",IF(Peak!K40&gt;Peak!$G40,E$8*$X39,0))</f>
        <v>19.322427181911713</v>
      </c>
      <c r="F39" s="172">
        <f>IF('Peak Revenue'!$A$1="BL","-",IF(Peak!L40&gt;Peak!$G40,F$8*$X39,0))</f>
        <v>19.322427181911713</v>
      </c>
      <c r="G39" s="172">
        <f>IF('Peak Revenue'!$A$1="BL","-",IF(Peak!M40&gt;Peak!$G40,G$8*$X39,0))</f>
        <v>38.644854363823427</v>
      </c>
      <c r="H39" s="172">
        <f>IF('Peak Revenue'!$A$1="BL","-",IF(Peak!N40&gt;Peak!$G40,H$8*$X39,0))</f>
        <v>38.644854363823427</v>
      </c>
      <c r="I39" s="172">
        <f>IF('Peak Revenue'!$A$1="BL","-",IF(Peak!O40&gt;Peak!$G40,I$8*$X39,0))</f>
        <v>38.644854363823427</v>
      </c>
      <c r="J39" s="172">
        <f>IF('Peak Revenue'!$A$1="BL","-",IF(Peak!P40&gt;Peak!$G40,J$8*$X39,0))</f>
        <v>0</v>
      </c>
      <c r="K39" s="172">
        <f>IF('Peak Revenue'!$A$1="BL","-",IF(Peak!Q40&gt;Peak!$G40,K$8*$X39,0))</f>
        <v>0</v>
      </c>
      <c r="L39" s="172">
        <f>IF('Peak Revenue'!$A$1="BL","-",IF(Peak!R40&gt;Peak!$G40,L$8*$X39,0))</f>
        <v>0</v>
      </c>
      <c r="M39" s="172">
        <f>IF('Peak Revenue'!$A$1="BL","-",IF(Peak!S40&gt;Peak!$G40,M$8*$X39,0))</f>
        <v>0</v>
      </c>
      <c r="N39" s="172">
        <f>IF('Peak Revenue'!$A$1="BL","-",IF(Peak!T40&gt;Peak!$G40,N$8*$X39,0))</f>
        <v>0</v>
      </c>
      <c r="O39" s="172">
        <f>IF('Peak Revenue'!$A$1="BL","-",IF(Peak!U40&gt;Peak!$G40,O$8*$X39,0))</f>
        <v>0</v>
      </c>
      <c r="P39" s="172">
        <f>IF('Peak Revenue'!$A$1="BL","-",IF(Peak!V40&gt;Peak!$G40,P$8*$X39,0))</f>
        <v>0</v>
      </c>
      <c r="Q39" s="172">
        <f>IF('Peak Revenue'!$A$1="BL","-",IF(Peak!W40&gt;Peak!$G40,Q$8*$X39,0))</f>
        <v>0</v>
      </c>
      <c r="R39" s="172">
        <f>IF('Peak Revenue'!$A$1="BL","-",IF(Peak!X40&gt;Peak!$G40,R$8*$X39,0))</f>
        <v>0</v>
      </c>
      <c r="S39" s="172">
        <f>IF('Peak Revenue'!$A$1="BL","-",IF(Peak!Y40&gt;Peak!$G40,S$8*$X39,0))</f>
        <v>0</v>
      </c>
      <c r="T39" s="172">
        <f>IF('Peak Revenue'!$A$1="BL","-",IF(Peak!Z40&gt;Peak!$G40,T$8*$X39,0))</f>
        <v>0</v>
      </c>
      <c r="U39" s="172">
        <f>IF('Peak Revenue'!$A$1="BL","-",IF(Peak!AA40&gt;Peak!$G40,U$8*$X39,0))</f>
        <v>0</v>
      </c>
      <c r="V39" s="175">
        <f t="shared" si="0"/>
        <v>173.90184463720539</v>
      </c>
      <c r="W39" s="164"/>
      <c r="X39" s="473">
        <f>CHOOSE(QUOTIENT(MONTH($A39),3)+1,Peak!$AM$11,Peak!$AN$11,Peak!$AL$11,Peak!$AO$11,Peak!$AM$11)</f>
        <v>0.96612135909558572</v>
      </c>
      <c r="Y39" s="474">
        <f>CHOOSE(QUOTIENT(MONTH($A39),3)+1,Peak!$AM$17,Peak!$AN$17,Peak!$AL$17,Peak!$AO$17,Peak!$AM$17)</f>
        <v>705</v>
      </c>
    </row>
    <row r="40" spans="1:25" x14ac:dyDescent="0.2">
      <c r="A40" s="1">
        <f t="shared" si="1"/>
        <v>37452.510000000038</v>
      </c>
      <c r="B40" s="172">
        <f>IF('Peak Revenue'!$A$1="BL","-",IF(Peak!H41&gt;Peak!$G41,B$8*$X40,0))</f>
        <v>4.8306067954779284</v>
      </c>
      <c r="C40" s="172">
        <f>IF('Peak Revenue'!$A$1="BL","-",IF(Peak!I41&gt;Peak!$G41,C$8*$X40,0))</f>
        <v>4.8306067954779284</v>
      </c>
      <c r="D40" s="172">
        <f>IF('Peak Revenue'!$A$1="BL","-",IF(Peak!J41&gt;Peak!$G41,D$8*$X40,0))</f>
        <v>9.6612135909558567</v>
      </c>
      <c r="E40" s="172">
        <f>IF('Peak Revenue'!$A$1="BL","-",IF(Peak!K41&gt;Peak!$G41,E$8*$X40,0))</f>
        <v>19.322427181911713</v>
      </c>
      <c r="F40" s="172">
        <f>IF('Peak Revenue'!$A$1="BL","-",IF(Peak!L41&gt;Peak!$G41,F$8*$X40,0))</f>
        <v>19.322427181911713</v>
      </c>
      <c r="G40" s="172">
        <f>IF('Peak Revenue'!$A$1="BL","-",IF(Peak!M41&gt;Peak!$G41,G$8*$X40,0))</f>
        <v>38.644854363823427</v>
      </c>
      <c r="H40" s="172">
        <f>IF('Peak Revenue'!$A$1="BL","-",IF(Peak!N41&gt;Peak!$G41,H$8*$X40,0))</f>
        <v>38.644854363823427</v>
      </c>
      <c r="I40" s="172">
        <f>IF('Peak Revenue'!$A$1="BL","-",IF(Peak!O41&gt;Peak!$G41,I$8*$X40,0))</f>
        <v>38.644854363823427</v>
      </c>
      <c r="J40" s="172">
        <f>IF('Peak Revenue'!$A$1="BL","-",IF(Peak!P41&gt;Peak!$G41,J$8*$X40,0))</f>
        <v>38.644854363823427</v>
      </c>
      <c r="K40" s="172">
        <f>IF('Peak Revenue'!$A$1="BL","-",IF(Peak!Q41&gt;Peak!$G41,K$8*$X40,0))</f>
        <v>0</v>
      </c>
      <c r="L40" s="172">
        <f>IF('Peak Revenue'!$A$1="BL","-",IF(Peak!R41&gt;Peak!$G41,L$8*$X40,0))</f>
        <v>0</v>
      </c>
      <c r="M40" s="172">
        <f>IF('Peak Revenue'!$A$1="BL","-",IF(Peak!S41&gt;Peak!$G41,M$8*$X40,0))</f>
        <v>0</v>
      </c>
      <c r="N40" s="172">
        <f>IF('Peak Revenue'!$A$1="BL","-",IF(Peak!T41&gt;Peak!$G41,N$8*$X40,0))</f>
        <v>0</v>
      </c>
      <c r="O40" s="172">
        <f>IF('Peak Revenue'!$A$1="BL","-",IF(Peak!U41&gt;Peak!$G41,O$8*$X40,0))</f>
        <v>0</v>
      </c>
      <c r="P40" s="172">
        <f>IF('Peak Revenue'!$A$1="BL","-",IF(Peak!V41&gt;Peak!$G41,P$8*$X40,0))</f>
        <v>0</v>
      </c>
      <c r="Q40" s="172">
        <f>IF('Peak Revenue'!$A$1="BL","-",IF(Peak!W41&gt;Peak!$G41,Q$8*$X40,0))</f>
        <v>0</v>
      </c>
      <c r="R40" s="172">
        <f>IF('Peak Revenue'!$A$1="BL","-",IF(Peak!X41&gt;Peak!$G41,R$8*$X40,0))</f>
        <v>0</v>
      </c>
      <c r="S40" s="172">
        <f>IF('Peak Revenue'!$A$1="BL","-",IF(Peak!Y41&gt;Peak!$G41,S$8*$X40,0))</f>
        <v>0</v>
      </c>
      <c r="T40" s="172">
        <f>IF('Peak Revenue'!$A$1="BL","-",IF(Peak!Z41&gt;Peak!$G41,T$8*$X40,0))</f>
        <v>0</v>
      </c>
      <c r="U40" s="172">
        <f>IF('Peak Revenue'!$A$1="BL","-",IF(Peak!AA41&gt;Peak!$G41,U$8*$X40,0))</f>
        <v>0</v>
      </c>
      <c r="V40" s="175">
        <f t="shared" si="0"/>
        <v>212.5466990010288</v>
      </c>
      <c r="W40" s="164"/>
      <c r="X40" s="473">
        <f>CHOOSE(QUOTIENT(MONTH($A40),3)+1,Peak!$AM$11,Peak!$AN$11,Peak!$AL$11,Peak!$AO$11,Peak!$AM$11)</f>
        <v>0.96612135909558572</v>
      </c>
      <c r="Y40" s="474">
        <f>CHOOSE(QUOTIENT(MONTH($A40),3)+1,Peak!$AM$17,Peak!$AN$17,Peak!$AL$17,Peak!$AO$17,Peak!$AM$17)</f>
        <v>705</v>
      </c>
    </row>
    <row r="41" spans="1:25" x14ac:dyDescent="0.2">
      <c r="A41" s="1">
        <f t="shared" si="1"/>
        <v>37482.92700000004</v>
      </c>
      <c r="B41" s="172">
        <f>IF('Peak Revenue'!$A$1="BL","-",IF(Peak!H42&gt;Peak!$G42,B$8*$X41,0))</f>
        <v>4.8306067954779284</v>
      </c>
      <c r="C41" s="172">
        <f>IF('Peak Revenue'!$A$1="BL","-",IF(Peak!I42&gt;Peak!$G42,C$8*$X41,0))</f>
        <v>4.8306067954779284</v>
      </c>
      <c r="D41" s="172">
        <f>IF('Peak Revenue'!$A$1="BL","-",IF(Peak!J42&gt;Peak!$G42,D$8*$X41,0))</f>
        <v>9.6612135909558567</v>
      </c>
      <c r="E41" s="172">
        <f>IF('Peak Revenue'!$A$1="BL","-",IF(Peak!K42&gt;Peak!$G42,E$8*$X41,0))</f>
        <v>19.322427181911713</v>
      </c>
      <c r="F41" s="172">
        <f>IF('Peak Revenue'!$A$1="BL","-",IF(Peak!L42&gt;Peak!$G42,F$8*$X41,0))</f>
        <v>19.322427181911713</v>
      </c>
      <c r="G41" s="172">
        <f>IF('Peak Revenue'!$A$1="BL","-",IF(Peak!M42&gt;Peak!$G42,G$8*$X41,0))</f>
        <v>38.644854363823427</v>
      </c>
      <c r="H41" s="172">
        <f>IF('Peak Revenue'!$A$1="BL","-",IF(Peak!N42&gt;Peak!$G42,H$8*$X41,0))</f>
        <v>38.644854363823427</v>
      </c>
      <c r="I41" s="172">
        <f>IF('Peak Revenue'!$A$1="BL","-",IF(Peak!O42&gt;Peak!$G42,I$8*$X41,0))</f>
        <v>38.644854363823427</v>
      </c>
      <c r="J41" s="172">
        <f>IF('Peak Revenue'!$A$1="BL","-",IF(Peak!P42&gt;Peak!$G42,J$8*$X41,0))</f>
        <v>38.644854363823427</v>
      </c>
      <c r="K41" s="172">
        <f>IF('Peak Revenue'!$A$1="BL","-",IF(Peak!Q42&gt;Peak!$G42,K$8*$X41,0))</f>
        <v>38.644854363823427</v>
      </c>
      <c r="L41" s="172">
        <f>IF('Peak Revenue'!$A$1="BL","-",IF(Peak!R42&gt;Peak!$G42,L$8*$X41,0))</f>
        <v>0</v>
      </c>
      <c r="M41" s="172">
        <f>IF('Peak Revenue'!$A$1="BL","-",IF(Peak!S42&gt;Peak!$G42,M$8*$X41,0))</f>
        <v>0</v>
      </c>
      <c r="N41" s="172">
        <f>IF('Peak Revenue'!$A$1="BL","-",IF(Peak!T42&gt;Peak!$G42,N$8*$X41,0))</f>
        <v>0</v>
      </c>
      <c r="O41" s="172">
        <f>IF('Peak Revenue'!$A$1="BL","-",IF(Peak!U42&gt;Peak!$G42,O$8*$X41,0))</f>
        <v>0</v>
      </c>
      <c r="P41" s="172">
        <f>IF('Peak Revenue'!$A$1="BL","-",IF(Peak!V42&gt;Peak!$G42,P$8*$X41,0))</f>
        <v>0</v>
      </c>
      <c r="Q41" s="172">
        <f>IF('Peak Revenue'!$A$1="BL","-",IF(Peak!W42&gt;Peak!$G42,Q$8*$X41,0))</f>
        <v>0</v>
      </c>
      <c r="R41" s="172">
        <f>IF('Peak Revenue'!$A$1="BL","-",IF(Peak!X42&gt;Peak!$G42,R$8*$X41,0))</f>
        <v>0</v>
      </c>
      <c r="S41" s="172">
        <f>IF('Peak Revenue'!$A$1="BL","-",IF(Peak!Y42&gt;Peak!$G42,S$8*$X41,0))</f>
        <v>0</v>
      </c>
      <c r="T41" s="172">
        <f>IF('Peak Revenue'!$A$1="BL","-",IF(Peak!Z42&gt;Peak!$G42,T$8*$X41,0))</f>
        <v>0</v>
      </c>
      <c r="U41" s="172">
        <f>IF('Peak Revenue'!$A$1="BL","-",IF(Peak!AA42&gt;Peak!$G42,U$8*$X41,0))</f>
        <v>0</v>
      </c>
      <c r="V41" s="175">
        <f t="shared" si="0"/>
        <v>251.19155336485221</v>
      </c>
      <c r="W41" s="164"/>
      <c r="X41" s="473">
        <f>CHOOSE(QUOTIENT(MONTH($A41),3)+1,Peak!$AM$11,Peak!$AN$11,Peak!$AL$11,Peak!$AO$11,Peak!$AM$11)</f>
        <v>0.96612135909558572</v>
      </c>
      <c r="Y41" s="474">
        <f>CHOOSE(QUOTIENT(MONTH($A41),3)+1,Peak!$AM$17,Peak!$AN$17,Peak!$AL$17,Peak!$AO$17,Peak!$AM$17)</f>
        <v>705</v>
      </c>
    </row>
    <row r="42" spans="1:25" x14ac:dyDescent="0.2">
      <c r="A42" s="1">
        <f t="shared" si="1"/>
        <v>37513.344000000041</v>
      </c>
      <c r="B42" s="172">
        <f>IF('Peak Revenue'!$A$1="BL","-",IF(Peak!H43&gt;Peak!$G43,B$8*$X42,0))</f>
        <v>4.75</v>
      </c>
      <c r="C42" s="172">
        <f>IF('Peak Revenue'!$A$1="BL","-",IF(Peak!I43&gt;Peak!$G43,C$8*$X42,0))</f>
        <v>4.75</v>
      </c>
      <c r="D42" s="172">
        <f>IF('Peak Revenue'!$A$1="BL","-",IF(Peak!J43&gt;Peak!$G43,D$8*$X42,0))</f>
        <v>9.5</v>
      </c>
      <c r="E42" s="172">
        <f>IF('Peak Revenue'!$A$1="BL","-",IF(Peak!K43&gt;Peak!$G43,E$8*$X42,0))</f>
        <v>19</v>
      </c>
      <c r="F42" s="172">
        <f>IF('Peak Revenue'!$A$1="BL","-",IF(Peak!L43&gt;Peak!$G43,F$8*$X42,0))</f>
        <v>19</v>
      </c>
      <c r="G42" s="172">
        <f>IF('Peak Revenue'!$A$1="BL","-",IF(Peak!M43&gt;Peak!$G43,G$8*$X42,0))</f>
        <v>38</v>
      </c>
      <c r="H42" s="172">
        <f>IF('Peak Revenue'!$A$1="BL","-",IF(Peak!N43&gt;Peak!$G43,H$8*$X42,0))</f>
        <v>0</v>
      </c>
      <c r="I42" s="172">
        <f>IF('Peak Revenue'!$A$1="BL","-",IF(Peak!O43&gt;Peak!$G43,I$8*$X42,0))</f>
        <v>0</v>
      </c>
      <c r="J42" s="172">
        <f>IF('Peak Revenue'!$A$1="BL","-",IF(Peak!P43&gt;Peak!$G43,J$8*$X42,0))</f>
        <v>0</v>
      </c>
      <c r="K42" s="172">
        <f>IF('Peak Revenue'!$A$1="BL","-",IF(Peak!Q43&gt;Peak!$G43,K$8*$X42,0))</f>
        <v>0</v>
      </c>
      <c r="L42" s="172">
        <f>IF('Peak Revenue'!$A$1="BL","-",IF(Peak!R43&gt;Peak!$G43,L$8*$X42,0))</f>
        <v>0</v>
      </c>
      <c r="M42" s="172">
        <f>IF('Peak Revenue'!$A$1="BL","-",IF(Peak!S43&gt;Peak!$G43,M$8*$X42,0))</f>
        <v>0</v>
      </c>
      <c r="N42" s="172">
        <f>IF('Peak Revenue'!$A$1="BL","-",IF(Peak!T43&gt;Peak!$G43,N$8*$X42,0))</f>
        <v>0</v>
      </c>
      <c r="O42" s="172">
        <f>IF('Peak Revenue'!$A$1="BL","-",IF(Peak!U43&gt;Peak!$G43,O$8*$X42,0))</f>
        <v>0</v>
      </c>
      <c r="P42" s="172">
        <f>IF('Peak Revenue'!$A$1="BL","-",IF(Peak!V43&gt;Peak!$G43,P$8*$X42,0))</f>
        <v>0</v>
      </c>
      <c r="Q42" s="172">
        <f>IF('Peak Revenue'!$A$1="BL","-",IF(Peak!W43&gt;Peak!$G43,Q$8*$X42,0))</f>
        <v>0</v>
      </c>
      <c r="R42" s="172">
        <f>IF('Peak Revenue'!$A$1="BL","-",IF(Peak!X43&gt;Peak!$G43,R$8*$X42,0))</f>
        <v>0</v>
      </c>
      <c r="S42" s="172">
        <f>IF('Peak Revenue'!$A$1="BL","-",IF(Peak!Y43&gt;Peak!$G43,S$8*$X42,0))</f>
        <v>0</v>
      </c>
      <c r="T42" s="172">
        <f>IF('Peak Revenue'!$A$1="BL","-",IF(Peak!Z43&gt;Peak!$G43,T$8*$X42,0))</f>
        <v>0</v>
      </c>
      <c r="U42" s="172">
        <f>IF('Peak Revenue'!$A$1="BL","-",IF(Peak!AA43&gt;Peak!$G43,U$8*$X42,0))</f>
        <v>0</v>
      </c>
      <c r="V42" s="175">
        <f t="shared" si="0"/>
        <v>95</v>
      </c>
      <c r="W42" s="164"/>
      <c r="X42" s="473">
        <f>CHOOSE(QUOTIENT(MONTH($A42),3)+1,Peak!$AM$11,Peak!$AN$11,Peak!$AL$11,Peak!$AO$11,Peak!$AM$11)</f>
        <v>0.95</v>
      </c>
      <c r="Y42" s="474">
        <f>CHOOSE(QUOTIENT(MONTH($A42),3)+1,Peak!$AM$17,Peak!$AN$17,Peak!$AL$17,Peak!$AO$17,Peak!$AM$17)</f>
        <v>705</v>
      </c>
    </row>
    <row r="43" spans="1:25" x14ac:dyDescent="0.2">
      <c r="A43" s="1">
        <f t="shared" si="1"/>
        <v>37543.761000000042</v>
      </c>
      <c r="B43" s="172">
        <f>IF('Peak Revenue'!$A$1="BL","-",IF(Peak!H44&gt;Peak!$G44,B$8*$X43,0))</f>
        <v>4.75</v>
      </c>
      <c r="C43" s="172">
        <f>IF('Peak Revenue'!$A$1="BL","-",IF(Peak!I44&gt;Peak!$G44,C$8*$X43,0))</f>
        <v>4.75</v>
      </c>
      <c r="D43" s="172">
        <f>IF('Peak Revenue'!$A$1="BL","-",IF(Peak!J44&gt;Peak!$G44,D$8*$X43,0))</f>
        <v>9.5</v>
      </c>
      <c r="E43" s="172">
        <f>IF('Peak Revenue'!$A$1="BL","-",IF(Peak!K44&gt;Peak!$G44,E$8*$X43,0))</f>
        <v>19</v>
      </c>
      <c r="F43" s="172">
        <f>IF('Peak Revenue'!$A$1="BL","-",IF(Peak!L44&gt;Peak!$G44,F$8*$X43,0))</f>
        <v>19</v>
      </c>
      <c r="G43" s="172">
        <f>IF('Peak Revenue'!$A$1="BL","-",IF(Peak!M44&gt;Peak!$G44,G$8*$X43,0))</f>
        <v>38</v>
      </c>
      <c r="H43" s="172">
        <f>IF('Peak Revenue'!$A$1="BL","-",IF(Peak!N44&gt;Peak!$G44,H$8*$X43,0))</f>
        <v>38</v>
      </c>
      <c r="I43" s="172">
        <f>IF('Peak Revenue'!$A$1="BL","-",IF(Peak!O44&gt;Peak!$G44,I$8*$X43,0))</f>
        <v>38</v>
      </c>
      <c r="J43" s="172">
        <f>IF('Peak Revenue'!$A$1="BL","-",IF(Peak!P44&gt;Peak!$G44,J$8*$X43,0))</f>
        <v>0</v>
      </c>
      <c r="K43" s="172">
        <f>IF('Peak Revenue'!$A$1="BL","-",IF(Peak!Q44&gt;Peak!$G44,K$8*$X43,0))</f>
        <v>0</v>
      </c>
      <c r="L43" s="172">
        <f>IF('Peak Revenue'!$A$1="BL","-",IF(Peak!R44&gt;Peak!$G44,L$8*$X43,0))</f>
        <v>0</v>
      </c>
      <c r="M43" s="172">
        <f>IF('Peak Revenue'!$A$1="BL","-",IF(Peak!S44&gt;Peak!$G44,M$8*$X43,0))</f>
        <v>0</v>
      </c>
      <c r="N43" s="172">
        <f>IF('Peak Revenue'!$A$1="BL","-",IF(Peak!T44&gt;Peak!$G44,N$8*$X43,0))</f>
        <v>0</v>
      </c>
      <c r="O43" s="172">
        <f>IF('Peak Revenue'!$A$1="BL","-",IF(Peak!U44&gt;Peak!$G44,O$8*$X43,0))</f>
        <v>0</v>
      </c>
      <c r="P43" s="172">
        <f>IF('Peak Revenue'!$A$1="BL","-",IF(Peak!V44&gt;Peak!$G44,P$8*$X43,0))</f>
        <v>0</v>
      </c>
      <c r="Q43" s="172">
        <f>IF('Peak Revenue'!$A$1="BL","-",IF(Peak!W44&gt;Peak!$G44,Q$8*$X43,0))</f>
        <v>0</v>
      </c>
      <c r="R43" s="172">
        <f>IF('Peak Revenue'!$A$1="BL","-",IF(Peak!X44&gt;Peak!$G44,R$8*$X43,0))</f>
        <v>0</v>
      </c>
      <c r="S43" s="172">
        <f>IF('Peak Revenue'!$A$1="BL","-",IF(Peak!Y44&gt;Peak!$G44,S$8*$X43,0))</f>
        <v>0</v>
      </c>
      <c r="T43" s="172">
        <f>IF('Peak Revenue'!$A$1="BL","-",IF(Peak!Z44&gt;Peak!$G44,T$8*$X43,0))</f>
        <v>0</v>
      </c>
      <c r="U43" s="172">
        <f>IF('Peak Revenue'!$A$1="BL","-",IF(Peak!AA44&gt;Peak!$G44,U$8*$X43,0))</f>
        <v>0</v>
      </c>
      <c r="V43" s="175">
        <f t="shared" si="0"/>
        <v>171</v>
      </c>
      <c r="W43" s="164"/>
      <c r="X43" s="473">
        <f>CHOOSE(QUOTIENT(MONTH($A43),3)+1,Peak!$AM$11,Peak!$AN$11,Peak!$AL$11,Peak!$AO$11,Peak!$AM$11)</f>
        <v>0.95</v>
      </c>
      <c r="Y43" s="474">
        <f>CHOOSE(QUOTIENT(MONTH($A43),3)+1,Peak!$AM$17,Peak!$AN$17,Peak!$AL$17,Peak!$AO$17,Peak!$AM$17)</f>
        <v>705</v>
      </c>
    </row>
    <row r="44" spans="1:25" x14ac:dyDescent="0.2">
      <c r="A44" s="1">
        <f t="shared" si="1"/>
        <v>37574.178000000044</v>
      </c>
      <c r="B44" s="172">
        <f>IF('Peak Revenue'!$A$1="BL","-",IF(Peak!H45&gt;Peak!$G45,B$8*$X44,0))</f>
        <v>4.75</v>
      </c>
      <c r="C44" s="172">
        <f>IF('Peak Revenue'!$A$1="BL","-",IF(Peak!I45&gt;Peak!$G45,C$8*$X44,0))</f>
        <v>4.75</v>
      </c>
      <c r="D44" s="172">
        <f>IF('Peak Revenue'!$A$1="BL","-",IF(Peak!J45&gt;Peak!$G45,D$8*$X44,0))</f>
        <v>9.5</v>
      </c>
      <c r="E44" s="172">
        <f>IF('Peak Revenue'!$A$1="BL","-",IF(Peak!K45&gt;Peak!$G45,E$8*$X44,0))</f>
        <v>19</v>
      </c>
      <c r="F44" s="172">
        <f>IF('Peak Revenue'!$A$1="BL","-",IF(Peak!L45&gt;Peak!$G45,F$8*$X44,0))</f>
        <v>19</v>
      </c>
      <c r="G44" s="172">
        <f>IF('Peak Revenue'!$A$1="BL","-",IF(Peak!M45&gt;Peak!$G45,G$8*$X44,0))</f>
        <v>38</v>
      </c>
      <c r="H44" s="172">
        <f>IF('Peak Revenue'!$A$1="BL","-",IF(Peak!N45&gt;Peak!$G45,H$8*$X44,0))</f>
        <v>38</v>
      </c>
      <c r="I44" s="172">
        <f>IF('Peak Revenue'!$A$1="BL","-",IF(Peak!O45&gt;Peak!$G45,I$8*$X44,0))</f>
        <v>38</v>
      </c>
      <c r="J44" s="172">
        <f>IF('Peak Revenue'!$A$1="BL","-",IF(Peak!P45&gt;Peak!$G45,J$8*$X44,0))</f>
        <v>0</v>
      </c>
      <c r="K44" s="172">
        <f>IF('Peak Revenue'!$A$1="BL","-",IF(Peak!Q45&gt;Peak!$G45,K$8*$X44,0))</f>
        <v>0</v>
      </c>
      <c r="L44" s="172">
        <f>IF('Peak Revenue'!$A$1="BL","-",IF(Peak!R45&gt;Peak!$G45,L$8*$X44,0))</f>
        <v>0</v>
      </c>
      <c r="M44" s="172">
        <f>IF('Peak Revenue'!$A$1="BL","-",IF(Peak!S45&gt;Peak!$G45,M$8*$X44,0))</f>
        <v>0</v>
      </c>
      <c r="N44" s="172">
        <f>IF('Peak Revenue'!$A$1="BL","-",IF(Peak!T45&gt;Peak!$G45,N$8*$X44,0))</f>
        <v>0</v>
      </c>
      <c r="O44" s="172">
        <f>IF('Peak Revenue'!$A$1="BL","-",IF(Peak!U45&gt;Peak!$G45,O$8*$X44,0))</f>
        <v>0</v>
      </c>
      <c r="P44" s="172">
        <f>IF('Peak Revenue'!$A$1="BL","-",IF(Peak!V45&gt;Peak!$G45,P$8*$X44,0))</f>
        <v>0</v>
      </c>
      <c r="Q44" s="172">
        <f>IF('Peak Revenue'!$A$1="BL","-",IF(Peak!W45&gt;Peak!$G45,Q$8*$X44,0))</f>
        <v>0</v>
      </c>
      <c r="R44" s="172">
        <f>IF('Peak Revenue'!$A$1="BL","-",IF(Peak!X45&gt;Peak!$G45,R$8*$X44,0))</f>
        <v>0</v>
      </c>
      <c r="S44" s="172">
        <f>IF('Peak Revenue'!$A$1="BL","-",IF(Peak!Y45&gt;Peak!$G45,S$8*$X44,0))</f>
        <v>0</v>
      </c>
      <c r="T44" s="172">
        <f>IF('Peak Revenue'!$A$1="BL","-",IF(Peak!Z45&gt;Peak!$G45,T$8*$X44,0))</f>
        <v>0</v>
      </c>
      <c r="U44" s="172">
        <f>IF('Peak Revenue'!$A$1="BL","-",IF(Peak!AA45&gt;Peak!$G45,U$8*$X44,0))</f>
        <v>0</v>
      </c>
      <c r="V44" s="175">
        <f t="shared" si="0"/>
        <v>171</v>
      </c>
      <c r="W44" s="164"/>
      <c r="X44" s="473">
        <f>CHOOSE(QUOTIENT(MONTH($A44),3)+1,Peak!$AM$11,Peak!$AN$11,Peak!$AL$11,Peak!$AO$11,Peak!$AM$11)</f>
        <v>0.95</v>
      </c>
      <c r="Y44" s="474">
        <f>CHOOSE(QUOTIENT(MONTH($A44),3)+1,Peak!$AM$17,Peak!$AN$17,Peak!$AL$17,Peak!$AO$17,Peak!$AM$17)</f>
        <v>705</v>
      </c>
    </row>
    <row r="45" spans="1:25" x14ac:dyDescent="0.2">
      <c r="A45" s="1">
        <f t="shared" si="1"/>
        <v>37604.595000000045</v>
      </c>
      <c r="B45" s="172">
        <f>IF('Peak Revenue'!$A$1="BL","-",IF(Peak!H46&gt;Peak!$G46,B$8*$X45,0))</f>
        <v>4.6213830939305875</v>
      </c>
      <c r="C45" s="172">
        <f>IF('Peak Revenue'!$A$1="BL","-",IF(Peak!I46&gt;Peak!$G46,C$8*$X45,0))</f>
        <v>4.6213830939305875</v>
      </c>
      <c r="D45" s="172">
        <f>IF('Peak Revenue'!$A$1="BL","-",IF(Peak!J46&gt;Peak!$G46,D$8*$X45,0))</f>
        <v>9.2427661878611751</v>
      </c>
      <c r="E45" s="172">
        <f>IF('Peak Revenue'!$A$1="BL","-",IF(Peak!K46&gt;Peak!$G46,E$8*$X45,0))</f>
        <v>18.48553237572235</v>
      </c>
      <c r="F45" s="172">
        <f>IF('Peak Revenue'!$A$1="BL","-",IF(Peak!L46&gt;Peak!$G46,F$8*$X45,0))</f>
        <v>18.48553237572235</v>
      </c>
      <c r="G45" s="172">
        <f>IF('Peak Revenue'!$A$1="BL","-",IF(Peak!M46&gt;Peak!$G46,G$8*$X45,0))</f>
        <v>36.9710647514447</v>
      </c>
      <c r="H45" s="172">
        <f>IF('Peak Revenue'!$A$1="BL","-",IF(Peak!N46&gt;Peak!$G46,H$8*$X45,0))</f>
        <v>36.9710647514447</v>
      </c>
      <c r="I45" s="172">
        <f>IF('Peak Revenue'!$A$1="BL","-",IF(Peak!O46&gt;Peak!$G46,I$8*$X45,0))</f>
        <v>36.9710647514447</v>
      </c>
      <c r="J45" s="172">
        <f>IF('Peak Revenue'!$A$1="BL","-",IF(Peak!P46&gt;Peak!$G46,J$8*$X45,0))</f>
        <v>0</v>
      </c>
      <c r="K45" s="172">
        <f>IF('Peak Revenue'!$A$1="BL","-",IF(Peak!Q46&gt;Peak!$G46,K$8*$X45,0))</f>
        <v>0</v>
      </c>
      <c r="L45" s="172">
        <f>IF('Peak Revenue'!$A$1="BL","-",IF(Peak!R46&gt;Peak!$G46,L$8*$X45,0))</f>
        <v>0</v>
      </c>
      <c r="M45" s="172">
        <f>IF('Peak Revenue'!$A$1="BL","-",IF(Peak!S46&gt;Peak!$G46,M$8*$X45,0))</f>
        <v>0</v>
      </c>
      <c r="N45" s="172">
        <f>IF('Peak Revenue'!$A$1="BL","-",IF(Peak!T46&gt;Peak!$G46,N$8*$X45,0))</f>
        <v>0</v>
      </c>
      <c r="O45" s="172">
        <f>IF('Peak Revenue'!$A$1="BL","-",IF(Peak!U46&gt;Peak!$G46,O$8*$X45,0))</f>
        <v>0</v>
      </c>
      <c r="P45" s="172">
        <f>IF('Peak Revenue'!$A$1="BL","-",IF(Peak!V46&gt;Peak!$G46,P$8*$X45,0))</f>
        <v>0</v>
      </c>
      <c r="Q45" s="172">
        <f>IF('Peak Revenue'!$A$1="BL","-",IF(Peak!W46&gt;Peak!$G46,Q$8*$X45,0))</f>
        <v>0</v>
      </c>
      <c r="R45" s="172">
        <f>IF('Peak Revenue'!$A$1="BL","-",IF(Peak!X46&gt;Peak!$G46,R$8*$X45,0))</f>
        <v>0</v>
      </c>
      <c r="S45" s="172">
        <f>IF('Peak Revenue'!$A$1="BL","-",IF(Peak!Y46&gt;Peak!$G46,S$8*$X45,0))</f>
        <v>0</v>
      </c>
      <c r="T45" s="172">
        <f>IF('Peak Revenue'!$A$1="BL","-",IF(Peak!Z46&gt;Peak!$G46,T$8*$X45,0))</f>
        <v>0</v>
      </c>
      <c r="U45" s="172">
        <f>IF('Peak Revenue'!$A$1="BL","-",IF(Peak!AA46&gt;Peak!$G46,U$8*$X45,0))</f>
        <v>0</v>
      </c>
      <c r="V45" s="175">
        <f t="shared" si="0"/>
        <v>166.36979138150116</v>
      </c>
      <c r="W45" s="163">
        <f>SUM(V34:V45)</f>
        <v>2161.720535899035</v>
      </c>
      <c r="X45" s="473">
        <f>CHOOSE(QUOTIENT(MONTH($A45),3)+1,Peak!$AM$11,Peak!$AN$11,Peak!$AL$11,Peak!$AO$11,Peak!$AM$11)</f>
        <v>0.92427661878611755</v>
      </c>
      <c r="Y45" s="474">
        <f>CHOOSE(QUOTIENT(MONTH($A45),3)+1,Peak!$AM$17,Peak!$AN$17,Peak!$AL$17,Peak!$AO$17,Peak!$AM$17)</f>
        <v>705</v>
      </c>
    </row>
    <row r="46" spans="1:25" x14ac:dyDescent="0.2">
      <c r="A46" s="1">
        <f t="shared" si="1"/>
        <v>37635.012000000046</v>
      </c>
      <c r="B46" s="172">
        <f>IF('Peak Revenue'!$A$1="BL","-",IF(Peak!H47&gt;Peak!$G47,B$8*$X46,0))</f>
        <v>4.6213830939305875</v>
      </c>
      <c r="C46" s="172">
        <f>IF('Peak Revenue'!$A$1="BL","-",IF(Peak!I47&gt;Peak!$G47,C$8*$X46,0))</f>
        <v>4.6213830939305875</v>
      </c>
      <c r="D46" s="172">
        <f>IF('Peak Revenue'!$A$1="BL","-",IF(Peak!J47&gt;Peak!$G47,D$8*$X46,0))</f>
        <v>9.2427661878611751</v>
      </c>
      <c r="E46" s="172">
        <f>IF('Peak Revenue'!$A$1="BL","-",IF(Peak!K47&gt;Peak!$G47,E$8*$X46,0))</f>
        <v>18.48553237572235</v>
      </c>
      <c r="F46" s="172">
        <f>IF('Peak Revenue'!$A$1="BL","-",IF(Peak!L47&gt;Peak!$G47,F$8*$X46,0))</f>
        <v>18.48553237572235</v>
      </c>
      <c r="G46" s="172">
        <f>IF('Peak Revenue'!$A$1="BL","-",IF(Peak!M47&gt;Peak!$G47,G$8*$X46,0))</f>
        <v>36.9710647514447</v>
      </c>
      <c r="H46" s="172">
        <f>IF('Peak Revenue'!$A$1="BL","-",IF(Peak!N47&gt;Peak!$G47,H$8*$X46,0))</f>
        <v>36.9710647514447</v>
      </c>
      <c r="I46" s="172">
        <f>IF('Peak Revenue'!$A$1="BL","-",IF(Peak!O47&gt;Peak!$G47,I$8*$X46,0))</f>
        <v>36.9710647514447</v>
      </c>
      <c r="J46" s="172">
        <f>IF('Peak Revenue'!$A$1="BL","-",IF(Peak!P47&gt;Peak!$G47,J$8*$X46,0))</f>
        <v>36.9710647514447</v>
      </c>
      <c r="K46" s="172">
        <f>IF('Peak Revenue'!$A$1="BL","-",IF(Peak!Q47&gt;Peak!$G47,K$8*$X46,0))</f>
        <v>0</v>
      </c>
      <c r="L46" s="172">
        <f>IF('Peak Revenue'!$A$1="BL","-",IF(Peak!R47&gt;Peak!$G47,L$8*$X46,0))</f>
        <v>0</v>
      </c>
      <c r="M46" s="172">
        <f>IF('Peak Revenue'!$A$1="BL","-",IF(Peak!S47&gt;Peak!$G47,M$8*$X46,0))</f>
        <v>0</v>
      </c>
      <c r="N46" s="172">
        <f>IF('Peak Revenue'!$A$1="BL","-",IF(Peak!T47&gt;Peak!$G47,N$8*$X46,0))</f>
        <v>0</v>
      </c>
      <c r="O46" s="172">
        <f>IF('Peak Revenue'!$A$1="BL","-",IF(Peak!U47&gt;Peak!$G47,O$8*$X46,0))</f>
        <v>0</v>
      </c>
      <c r="P46" s="172">
        <f>IF('Peak Revenue'!$A$1="BL","-",IF(Peak!V47&gt;Peak!$G47,P$8*$X46,0))</f>
        <v>0</v>
      </c>
      <c r="Q46" s="172">
        <f>IF('Peak Revenue'!$A$1="BL","-",IF(Peak!W47&gt;Peak!$G47,Q$8*$X46,0))</f>
        <v>0</v>
      </c>
      <c r="R46" s="172">
        <f>IF('Peak Revenue'!$A$1="BL","-",IF(Peak!X47&gt;Peak!$G47,R$8*$X46,0))</f>
        <v>0</v>
      </c>
      <c r="S46" s="172">
        <f>IF('Peak Revenue'!$A$1="BL","-",IF(Peak!Y47&gt;Peak!$G47,S$8*$X46,0))</f>
        <v>0</v>
      </c>
      <c r="T46" s="172">
        <f>IF('Peak Revenue'!$A$1="BL","-",IF(Peak!Z47&gt;Peak!$G47,T$8*$X46,0))</f>
        <v>0</v>
      </c>
      <c r="U46" s="172">
        <f>IF('Peak Revenue'!$A$1="BL","-",IF(Peak!AA47&gt;Peak!$G47,U$8*$X46,0))</f>
        <v>0</v>
      </c>
      <c r="V46" s="175">
        <f t="shared" si="0"/>
        <v>203.34085613294587</v>
      </c>
      <c r="W46" s="164"/>
      <c r="X46" s="473">
        <f>CHOOSE(QUOTIENT(MONTH($A46),3)+1,Peak!$AM$11,Peak!$AN$11,Peak!$AL$11,Peak!$AO$11,Peak!$AM$11)</f>
        <v>0.92427661878611755</v>
      </c>
      <c r="Y46" s="474">
        <f>CHOOSE(QUOTIENT(MONTH($A46),3)+1,Peak!$AM$17,Peak!$AN$17,Peak!$AL$17,Peak!$AO$17,Peak!$AM$17)</f>
        <v>705</v>
      </c>
    </row>
    <row r="47" spans="1:25" x14ac:dyDescent="0.2">
      <c r="A47" s="1">
        <f t="shared" si="1"/>
        <v>37665.429000000047</v>
      </c>
      <c r="B47" s="172">
        <f>IF('Peak Revenue'!$A$1="BL","-",IF(Peak!H48&gt;Peak!$G48,B$8*$X47,0))</f>
        <v>4.6213830939305875</v>
      </c>
      <c r="C47" s="172">
        <f>IF('Peak Revenue'!$A$1="BL","-",IF(Peak!I48&gt;Peak!$G48,C$8*$X47,0))</f>
        <v>4.6213830939305875</v>
      </c>
      <c r="D47" s="172">
        <f>IF('Peak Revenue'!$A$1="BL","-",IF(Peak!J48&gt;Peak!$G48,D$8*$X47,0))</f>
        <v>9.2427661878611751</v>
      </c>
      <c r="E47" s="172">
        <f>IF('Peak Revenue'!$A$1="BL","-",IF(Peak!K48&gt;Peak!$G48,E$8*$X47,0))</f>
        <v>18.48553237572235</v>
      </c>
      <c r="F47" s="172">
        <f>IF('Peak Revenue'!$A$1="BL","-",IF(Peak!L48&gt;Peak!$G48,F$8*$X47,0))</f>
        <v>18.48553237572235</v>
      </c>
      <c r="G47" s="172">
        <f>IF('Peak Revenue'!$A$1="BL","-",IF(Peak!M48&gt;Peak!$G48,G$8*$X47,0))</f>
        <v>36.9710647514447</v>
      </c>
      <c r="H47" s="172">
        <f>IF('Peak Revenue'!$A$1="BL","-",IF(Peak!N48&gt;Peak!$G48,H$8*$X47,0))</f>
        <v>36.9710647514447</v>
      </c>
      <c r="I47" s="172">
        <f>IF('Peak Revenue'!$A$1="BL","-",IF(Peak!O48&gt;Peak!$G48,I$8*$X47,0))</f>
        <v>36.9710647514447</v>
      </c>
      <c r="J47" s="172">
        <f>IF('Peak Revenue'!$A$1="BL","-",IF(Peak!P48&gt;Peak!$G48,J$8*$X47,0))</f>
        <v>36.9710647514447</v>
      </c>
      <c r="K47" s="172">
        <f>IF('Peak Revenue'!$A$1="BL","-",IF(Peak!Q48&gt;Peak!$G48,K$8*$X47,0))</f>
        <v>0</v>
      </c>
      <c r="L47" s="172">
        <f>IF('Peak Revenue'!$A$1="BL","-",IF(Peak!R48&gt;Peak!$G48,L$8*$X47,0))</f>
        <v>0</v>
      </c>
      <c r="M47" s="172">
        <f>IF('Peak Revenue'!$A$1="BL","-",IF(Peak!S48&gt;Peak!$G48,M$8*$X47,0))</f>
        <v>0</v>
      </c>
      <c r="N47" s="172">
        <f>IF('Peak Revenue'!$A$1="BL","-",IF(Peak!T48&gt;Peak!$G48,N$8*$X47,0))</f>
        <v>0</v>
      </c>
      <c r="O47" s="172">
        <f>IF('Peak Revenue'!$A$1="BL","-",IF(Peak!U48&gt;Peak!$G48,O$8*$X47,0))</f>
        <v>0</v>
      </c>
      <c r="P47" s="172">
        <f>IF('Peak Revenue'!$A$1="BL","-",IF(Peak!V48&gt;Peak!$G48,P$8*$X47,0))</f>
        <v>0</v>
      </c>
      <c r="Q47" s="172">
        <f>IF('Peak Revenue'!$A$1="BL","-",IF(Peak!W48&gt;Peak!$G48,Q$8*$X47,0))</f>
        <v>0</v>
      </c>
      <c r="R47" s="172">
        <f>IF('Peak Revenue'!$A$1="BL","-",IF(Peak!X48&gt;Peak!$G48,R$8*$X47,0))</f>
        <v>0</v>
      </c>
      <c r="S47" s="172">
        <f>IF('Peak Revenue'!$A$1="BL","-",IF(Peak!Y48&gt;Peak!$G48,S$8*$X47,0))</f>
        <v>0</v>
      </c>
      <c r="T47" s="172">
        <f>IF('Peak Revenue'!$A$1="BL","-",IF(Peak!Z48&gt;Peak!$G48,T$8*$X47,0))</f>
        <v>0</v>
      </c>
      <c r="U47" s="172">
        <f>IF('Peak Revenue'!$A$1="BL","-",IF(Peak!AA48&gt;Peak!$G48,U$8*$X47,0))</f>
        <v>0</v>
      </c>
      <c r="V47" s="175">
        <f t="shared" si="0"/>
        <v>203.34085613294587</v>
      </c>
      <c r="W47" s="164"/>
      <c r="X47" s="473">
        <f>CHOOSE(QUOTIENT(MONTH($A47),3)+1,Peak!$AM$11,Peak!$AN$11,Peak!$AL$11,Peak!$AO$11,Peak!$AM$11)</f>
        <v>0.92427661878611755</v>
      </c>
      <c r="Y47" s="474">
        <f>CHOOSE(QUOTIENT(MONTH($A47),3)+1,Peak!$AM$17,Peak!$AN$17,Peak!$AL$17,Peak!$AO$17,Peak!$AM$17)</f>
        <v>705</v>
      </c>
    </row>
    <row r="48" spans="1:25" x14ac:dyDescent="0.2">
      <c r="A48" s="1">
        <f t="shared" si="1"/>
        <v>37695.846000000049</v>
      </c>
      <c r="B48" s="172">
        <f>IF('Peak Revenue'!$A$1="BL","-",IF(Peak!H49&gt;Peak!$G49,B$8*$X48,0))</f>
        <v>4.75</v>
      </c>
      <c r="C48" s="172">
        <f>IF('Peak Revenue'!$A$1="BL","-",IF(Peak!I49&gt;Peak!$G49,C$8*$X48,0))</f>
        <v>4.75</v>
      </c>
      <c r="D48" s="172">
        <f>IF('Peak Revenue'!$A$1="BL","-",IF(Peak!J49&gt;Peak!$G49,D$8*$X48,0))</f>
        <v>9.5</v>
      </c>
      <c r="E48" s="172">
        <f>IF('Peak Revenue'!$A$1="BL","-",IF(Peak!K49&gt;Peak!$G49,E$8*$X48,0))</f>
        <v>19</v>
      </c>
      <c r="F48" s="172">
        <f>IF('Peak Revenue'!$A$1="BL","-",IF(Peak!L49&gt;Peak!$G49,F$8*$X48,0))</f>
        <v>19</v>
      </c>
      <c r="G48" s="172">
        <f>IF('Peak Revenue'!$A$1="BL","-",IF(Peak!M49&gt;Peak!$G49,G$8*$X48,0))</f>
        <v>38</v>
      </c>
      <c r="H48" s="172">
        <f>IF('Peak Revenue'!$A$1="BL","-",IF(Peak!N49&gt;Peak!$G49,H$8*$X48,0))</f>
        <v>38</v>
      </c>
      <c r="I48" s="172">
        <f>IF('Peak Revenue'!$A$1="BL","-",IF(Peak!O49&gt;Peak!$G49,I$8*$X48,0))</f>
        <v>38</v>
      </c>
      <c r="J48" s="172">
        <f>IF('Peak Revenue'!$A$1="BL","-",IF(Peak!P49&gt;Peak!$G49,J$8*$X48,0))</f>
        <v>38</v>
      </c>
      <c r="K48" s="172">
        <f>IF('Peak Revenue'!$A$1="BL","-",IF(Peak!Q49&gt;Peak!$G49,K$8*$X48,0))</f>
        <v>0</v>
      </c>
      <c r="L48" s="172">
        <f>IF('Peak Revenue'!$A$1="BL","-",IF(Peak!R49&gt;Peak!$G49,L$8*$X48,0))</f>
        <v>0</v>
      </c>
      <c r="M48" s="172">
        <f>IF('Peak Revenue'!$A$1="BL","-",IF(Peak!S49&gt;Peak!$G49,M$8*$X48,0))</f>
        <v>0</v>
      </c>
      <c r="N48" s="172">
        <f>IF('Peak Revenue'!$A$1="BL","-",IF(Peak!T49&gt;Peak!$G49,N$8*$X48,0))</f>
        <v>0</v>
      </c>
      <c r="O48" s="172">
        <f>IF('Peak Revenue'!$A$1="BL","-",IF(Peak!U49&gt;Peak!$G49,O$8*$X48,0))</f>
        <v>0</v>
      </c>
      <c r="P48" s="172">
        <f>IF('Peak Revenue'!$A$1="BL","-",IF(Peak!V49&gt;Peak!$G49,P$8*$X48,0))</f>
        <v>0</v>
      </c>
      <c r="Q48" s="172">
        <f>IF('Peak Revenue'!$A$1="BL","-",IF(Peak!W49&gt;Peak!$G49,Q$8*$X48,0))</f>
        <v>0</v>
      </c>
      <c r="R48" s="172">
        <f>IF('Peak Revenue'!$A$1="BL","-",IF(Peak!X49&gt;Peak!$G49,R$8*$X48,0))</f>
        <v>0</v>
      </c>
      <c r="S48" s="172">
        <f>IF('Peak Revenue'!$A$1="BL","-",IF(Peak!Y49&gt;Peak!$G49,S$8*$X48,0))</f>
        <v>0</v>
      </c>
      <c r="T48" s="172">
        <f>IF('Peak Revenue'!$A$1="BL","-",IF(Peak!Z49&gt;Peak!$G49,T$8*$X48,0))</f>
        <v>0</v>
      </c>
      <c r="U48" s="172">
        <f>IF('Peak Revenue'!$A$1="BL","-",IF(Peak!AA49&gt;Peak!$G49,U$8*$X48,0))</f>
        <v>0</v>
      </c>
      <c r="V48" s="175">
        <f t="shared" si="0"/>
        <v>209</v>
      </c>
      <c r="W48" s="164"/>
      <c r="X48" s="473">
        <f>CHOOSE(QUOTIENT(MONTH($A48),3)+1,Peak!$AM$11,Peak!$AN$11,Peak!$AL$11,Peak!$AO$11,Peak!$AM$11)</f>
        <v>0.95</v>
      </c>
      <c r="Y48" s="474">
        <f>CHOOSE(QUOTIENT(MONTH($A48),3)+1,Peak!$AM$17,Peak!$AN$17,Peak!$AL$17,Peak!$AO$17,Peak!$AM$17)</f>
        <v>705</v>
      </c>
    </row>
    <row r="49" spans="1:25" x14ac:dyDescent="0.2">
      <c r="A49" s="1">
        <f t="shared" si="1"/>
        <v>37726.26300000005</v>
      </c>
      <c r="B49" s="172">
        <f>IF('Peak Revenue'!$A$1="BL","-",IF(Peak!H50&gt;Peak!$G50,B$8*$X49,0))</f>
        <v>4.75</v>
      </c>
      <c r="C49" s="172">
        <f>IF('Peak Revenue'!$A$1="BL","-",IF(Peak!I50&gt;Peak!$G50,C$8*$X49,0))</f>
        <v>4.75</v>
      </c>
      <c r="D49" s="172">
        <f>IF('Peak Revenue'!$A$1="BL","-",IF(Peak!J50&gt;Peak!$G50,D$8*$X49,0))</f>
        <v>9.5</v>
      </c>
      <c r="E49" s="172">
        <f>IF('Peak Revenue'!$A$1="BL","-",IF(Peak!K50&gt;Peak!$G50,E$8*$X49,0))</f>
        <v>19</v>
      </c>
      <c r="F49" s="172">
        <f>IF('Peak Revenue'!$A$1="BL","-",IF(Peak!L50&gt;Peak!$G50,F$8*$X49,0))</f>
        <v>19</v>
      </c>
      <c r="G49" s="172">
        <f>IF('Peak Revenue'!$A$1="BL","-",IF(Peak!M50&gt;Peak!$G50,G$8*$X49,0))</f>
        <v>38</v>
      </c>
      <c r="H49" s="172">
        <f>IF('Peak Revenue'!$A$1="BL","-",IF(Peak!N50&gt;Peak!$G50,H$8*$X49,0))</f>
        <v>0</v>
      </c>
      <c r="I49" s="172">
        <f>IF('Peak Revenue'!$A$1="BL","-",IF(Peak!O50&gt;Peak!$G50,I$8*$X49,0))</f>
        <v>0</v>
      </c>
      <c r="J49" s="172">
        <f>IF('Peak Revenue'!$A$1="BL","-",IF(Peak!P50&gt;Peak!$G50,J$8*$X49,0))</f>
        <v>0</v>
      </c>
      <c r="K49" s="172">
        <f>IF('Peak Revenue'!$A$1="BL","-",IF(Peak!Q50&gt;Peak!$G50,K$8*$X49,0))</f>
        <v>0</v>
      </c>
      <c r="L49" s="172">
        <f>IF('Peak Revenue'!$A$1="BL","-",IF(Peak!R50&gt;Peak!$G50,L$8*$X49,0))</f>
        <v>0</v>
      </c>
      <c r="M49" s="172">
        <f>IF('Peak Revenue'!$A$1="BL","-",IF(Peak!S50&gt;Peak!$G50,M$8*$X49,0))</f>
        <v>0</v>
      </c>
      <c r="N49" s="172">
        <f>IF('Peak Revenue'!$A$1="BL","-",IF(Peak!T50&gt;Peak!$G50,N$8*$X49,0))</f>
        <v>0</v>
      </c>
      <c r="O49" s="172">
        <f>IF('Peak Revenue'!$A$1="BL","-",IF(Peak!U50&gt;Peak!$G50,O$8*$X49,0))</f>
        <v>0</v>
      </c>
      <c r="P49" s="172">
        <f>IF('Peak Revenue'!$A$1="BL","-",IF(Peak!V50&gt;Peak!$G50,P$8*$X49,0))</f>
        <v>0</v>
      </c>
      <c r="Q49" s="172">
        <f>IF('Peak Revenue'!$A$1="BL","-",IF(Peak!W50&gt;Peak!$G50,Q$8*$X49,0))</f>
        <v>0</v>
      </c>
      <c r="R49" s="172">
        <f>IF('Peak Revenue'!$A$1="BL","-",IF(Peak!X50&gt;Peak!$G50,R$8*$X49,0))</f>
        <v>0</v>
      </c>
      <c r="S49" s="172">
        <f>IF('Peak Revenue'!$A$1="BL","-",IF(Peak!Y50&gt;Peak!$G50,S$8*$X49,0))</f>
        <v>0</v>
      </c>
      <c r="T49" s="172">
        <f>IF('Peak Revenue'!$A$1="BL","-",IF(Peak!Z50&gt;Peak!$G50,T$8*$X49,0))</f>
        <v>0</v>
      </c>
      <c r="U49" s="172">
        <f>IF('Peak Revenue'!$A$1="BL","-",IF(Peak!AA50&gt;Peak!$G50,U$8*$X49,0))</f>
        <v>0</v>
      </c>
      <c r="V49" s="175">
        <f t="shared" si="0"/>
        <v>95</v>
      </c>
      <c r="W49" s="164"/>
      <c r="X49" s="473">
        <f>CHOOSE(QUOTIENT(MONTH($A49),3)+1,Peak!$AM$11,Peak!$AN$11,Peak!$AL$11,Peak!$AO$11,Peak!$AM$11)</f>
        <v>0.95</v>
      </c>
      <c r="Y49" s="474">
        <f>CHOOSE(QUOTIENT(MONTH($A49),3)+1,Peak!$AM$17,Peak!$AN$17,Peak!$AL$17,Peak!$AO$17,Peak!$AM$17)</f>
        <v>705</v>
      </c>
    </row>
    <row r="50" spans="1:25" x14ac:dyDescent="0.2">
      <c r="A50" s="1">
        <f t="shared" si="1"/>
        <v>37756.680000000051</v>
      </c>
      <c r="B50" s="172">
        <f>IF('Peak Revenue'!$A$1="BL","-",IF(Peak!H51&gt;Peak!$G51,B$8*$X50,0))</f>
        <v>4.75</v>
      </c>
      <c r="C50" s="172">
        <f>IF('Peak Revenue'!$A$1="BL","-",IF(Peak!I51&gt;Peak!$G51,C$8*$X50,0))</f>
        <v>4.75</v>
      </c>
      <c r="D50" s="172">
        <f>IF('Peak Revenue'!$A$1="BL","-",IF(Peak!J51&gt;Peak!$G51,D$8*$X50,0))</f>
        <v>9.5</v>
      </c>
      <c r="E50" s="172">
        <f>IF('Peak Revenue'!$A$1="BL","-",IF(Peak!K51&gt;Peak!$G51,E$8*$X50,0))</f>
        <v>19</v>
      </c>
      <c r="F50" s="172">
        <f>IF('Peak Revenue'!$A$1="BL","-",IF(Peak!L51&gt;Peak!$G51,F$8*$X50,0))</f>
        <v>19</v>
      </c>
      <c r="G50" s="172">
        <f>IF('Peak Revenue'!$A$1="BL","-",IF(Peak!M51&gt;Peak!$G51,G$8*$X50,0))</f>
        <v>38</v>
      </c>
      <c r="H50" s="172">
        <f>IF('Peak Revenue'!$A$1="BL","-",IF(Peak!N51&gt;Peak!$G51,H$8*$X50,0))</f>
        <v>38</v>
      </c>
      <c r="I50" s="172">
        <f>IF('Peak Revenue'!$A$1="BL","-",IF(Peak!O51&gt;Peak!$G51,I$8*$X50,0))</f>
        <v>38</v>
      </c>
      <c r="J50" s="172">
        <f>IF('Peak Revenue'!$A$1="BL","-",IF(Peak!P51&gt;Peak!$G51,J$8*$X50,0))</f>
        <v>0</v>
      </c>
      <c r="K50" s="172">
        <f>IF('Peak Revenue'!$A$1="BL","-",IF(Peak!Q51&gt;Peak!$G51,K$8*$X50,0))</f>
        <v>0</v>
      </c>
      <c r="L50" s="172">
        <f>IF('Peak Revenue'!$A$1="BL","-",IF(Peak!R51&gt;Peak!$G51,L$8*$X50,0))</f>
        <v>0</v>
      </c>
      <c r="M50" s="172">
        <f>IF('Peak Revenue'!$A$1="BL","-",IF(Peak!S51&gt;Peak!$G51,M$8*$X50,0))</f>
        <v>0</v>
      </c>
      <c r="N50" s="172">
        <f>IF('Peak Revenue'!$A$1="BL","-",IF(Peak!T51&gt;Peak!$G51,N$8*$X50,0))</f>
        <v>0</v>
      </c>
      <c r="O50" s="172">
        <f>IF('Peak Revenue'!$A$1="BL","-",IF(Peak!U51&gt;Peak!$G51,O$8*$X50,0))</f>
        <v>0</v>
      </c>
      <c r="P50" s="172">
        <f>IF('Peak Revenue'!$A$1="BL","-",IF(Peak!V51&gt;Peak!$G51,P$8*$X50,0))</f>
        <v>0</v>
      </c>
      <c r="Q50" s="172">
        <f>IF('Peak Revenue'!$A$1="BL","-",IF(Peak!W51&gt;Peak!$G51,Q$8*$X50,0))</f>
        <v>0</v>
      </c>
      <c r="R50" s="172">
        <f>IF('Peak Revenue'!$A$1="BL","-",IF(Peak!X51&gt;Peak!$G51,R$8*$X50,0))</f>
        <v>0</v>
      </c>
      <c r="S50" s="172">
        <f>IF('Peak Revenue'!$A$1="BL","-",IF(Peak!Y51&gt;Peak!$G51,S$8*$X50,0))</f>
        <v>0</v>
      </c>
      <c r="T50" s="172">
        <f>IF('Peak Revenue'!$A$1="BL","-",IF(Peak!Z51&gt;Peak!$G51,T$8*$X50,0))</f>
        <v>0</v>
      </c>
      <c r="U50" s="172">
        <f>IF('Peak Revenue'!$A$1="BL","-",IF(Peak!AA51&gt;Peak!$G51,U$8*$X50,0))</f>
        <v>0</v>
      </c>
      <c r="V50" s="175">
        <f t="shared" si="0"/>
        <v>171</v>
      </c>
      <c r="W50" s="164"/>
      <c r="X50" s="473">
        <f>CHOOSE(QUOTIENT(MONTH($A50),3)+1,Peak!$AM$11,Peak!$AN$11,Peak!$AL$11,Peak!$AO$11,Peak!$AM$11)</f>
        <v>0.95</v>
      </c>
      <c r="Y50" s="474">
        <f>CHOOSE(QUOTIENT(MONTH($A50),3)+1,Peak!$AM$17,Peak!$AN$17,Peak!$AL$17,Peak!$AO$17,Peak!$AM$17)</f>
        <v>705</v>
      </c>
    </row>
    <row r="51" spans="1:25" x14ac:dyDescent="0.2">
      <c r="A51" s="1">
        <f t="shared" si="1"/>
        <v>37787.097000000053</v>
      </c>
      <c r="B51" s="172">
        <f>IF('Peak Revenue'!$A$1="BL","-",IF(Peak!H52&gt;Peak!$G52,B$8*$X51,0))</f>
        <v>4.8306067954779284</v>
      </c>
      <c r="C51" s="172">
        <f>IF('Peak Revenue'!$A$1="BL","-",IF(Peak!I52&gt;Peak!$G52,C$8*$X51,0))</f>
        <v>4.8306067954779284</v>
      </c>
      <c r="D51" s="172">
        <f>IF('Peak Revenue'!$A$1="BL","-",IF(Peak!J52&gt;Peak!$G52,D$8*$X51,0))</f>
        <v>9.6612135909558567</v>
      </c>
      <c r="E51" s="172">
        <f>IF('Peak Revenue'!$A$1="BL","-",IF(Peak!K52&gt;Peak!$G52,E$8*$X51,0))</f>
        <v>19.322427181911713</v>
      </c>
      <c r="F51" s="172">
        <f>IF('Peak Revenue'!$A$1="BL","-",IF(Peak!L52&gt;Peak!$G52,F$8*$X51,0))</f>
        <v>19.322427181911713</v>
      </c>
      <c r="G51" s="172">
        <f>IF('Peak Revenue'!$A$1="BL","-",IF(Peak!M52&gt;Peak!$G52,G$8*$X51,0))</f>
        <v>38.644854363823427</v>
      </c>
      <c r="H51" s="172">
        <f>IF('Peak Revenue'!$A$1="BL","-",IF(Peak!N52&gt;Peak!$G52,H$8*$X51,0))</f>
        <v>38.644854363823427</v>
      </c>
      <c r="I51" s="172">
        <f>IF('Peak Revenue'!$A$1="BL","-",IF(Peak!O52&gt;Peak!$G52,I$8*$X51,0))</f>
        <v>38.644854363823427</v>
      </c>
      <c r="J51" s="172">
        <f>IF('Peak Revenue'!$A$1="BL","-",IF(Peak!P52&gt;Peak!$G52,J$8*$X51,0))</f>
        <v>38.644854363823427</v>
      </c>
      <c r="K51" s="172">
        <f>IF('Peak Revenue'!$A$1="BL","-",IF(Peak!Q52&gt;Peak!$G52,K$8*$X51,0))</f>
        <v>38.644854363823427</v>
      </c>
      <c r="L51" s="172">
        <f>IF('Peak Revenue'!$A$1="BL","-",IF(Peak!R52&gt;Peak!$G52,L$8*$X51,0))</f>
        <v>0</v>
      </c>
      <c r="M51" s="172">
        <f>IF('Peak Revenue'!$A$1="BL","-",IF(Peak!S52&gt;Peak!$G52,M$8*$X51,0))</f>
        <v>0</v>
      </c>
      <c r="N51" s="172">
        <f>IF('Peak Revenue'!$A$1="BL","-",IF(Peak!T52&gt;Peak!$G52,N$8*$X51,0))</f>
        <v>0</v>
      </c>
      <c r="O51" s="172">
        <f>IF('Peak Revenue'!$A$1="BL","-",IF(Peak!U52&gt;Peak!$G52,O$8*$X51,0))</f>
        <v>0</v>
      </c>
      <c r="P51" s="172">
        <f>IF('Peak Revenue'!$A$1="BL","-",IF(Peak!V52&gt;Peak!$G52,P$8*$X51,0))</f>
        <v>0</v>
      </c>
      <c r="Q51" s="172">
        <f>IF('Peak Revenue'!$A$1="BL","-",IF(Peak!W52&gt;Peak!$G52,Q$8*$X51,0))</f>
        <v>0</v>
      </c>
      <c r="R51" s="172">
        <f>IF('Peak Revenue'!$A$1="BL","-",IF(Peak!X52&gt;Peak!$G52,R$8*$X51,0))</f>
        <v>0</v>
      </c>
      <c r="S51" s="172">
        <f>IF('Peak Revenue'!$A$1="BL","-",IF(Peak!Y52&gt;Peak!$G52,S$8*$X51,0))</f>
        <v>0</v>
      </c>
      <c r="T51" s="172">
        <f>IF('Peak Revenue'!$A$1="BL","-",IF(Peak!Z52&gt;Peak!$G52,T$8*$X51,0))</f>
        <v>0</v>
      </c>
      <c r="U51" s="172">
        <f>IF('Peak Revenue'!$A$1="BL","-",IF(Peak!AA52&gt;Peak!$G52,U$8*$X51,0))</f>
        <v>0</v>
      </c>
      <c r="V51" s="175">
        <f t="shared" si="0"/>
        <v>251.19155336485221</v>
      </c>
      <c r="W51" s="164"/>
      <c r="X51" s="473">
        <f>CHOOSE(QUOTIENT(MONTH($A51),3)+1,Peak!$AM$11,Peak!$AN$11,Peak!$AL$11,Peak!$AO$11,Peak!$AM$11)</f>
        <v>0.96612135909558572</v>
      </c>
      <c r="Y51" s="474">
        <f>CHOOSE(QUOTIENT(MONTH($A51),3)+1,Peak!$AM$17,Peak!$AN$17,Peak!$AL$17,Peak!$AO$17,Peak!$AM$17)</f>
        <v>705</v>
      </c>
    </row>
    <row r="52" spans="1:25" x14ac:dyDescent="0.2">
      <c r="A52" s="1">
        <f t="shared" si="1"/>
        <v>37817.514000000054</v>
      </c>
      <c r="B52" s="172">
        <f>IF('Peak Revenue'!$A$1="BL","-",IF(Peak!H53&gt;Peak!$G53,B$8*$X52,0))</f>
        <v>4.8306067954779284</v>
      </c>
      <c r="C52" s="172">
        <f>IF('Peak Revenue'!$A$1="BL","-",IF(Peak!I53&gt;Peak!$G53,C$8*$X52,0))</f>
        <v>4.8306067954779284</v>
      </c>
      <c r="D52" s="172">
        <f>IF('Peak Revenue'!$A$1="BL","-",IF(Peak!J53&gt;Peak!$G53,D$8*$X52,0))</f>
        <v>9.6612135909558567</v>
      </c>
      <c r="E52" s="172">
        <f>IF('Peak Revenue'!$A$1="BL","-",IF(Peak!K53&gt;Peak!$G53,E$8*$X52,0))</f>
        <v>19.322427181911713</v>
      </c>
      <c r="F52" s="172">
        <f>IF('Peak Revenue'!$A$1="BL","-",IF(Peak!L53&gt;Peak!$G53,F$8*$X52,0))</f>
        <v>19.322427181911713</v>
      </c>
      <c r="G52" s="172">
        <f>IF('Peak Revenue'!$A$1="BL","-",IF(Peak!M53&gt;Peak!$G53,G$8*$X52,0))</f>
        <v>38.644854363823427</v>
      </c>
      <c r="H52" s="172">
        <f>IF('Peak Revenue'!$A$1="BL","-",IF(Peak!N53&gt;Peak!$G53,H$8*$X52,0))</f>
        <v>38.644854363823427</v>
      </c>
      <c r="I52" s="172">
        <f>IF('Peak Revenue'!$A$1="BL","-",IF(Peak!O53&gt;Peak!$G53,I$8*$X52,0))</f>
        <v>38.644854363823427</v>
      </c>
      <c r="J52" s="172">
        <f>IF('Peak Revenue'!$A$1="BL","-",IF(Peak!P53&gt;Peak!$G53,J$8*$X52,0))</f>
        <v>38.644854363823427</v>
      </c>
      <c r="K52" s="172">
        <f>IF('Peak Revenue'!$A$1="BL","-",IF(Peak!Q53&gt;Peak!$G53,K$8*$X52,0))</f>
        <v>38.644854363823427</v>
      </c>
      <c r="L52" s="172">
        <f>IF('Peak Revenue'!$A$1="BL","-",IF(Peak!R53&gt;Peak!$G53,L$8*$X52,0))</f>
        <v>38.644854363823427</v>
      </c>
      <c r="M52" s="172">
        <f>IF('Peak Revenue'!$A$1="BL","-",IF(Peak!S53&gt;Peak!$G53,M$8*$X52,0))</f>
        <v>38.644854363823427</v>
      </c>
      <c r="N52" s="172">
        <f>IF('Peak Revenue'!$A$1="BL","-",IF(Peak!T53&gt;Peak!$G53,N$8*$X52,0))</f>
        <v>0</v>
      </c>
      <c r="O52" s="172">
        <f>IF('Peak Revenue'!$A$1="BL","-",IF(Peak!U53&gt;Peak!$G53,O$8*$X52,0))</f>
        <v>0</v>
      </c>
      <c r="P52" s="172">
        <f>IF('Peak Revenue'!$A$1="BL","-",IF(Peak!V53&gt;Peak!$G53,P$8*$X52,0))</f>
        <v>0</v>
      </c>
      <c r="Q52" s="172">
        <f>IF('Peak Revenue'!$A$1="BL","-",IF(Peak!W53&gt;Peak!$G53,Q$8*$X52,0))</f>
        <v>0</v>
      </c>
      <c r="R52" s="172">
        <f>IF('Peak Revenue'!$A$1="BL","-",IF(Peak!X53&gt;Peak!$G53,R$8*$X52,0))</f>
        <v>0</v>
      </c>
      <c r="S52" s="172">
        <f>IF('Peak Revenue'!$A$1="BL","-",IF(Peak!Y53&gt;Peak!$G53,S$8*$X52,0))</f>
        <v>0</v>
      </c>
      <c r="T52" s="172">
        <f>IF('Peak Revenue'!$A$1="BL","-",IF(Peak!Z53&gt;Peak!$G53,T$8*$X52,0))</f>
        <v>0</v>
      </c>
      <c r="U52" s="172">
        <f>IF('Peak Revenue'!$A$1="BL","-",IF(Peak!AA53&gt;Peak!$G53,U$8*$X52,0))</f>
        <v>0</v>
      </c>
      <c r="V52" s="175">
        <f t="shared" si="0"/>
        <v>328.48126209249904</v>
      </c>
      <c r="W52" s="164"/>
      <c r="X52" s="473">
        <f>CHOOSE(QUOTIENT(MONTH($A52),3)+1,Peak!$AM$11,Peak!$AN$11,Peak!$AL$11,Peak!$AO$11,Peak!$AM$11)</f>
        <v>0.96612135909558572</v>
      </c>
      <c r="Y52" s="474">
        <f>CHOOSE(QUOTIENT(MONTH($A52),3)+1,Peak!$AM$17,Peak!$AN$17,Peak!$AL$17,Peak!$AO$17,Peak!$AM$17)</f>
        <v>705</v>
      </c>
    </row>
    <row r="53" spans="1:25" x14ac:dyDescent="0.2">
      <c r="A53" s="1">
        <f t="shared" si="1"/>
        <v>37847.931000000055</v>
      </c>
      <c r="B53" s="172">
        <f>IF('Peak Revenue'!$A$1="BL","-",IF(Peak!H54&gt;Peak!$G54,B$8*$X53,0))</f>
        <v>4.8306067954779284</v>
      </c>
      <c r="C53" s="172">
        <f>IF('Peak Revenue'!$A$1="BL","-",IF(Peak!I54&gt;Peak!$G54,C$8*$X53,0))</f>
        <v>4.8306067954779284</v>
      </c>
      <c r="D53" s="172">
        <f>IF('Peak Revenue'!$A$1="BL","-",IF(Peak!J54&gt;Peak!$G54,D$8*$X53,0))</f>
        <v>9.6612135909558567</v>
      </c>
      <c r="E53" s="172">
        <f>IF('Peak Revenue'!$A$1="BL","-",IF(Peak!K54&gt;Peak!$G54,E$8*$X53,0))</f>
        <v>19.322427181911713</v>
      </c>
      <c r="F53" s="172">
        <f>IF('Peak Revenue'!$A$1="BL","-",IF(Peak!L54&gt;Peak!$G54,F$8*$X53,0))</f>
        <v>19.322427181911713</v>
      </c>
      <c r="G53" s="172">
        <f>IF('Peak Revenue'!$A$1="BL","-",IF(Peak!M54&gt;Peak!$G54,G$8*$X53,0))</f>
        <v>38.644854363823427</v>
      </c>
      <c r="H53" s="172">
        <f>IF('Peak Revenue'!$A$1="BL","-",IF(Peak!N54&gt;Peak!$G54,H$8*$X53,0))</f>
        <v>38.644854363823427</v>
      </c>
      <c r="I53" s="172">
        <f>IF('Peak Revenue'!$A$1="BL","-",IF(Peak!O54&gt;Peak!$G54,I$8*$X53,0))</f>
        <v>38.644854363823427</v>
      </c>
      <c r="J53" s="172">
        <f>IF('Peak Revenue'!$A$1="BL","-",IF(Peak!P54&gt;Peak!$G54,J$8*$X53,0))</f>
        <v>38.644854363823427</v>
      </c>
      <c r="K53" s="172">
        <f>IF('Peak Revenue'!$A$1="BL","-",IF(Peak!Q54&gt;Peak!$G54,K$8*$X53,0))</f>
        <v>38.644854363823427</v>
      </c>
      <c r="L53" s="172">
        <f>IF('Peak Revenue'!$A$1="BL","-",IF(Peak!R54&gt;Peak!$G54,L$8*$X53,0))</f>
        <v>38.644854363823427</v>
      </c>
      <c r="M53" s="172">
        <f>IF('Peak Revenue'!$A$1="BL","-",IF(Peak!S54&gt;Peak!$G54,M$8*$X53,0))</f>
        <v>38.644854363823427</v>
      </c>
      <c r="N53" s="172">
        <f>IF('Peak Revenue'!$A$1="BL","-",IF(Peak!T54&gt;Peak!$G54,N$8*$X53,0))</f>
        <v>0</v>
      </c>
      <c r="O53" s="172">
        <f>IF('Peak Revenue'!$A$1="BL","-",IF(Peak!U54&gt;Peak!$G54,O$8*$X53,0))</f>
        <v>0</v>
      </c>
      <c r="P53" s="172">
        <f>IF('Peak Revenue'!$A$1="BL","-",IF(Peak!V54&gt;Peak!$G54,P$8*$X53,0))</f>
        <v>0</v>
      </c>
      <c r="Q53" s="172">
        <f>IF('Peak Revenue'!$A$1="BL","-",IF(Peak!W54&gt;Peak!$G54,Q$8*$X53,0))</f>
        <v>0</v>
      </c>
      <c r="R53" s="172">
        <f>IF('Peak Revenue'!$A$1="BL","-",IF(Peak!X54&gt;Peak!$G54,R$8*$X53,0))</f>
        <v>0</v>
      </c>
      <c r="S53" s="172">
        <f>IF('Peak Revenue'!$A$1="BL","-",IF(Peak!Y54&gt;Peak!$G54,S$8*$X53,0))</f>
        <v>0</v>
      </c>
      <c r="T53" s="172">
        <f>IF('Peak Revenue'!$A$1="BL","-",IF(Peak!Z54&gt;Peak!$G54,T$8*$X53,0))</f>
        <v>0</v>
      </c>
      <c r="U53" s="172">
        <f>IF('Peak Revenue'!$A$1="BL","-",IF(Peak!AA54&gt;Peak!$G54,U$8*$X53,0))</f>
        <v>0</v>
      </c>
      <c r="V53" s="175">
        <f t="shared" si="0"/>
        <v>328.48126209249904</v>
      </c>
      <c r="W53" s="164"/>
      <c r="X53" s="473">
        <f>CHOOSE(QUOTIENT(MONTH($A53),3)+1,Peak!$AM$11,Peak!$AN$11,Peak!$AL$11,Peak!$AO$11,Peak!$AM$11)</f>
        <v>0.96612135909558572</v>
      </c>
      <c r="Y53" s="474">
        <f>CHOOSE(QUOTIENT(MONTH($A53),3)+1,Peak!$AM$17,Peak!$AN$17,Peak!$AL$17,Peak!$AO$17,Peak!$AM$17)</f>
        <v>705</v>
      </c>
    </row>
    <row r="54" spans="1:25" x14ac:dyDescent="0.2">
      <c r="A54" s="1">
        <f t="shared" si="1"/>
        <v>37878.348000000056</v>
      </c>
      <c r="B54" s="172">
        <f>IF('Peak Revenue'!$A$1="BL","-",IF(Peak!H55&gt;Peak!$G55,B$8*$X54,0))</f>
        <v>4.75</v>
      </c>
      <c r="C54" s="172">
        <f>IF('Peak Revenue'!$A$1="BL","-",IF(Peak!I55&gt;Peak!$G55,C$8*$X54,0))</f>
        <v>4.75</v>
      </c>
      <c r="D54" s="172">
        <f>IF('Peak Revenue'!$A$1="BL","-",IF(Peak!J55&gt;Peak!$G55,D$8*$X54,0))</f>
        <v>9.5</v>
      </c>
      <c r="E54" s="172">
        <f>IF('Peak Revenue'!$A$1="BL","-",IF(Peak!K55&gt;Peak!$G55,E$8*$X54,0))</f>
        <v>19</v>
      </c>
      <c r="F54" s="172">
        <f>IF('Peak Revenue'!$A$1="BL","-",IF(Peak!L55&gt;Peak!$G55,F$8*$X54,0))</f>
        <v>19</v>
      </c>
      <c r="G54" s="172">
        <f>IF('Peak Revenue'!$A$1="BL","-",IF(Peak!M55&gt;Peak!$G55,G$8*$X54,0))</f>
        <v>38</v>
      </c>
      <c r="H54" s="172">
        <f>IF('Peak Revenue'!$A$1="BL","-",IF(Peak!N55&gt;Peak!$G55,H$8*$X54,0))</f>
        <v>38</v>
      </c>
      <c r="I54" s="172">
        <f>IF('Peak Revenue'!$A$1="BL","-",IF(Peak!O55&gt;Peak!$G55,I$8*$X54,0))</f>
        <v>38</v>
      </c>
      <c r="J54" s="172">
        <f>IF('Peak Revenue'!$A$1="BL","-",IF(Peak!P55&gt;Peak!$G55,J$8*$X54,0))</f>
        <v>38</v>
      </c>
      <c r="K54" s="172">
        <f>IF('Peak Revenue'!$A$1="BL","-",IF(Peak!Q55&gt;Peak!$G55,K$8*$X54,0))</f>
        <v>38</v>
      </c>
      <c r="L54" s="172">
        <f>IF('Peak Revenue'!$A$1="BL","-",IF(Peak!R55&gt;Peak!$G55,L$8*$X54,0))</f>
        <v>38</v>
      </c>
      <c r="M54" s="172">
        <f>IF('Peak Revenue'!$A$1="BL","-",IF(Peak!S55&gt;Peak!$G55,M$8*$X54,0))</f>
        <v>0</v>
      </c>
      <c r="N54" s="172">
        <f>IF('Peak Revenue'!$A$1="BL","-",IF(Peak!T55&gt;Peak!$G55,N$8*$X54,0))</f>
        <v>0</v>
      </c>
      <c r="O54" s="172">
        <f>IF('Peak Revenue'!$A$1="BL","-",IF(Peak!U55&gt;Peak!$G55,O$8*$X54,0))</f>
        <v>0</v>
      </c>
      <c r="P54" s="172">
        <f>IF('Peak Revenue'!$A$1="BL","-",IF(Peak!V55&gt;Peak!$G55,P$8*$X54,0))</f>
        <v>0</v>
      </c>
      <c r="Q54" s="172">
        <f>IF('Peak Revenue'!$A$1="BL","-",IF(Peak!W55&gt;Peak!$G55,Q$8*$X54,0))</f>
        <v>0</v>
      </c>
      <c r="R54" s="172">
        <f>IF('Peak Revenue'!$A$1="BL","-",IF(Peak!X55&gt;Peak!$G55,R$8*$X54,0))</f>
        <v>0</v>
      </c>
      <c r="S54" s="172">
        <f>IF('Peak Revenue'!$A$1="BL","-",IF(Peak!Y55&gt;Peak!$G55,S$8*$X54,0))</f>
        <v>0</v>
      </c>
      <c r="T54" s="172">
        <f>IF('Peak Revenue'!$A$1="BL","-",IF(Peak!Z55&gt;Peak!$G55,T$8*$X54,0))</f>
        <v>0</v>
      </c>
      <c r="U54" s="172">
        <f>IF('Peak Revenue'!$A$1="BL","-",IF(Peak!AA55&gt;Peak!$G55,U$8*$X54,0))</f>
        <v>0</v>
      </c>
      <c r="V54" s="175">
        <f t="shared" si="0"/>
        <v>285</v>
      </c>
      <c r="W54" s="164"/>
      <c r="X54" s="473">
        <f>CHOOSE(QUOTIENT(MONTH($A54),3)+1,Peak!$AM$11,Peak!$AN$11,Peak!$AL$11,Peak!$AO$11,Peak!$AM$11)</f>
        <v>0.95</v>
      </c>
      <c r="Y54" s="474">
        <f>CHOOSE(QUOTIENT(MONTH($A54),3)+1,Peak!$AM$17,Peak!$AN$17,Peak!$AL$17,Peak!$AO$17,Peak!$AM$17)</f>
        <v>705</v>
      </c>
    </row>
    <row r="55" spans="1:25" x14ac:dyDescent="0.2">
      <c r="A55" s="1">
        <f t="shared" si="1"/>
        <v>37908.765000000058</v>
      </c>
      <c r="B55" s="172">
        <f>IF('Peak Revenue'!$A$1="BL","-",IF(Peak!H56&gt;Peak!$G56,B$8*$X55,0))</f>
        <v>4.75</v>
      </c>
      <c r="C55" s="172">
        <f>IF('Peak Revenue'!$A$1="BL","-",IF(Peak!I56&gt;Peak!$G56,C$8*$X55,0))</f>
        <v>4.75</v>
      </c>
      <c r="D55" s="172">
        <f>IF('Peak Revenue'!$A$1="BL","-",IF(Peak!J56&gt;Peak!$G56,D$8*$X55,0))</f>
        <v>9.5</v>
      </c>
      <c r="E55" s="172">
        <f>IF('Peak Revenue'!$A$1="BL","-",IF(Peak!K56&gt;Peak!$G56,E$8*$X55,0))</f>
        <v>19</v>
      </c>
      <c r="F55" s="172">
        <f>IF('Peak Revenue'!$A$1="BL","-",IF(Peak!L56&gt;Peak!$G56,F$8*$X55,0))</f>
        <v>19</v>
      </c>
      <c r="G55" s="172">
        <f>IF('Peak Revenue'!$A$1="BL","-",IF(Peak!M56&gt;Peak!$G56,G$8*$X55,0))</f>
        <v>38</v>
      </c>
      <c r="H55" s="172">
        <f>IF('Peak Revenue'!$A$1="BL","-",IF(Peak!N56&gt;Peak!$G56,H$8*$X55,0))</f>
        <v>38</v>
      </c>
      <c r="I55" s="172">
        <f>IF('Peak Revenue'!$A$1="BL","-",IF(Peak!O56&gt;Peak!$G56,I$8*$X55,0))</f>
        <v>38</v>
      </c>
      <c r="J55" s="172">
        <f>IF('Peak Revenue'!$A$1="BL","-",IF(Peak!P56&gt;Peak!$G56,J$8*$X55,0))</f>
        <v>38</v>
      </c>
      <c r="K55" s="172">
        <f>IF('Peak Revenue'!$A$1="BL","-",IF(Peak!Q56&gt;Peak!$G56,K$8*$X55,0))</f>
        <v>38</v>
      </c>
      <c r="L55" s="172">
        <f>IF('Peak Revenue'!$A$1="BL","-",IF(Peak!R56&gt;Peak!$G56,L$8*$X55,0))</f>
        <v>0</v>
      </c>
      <c r="M55" s="172">
        <f>IF('Peak Revenue'!$A$1="BL","-",IF(Peak!S56&gt;Peak!$G56,M$8*$X55,0))</f>
        <v>0</v>
      </c>
      <c r="N55" s="172">
        <f>IF('Peak Revenue'!$A$1="BL","-",IF(Peak!T56&gt;Peak!$G56,N$8*$X55,0))</f>
        <v>0</v>
      </c>
      <c r="O55" s="172">
        <f>IF('Peak Revenue'!$A$1="BL","-",IF(Peak!U56&gt;Peak!$G56,O$8*$X55,0))</f>
        <v>0</v>
      </c>
      <c r="P55" s="172">
        <f>IF('Peak Revenue'!$A$1="BL","-",IF(Peak!V56&gt;Peak!$G56,P$8*$X55,0))</f>
        <v>0</v>
      </c>
      <c r="Q55" s="172">
        <f>IF('Peak Revenue'!$A$1="BL","-",IF(Peak!W56&gt;Peak!$G56,Q$8*$X55,0))</f>
        <v>0</v>
      </c>
      <c r="R55" s="172">
        <f>IF('Peak Revenue'!$A$1="BL","-",IF(Peak!X56&gt;Peak!$G56,R$8*$X55,0))</f>
        <v>0</v>
      </c>
      <c r="S55" s="172">
        <f>IF('Peak Revenue'!$A$1="BL","-",IF(Peak!Y56&gt;Peak!$G56,S$8*$X55,0))</f>
        <v>0</v>
      </c>
      <c r="T55" s="172">
        <f>IF('Peak Revenue'!$A$1="BL","-",IF(Peak!Z56&gt;Peak!$G56,T$8*$X55,0))</f>
        <v>0</v>
      </c>
      <c r="U55" s="172">
        <f>IF('Peak Revenue'!$A$1="BL","-",IF(Peak!AA56&gt;Peak!$G56,U$8*$X55,0))</f>
        <v>0</v>
      </c>
      <c r="V55" s="175">
        <f t="shared" si="0"/>
        <v>247</v>
      </c>
      <c r="W55" s="164"/>
      <c r="X55" s="473">
        <f>CHOOSE(QUOTIENT(MONTH($A55),3)+1,Peak!$AM$11,Peak!$AN$11,Peak!$AL$11,Peak!$AO$11,Peak!$AM$11)</f>
        <v>0.95</v>
      </c>
      <c r="Y55" s="474">
        <f>CHOOSE(QUOTIENT(MONTH($A55),3)+1,Peak!$AM$17,Peak!$AN$17,Peak!$AL$17,Peak!$AO$17,Peak!$AM$17)</f>
        <v>705</v>
      </c>
    </row>
    <row r="56" spans="1:25" x14ac:dyDescent="0.2">
      <c r="A56" s="1">
        <f t="shared" si="1"/>
        <v>37939.182000000059</v>
      </c>
      <c r="B56" s="172">
        <f>IF('Peak Revenue'!$A$1="BL","-",IF(Peak!H57&gt;Peak!$G57,B$8*$X56,0))</f>
        <v>4.75</v>
      </c>
      <c r="C56" s="172">
        <f>IF('Peak Revenue'!$A$1="BL","-",IF(Peak!I57&gt;Peak!$G57,C$8*$X56,0))</f>
        <v>4.75</v>
      </c>
      <c r="D56" s="172">
        <f>IF('Peak Revenue'!$A$1="BL","-",IF(Peak!J57&gt;Peak!$G57,D$8*$X56,0))</f>
        <v>9.5</v>
      </c>
      <c r="E56" s="172">
        <f>IF('Peak Revenue'!$A$1="BL","-",IF(Peak!K57&gt;Peak!$G57,E$8*$X56,0))</f>
        <v>19</v>
      </c>
      <c r="F56" s="172">
        <f>IF('Peak Revenue'!$A$1="BL","-",IF(Peak!L57&gt;Peak!$G57,F$8*$X56,0))</f>
        <v>19</v>
      </c>
      <c r="G56" s="172">
        <f>IF('Peak Revenue'!$A$1="BL","-",IF(Peak!M57&gt;Peak!$G57,G$8*$X56,0))</f>
        <v>38</v>
      </c>
      <c r="H56" s="172">
        <f>IF('Peak Revenue'!$A$1="BL","-",IF(Peak!N57&gt;Peak!$G57,H$8*$X56,0))</f>
        <v>38</v>
      </c>
      <c r="I56" s="172">
        <f>IF('Peak Revenue'!$A$1="BL","-",IF(Peak!O57&gt;Peak!$G57,I$8*$X56,0))</f>
        <v>38</v>
      </c>
      <c r="J56" s="172">
        <f>IF('Peak Revenue'!$A$1="BL","-",IF(Peak!P57&gt;Peak!$G57,J$8*$X56,0))</f>
        <v>0</v>
      </c>
      <c r="K56" s="172">
        <f>IF('Peak Revenue'!$A$1="BL","-",IF(Peak!Q57&gt;Peak!$G57,K$8*$X56,0))</f>
        <v>0</v>
      </c>
      <c r="L56" s="172">
        <f>IF('Peak Revenue'!$A$1="BL","-",IF(Peak!R57&gt;Peak!$G57,L$8*$X56,0))</f>
        <v>0</v>
      </c>
      <c r="M56" s="172">
        <f>IF('Peak Revenue'!$A$1="BL","-",IF(Peak!S57&gt;Peak!$G57,M$8*$X56,0))</f>
        <v>0</v>
      </c>
      <c r="N56" s="172">
        <f>IF('Peak Revenue'!$A$1="BL","-",IF(Peak!T57&gt;Peak!$G57,N$8*$X56,0))</f>
        <v>0</v>
      </c>
      <c r="O56" s="172">
        <f>IF('Peak Revenue'!$A$1="BL","-",IF(Peak!U57&gt;Peak!$G57,O$8*$X56,0))</f>
        <v>0</v>
      </c>
      <c r="P56" s="172">
        <f>IF('Peak Revenue'!$A$1="BL","-",IF(Peak!V57&gt;Peak!$G57,P$8*$X56,0))</f>
        <v>0</v>
      </c>
      <c r="Q56" s="172">
        <f>IF('Peak Revenue'!$A$1="BL","-",IF(Peak!W57&gt;Peak!$G57,Q$8*$X56,0))</f>
        <v>0</v>
      </c>
      <c r="R56" s="172">
        <f>IF('Peak Revenue'!$A$1="BL","-",IF(Peak!X57&gt;Peak!$G57,R$8*$X56,0))</f>
        <v>0</v>
      </c>
      <c r="S56" s="172">
        <f>IF('Peak Revenue'!$A$1="BL","-",IF(Peak!Y57&gt;Peak!$G57,S$8*$X56,0))</f>
        <v>0</v>
      </c>
      <c r="T56" s="172">
        <f>IF('Peak Revenue'!$A$1="BL","-",IF(Peak!Z57&gt;Peak!$G57,T$8*$X56,0))</f>
        <v>0</v>
      </c>
      <c r="U56" s="172">
        <f>IF('Peak Revenue'!$A$1="BL","-",IF(Peak!AA57&gt;Peak!$G57,U$8*$X56,0))</f>
        <v>0</v>
      </c>
      <c r="V56" s="175">
        <f t="shared" si="0"/>
        <v>171</v>
      </c>
      <c r="W56" s="164"/>
      <c r="X56" s="473">
        <f>CHOOSE(QUOTIENT(MONTH($A56),3)+1,Peak!$AM$11,Peak!$AN$11,Peak!$AL$11,Peak!$AO$11,Peak!$AM$11)</f>
        <v>0.95</v>
      </c>
      <c r="Y56" s="474">
        <f>CHOOSE(QUOTIENT(MONTH($A56),3)+1,Peak!$AM$17,Peak!$AN$17,Peak!$AL$17,Peak!$AO$17,Peak!$AM$17)</f>
        <v>705</v>
      </c>
    </row>
    <row r="57" spans="1:25" x14ac:dyDescent="0.2">
      <c r="A57" s="1">
        <f t="shared" si="1"/>
        <v>37969.59900000006</v>
      </c>
      <c r="B57" s="172">
        <f>IF('Peak Revenue'!$A$1="BL","-",IF(Peak!H58&gt;Peak!$G58,B$8*$X57,0))</f>
        <v>4.6213830939305875</v>
      </c>
      <c r="C57" s="172">
        <f>IF('Peak Revenue'!$A$1="BL","-",IF(Peak!I58&gt;Peak!$G58,C$8*$X57,0))</f>
        <v>4.6213830939305875</v>
      </c>
      <c r="D57" s="172">
        <f>IF('Peak Revenue'!$A$1="BL","-",IF(Peak!J58&gt;Peak!$G58,D$8*$X57,0))</f>
        <v>9.2427661878611751</v>
      </c>
      <c r="E57" s="172">
        <f>IF('Peak Revenue'!$A$1="BL","-",IF(Peak!K58&gt;Peak!$G58,E$8*$X57,0))</f>
        <v>18.48553237572235</v>
      </c>
      <c r="F57" s="172">
        <f>IF('Peak Revenue'!$A$1="BL","-",IF(Peak!L58&gt;Peak!$G58,F$8*$X57,0))</f>
        <v>18.48553237572235</v>
      </c>
      <c r="G57" s="172">
        <f>IF('Peak Revenue'!$A$1="BL","-",IF(Peak!M58&gt;Peak!$G58,G$8*$X57,0))</f>
        <v>36.9710647514447</v>
      </c>
      <c r="H57" s="172">
        <f>IF('Peak Revenue'!$A$1="BL","-",IF(Peak!N58&gt;Peak!$G58,H$8*$X57,0))</f>
        <v>36.9710647514447</v>
      </c>
      <c r="I57" s="172">
        <f>IF('Peak Revenue'!$A$1="BL","-",IF(Peak!O58&gt;Peak!$G58,I$8*$X57,0))</f>
        <v>36.9710647514447</v>
      </c>
      <c r="J57" s="172">
        <f>IF('Peak Revenue'!$A$1="BL","-",IF(Peak!P58&gt;Peak!$G58,J$8*$X57,0))</f>
        <v>0</v>
      </c>
      <c r="K57" s="172">
        <f>IF('Peak Revenue'!$A$1="BL","-",IF(Peak!Q58&gt;Peak!$G58,K$8*$X57,0))</f>
        <v>0</v>
      </c>
      <c r="L57" s="172">
        <f>IF('Peak Revenue'!$A$1="BL","-",IF(Peak!R58&gt;Peak!$G58,L$8*$X57,0))</f>
        <v>0</v>
      </c>
      <c r="M57" s="172">
        <f>IF('Peak Revenue'!$A$1="BL","-",IF(Peak!S58&gt;Peak!$G58,M$8*$X57,0))</f>
        <v>0</v>
      </c>
      <c r="N57" s="172">
        <f>IF('Peak Revenue'!$A$1="BL","-",IF(Peak!T58&gt;Peak!$G58,N$8*$X57,0))</f>
        <v>0</v>
      </c>
      <c r="O57" s="172">
        <f>IF('Peak Revenue'!$A$1="BL","-",IF(Peak!U58&gt;Peak!$G58,O$8*$X57,0))</f>
        <v>0</v>
      </c>
      <c r="P57" s="172">
        <f>IF('Peak Revenue'!$A$1="BL","-",IF(Peak!V58&gt;Peak!$G58,P$8*$X57,0))</f>
        <v>0</v>
      </c>
      <c r="Q57" s="172">
        <f>IF('Peak Revenue'!$A$1="BL","-",IF(Peak!W58&gt;Peak!$G58,Q$8*$X57,0))</f>
        <v>0</v>
      </c>
      <c r="R57" s="172">
        <f>IF('Peak Revenue'!$A$1="BL","-",IF(Peak!X58&gt;Peak!$G58,R$8*$X57,0))</f>
        <v>0</v>
      </c>
      <c r="S57" s="172">
        <f>IF('Peak Revenue'!$A$1="BL","-",IF(Peak!Y58&gt;Peak!$G58,S$8*$X57,0))</f>
        <v>0</v>
      </c>
      <c r="T57" s="172">
        <f>IF('Peak Revenue'!$A$1="BL","-",IF(Peak!Z58&gt;Peak!$G58,T$8*$X57,0))</f>
        <v>0</v>
      </c>
      <c r="U57" s="172">
        <f>IF('Peak Revenue'!$A$1="BL","-",IF(Peak!AA58&gt;Peak!$G58,U$8*$X57,0))</f>
        <v>0</v>
      </c>
      <c r="V57" s="175">
        <f t="shared" si="0"/>
        <v>166.36979138150116</v>
      </c>
      <c r="W57" s="163">
        <f>SUM(V46:V57)</f>
        <v>2659.2055811972432</v>
      </c>
      <c r="X57" s="473">
        <f>CHOOSE(QUOTIENT(MONTH($A57),3)+1,Peak!$AM$11,Peak!$AN$11,Peak!$AL$11,Peak!$AO$11,Peak!$AM$11)</f>
        <v>0.92427661878611755</v>
      </c>
      <c r="Y57" s="474">
        <f>CHOOSE(QUOTIENT(MONTH($A57),3)+1,Peak!$AM$17,Peak!$AN$17,Peak!$AL$17,Peak!$AO$17,Peak!$AM$17)</f>
        <v>705</v>
      </c>
    </row>
    <row r="58" spans="1:25" x14ac:dyDescent="0.2">
      <c r="A58" s="1">
        <f t="shared" si="1"/>
        <v>38000.016000000061</v>
      </c>
      <c r="B58" s="172">
        <f>IF('Peak Revenue'!$A$1="BL","-",IF(Peak!H59&gt;Peak!$G59,B$8*$X58,0))</f>
        <v>4.6213830939305875</v>
      </c>
      <c r="C58" s="172">
        <f>IF('Peak Revenue'!$A$1="BL","-",IF(Peak!I59&gt;Peak!$G59,C$8*$X58,0))</f>
        <v>4.6213830939305875</v>
      </c>
      <c r="D58" s="172">
        <f>IF('Peak Revenue'!$A$1="BL","-",IF(Peak!J59&gt;Peak!$G59,D$8*$X58,0))</f>
        <v>9.2427661878611751</v>
      </c>
      <c r="E58" s="172">
        <f>IF('Peak Revenue'!$A$1="BL","-",IF(Peak!K59&gt;Peak!$G59,E$8*$X58,0))</f>
        <v>18.48553237572235</v>
      </c>
      <c r="F58" s="172">
        <f>IF('Peak Revenue'!$A$1="BL","-",IF(Peak!L59&gt;Peak!$G59,F$8*$X58,0))</f>
        <v>18.48553237572235</v>
      </c>
      <c r="G58" s="172">
        <f>IF('Peak Revenue'!$A$1="BL","-",IF(Peak!M59&gt;Peak!$G59,G$8*$X58,0))</f>
        <v>36.9710647514447</v>
      </c>
      <c r="H58" s="172">
        <f>IF('Peak Revenue'!$A$1="BL","-",IF(Peak!N59&gt;Peak!$G59,H$8*$X58,0))</f>
        <v>36.9710647514447</v>
      </c>
      <c r="I58" s="172">
        <f>IF('Peak Revenue'!$A$1="BL","-",IF(Peak!O59&gt;Peak!$G59,I$8*$X58,0))</f>
        <v>0</v>
      </c>
      <c r="J58" s="172">
        <f>IF('Peak Revenue'!$A$1="BL","-",IF(Peak!P59&gt;Peak!$G59,J$8*$X58,0))</f>
        <v>0</v>
      </c>
      <c r="K58" s="172">
        <f>IF('Peak Revenue'!$A$1="BL","-",IF(Peak!Q59&gt;Peak!$G59,K$8*$X58,0))</f>
        <v>0</v>
      </c>
      <c r="L58" s="172">
        <f>IF('Peak Revenue'!$A$1="BL","-",IF(Peak!R59&gt;Peak!$G59,L$8*$X58,0))</f>
        <v>0</v>
      </c>
      <c r="M58" s="172">
        <f>IF('Peak Revenue'!$A$1="BL","-",IF(Peak!S59&gt;Peak!$G59,M$8*$X58,0))</f>
        <v>0</v>
      </c>
      <c r="N58" s="172">
        <f>IF('Peak Revenue'!$A$1="BL","-",IF(Peak!T59&gt;Peak!$G59,N$8*$X58,0))</f>
        <v>0</v>
      </c>
      <c r="O58" s="172">
        <f>IF('Peak Revenue'!$A$1="BL","-",IF(Peak!U59&gt;Peak!$G59,O$8*$X58,0))</f>
        <v>0</v>
      </c>
      <c r="P58" s="172">
        <f>IF('Peak Revenue'!$A$1="BL","-",IF(Peak!V59&gt;Peak!$G59,P$8*$X58,0))</f>
        <v>0</v>
      </c>
      <c r="Q58" s="172">
        <f>IF('Peak Revenue'!$A$1="BL","-",IF(Peak!W59&gt;Peak!$G59,Q$8*$X58,0))</f>
        <v>0</v>
      </c>
      <c r="R58" s="172">
        <f>IF('Peak Revenue'!$A$1="BL","-",IF(Peak!X59&gt;Peak!$G59,R$8*$X58,0))</f>
        <v>0</v>
      </c>
      <c r="S58" s="172">
        <f>IF('Peak Revenue'!$A$1="BL","-",IF(Peak!Y59&gt;Peak!$G59,S$8*$X58,0))</f>
        <v>0</v>
      </c>
      <c r="T58" s="172">
        <f>IF('Peak Revenue'!$A$1="BL","-",IF(Peak!Z59&gt;Peak!$G59,T$8*$X58,0))</f>
        <v>0</v>
      </c>
      <c r="U58" s="172">
        <f>IF('Peak Revenue'!$A$1="BL","-",IF(Peak!AA59&gt;Peak!$G59,U$8*$X58,0))</f>
        <v>0</v>
      </c>
      <c r="V58" s="175">
        <f t="shared" si="0"/>
        <v>129.39872663005644</v>
      </c>
      <c r="W58" s="164"/>
      <c r="X58" s="473">
        <f>CHOOSE(QUOTIENT(MONTH($A58),3)+1,Peak!$AM$11,Peak!$AN$11,Peak!$AL$11,Peak!$AO$11,Peak!$AM$11)</f>
        <v>0.92427661878611755</v>
      </c>
      <c r="Y58" s="474">
        <f>CHOOSE(QUOTIENT(MONTH($A58),3)+1,Peak!$AM$17,Peak!$AN$17,Peak!$AL$17,Peak!$AO$17,Peak!$AM$17)</f>
        <v>705</v>
      </c>
    </row>
    <row r="59" spans="1:25" x14ac:dyDescent="0.2">
      <c r="A59" s="1">
        <f t="shared" si="1"/>
        <v>38030.433000000063</v>
      </c>
      <c r="B59" s="172">
        <f>IF('Peak Revenue'!$A$1="BL","-",IF(Peak!H60&gt;Peak!$G60,B$8*$X59,0))</f>
        <v>4.6213830939305875</v>
      </c>
      <c r="C59" s="172">
        <f>IF('Peak Revenue'!$A$1="BL","-",IF(Peak!I60&gt;Peak!$G60,C$8*$X59,0))</f>
        <v>4.6213830939305875</v>
      </c>
      <c r="D59" s="172">
        <f>IF('Peak Revenue'!$A$1="BL","-",IF(Peak!J60&gt;Peak!$G60,D$8*$X59,0))</f>
        <v>9.2427661878611751</v>
      </c>
      <c r="E59" s="172">
        <f>IF('Peak Revenue'!$A$1="BL","-",IF(Peak!K60&gt;Peak!$G60,E$8*$X59,0))</f>
        <v>18.48553237572235</v>
      </c>
      <c r="F59" s="172">
        <f>IF('Peak Revenue'!$A$1="BL","-",IF(Peak!L60&gt;Peak!$G60,F$8*$X59,0))</f>
        <v>18.48553237572235</v>
      </c>
      <c r="G59" s="172">
        <f>IF('Peak Revenue'!$A$1="BL","-",IF(Peak!M60&gt;Peak!$G60,G$8*$X59,0))</f>
        <v>36.9710647514447</v>
      </c>
      <c r="H59" s="172">
        <f>IF('Peak Revenue'!$A$1="BL","-",IF(Peak!N60&gt;Peak!$G60,H$8*$X59,0))</f>
        <v>36.9710647514447</v>
      </c>
      <c r="I59" s="172">
        <f>IF('Peak Revenue'!$A$1="BL","-",IF(Peak!O60&gt;Peak!$G60,I$8*$X59,0))</f>
        <v>36.9710647514447</v>
      </c>
      <c r="J59" s="172">
        <f>IF('Peak Revenue'!$A$1="BL","-",IF(Peak!P60&gt;Peak!$G60,J$8*$X59,0))</f>
        <v>0</v>
      </c>
      <c r="K59" s="172">
        <f>IF('Peak Revenue'!$A$1="BL","-",IF(Peak!Q60&gt;Peak!$G60,K$8*$X59,0))</f>
        <v>0</v>
      </c>
      <c r="L59" s="172">
        <f>IF('Peak Revenue'!$A$1="BL","-",IF(Peak!R60&gt;Peak!$G60,L$8*$X59,0))</f>
        <v>0</v>
      </c>
      <c r="M59" s="172">
        <f>IF('Peak Revenue'!$A$1="BL","-",IF(Peak!S60&gt;Peak!$G60,M$8*$X59,0))</f>
        <v>0</v>
      </c>
      <c r="N59" s="172">
        <f>IF('Peak Revenue'!$A$1="BL","-",IF(Peak!T60&gt;Peak!$G60,N$8*$X59,0))</f>
        <v>0</v>
      </c>
      <c r="O59" s="172">
        <f>IF('Peak Revenue'!$A$1="BL","-",IF(Peak!U60&gt;Peak!$G60,O$8*$X59,0))</f>
        <v>0</v>
      </c>
      <c r="P59" s="172">
        <f>IF('Peak Revenue'!$A$1="BL","-",IF(Peak!V60&gt;Peak!$G60,P$8*$X59,0))</f>
        <v>0</v>
      </c>
      <c r="Q59" s="172">
        <f>IF('Peak Revenue'!$A$1="BL","-",IF(Peak!W60&gt;Peak!$G60,Q$8*$X59,0))</f>
        <v>0</v>
      </c>
      <c r="R59" s="172">
        <f>IF('Peak Revenue'!$A$1="BL","-",IF(Peak!X60&gt;Peak!$G60,R$8*$X59,0))</f>
        <v>0</v>
      </c>
      <c r="S59" s="172">
        <f>IF('Peak Revenue'!$A$1="BL","-",IF(Peak!Y60&gt;Peak!$G60,S$8*$X59,0))</f>
        <v>0</v>
      </c>
      <c r="T59" s="172">
        <f>IF('Peak Revenue'!$A$1="BL","-",IF(Peak!Z60&gt;Peak!$G60,T$8*$X59,0))</f>
        <v>0</v>
      </c>
      <c r="U59" s="172">
        <f>IF('Peak Revenue'!$A$1="BL","-",IF(Peak!AA60&gt;Peak!$G60,U$8*$X59,0))</f>
        <v>0</v>
      </c>
      <c r="V59" s="175">
        <f t="shared" si="0"/>
        <v>166.36979138150116</v>
      </c>
      <c r="W59" s="164"/>
      <c r="X59" s="473">
        <f>CHOOSE(QUOTIENT(MONTH($A59),3)+1,Peak!$AM$11,Peak!$AN$11,Peak!$AL$11,Peak!$AO$11,Peak!$AM$11)</f>
        <v>0.92427661878611755</v>
      </c>
      <c r="Y59" s="474">
        <f>CHOOSE(QUOTIENT(MONTH($A59),3)+1,Peak!$AM$17,Peak!$AN$17,Peak!$AL$17,Peak!$AO$17,Peak!$AM$17)</f>
        <v>705</v>
      </c>
    </row>
    <row r="60" spans="1:25" x14ac:dyDescent="0.2">
      <c r="A60" s="1">
        <f t="shared" si="1"/>
        <v>38060.850000000064</v>
      </c>
      <c r="B60" s="172">
        <f>IF('Peak Revenue'!$A$1="BL","-",IF(Peak!H61&gt;Peak!$G61,B$8*$X60,0))</f>
        <v>4.75</v>
      </c>
      <c r="C60" s="172">
        <f>IF('Peak Revenue'!$A$1="BL","-",IF(Peak!I61&gt;Peak!$G61,C$8*$X60,0))</f>
        <v>4.75</v>
      </c>
      <c r="D60" s="172">
        <f>IF('Peak Revenue'!$A$1="BL","-",IF(Peak!J61&gt;Peak!$G61,D$8*$X60,0))</f>
        <v>9.5</v>
      </c>
      <c r="E60" s="172">
        <f>IF('Peak Revenue'!$A$1="BL","-",IF(Peak!K61&gt;Peak!$G61,E$8*$X60,0))</f>
        <v>19</v>
      </c>
      <c r="F60" s="172">
        <f>IF('Peak Revenue'!$A$1="BL","-",IF(Peak!L61&gt;Peak!$G61,F$8*$X60,0))</f>
        <v>19</v>
      </c>
      <c r="G60" s="172">
        <f>IF('Peak Revenue'!$A$1="BL","-",IF(Peak!M61&gt;Peak!$G61,G$8*$X60,0))</f>
        <v>38</v>
      </c>
      <c r="H60" s="172">
        <f>IF('Peak Revenue'!$A$1="BL","-",IF(Peak!N61&gt;Peak!$G61,H$8*$X60,0))</f>
        <v>38</v>
      </c>
      <c r="I60" s="172">
        <f>IF('Peak Revenue'!$A$1="BL","-",IF(Peak!O61&gt;Peak!$G61,I$8*$X60,0))</f>
        <v>38</v>
      </c>
      <c r="J60" s="172">
        <f>IF('Peak Revenue'!$A$1="BL","-",IF(Peak!P61&gt;Peak!$G61,J$8*$X60,0))</f>
        <v>0</v>
      </c>
      <c r="K60" s="172">
        <f>IF('Peak Revenue'!$A$1="BL","-",IF(Peak!Q61&gt;Peak!$G61,K$8*$X60,0))</f>
        <v>0</v>
      </c>
      <c r="L60" s="172">
        <f>IF('Peak Revenue'!$A$1="BL","-",IF(Peak!R61&gt;Peak!$G61,L$8*$X60,0))</f>
        <v>0</v>
      </c>
      <c r="M60" s="172">
        <f>IF('Peak Revenue'!$A$1="BL","-",IF(Peak!S61&gt;Peak!$G61,M$8*$X60,0))</f>
        <v>0</v>
      </c>
      <c r="N60" s="172">
        <f>IF('Peak Revenue'!$A$1="BL","-",IF(Peak!T61&gt;Peak!$G61,N$8*$X60,0))</f>
        <v>0</v>
      </c>
      <c r="O60" s="172">
        <f>IF('Peak Revenue'!$A$1="BL","-",IF(Peak!U61&gt;Peak!$G61,O$8*$X60,0))</f>
        <v>0</v>
      </c>
      <c r="P60" s="172">
        <f>IF('Peak Revenue'!$A$1="BL","-",IF(Peak!V61&gt;Peak!$G61,P$8*$X60,0))</f>
        <v>0</v>
      </c>
      <c r="Q60" s="172">
        <f>IF('Peak Revenue'!$A$1="BL","-",IF(Peak!W61&gt;Peak!$G61,Q$8*$X60,0))</f>
        <v>0</v>
      </c>
      <c r="R60" s="172">
        <f>IF('Peak Revenue'!$A$1="BL","-",IF(Peak!X61&gt;Peak!$G61,R$8*$X60,0))</f>
        <v>0</v>
      </c>
      <c r="S60" s="172">
        <f>IF('Peak Revenue'!$A$1="BL","-",IF(Peak!Y61&gt;Peak!$G61,S$8*$X60,0))</f>
        <v>0</v>
      </c>
      <c r="T60" s="172">
        <f>IF('Peak Revenue'!$A$1="BL","-",IF(Peak!Z61&gt;Peak!$G61,T$8*$X60,0))</f>
        <v>0</v>
      </c>
      <c r="U60" s="172">
        <f>IF('Peak Revenue'!$A$1="BL","-",IF(Peak!AA61&gt;Peak!$G61,U$8*$X60,0))</f>
        <v>0</v>
      </c>
      <c r="V60" s="175">
        <f t="shared" si="0"/>
        <v>171</v>
      </c>
      <c r="W60" s="164"/>
      <c r="X60" s="473">
        <f>CHOOSE(QUOTIENT(MONTH($A60),3)+1,Peak!$AM$11,Peak!$AN$11,Peak!$AL$11,Peak!$AO$11,Peak!$AM$11)</f>
        <v>0.95</v>
      </c>
      <c r="Y60" s="474">
        <f>CHOOSE(QUOTIENT(MONTH($A60),3)+1,Peak!$AM$17,Peak!$AN$17,Peak!$AL$17,Peak!$AO$17,Peak!$AM$17)</f>
        <v>705</v>
      </c>
    </row>
    <row r="61" spans="1:25" x14ac:dyDescent="0.2">
      <c r="A61" s="1">
        <f t="shared" si="1"/>
        <v>38091.267000000065</v>
      </c>
      <c r="B61" s="172">
        <f>IF('Peak Revenue'!$A$1="BL","-",IF(Peak!H62&gt;Peak!$G62,B$8*$X61,0))</f>
        <v>4.75</v>
      </c>
      <c r="C61" s="172">
        <f>IF('Peak Revenue'!$A$1="BL","-",IF(Peak!I62&gt;Peak!$G62,C$8*$X61,0))</f>
        <v>4.75</v>
      </c>
      <c r="D61" s="172">
        <f>IF('Peak Revenue'!$A$1="BL","-",IF(Peak!J62&gt;Peak!$G62,D$8*$X61,0))</f>
        <v>9.5</v>
      </c>
      <c r="E61" s="172">
        <f>IF('Peak Revenue'!$A$1="BL","-",IF(Peak!K62&gt;Peak!$G62,E$8*$X61,0))</f>
        <v>19</v>
      </c>
      <c r="F61" s="172">
        <f>IF('Peak Revenue'!$A$1="BL","-",IF(Peak!L62&gt;Peak!$G62,F$8*$X61,0))</f>
        <v>19</v>
      </c>
      <c r="G61" s="172">
        <f>IF('Peak Revenue'!$A$1="BL","-",IF(Peak!M62&gt;Peak!$G62,G$8*$X61,0))</f>
        <v>38</v>
      </c>
      <c r="H61" s="172">
        <f>IF('Peak Revenue'!$A$1="BL","-",IF(Peak!N62&gt;Peak!$G62,H$8*$X61,0))</f>
        <v>38</v>
      </c>
      <c r="I61" s="172">
        <f>IF('Peak Revenue'!$A$1="BL","-",IF(Peak!O62&gt;Peak!$G62,I$8*$X61,0))</f>
        <v>0</v>
      </c>
      <c r="J61" s="172">
        <f>IF('Peak Revenue'!$A$1="BL","-",IF(Peak!P62&gt;Peak!$G62,J$8*$X61,0))</f>
        <v>0</v>
      </c>
      <c r="K61" s="172">
        <f>IF('Peak Revenue'!$A$1="BL","-",IF(Peak!Q62&gt;Peak!$G62,K$8*$X61,0))</f>
        <v>0</v>
      </c>
      <c r="L61" s="172">
        <f>IF('Peak Revenue'!$A$1="BL","-",IF(Peak!R62&gt;Peak!$G62,L$8*$X61,0))</f>
        <v>0</v>
      </c>
      <c r="M61" s="172">
        <f>IF('Peak Revenue'!$A$1="BL","-",IF(Peak!S62&gt;Peak!$G62,M$8*$X61,0))</f>
        <v>0</v>
      </c>
      <c r="N61" s="172">
        <f>IF('Peak Revenue'!$A$1="BL","-",IF(Peak!T62&gt;Peak!$G62,N$8*$X61,0))</f>
        <v>0</v>
      </c>
      <c r="O61" s="172">
        <f>IF('Peak Revenue'!$A$1="BL","-",IF(Peak!U62&gt;Peak!$G62,O$8*$X61,0))</f>
        <v>0</v>
      </c>
      <c r="P61" s="172">
        <f>IF('Peak Revenue'!$A$1="BL","-",IF(Peak!V62&gt;Peak!$G62,P$8*$X61,0))</f>
        <v>0</v>
      </c>
      <c r="Q61" s="172">
        <f>IF('Peak Revenue'!$A$1="BL","-",IF(Peak!W62&gt;Peak!$G62,Q$8*$X61,0))</f>
        <v>0</v>
      </c>
      <c r="R61" s="172">
        <f>IF('Peak Revenue'!$A$1="BL","-",IF(Peak!X62&gt;Peak!$G62,R$8*$X61,0))</f>
        <v>0</v>
      </c>
      <c r="S61" s="172">
        <f>IF('Peak Revenue'!$A$1="BL","-",IF(Peak!Y62&gt;Peak!$G62,S$8*$X61,0))</f>
        <v>0</v>
      </c>
      <c r="T61" s="172">
        <f>IF('Peak Revenue'!$A$1="BL","-",IF(Peak!Z62&gt;Peak!$G62,T$8*$X61,0))</f>
        <v>0</v>
      </c>
      <c r="U61" s="172">
        <f>IF('Peak Revenue'!$A$1="BL","-",IF(Peak!AA62&gt;Peak!$G62,U$8*$X61,0))</f>
        <v>0</v>
      </c>
      <c r="V61" s="175">
        <f t="shared" si="0"/>
        <v>133</v>
      </c>
      <c r="W61" s="164"/>
      <c r="X61" s="473">
        <f>CHOOSE(QUOTIENT(MONTH($A61),3)+1,Peak!$AM$11,Peak!$AN$11,Peak!$AL$11,Peak!$AO$11,Peak!$AM$11)</f>
        <v>0.95</v>
      </c>
      <c r="Y61" s="474">
        <f>CHOOSE(QUOTIENT(MONTH($A61),3)+1,Peak!$AM$17,Peak!$AN$17,Peak!$AL$17,Peak!$AO$17,Peak!$AM$17)</f>
        <v>705</v>
      </c>
    </row>
    <row r="62" spans="1:25" x14ac:dyDescent="0.2">
      <c r="A62" s="1">
        <f t="shared" si="1"/>
        <v>38121.684000000067</v>
      </c>
      <c r="B62" s="172">
        <f>IF('Peak Revenue'!$A$1="BL","-",IF(Peak!H63&gt;Peak!$G63,B$8*$X62,0))</f>
        <v>4.75</v>
      </c>
      <c r="C62" s="172">
        <f>IF('Peak Revenue'!$A$1="BL","-",IF(Peak!I63&gt;Peak!$G63,C$8*$X62,0))</f>
        <v>4.75</v>
      </c>
      <c r="D62" s="172">
        <f>IF('Peak Revenue'!$A$1="BL","-",IF(Peak!J63&gt;Peak!$G63,D$8*$X62,0))</f>
        <v>9.5</v>
      </c>
      <c r="E62" s="172">
        <f>IF('Peak Revenue'!$A$1="BL","-",IF(Peak!K63&gt;Peak!$G63,E$8*$X62,0))</f>
        <v>19</v>
      </c>
      <c r="F62" s="172">
        <f>IF('Peak Revenue'!$A$1="BL","-",IF(Peak!L63&gt;Peak!$G63,F$8*$X62,0))</f>
        <v>19</v>
      </c>
      <c r="G62" s="172">
        <f>IF('Peak Revenue'!$A$1="BL","-",IF(Peak!M63&gt;Peak!$G63,G$8*$X62,0))</f>
        <v>38</v>
      </c>
      <c r="H62" s="172">
        <f>IF('Peak Revenue'!$A$1="BL","-",IF(Peak!N63&gt;Peak!$G63,H$8*$X62,0))</f>
        <v>38</v>
      </c>
      <c r="I62" s="172">
        <f>IF('Peak Revenue'!$A$1="BL","-",IF(Peak!O63&gt;Peak!$G63,I$8*$X62,0))</f>
        <v>0</v>
      </c>
      <c r="J62" s="172">
        <f>IF('Peak Revenue'!$A$1="BL","-",IF(Peak!P63&gt;Peak!$G63,J$8*$X62,0))</f>
        <v>0</v>
      </c>
      <c r="K62" s="172">
        <f>IF('Peak Revenue'!$A$1="BL","-",IF(Peak!Q63&gt;Peak!$G63,K$8*$X62,0))</f>
        <v>0</v>
      </c>
      <c r="L62" s="172">
        <f>IF('Peak Revenue'!$A$1="BL","-",IF(Peak!R63&gt;Peak!$G63,L$8*$X62,0))</f>
        <v>0</v>
      </c>
      <c r="M62" s="172">
        <f>IF('Peak Revenue'!$A$1="BL","-",IF(Peak!S63&gt;Peak!$G63,M$8*$X62,0))</f>
        <v>0</v>
      </c>
      <c r="N62" s="172">
        <f>IF('Peak Revenue'!$A$1="BL","-",IF(Peak!T63&gt;Peak!$G63,N$8*$X62,0))</f>
        <v>0</v>
      </c>
      <c r="O62" s="172">
        <f>IF('Peak Revenue'!$A$1="BL","-",IF(Peak!U63&gt;Peak!$G63,O$8*$X62,0))</f>
        <v>0</v>
      </c>
      <c r="P62" s="172">
        <f>IF('Peak Revenue'!$A$1="BL","-",IF(Peak!V63&gt;Peak!$G63,P$8*$X62,0))</f>
        <v>0</v>
      </c>
      <c r="Q62" s="172">
        <f>IF('Peak Revenue'!$A$1="BL","-",IF(Peak!W63&gt;Peak!$G63,Q$8*$X62,0))</f>
        <v>0</v>
      </c>
      <c r="R62" s="172">
        <f>IF('Peak Revenue'!$A$1="BL","-",IF(Peak!X63&gt;Peak!$G63,R$8*$X62,0))</f>
        <v>0</v>
      </c>
      <c r="S62" s="172">
        <f>IF('Peak Revenue'!$A$1="BL","-",IF(Peak!Y63&gt;Peak!$G63,S$8*$X62,0))</f>
        <v>0</v>
      </c>
      <c r="T62" s="172">
        <f>IF('Peak Revenue'!$A$1="BL","-",IF(Peak!Z63&gt;Peak!$G63,T$8*$X62,0))</f>
        <v>0</v>
      </c>
      <c r="U62" s="172">
        <f>IF('Peak Revenue'!$A$1="BL","-",IF(Peak!AA63&gt;Peak!$G63,U$8*$X62,0))</f>
        <v>0</v>
      </c>
      <c r="V62" s="175">
        <f t="shared" si="0"/>
        <v>133</v>
      </c>
      <c r="W62" s="164"/>
      <c r="X62" s="473">
        <f>CHOOSE(QUOTIENT(MONTH($A62),3)+1,Peak!$AM$11,Peak!$AN$11,Peak!$AL$11,Peak!$AO$11,Peak!$AM$11)</f>
        <v>0.95</v>
      </c>
      <c r="Y62" s="474">
        <f>CHOOSE(QUOTIENT(MONTH($A62),3)+1,Peak!$AM$17,Peak!$AN$17,Peak!$AL$17,Peak!$AO$17,Peak!$AM$17)</f>
        <v>705</v>
      </c>
    </row>
    <row r="63" spans="1:25" x14ac:dyDescent="0.2">
      <c r="A63" s="1">
        <f t="shared" si="1"/>
        <v>38152.101000000068</v>
      </c>
      <c r="B63" s="172">
        <f>IF('Peak Revenue'!$A$1="BL","-",IF(Peak!H64&gt;Peak!$G64,B$8*$X63,0))</f>
        <v>4.8306067954779284</v>
      </c>
      <c r="C63" s="172">
        <f>IF('Peak Revenue'!$A$1="BL","-",IF(Peak!I64&gt;Peak!$G64,C$8*$X63,0))</f>
        <v>4.8306067954779284</v>
      </c>
      <c r="D63" s="172">
        <f>IF('Peak Revenue'!$A$1="BL","-",IF(Peak!J64&gt;Peak!$G64,D$8*$X63,0))</f>
        <v>9.6612135909558567</v>
      </c>
      <c r="E63" s="172">
        <f>IF('Peak Revenue'!$A$1="BL","-",IF(Peak!K64&gt;Peak!$G64,E$8*$X63,0))</f>
        <v>19.322427181911713</v>
      </c>
      <c r="F63" s="172">
        <f>IF('Peak Revenue'!$A$1="BL","-",IF(Peak!L64&gt;Peak!$G64,F$8*$X63,0))</f>
        <v>19.322427181911713</v>
      </c>
      <c r="G63" s="172">
        <f>IF('Peak Revenue'!$A$1="BL","-",IF(Peak!M64&gt;Peak!$G64,G$8*$X63,0))</f>
        <v>38.644854363823427</v>
      </c>
      <c r="H63" s="172">
        <f>IF('Peak Revenue'!$A$1="BL","-",IF(Peak!N64&gt;Peak!$G64,H$8*$X63,0))</f>
        <v>38.644854363823427</v>
      </c>
      <c r="I63" s="172">
        <f>IF('Peak Revenue'!$A$1="BL","-",IF(Peak!O64&gt;Peak!$G64,I$8*$X63,0))</f>
        <v>38.644854363823427</v>
      </c>
      <c r="J63" s="172">
        <f>IF('Peak Revenue'!$A$1="BL","-",IF(Peak!P64&gt;Peak!$G64,J$8*$X63,0))</f>
        <v>0</v>
      </c>
      <c r="K63" s="172">
        <f>IF('Peak Revenue'!$A$1="BL","-",IF(Peak!Q64&gt;Peak!$G64,K$8*$X63,0))</f>
        <v>0</v>
      </c>
      <c r="L63" s="172">
        <f>IF('Peak Revenue'!$A$1="BL","-",IF(Peak!R64&gt;Peak!$G64,L$8*$X63,0))</f>
        <v>0</v>
      </c>
      <c r="M63" s="172">
        <f>IF('Peak Revenue'!$A$1="BL","-",IF(Peak!S64&gt;Peak!$G64,M$8*$X63,0))</f>
        <v>0</v>
      </c>
      <c r="N63" s="172">
        <f>IF('Peak Revenue'!$A$1="BL","-",IF(Peak!T64&gt;Peak!$G64,N$8*$X63,0))</f>
        <v>0</v>
      </c>
      <c r="O63" s="172">
        <f>IF('Peak Revenue'!$A$1="BL","-",IF(Peak!U64&gt;Peak!$G64,O$8*$X63,0))</f>
        <v>0</v>
      </c>
      <c r="P63" s="172">
        <f>IF('Peak Revenue'!$A$1="BL","-",IF(Peak!V64&gt;Peak!$G64,P$8*$X63,0))</f>
        <v>0</v>
      </c>
      <c r="Q63" s="172">
        <f>IF('Peak Revenue'!$A$1="BL","-",IF(Peak!W64&gt;Peak!$G64,Q$8*$X63,0))</f>
        <v>0</v>
      </c>
      <c r="R63" s="172">
        <f>IF('Peak Revenue'!$A$1="BL","-",IF(Peak!X64&gt;Peak!$G64,R$8*$X63,0))</f>
        <v>0</v>
      </c>
      <c r="S63" s="172">
        <f>IF('Peak Revenue'!$A$1="BL","-",IF(Peak!Y64&gt;Peak!$G64,S$8*$X63,0))</f>
        <v>0</v>
      </c>
      <c r="T63" s="172">
        <f>IF('Peak Revenue'!$A$1="BL","-",IF(Peak!Z64&gt;Peak!$G64,T$8*$X63,0))</f>
        <v>0</v>
      </c>
      <c r="U63" s="172">
        <f>IF('Peak Revenue'!$A$1="BL","-",IF(Peak!AA64&gt;Peak!$G64,U$8*$X63,0))</f>
        <v>0</v>
      </c>
      <c r="V63" s="175">
        <f t="shared" si="0"/>
        <v>173.90184463720539</v>
      </c>
      <c r="W63" s="164"/>
      <c r="X63" s="473">
        <f>CHOOSE(QUOTIENT(MONTH($A63),3)+1,Peak!$AM$11,Peak!$AN$11,Peak!$AL$11,Peak!$AO$11,Peak!$AM$11)</f>
        <v>0.96612135909558572</v>
      </c>
      <c r="Y63" s="474">
        <f>CHOOSE(QUOTIENT(MONTH($A63),3)+1,Peak!$AM$17,Peak!$AN$17,Peak!$AL$17,Peak!$AO$17,Peak!$AM$17)</f>
        <v>705</v>
      </c>
    </row>
    <row r="64" spans="1:25" x14ac:dyDescent="0.2">
      <c r="A64" s="1">
        <f t="shared" si="1"/>
        <v>38182.518000000069</v>
      </c>
      <c r="B64" s="172">
        <f>IF('Peak Revenue'!$A$1="BL","-",IF(Peak!H65&gt;Peak!$G65,B$8*$X64,0))</f>
        <v>4.8306067954779284</v>
      </c>
      <c r="C64" s="172">
        <f>IF('Peak Revenue'!$A$1="BL","-",IF(Peak!I65&gt;Peak!$G65,C$8*$X64,0))</f>
        <v>4.8306067954779284</v>
      </c>
      <c r="D64" s="172">
        <f>IF('Peak Revenue'!$A$1="BL","-",IF(Peak!J65&gt;Peak!$G65,D$8*$X64,0))</f>
        <v>9.6612135909558567</v>
      </c>
      <c r="E64" s="172">
        <f>IF('Peak Revenue'!$A$1="BL","-",IF(Peak!K65&gt;Peak!$G65,E$8*$X64,0))</f>
        <v>19.322427181911713</v>
      </c>
      <c r="F64" s="172">
        <f>IF('Peak Revenue'!$A$1="BL","-",IF(Peak!L65&gt;Peak!$G65,F$8*$X64,0))</f>
        <v>19.322427181911713</v>
      </c>
      <c r="G64" s="172">
        <f>IF('Peak Revenue'!$A$1="BL","-",IF(Peak!M65&gt;Peak!$G65,G$8*$X64,0))</f>
        <v>38.644854363823427</v>
      </c>
      <c r="H64" s="172">
        <f>IF('Peak Revenue'!$A$1="BL","-",IF(Peak!N65&gt;Peak!$G65,H$8*$X64,0))</f>
        <v>38.644854363823427</v>
      </c>
      <c r="I64" s="172">
        <f>IF('Peak Revenue'!$A$1="BL","-",IF(Peak!O65&gt;Peak!$G65,I$8*$X64,0))</f>
        <v>38.644854363823427</v>
      </c>
      <c r="J64" s="172">
        <f>IF('Peak Revenue'!$A$1="BL","-",IF(Peak!P65&gt;Peak!$G65,J$8*$X64,0))</f>
        <v>38.644854363823427</v>
      </c>
      <c r="K64" s="172">
        <f>IF('Peak Revenue'!$A$1="BL","-",IF(Peak!Q65&gt;Peak!$G65,K$8*$X64,0))</f>
        <v>38.644854363823427</v>
      </c>
      <c r="L64" s="172">
        <f>IF('Peak Revenue'!$A$1="BL","-",IF(Peak!R65&gt;Peak!$G65,L$8*$X64,0))</f>
        <v>38.644854363823427</v>
      </c>
      <c r="M64" s="172">
        <f>IF('Peak Revenue'!$A$1="BL","-",IF(Peak!S65&gt;Peak!$G65,M$8*$X64,0))</f>
        <v>0</v>
      </c>
      <c r="N64" s="172">
        <f>IF('Peak Revenue'!$A$1="BL","-",IF(Peak!T65&gt;Peak!$G65,N$8*$X64,0))</f>
        <v>0</v>
      </c>
      <c r="O64" s="172">
        <f>IF('Peak Revenue'!$A$1="BL","-",IF(Peak!U65&gt;Peak!$G65,O$8*$X64,0))</f>
        <v>0</v>
      </c>
      <c r="P64" s="172">
        <f>IF('Peak Revenue'!$A$1="BL","-",IF(Peak!V65&gt;Peak!$G65,P$8*$X64,0))</f>
        <v>0</v>
      </c>
      <c r="Q64" s="172">
        <f>IF('Peak Revenue'!$A$1="BL","-",IF(Peak!W65&gt;Peak!$G65,Q$8*$X64,0))</f>
        <v>0</v>
      </c>
      <c r="R64" s="172">
        <f>IF('Peak Revenue'!$A$1="BL","-",IF(Peak!X65&gt;Peak!$G65,R$8*$X64,0))</f>
        <v>0</v>
      </c>
      <c r="S64" s="172">
        <f>IF('Peak Revenue'!$A$1="BL","-",IF(Peak!Y65&gt;Peak!$G65,S$8*$X64,0))</f>
        <v>0</v>
      </c>
      <c r="T64" s="172">
        <f>IF('Peak Revenue'!$A$1="BL","-",IF(Peak!Z65&gt;Peak!$G65,T$8*$X64,0))</f>
        <v>0</v>
      </c>
      <c r="U64" s="172">
        <f>IF('Peak Revenue'!$A$1="BL","-",IF(Peak!AA65&gt;Peak!$G65,U$8*$X64,0))</f>
        <v>0</v>
      </c>
      <c r="V64" s="175">
        <f t="shared" si="0"/>
        <v>289.83640772867562</v>
      </c>
      <c r="W64" s="164"/>
      <c r="X64" s="473">
        <f>CHOOSE(QUOTIENT(MONTH($A64),3)+1,Peak!$AM$11,Peak!$AN$11,Peak!$AL$11,Peak!$AO$11,Peak!$AM$11)</f>
        <v>0.96612135909558572</v>
      </c>
      <c r="Y64" s="474">
        <f>CHOOSE(QUOTIENT(MONTH($A64),3)+1,Peak!$AM$17,Peak!$AN$17,Peak!$AL$17,Peak!$AO$17,Peak!$AM$17)</f>
        <v>705</v>
      </c>
    </row>
    <row r="65" spans="1:25" x14ac:dyDescent="0.2">
      <c r="A65" s="1">
        <f t="shared" si="1"/>
        <v>38212.93500000007</v>
      </c>
      <c r="B65" s="172">
        <f>IF('Peak Revenue'!$A$1="BL","-",IF(Peak!H66&gt;Peak!$G66,B$8*$X65,0))</f>
        <v>4.8306067954779284</v>
      </c>
      <c r="C65" s="172">
        <f>IF('Peak Revenue'!$A$1="BL","-",IF(Peak!I66&gt;Peak!$G66,C$8*$X65,0))</f>
        <v>4.8306067954779284</v>
      </c>
      <c r="D65" s="172">
        <f>IF('Peak Revenue'!$A$1="BL","-",IF(Peak!J66&gt;Peak!$G66,D$8*$X65,0))</f>
        <v>9.6612135909558567</v>
      </c>
      <c r="E65" s="172">
        <f>IF('Peak Revenue'!$A$1="BL","-",IF(Peak!K66&gt;Peak!$G66,E$8*$X65,0))</f>
        <v>19.322427181911713</v>
      </c>
      <c r="F65" s="172">
        <f>IF('Peak Revenue'!$A$1="BL","-",IF(Peak!L66&gt;Peak!$G66,F$8*$X65,0))</f>
        <v>19.322427181911713</v>
      </c>
      <c r="G65" s="172">
        <f>IF('Peak Revenue'!$A$1="BL","-",IF(Peak!M66&gt;Peak!$G66,G$8*$X65,0))</f>
        <v>38.644854363823427</v>
      </c>
      <c r="H65" s="172">
        <f>IF('Peak Revenue'!$A$1="BL","-",IF(Peak!N66&gt;Peak!$G66,H$8*$X65,0))</f>
        <v>38.644854363823427</v>
      </c>
      <c r="I65" s="172">
        <f>IF('Peak Revenue'!$A$1="BL","-",IF(Peak!O66&gt;Peak!$G66,I$8*$X65,0))</f>
        <v>38.644854363823427</v>
      </c>
      <c r="J65" s="172">
        <f>IF('Peak Revenue'!$A$1="BL","-",IF(Peak!P66&gt;Peak!$G66,J$8*$X65,0))</f>
        <v>38.644854363823427</v>
      </c>
      <c r="K65" s="172">
        <f>IF('Peak Revenue'!$A$1="BL","-",IF(Peak!Q66&gt;Peak!$G66,K$8*$X65,0))</f>
        <v>0</v>
      </c>
      <c r="L65" s="172">
        <f>IF('Peak Revenue'!$A$1="BL","-",IF(Peak!R66&gt;Peak!$G66,L$8*$X65,0))</f>
        <v>0</v>
      </c>
      <c r="M65" s="172">
        <f>IF('Peak Revenue'!$A$1="BL","-",IF(Peak!S66&gt;Peak!$G66,M$8*$X65,0))</f>
        <v>0</v>
      </c>
      <c r="N65" s="172">
        <f>IF('Peak Revenue'!$A$1="BL","-",IF(Peak!T66&gt;Peak!$G66,N$8*$X65,0))</f>
        <v>0</v>
      </c>
      <c r="O65" s="172">
        <f>IF('Peak Revenue'!$A$1="BL","-",IF(Peak!U66&gt;Peak!$G66,O$8*$X65,0))</f>
        <v>0</v>
      </c>
      <c r="P65" s="172">
        <f>IF('Peak Revenue'!$A$1="BL","-",IF(Peak!V66&gt;Peak!$G66,P$8*$X65,0))</f>
        <v>0</v>
      </c>
      <c r="Q65" s="172">
        <f>IF('Peak Revenue'!$A$1="BL","-",IF(Peak!W66&gt;Peak!$G66,Q$8*$X65,0))</f>
        <v>0</v>
      </c>
      <c r="R65" s="172">
        <f>IF('Peak Revenue'!$A$1="BL","-",IF(Peak!X66&gt;Peak!$G66,R$8*$X65,0))</f>
        <v>0</v>
      </c>
      <c r="S65" s="172">
        <f>IF('Peak Revenue'!$A$1="BL","-",IF(Peak!Y66&gt;Peak!$G66,S$8*$X65,0))</f>
        <v>0</v>
      </c>
      <c r="T65" s="172">
        <f>IF('Peak Revenue'!$A$1="BL","-",IF(Peak!Z66&gt;Peak!$G66,T$8*$X65,0))</f>
        <v>0</v>
      </c>
      <c r="U65" s="172">
        <f>IF('Peak Revenue'!$A$1="BL","-",IF(Peak!AA66&gt;Peak!$G66,U$8*$X65,0))</f>
        <v>0</v>
      </c>
      <c r="V65" s="175">
        <f t="shared" si="0"/>
        <v>212.5466990010288</v>
      </c>
      <c r="W65" s="164"/>
      <c r="X65" s="473">
        <f>CHOOSE(QUOTIENT(MONTH($A65),3)+1,Peak!$AM$11,Peak!$AN$11,Peak!$AL$11,Peak!$AO$11,Peak!$AM$11)</f>
        <v>0.96612135909558572</v>
      </c>
      <c r="Y65" s="474">
        <f>CHOOSE(QUOTIENT(MONTH($A65),3)+1,Peak!$AM$17,Peak!$AN$17,Peak!$AL$17,Peak!$AO$17,Peak!$AM$17)</f>
        <v>705</v>
      </c>
    </row>
    <row r="66" spans="1:25" x14ac:dyDescent="0.2">
      <c r="A66" s="1">
        <f t="shared" si="1"/>
        <v>38243.352000000072</v>
      </c>
      <c r="B66" s="172">
        <f>IF('Peak Revenue'!$A$1="BL","-",IF(Peak!H67&gt;Peak!$G67,B$8*$X66,0))</f>
        <v>4.75</v>
      </c>
      <c r="C66" s="172">
        <f>IF('Peak Revenue'!$A$1="BL","-",IF(Peak!I67&gt;Peak!$G67,C$8*$X66,0))</f>
        <v>4.75</v>
      </c>
      <c r="D66" s="172">
        <f>IF('Peak Revenue'!$A$1="BL","-",IF(Peak!J67&gt;Peak!$G67,D$8*$X66,0))</f>
        <v>9.5</v>
      </c>
      <c r="E66" s="172">
        <f>IF('Peak Revenue'!$A$1="BL","-",IF(Peak!K67&gt;Peak!$G67,E$8*$X66,0))</f>
        <v>19</v>
      </c>
      <c r="F66" s="172">
        <f>IF('Peak Revenue'!$A$1="BL","-",IF(Peak!L67&gt;Peak!$G67,F$8*$X66,0))</f>
        <v>19</v>
      </c>
      <c r="G66" s="172">
        <f>IF('Peak Revenue'!$A$1="BL","-",IF(Peak!M67&gt;Peak!$G67,G$8*$X66,0))</f>
        <v>38</v>
      </c>
      <c r="H66" s="172">
        <f>IF('Peak Revenue'!$A$1="BL","-",IF(Peak!N67&gt;Peak!$G67,H$8*$X66,0))</f>
        <v>38</v>
      </c>
      <c r="I66" s="172">
        <f>IF('Peak Revenue'!$A$1="BL","-",IF(Peak!O67&gt;Peak!$G67,I$8*$X66,0))</f>
        <v>38</v>
      </c>
      <c r="J66" s="172">
        <f>IF('Peak Revenue'!$A$1="BL","-",IF(Peak!P67&gt;Peak!$G67,J$8*$X66,0))</f>
        <v>38</v>
      </c>
      <c r="K66" s="172">
        <f>IF('Peak Revenue'!$A$1="BL","-",IF(Peak!Q67&gt;Peak!$G67,K$8*$X66,0))</f>
        <v>0</v>
      </c>
      <c r="L66" s="172">
        <f>IF('Peak Revenue'!$A$1="BL","-",IF(Peak!R67&gt;Peak!$G67,L$8*$X66,0))</f>
        <v>0</v>
      </c>
      <c r="M66" s="172">
        <f>IF('Peak Revenue'!$A$1="BL","-",IF(Peak!S67&gt;Peak!$G67,M$8*$X66,0))</f>
        <v>0</v>
      </c>
      <c r="N66" s="172">
        <f>IF('Peak Revenue'!$A$1="BL","-",IF(Peak!T67&gt;Peak!$G67,N$8*$X66,0))</f>
        <v>0</v>
      </c>
      <c r="O66" s="172">
        <f>IF('Peak Revenue'!$A$1="BL","-",IF(Peak!U67&gt;Peak!$G67,O$8*$X66,0))</f>
        <v>0</v>
      </c>
      <c r="P66" s="172">
        <f>IF('Peak Revenue'!$A$1="BL","-",IF(Peak!V67&gt;Peak!$G67,P$8*$X66,0))</f>
        <v>0</v>
      </c>
      <c r="Q66" s="172">
        <f>IF('Peak Revenue'!$A$1="BL","-",IF(Peak!W67&gt;Peak!$G67,Q$8*$X66,0))</f>
        <v>0</v>
      </c>
      <c r="R66" s="172">
        <f>IF('Peak Revenue'!$A$1="BL","-",IF(Peak!X67&gt;Peak!$G67,R$8*$X66,0))</f>
        <v>0</v>
      </c>
      <c r="S66" s="172">
        <f>IF('Peak Revenue'!$A$1="BL","-",IF(Peak!Y67&gt;Peak!$G67,S$8*$X66,0))</f>
        <v>0</v>
      </c>
      <c r="T66" s="172">
        <f>IF('Peak Revenue'!$A$1="BL","-",IF(Peak!Z67&gt;Peak!$G67,T$8*$X66,0))</f>
        <v>0</v>
      </c>
      <c r="U66" s="172">
        <f>IF('Peak Revenue'!$A$1="BL","-",IF(Peak!AA67&gt;Peak!$G67,U$8*$X66,0))</f>
        <v>0</v>
      </c>
      <c r="V66" s="175">
        <f t="shared" si="0"/>
        <v>209</v>
      </c>
      <c r="W66" s="164"/>
      <c r="X66" s="473">
        <f>CHOOSE(QUOTIENT(MONTH($A66),3)+1,Peak!$AM$11,Peak!$AN$11,Peak!$AL$11,Peak!$AO$11,Peak!$AM$11)</f>
        <v>0.95</v>
      </c>
      <c r="Y66" s="474">
        <f>CHOOSE(QUOTIENT(MONTH($A66),3)+1,Peak!$AM$17,Peak!$AN$17,Peak!$AL$17,Peak!$AO$17,Peak!$AM$17)</f>
        <v>705</v>
      </c>
    </row>
    <row r="67" spans="1:25" x14ac:dyDescent="0.2">
      <c r="A67" s="1">
        <f t="shared" si="1"/>
        <v>38273.769000000073</v>
      </c>
      <c r="B67" s="172">
        <f>IF('Peak Revenue'!$A$1="BL","-",IF(Peak!H68&gt;Peak!$G68,B$8*$X67,0))</f>
        <v>4.75</v>
      </c>
      <c r="C67" s="172">
        <f>IF('Peak Revenue'!$A$1="BL","-",IF(Peak!I68&gt;Peak!$G68,C$8*$X67,0))</f>
        <v>4.75</v>
      </c>
      <c r="D67" s="172">
        <f>IF('Peak Revenue'!$A$1="BL","-",IF(Peak!J68&gt;Peak!$G68,D$8*$X67,0))</f>
        <v>9.5</v>
      </c>
      <c r="E67" s="172">
        <f>IF('Peak Revenue'!$A$1="BL","-",IF(Peak!K68&gt;Peak!$G68,E$8*$X67,0))</f>
        <v>19</v>
      </c>
      <c r="F67" s="172">
        <f>IF('Peak Revenue'!$A$1="BL","-",IF(Peak!L68&gt;Peak!$G68,F$8*$X67,0))</f>
        <v>19</v>
      </c>
      <c r="G67" s="172">
        <f>IF('Peak Revenue'!$A$1="BL","-",IF(Peak!M68&gt;Peak!$G68,G$8*$X67,0))</f>
        <v>38</v>
      </c>
      <c r="H67" s="172">
        <f>IF('Peak Revenue'!$A$1="BL","-",IF(Peak!N68&gt;Peak!$G68,H$8*$X67,0))</f>
        <v>38</v>
      </c>
      <c r="I67" s="172">
        <f>IF('Peak Revenue'!$A$1="BL","-",IF(Peak!O68&gt;Peak!$G68,I$8*$X67,0))</f>
        <v>0</v>
      </c>
      <c r="J67" s="172">
        <f>IF('Peak Revenue'!$A$1="BL","-",IF(Peak!P68&gt;Peak!$G68,J$8*$X67,0))</f>
        <v>0</v>
      </c>
      <c r="K67" s="172">
        <f>IF('Peak Revenue'!$A$1="BL","-",IF(Peak!Q68&gt;Peak!$G68,K$8*$X67,0))</f>
        <v>0</v>
      </c>
      <c r="L67" s="172">
        <f>IF('Peak Revenue'!$A$1="BL","-",IF(Peak!R68&gt;Peak!$G68,L$8*$X67,0))</f>
        <v>0</v>
      </c>
      <c r="M67" s="172">
        <f>IF('Peak Revenue'!$A$1="BL","-",IF(Peak!S68&gt;Peak!$G68,M$8*$X67,0))</f>
        <v>0</v>
      </c>
      <c r="N67" s="172">
        <f>IF('Peak Revenue'!$A$1="BL","-",IF(Peak!T68&gt;Peak!$G68,N$8*$X67,0))</f>
        <v>0</v>
      </c>
      <c r="O67" s="172">
        <f>IF('Peak Revenue'!$A$1="BL","-",IF(Peak!U68&gt;Peak!$G68,O$8*$X67,0))</f>
        <v>0</v>
      </c>
      <c r="P67" s="172">
        <f>IF('Peak Revenue'!$A$1="BL","-",IF(Peak!V68&gt;Peak!$G68,P$8*$X67,0))</f>
        <v>0</v>
      </c>
      <c r="Q67" s="172">
        <f>IF('Peak Revenue'!$A$1="BL","-",IF(Peak!W68&gt;Peak!$G68,Q$8*$X67,0))</f>
        <v>0</v>
      </c>
      <c r="R67" s="172">
        <f>IF('Peak Revenue'!$A$1="BL","-",IF(Peak!X68&gt;Peak!$G68,R$8*$X67,0))</f>
        <v>0</v>
      </c>
      <c r="S67" s="172">
        <f>IF('Peak Revenue'!$A$1="BL","-",IF(Peak!Y68&gt;Peak!$G68,S$8*$X67,0))</f>
        <v>0</v>
      </c>
      <c r="T67" s="172">
        <f>IF('Peak Revenue'!$A$1="BL","-",IF(Peak!Z68&gt;Peak!$G68,T$8*$X67,0))</f>
        <v>0</v>
      </c>
      <c r="U67" s="172">
        <f>IF('Peak Revenue'!$A$1="BL","-",IF(Peak!AA68&gt;Peak!$G68,U$8*$X67,0))</f>
        <v>0</v>
      </c>
      <c r="V67" s="175">
        <f t="shared" si="0"/>
        <v>133</v>
      </c>
      <c r="W67" s="164"/>
      <c r="X67" s="473">
        <f>CHOOSE(QUOTIENT(MONTH($A67),3)+1,Peak!$AM$11,Peak!$AN$11,Peak!$AL$11,Peak!$AO$11,Peak!$AM$11)</f>
        <v>0.95</v>
      </c>
      <c r="Y67" s="474">
        <f>CHOOSE(QUOTIENT(MONTH($A67),3)+1,Peak!$AM$17,Peak!$AN$17,Peak!$AL$17,Peak!$AO$17,Peak!$AM$17)</f>
        <v>705</v>
      </c>
    </row>
    <row r="68" spans="1:25" x14ac:dyDescent="0.2">
      <c r="A68" s="1">
        <f t="shared" si="1"/>
        <v>38304.186000000074</v>
      </c>
      <c r="B68" s="172">
        <f>IF('Peak Revenue'!$A$1="BL","-",IF(Peak!H69&gt;Peak!$G69,B$8*$X68,0))</f>
        <v>4.75</v>
      </c>
      <c r="C68" s="172">
        <f>IF('Peak Revenue'!$A$1="BL","-",IF(Peak!I69&gt;Peak!$G69,C$8*$X68,0))</f>
        <v>4.75</v>
      </c>
      <c r="D68" s="172">
        <f>IF('Peak Revenue'!$A$1="BL","-",IF(Peak!J69&gt;Peak!$G69,D$8*$X68,0))</f>
        <v>9.5</v>
      </c>
      <c r="E68" s="172">
        <f>IF('Peak Revenue'!$A$1="BL","-",IF(Peak!K69&gt;Peak!$G69,E$8*$X68,0))</f>
        <v>19</v>
      </c>
      <c r="F68" s="172">
        <f>IF('Peak Revenue'!$A$1="BL","-",IF(Peak!L69&gt;Peak!$G69,F$8*$X68,0))</f>
        <v>19</v>
      </c>
      <c r="G68" s="172">
        <f>IF('Peak Revenue'!$A$1="BL","-",IF(Peak!M69&gt;Peak!$G69,G$8*$X68,0))</f>
        <v>38</v>
      </c>
      <c r="H68" s="172">
        <f>IF('Peak Revenue'!$A$1="BL","-",IF(Peak!N69&gt;Peak!$G69,H$8*$X68,0))</f>
        <v>38</v>
      </c>
      <c r="I68" s="172">
        <f>IF('Peak Revenue'!$A$1="BL","-",IF(Peak!O69&gt;Peak!$G69,I$8*$X68,0))</f>
        <v>38</v>
      </c>
      <c r="J68" s="172">
        <f>IF('Peak Revenue'!$A$1="BL","-",IF(Peak!P69&gt;Peak!$G69,J$8*$X68,0))</f>
        <v>0</v>
      </c>
      <c r="K68" s="172">
        <f>IF('Peak Revenue'!$A$1="BL","-",IF(Peak!Q69&gt;Peak!$G69,K$8*$X68,0))</f>
        <v>0</v>
      </c>
      <c r="L68" s="172">
        <f>IF('Peak Revenue'!$A$1="BL","-",IF(Peak!R69&gt;Peak!$G69,L$8*$X68,0))</f>
        <v>0</v>
      </c>
      <c r="M68" s="172">
        <f>IF('Peak Revenue'!$A$1="BL","-",IF(Peak!S69&gt;Peak!$G69,M$8*$X68,0))</f>
        <v>0</v>
      </c>
      <c r="N68" s="172">
        <f>IF('Peak Revenue'!$A$1="BL","-",IF(Peak!T69&gt;Peak!$G69,N$8*$X68,0))</f>
        <v>0</v>
      </c>
      <c r="O68" s="172">
        <f>IF('Peak Revenue'!$A$1="BL","-",IF(Peak!U69&gt;Peak!$G69,O$8*$X68,0))</f>
        <v>0</v>
      </c>
      <c r="P68" s="172">
        <f>IF('Peak Revenue'!$A$1="BL","-",IF(Peak!V69&gt;Peak!$G69,P$8*$X68,0))</f>
        <v>0</v>
      </c>
      <c r="Q68" s="172">
        <f>IF('Peak Revenue'!$A$1="BL","-",IF(Peak!W69&gt;Peak!$G69,Q$8*$X68,0))</f>
        <v>0</v>
      </c>
      <c r="R68" s="172">
        <f>IF('Peak Revenue'!$A$1="BL","-",IF(Peak!X69&gt;Peak!$G69,R$8*$X68,0))</f>
        <v>0</v>
      </c>
      <c r="S68" s="172">
        <f>IF('Peak Revenue'!$A$1="BL","-",IF(Peak!Y69&gt;Peak!$G69,S$8*$X68,0))</f>
        <v>0</v>
      </c>
      <c r="T68" s="172">
        <f>IF('Peak Revenue'!$A$1="BL","-",IF(Peak!Z69&gt;Peak!$G69,T$8*$X68,0))</f>
        <v>0</v>
      </c>
      <c r="U68" s="172">
        <f>IF('Peak Revenue'!$A$1="BL","-",IF(Peak!AA69&gt;Peak!$G69,U$8*$X68,0))</f>
        <v>0</v>
      </c>
      <c r="V68" s="175">
        <f t="shared" si="0"/>
        <v>171</v>
      </c>
      <c r="W68" s="164"/>
      <c r="X68" s="473">
        <f>CHOOSE(QUOTIENT(MONTH($A68),3)+1,Peak!$AM$11,Peak!$AN$11,Peak!$AL$11,Peak!$AO$11,Peak!$AM$11)</f>
        <v>0.95</v>
      </c>
      <c r="Y68" s="474">
        <f>CHOOSE(QUOTIENT(MONTH($A68),3)+1,Peak!$AM$17,Peak!$AN$17,Peak!$AL$17,Peak!$AO$17,Peak!$AM$17)</f>
        <v>705</v>
      </c>
    </row>
    <row r="69" spans="1:25" x14ac:dyDescent="0.2">
      <c r="A69" s="1">
        <f t="shared" si="1"/>
        <v>38334.603000000076</v>
      </c>
      <c r="B69" s="172">
        <f>IF('Peak Revenue'!$A$1="BL","-",IF(Peak!H70&gt;Peak!$G70,B$8*$X69,0))</f>
        <v>4.6213830939305875</v>
      </c>
      <c r="C69" s="172">
        <f>IF('Peak Revenue'!$A$1="BL","-",IF(Peak!I70&gt;Peak!$G70,C$8*$X69,0))</f>
        <v>4.6213830939305875</v>
      </c>
      <c r="D69" s="172">
        <f>IF('Peak Revenue'!$A$1="BL","-",IF(Peak!J70&gt;Peak!$G70,D$8*$X69,0))</f>
        <v>9.2427661878611751</v>
      </c>
      <c r="E69" s="172">
        <f>IF('Peak Revenue'!$A$1="BL","-",IF(Peak!K70&gt;Peak!$G70,E$8*$X69,0))</f>
        <v>18.48553237572235</v>
      </c>
      <c r="F69" s="172">
        <f>IF('Peak Revenue'!$A$1="BL","-",IF(Peak!L70&gt;Peak!$G70,F$8*$X69,0))</f>
        <v>18.48553237572235</v>
      </c>
      <c r="G69" s="172">
        <f>IF('Peak Revenue'!$A$1="BL","-",IF(Peak!M70&gt;Peak!$G70,G$8*$X69,0))</f>
        <v>36.9710647514447</v>
      </c>
      <c r="H69" s="172">
        <f>IF('Peak Revenue'!$A$1="BL","-",IF(Peak!N70&gt;Peak!$G70,H$8*$X69,0))</f>
        <v>36.9710647514447</v>
      </c>
      <c r="I69" s="172">
        <f>IF('Peak Revenue'!$A$1="BL","-",IF(Peak!O70&gt;Peak!$G70,I$8*$X69,0))</f>
        <v>36.9710647514447</v>
      </c>
      <c r="J69" s="172">
        <f>IF('Peak Revenue'!$A$1="BL","-",IF(Peak!P70&gt;Peak!$G70,J$8*$X69,0))</f>
        <v>0</v>
      </c>
      <c r="K69" s="172">
        <f>IF('Peak Revenue'!$A$1="BL","-",IF(Peak!Q70&gt;Peak!$G70,K$8*$X69,0))</f>
        <v>0</v>
      </c>
      <c r="L69" s="172">
        <f>IF('Peak Revenue'!$A$1="BL","-",IF(Peak!R70&gt;Peak!$G70,L$8*$X69,0))</f>
        <v>0</v>
      </c>
      <c r="M69" s="172">
        <f>IF('Peak Revenue'!$A$1="BL","-",IF(Peak!S70&gt;Peak!$G70,M$8*$X69,0))</f>
        <v>0</v>
      </c>
      <c r="N69" s="172">
        <f>IF('Peak Revenue'!$A$1="BL","-",IF(Peak!T70&gt;Peak!$G70,N$8*$X69,0))</f>
        <v>0</v>
      </c>
      <c r="O69" s="172">
        <f>IF('Peak Revenue'!$A$1="BL","-",IF(Peak!U70&gt;Peak!$G70,O$8*$X69,0))</f>
        <v>0</v>
      </c>
      <c r="P69" s="172">
        <f>IF('Peak Revenue'!$A$1="BL","-",IF(Peak!V70&gt;Peak!$G70,P$8*$X69,0))</f>
        <v>0</v>
      </c>
      <c r="Q69" s="172">
        <f>IF('Peak Revenue'!$A$1="BL","-",IF(Peak!W70&gt;Peak!$G70,Q$8*$X69,0))</f>
        <v>0</v>
      </c>
      <c r="R69" s="172">
        <f>IF('Peak Revenue'!$A$1="BL","-",IF(Peak!X70&gt;Peak!$G70,R$8*$X69,0))</f>
        <v>0</v>
      </c>
      <c r="S69" s="172">
        <f>IF('Peak Revenue'!$A$1="BL","-",IF(Peak!Y70&gt;Peak!$G70,S$8*$X69,0))</f>
        <v>0</v>
      </c>
      <c r="T69" s="172">
        <f>IF('Peak Revenue'!$A$1="BL","-",IF(Peak!Z70&gt;Peak!$G70,T$8*$X69,0))</f>
        <v>0</v>
      </c>
      <c r="U69" s="172">
        <f>IF('Peak Revenue'!$A$1="BL","-",IF(Peak!AA70&gt;Peak!$G70,U$8*$X69,0))</f>
        <v>0</v>
      </c>
      <c r="V69" s="175">
        <f t="shared" si="0"/>
        <v>166.36979138150116</v>
      </c>
      <c r="W69" s="163">
        <f>SUM(V58:V69)</f>
        <v>2088.4232607599688</v>
      </c>
      <c r="X69" s="473">
        <f>CHOOSE(QUOTIENT(MONTH($A69),3)+1,Peak!$AM$11,Peak!$AN$11,Peak!$AL$11,Peak!$AO$11,Peak!$AM$11)</f>
        <v>0.92427661878611755</v>
      </c>
      <c r="Y69" s="474">
        <f>CHOOSE(QUOTIENT(MONTH($A69),3)+1,Peak!$AM$17,Peak!$AN$17,Peak!$AL$17,Peak!$AO$17,Peak!$AM$17)</f>
        <v>705</v>
      </c>
    </row>
    <row r="70" spans="1:25" x14ac:dyDescent="0.2">
      <c r="A70" s="1">
        <f t="shared" si="1"/>
        <v>38365.020000000077</v>
      </c>
      <c r="B70" s="172">
        <f>IF('Peak Revenue'!$A$1="BL","-",IF(Peak!H71&gt;Peak!$G71,B$8*$X70,0))</f>
        <v>4.6213830939305875</v>
      </c>
      <c r="C70" s="172">
        <f>IF('Peak Revenue'!$A$1="BL","-",IF(Peak!I71&gt;Peak!$G71,C$8*$X70,0))</f>
        <v>4.6213830939305875</v>
      </c>
      <c r="D70" s="172">
        <f>IF('Peak Revenue'!$A$1="BL","-",IF(Peak!J71&gt;Peak!$G71,D$8*$X70,0))</f>
        <v>9.2427661878611751</v>
      </c>
      <c r="E70" s="172">
        <f>IF('Peak Revenue'!$A$1="BL","-",IF(Peak!K71&gt;Peak!$G71,E$8*$X70,0))</f>
        <v>18.48553237572235</v>
      </c>
      <c r="F70" s="172">
        <f>IF('Peak Revenue'!$A$1="BL","-",IF(Peak!L71&gt;Peak!$G71,F$8*$X70,0))</f>
        <v>18.48553237572235</v>
      </c>
      <c r="G70" s="172">
        <f>IF('Peak Revenue'!$A$1="BL","-",IF(Peak!M71&gt;Peak!$G71,G$8*$X70,0))</f>
        <v>36.9710647514447</v>
      </c>
      <c r="H70" s="172">
        <f>IF('Peak Revenue'!$A$1="BL","-",IF(Peak!N71&gt;Peak!$G71,H$8*$X70,0))</f>
        <v>36.9710647514447</v>
      </c>
      <c r="I70" s="172">
        <f>IF('Peak Revenue'!$A$1="BL","-",IF(Peak!O71&gt;Peak!$G71,I$8*$X70,0))</f>
        <v>0</v>
      </c>
      <c r="J70" s="172">
        <f>IF('Peak Revenue'!$A$1="BL","-",IF(Peak!P71&gt;Peak!$G71,J$8*$X70,0))</f>
        <v>0</v>
      </c>
      <c r="K70" s="172">
        <f>IF('Peak Revenue'!$A$1="BL","-",IF(Peak!Q71&gt;Peak!$G71,K$8*$X70,0))</f>
        <v>0</v>
      </c>
      <c r="L70" s="172">
        <f>IF('Peak Revenue'!$A$1="BL","-",IF(Peak!R71&gt;Peak!$G71,L$8*$X70,0))</f>
        <v>0</v>
      </c>
      <c r="M70" s="172">
        <f>IF('Peak Revenue'!$A$1="BL","-",IF(Peak!S71&gt;Peak!$G71,M$8*$X70,0))</f>
        <v>0</v>
      </c>
      <c r="N70" s="172">
        <f>IF('Peak Revenue'!$A$1="BL","-",IF(Peak!T71&gt;Peak!$G71,N$8*$X70,0))</f>
        <v>0</v>
      </c>
      <c r="O70" s="172">
        <f>IF('Peak Revenue'!$A$1="BL","-",IF(Peak!U71&gt;Peak!$G71,O$8*$X70,0))</f>
        <v>0</v>
      </c>
      <c r="P70" s="172">
        <f>IF('Peak Revenue'!$A$1="BL","-",IF(Peak!V71&gt;Peak!$G71,P$8*$X70,0))</f>
        <v>0</v>
      </c>
      <c r="Q70" s="172">
        <f>IF('Peak Revenue'!$A$1="BL","-",IF(Peak!W71&gt;Peak!$G71,Q$8*$X70,0))</f>
        <v>0</v>
      </c>
      <c r="R70" s="172">
        <f>IF('Peak Revenue'!$A$1="BL","-",IF(Peak!X71&gt;Peak!$G71,R$8*$X70,0))</f>
        <v>0</v>
      </c>
      <c r="S70" s="172">
        <f>IF('Peak Revenue'!$A$1="BL","-",IF(Peak!Y71&gt;Peak!$G71,S$8*$X70,0))</f>
        <v>0</v>
      </c>
      <c r="T70" s="172">
        <f>IF('Peak Revenue'!$A$1="BL","-",IF(Peak!Z71&gt;Peak!$G71,T$8*$X70,0))</f>
        <v>0</v>
      </c>
      <c r="U70" s="172">
        <f>IF('Peak Revenue'!$A$1="BL","-",IF(Peak!AA71&gt;Peak!$G71,U$8*$X70,0))</f>
        <v>0</v>
      </c>
      <c r="V70" s="175">
        <f t="shared" si="0"/>
        <v>129.39872663005644</v>
      </c>
      <c r="W70" s="164"/>
      <c r="X70" s="473">
        <f>CHOOSE(QUOTIENT(MONTH($A70),3)+1,Peak!$AM$11,Peak!$AN$11,Peak!$AL$11,Peak!$AO$11,Peak!$AM$11)</f>
        <v>0.92427661878611755</v>
      </c>
      <c r="Y70" s="474">
        <f>CHOOSE(QUOTIENT(MONTH($A70),3)+1,Peak!$AM$17,Peak!$AN$17,Peak!$AL$17,Peak!$AO$17,Peak!$AM$17)</f>
        <v>705</v>
      </c>
    </row>
    <row r="71" spans="1:25" x14ac:dyDescent="0.2">
      <c r="A71" s="1">
        <f t="shared" si="1"/>
        <v>38395.437000000078</v>
      </c>
      <c r="B71" s="172">
        <f>IF('Peak Revenue'!$A$1="BL","-",IF(Peak!H72&gt;Peak!$G72,B$8*$X71,0))</f>
        <v>4.6213830939305875</v>
      </c>
      <c r="C71" s="172">
        <f>IF('Peak Revenue'!$A$1="BL","-",IF(Peak!I72&gt;Peak!$G72,C$8*$X71,0))</f>
        <v>4.6213830939305875</v>
      </c>
      <c r="D71" s="172">
        <f>IF('Peak Revenue'!$A$1="BL","-",IF(Peak!J72&gt;Peak!$G72,D$8*$X71,0))</f>
        <v>9.2427661878611751</v>
      </c>
      <c r="E71" s="172">
        <f>IF('Peak Revenue'!$A$1="BL","-",IF(Peak!K72&gt;Peak!$G72,E$8*$X71,0))</f>
        <v>18.48553237572235</v>
      </c>
      <c r="F71" s="172">
        <f>IF('Peak Revenue'!$A$1="BL","-",IF(Peak!L72&gt;Peak!$G72,F$8*$X71,0))</f>
        <v>18.48553237572235</v>
      </c>
      <c r="G71" s="172">
        <f>IF('Peak Revenue'!$A$1="BL","-",IF(Peak!M72&gt;Peak!$G72,G$8*$X71,0))</f>
        <v>36.9710647514447</v>
      </c>
      <c r="H71" s="172">
        <f>IF('Peak Revenue'!$A$1="BL","-",IF(Peak!N72&gt;Peak!$G72,H$8*$X71,0))</f>
        <v>36.9710647514447</v>
      </c>
      <c r="I71" s="172">
        <f>IF('Peak Revenue'!$A$1="BL","-",IF(Peak!O72&gt;Peak!$G72,I$8*$X71,0))</f>
        <v>36.9710647514447</v>
      </c>
      <c r="J71" s="172">
        <f>IF('Peak Revenue'!$A$1="BL","-",IF(Peak!P72&gt;Peak!$G72,J$8*$X71,0))</f>
        <v>0</v>
      </c>
      <c r="K71" s="172">
        <f>IF('Peak Revenue'!$A$1="BL","-",IF(Peak!Q72&gt;Peak!$G72,K$8*$X71,0))</f>
        <v>0</v>
      </c>
      <c r="L71" s="172">
        <f>IF('Peak Revenue'!$A$1="BL","-",IF(Peak!R72&gt;Peak!$G72,L$8*$X71,0))</f>
        <v>0</v>
      </c>
      <c r="M71" s="172">
        <f>IF('Peak Revenue'!$A$1="BL","-",IF(Peak!S72&gt;Peak!$G72,M$8*$X71,0))</f>
        <v>0</v>
      </c>
      <c r="N71" s="172">
        <f>IF('Peak Revenue'!$A$1="BL","-",IF(Peak!T72&gt;Peak!$G72,N$8*$X71,0))</f>
        <v>0</v>
      </c>
      <c r="O71" s="172">
        <f>IF('Peak Revenue'!$A$1="BL","-",IF(Peak!U72&gt;Peak!$G72,O$8*$X71,0))</f>
        <v>0</v>
      </c>
      <c r="P71" s="172">
        <f>IF('Peak Revenue'!$A$1="BL","-",IF(Peak!V72&gt;Peak!$G72,P$8*$X71,0))</f>
        <v>0</v>
      </c>
      <c r="Q71" s="172">
        <f>IF('Peak Revenue'!$A$1="BL","-",IF(Peak!W72&gt;Peak!$G72,Q$8*$X71,0))</f>
        <v>0</v>
      </c>
      <c r="R71" s="172">
        <f>IF('Peak Revenue'!$A$1="BL","-",IF(Peak!X72&gt;Peak!$G72,R$8*$X71,0))</f>
        <v>0</v>
      </c>
      <c r="S71" s="172">
        <f>IF('Peak Revenue'!$A$1="BL","-",IF(Peak!Y72&gt;Peak!$G72,S$8*$X71,0))</f>
        <v>0</v>
      </c>
      <c r="T71" s="172">
        <f>IF('Peak Revenue'!$A$1="BL","-",IF(Peak!Z72&gt;Peak!$G72,T$8*$X71,0))</f>
        <v>0</v>
      </c>
      <c r="U71" s="172">
        <f>IF('Peak Revenue'!$A$1="BL","-",IF(Peak!AA72&gt;Peak!$G72,U$8*$X71,0))</f>
        <v>0</v>
      </c>
      <c r="V71" s="175">
        <f t="shared" si="0"/>
        <v>166.36979138150116</v>
      </c>
      <c r="W71" s="164"/>
      <c r="X71" s="473">
        <f>CHOOSE(QUOTIENT(MONTH($A71),3)+1,Peak!$AM$11,Peak!$AN$11,Peak!$AL$11,Peak!$AO$11,Peak!$AM$11)</f>
        <v>0.92427661878611755</v>
      </c>
      <c r="Y71" s="474">
        <f>CHOOSE(QUOTIENT(MONTH($A71),3)+1,Peak!$AM$17,Peak!$AN$17,Peak!$AL$17,Peak!$AO$17,Peak!$AM$17)</f>
        <v>705</v>
      </c>
    </row>
    <row r="72" spans="1:25" x14ac:dyDescent="0.2">
      <c r="A72" s="1">
        <f t="shared" si="1"/>
        <v>38425.854000000079</v>
      </c>
      <c r="B72" s="172">
        <f>IF('Peak Revenue'!$A$1="BL","-",IF(Peak!H73&gt;Peak!$G73,B$8*$X72,0))</f>
        <v>4.75</v>
      </c>
      <c r="C72" s="172">
        <f>IF('Peak Revenue'!$A$1="BL","-",IF(Peak!I73&gt;Peak!$G73,C$8*$X72,0))</f>
        <v>4.75</v>
      </c>
      <c r="D72" s="172">
        <f>IF('Peak Revenue'!$A$1="BL","-",IF(Peak!J73&gt;Peak!$G73,D$8*$X72,0))</f>
        <v>9.5</v>
      </c>
      <c r="E72" s="172">
        <f>IF('Peak Revenue'!$A$1="BL","-",IF(Peak!K73&gt;Peak!$G73,E$8*$X72,0))</f>
        <v>19</v>
      </c>
      <c r="F72" s="172">
        <f>IF('Peak Revenue'!$A$1="BL","-",IF(Peak!L73&gt;Peak!$G73,F$8*$X72,0))</f>
        <v>19</v>
      </c>
      <c r="G72" s="172">
        <f>IF('Peak Revenue'!$A$1="BL","-",IF(Peak!M73&gt;Peak!$G73,G$8*$X72,0))</f>
        <v>38</v>
      </c>
      <c r="H72" s="172">
        <f>IF('Peak Revenue'!$A$1="BL","-",IF(Peak!N73&gt;Peak!$G73,H$8*$X72,0))</f>
        <v>38</v>
      </c>
      <c r="I72" s="172">
        <f>IF('Peak Revenue'!$A$1="BL","-",IF(Peak!O73&gt;Peak!$G73,I$8*$X72,0))</f>
        <v>0</v>
      </c>
      <c r="J72" s="172">
        <f>IF('Peak Revenue'!$A$1="BL","-",IF(Peak!P73&gt;Peak!$G73,J$8*$X72,0))</f>
        <v>0</v>
      </c>
      <c r="K72" s="172">
        <f>IF('Peak Revenue'!$A$1="BL","-",IF(Peak!Q73&gt;Peak!$G73,K$8*$X72,0))</f>
        <v>0</v>
      </c>
      <c r="L72" s="172">
        <f>IF('Peak Revenue'!$A$1="BL","-",IF(Peak!R73&gt;Peak!$G73,L$8*$X72,0))</f>
        <v>0</v>
      </c>
      <c r="M72" s="172">
        <f>IF('Peak Revenue'!$A$1="BL","-",IF(Peak!S73&gt;Peak!$G73,M$8*$X72,0))</f>
        <v>0</v>
      </c>
      <c r="N72" s="172">
        <f>IF('Peak Revenue'!$A$1="BL","-",IF(Peak!T73&gt;Peak!$G73,N$8*$X72,0))</f>
        <v>0</v>
      </c>
      <c r="O72" s="172">
        <f>IF('Peak Revenue'!$A$1="BL","-",IF(Peak!U73&gt;Peak!$G73,O$8*$X72,0))</f>
        <v>0</v>
      </c>
      <c r="P72" s="172">
        <f>IF('Peak Revenue'!$A$1="BL","-",IF(Peak!V73&gt;Peak!$G73,P$8*$X72,0))</f>
        <v>0</v>
      </c>
      <c r="Q72" s="172">
        <f>IF('Peak Revenue'!$A$1="BL","-",IF(Peak!W73&gt;Peak!$G73,Q$8*$X72,0))</f>
        <v>0</v>
      </c>
      <c r="R72" s="172">
        <f>IF('Peak Revenue'!$A$1="BL","-",IF(Peak!X73&gt;Peak!$G73,R$8*$X72,0))</f>
        <v>0</v>
      </c>
      <c r="S72" s="172">
        <f>IF('Peak Revenue'!$A$1="BL","-",IF(Peak!Y73&gt;Peak!$G73,S$8*$X72,0))</f>
        <v>0</v>
      </c>
      <c r="T72" s="172">
        <f>IF('Peak Revenue'!$A$1="BL","-",IF(Peak!Z73&gt;Peak!$G73,T$8*$X72,0))</f>
        <v>0</v>
      </c>
      <c r="U72" s="172">
        <f>IF('Peak Revenue'!$A$1="BL","-",IF(Peak!AA73&gt;Peak!$G73,U$8*$X72,0))</f>
        <v>0</v>
      </c>
      <c r="V72" s="175">
        <f t="shared" si="0"/>
        <v>133</v>
      </c>
      <c r="W72" s="164"/>
      <c r="X72" s="473">
        <f>CHOOSE(QUOTIENT(MONTH($A72),3)+1,Peak!$AM$11,Peak!$AN$11,Peak!$AL$11,Peak!$AO$11,Peak!$AM$11)</f>
        <v>0.95</v>
      </c>
      <c r="Y72" s="474">
        <f>CHOOSE(QUOTIENT(MONTH($A72),3)+1,Peak!$AM$17,Peak!$AN$17,Peak!$AL$17,Peak!$AO$17,Peak!$AM$17)</f>
        <v>705</v>
      </c>
    </row>
    <row r="73" spans="1:25" x14ac:dyDescent="0.2">
      <c r="A73" s="1">
        <f t="shared" si="1"/>
        <v>38456.271000000081</v>
      </c>
      <c r="B73" s="172">
        <f>IF('Peak Revenue'!$A$1="BL","-",IF(Peak!H74&gt;Peak!$G74,B$8*$X73,0))</f>
        <v>4.75</v>
      </c>
      <c r="C73" s="172">
        <f>IF('Peak Revenue'!$A$1="BL","-",IF(Peak!I74&gt;Peak!$G74,C$8*$X73,0))</f>
        <v>4.75</v>
      </c>
      <c r="D73" s="172">
        <f>IF('Peak Revenue'!$A$1="BL","-",IF(Peak!J74&gt;Peak!$G74,D$8*$X73,0))</f>
        <v>9.5</v>
      </c>
      <c r="E73" s="172">
        <f>IF('Peak Revenue'!$A$1="BL","-",IF(Peak!K74&gt;Peak!$G74,E$8*$X73,0))</f>
        <v>19</v>
      </c>
      <c r="F73" s="172">
        <f>IF('Peak Revenue'!$A$1="BL","-",IF(Peak!L74&gt;Peak!$G74,F$8*$X73,0))</f>
        <v>19</v>
      </c>
      <c r="G73" s="172">
        <f>IF('Peak Revenue'!$A$1="BL","-",IF(Peak!M74&gt;Peak!$G74,G$8*$X73,0))</f>
        <v>38</v>
      </c>
      <c r="H73" s="172">
        <f>IF('Peak Revenue'!$A$1="BL","-",IF(Peak!N74&gt;Peak!$G74,H$8*$X73,0))</f>
        <v>38</v>
      </c>
      <c r="I73" s="172">
        <f>IF('Peak Revenue'!$A$1="BL","-",IF(Peak!O74&gt;Peak!$G74,I$8*$X73,0))</f>
        <v>0</v>
      </c>
      <c r="J73" s="172">
        <f>IF('Peak Revenue'!$A$1="BL","-",IF(Peak!P74&gt;Peak!$G74,J$8*$X73,0))</f>
        <v>0</v>
      </c>
      <c r="K73" s="172">
        <f>IF('Peak Revenue'!$A$1="BL","-",IF(Peak!Q74&gt;Peak!$G74,K$8*$X73,0))</f>
        <v>0</v>
      </c>
      <c r="L73" s="172">
        <f>IF('Peak Revenue'!$A$1="BL","-",IF(Peak!R74&gt;Peak!$G74,L$8*$X73,0))</f>
        <v>0</v>
      </c>
      <c r="M73" s="172">
        <f>IF('Peak Revenue'!$A$1="BL","-",IF(Peak!S74&gt;Peak!$G74,M$8*$X73,0))</f>
        <v>0</v>
      </c>
      <c r="N73" s="172">
        <f>IF('Peak Revenue'!$A$1="BL","-",IF(Peak!T74&gt;Peak!$G74,N$8*$X73,0))</f>
        <v>0</v>
      </c>
      <c r="O73" s="172">
        <f>IF('Peak Revenue'!$A$1="BL","-",IF(Peak!U74&gt;Peak!$G74,O$8*$X73,0))</f>
        <v>0</v>
      </c>
      <c r="P73" s="172">
        <f>IF('Peak Revenue'!$A$1="BL","-",IF(Peak!V74&gt;Peak!$G74,P$8*$X73,0))</f>
        <v>0</v>
      </c>
      <c r="Q73" s="172">
        <f>IF('Peak Revenue'!$A$1="BL","-",IF(Peak!W74&gt;Peak!$G74,Q$8*$X73,0))</f>
        <v>0</v>
      </c>
      <c r="R73" s="172">
        <f>IF('Peak Revenue'!$A$1="BL","-",IF(Peak!X74&gt;Peak!$G74,R$8*$X73,0))</f>
        <v>0</v>
      </c>
      <c r="S73" s="172">
        <f>IF('Peak Revenue'!$A$1="BL","-",IF(Peak!Y74&gt;Peak!$G74,S$8*$X73,0))</f>
        <v>0</v>
      </c>
      <c r="T73" s="172">
        <f>IF('Peak Revenue'!$A$1="BL","-",IF(Peak!Z74&gt;Peak!$G74,T$8*$X73,0))</f>
        <v>0</v>
      </c>
      <c r="U73" s="172">
        <f>IF('Peak Revenue'!$A$1="BL","-",IF(Peak!AA74&gt;Peak!$G74,U$8*$X73,0))</f>
        <v>0</v>
      </c>
      <c r="V73" s="175">
        <f t="shared" si="0"/>
        <v>133</v>
      </c>
      <c r="W73" s="164"/>
      <c r="X73" s="473">
        <f>CHOOSE(QUOTIENT(MONTH($A73),3)+1,Peak!$AM$11,Peak!$AN$11,Peak!$AL$11,Peak!$AO$11,Peak!$AM$11)</f>
        <v>0.95</v>
      </c>
      <c r="Y73" s="474">
        <f>CHOOSE(QUOTIENT(MONTH($A73),3)+1,Peak!$AM$17,Peak!$AN$17,Peak!$AL$17,Peak!$AO$17,Peak!$AM$17)</f>
        <v>705</v>
      </c>
    </row>
    <row r="74" spans="1:25" x14ac:dyDescent="0.2">
      <c r="A74" s="1">
        <f t="shared" si="1"/>
        <v>38486.688000000082</v>
      </c>
      <c r="B74" s="172">
        <f>IF('Peak Revenue'!$A$1="BL","-",IF(Peak!H75&gt;Peak!$G75,B$8*$X74,0))</f>
        <v>4.75</v>
      </c>
      <c r="C74" s="172">
        <f>IF('Peak Revenue'!$A$1="BL","-",IF(Peak!I75&gt;Peak!$G75,C$8*$X74,0))</f>
        <v>4.75</v>
      </c>
      <c r="D74" s="172">
        <f>IF('Peak Revenue'!$A$1="BL","-",IF(Peak!J75&gt;Peak!$G75,D$8*$X74,0))</f>
        <v>9.5</v>
      </c>
      <c r="E74" s="172">
        <f>IF('Peak Revenue'!$A$1="BL","-",IF(Peak!K75&gt;Peak!$G75,E$8*$X74,0))</f>
        <v>19</v>
      </c>
      <c r="F74" s="172">
        <f>IF('Peak Revenue'!$A$1="BL","-",IF(Peak!L75&gt;Peak!$G75,F$8*$X74,0))</f>
        <v>19</v>
      </c>
      <c r="G74" s="172">
        <f>IF('Peak Revenue'!$A$1="BL","-",IF(Peak!M75&gt;Peak!$G75,G$8*$X74,0))</f>
        <v>38</v>
      </c>
      <c r="H74" s="172">
        <f>IF('Peak Revenue'!$A$1="BL","-",IF(Peak!N75&gt;Peak!$G75,H$8*$X74,0))</f>
        <v>38</v>
      </c>
      <c r="I74" s="172">
        <f>IF('Peak Revenue'!$A$1="BL","-",IF(Peak!O75&gt;Peak!$G75,I$8*$X74,0))</f>
        <v>0</v>
      </c>
      <c r="J74" s="172">
        <f>IF('Peak Revenue'!$A$1="BL","-",IF(Peak!P75&gt;Peak!$G75,J$8*$X74,0))</f>
        <v>0</v>
      </c>
      <c r="K74" s="172">
        <f>IF('Peak Revenue'!$A$1="BL","-",IF(Peak!Q75&gt;Peak!$G75,K$8*$X74,0))</f>
        <v>0</v>
      </c>
      <c r="L74" s="172">
        <f>IF('Peak Revenue'!$A$1="BL","-",IF(Peak!R75&gt;Peak!$G75,L$8*$X74,0))</f>
        <v>0</v>
      </c>
      <c r="M74" s="172">
        <f>IF('Peak Revenue'!$A$1="BL","-",IF(Peak!S75&gt;Peak!$G75,M$8*$X74,0))</f>
        <v>0</v>
      </c>
      <c r="N74" s="172">
        <f>IF('Peak Revenue'!$A$1="BL","-",IF(Peak!T75&gt;Peak!$G75,N$8*$X74,0))</f>
        <v>0</v>
      </c>
      <c r="O74" s="172">
        <f>IF('Peak Revenue'!$A$1="BL","-",IF(Peak!U75&gt;Peak!$G75,O$8*$X74,0))</f>
        <v>0</v>
      </c>
      <c r="P74" s="172">
        <f>IF('Peak Revenue'!$A$1="BL","-",IF(Peak!V75&gt;Peak!$G75,P$8*$X74,0))</f>
        <v>0</v>
      </c>
      <c r="Q74" s="172">
        <f>IF('Peak Revenue'!$A$1="BL","-",IF(Peak!W75&gt;Peak!$G75,Q$8*$X74,0))</f>
        <v>0</v>
      </c>
      <c r="R74" s="172">
        <f>IF('Peak Revenue'!$A$1="BL","-",IF(Peak!X75&gt;Peak!$G75,R$8*$X74,0))</f>
        <v>0</v>
      </c>
      <c r="S74" s="172">
        <f>IF('Peak Revenue'!$A$1="BL","-",IF(Peak!Y75&gt;Peak!$G75,S$8*$X74,0))</f>
        <v>0</v>
      </c>
      <c r="T74" s="172">
        <f>IF('Peak Revenue'!$A$1="BL","-",IF(Peak!Z75&gt;Peak!$G75,T$8*$X74,0))</f>
        <v>0</v>
      </c>
      <c r="U74" s="172">
        <f>IF('Peak Revenue'!$A$1="BL","-",IF(Peak!AA75&gt;Peak!$G75,U$8*$X74,0))</f>
        <v>0</v>
      </c>
      <c r="V74" s="175">
        <f t="shared" si="0"/>
        <v>133</v>
      </c>
      <c r="W74" s="164"/>
      <c r="X74" s="473">
        <f>CHOOSE(QUOTIENT(MONTH($A74),3)+1,Peak!$AM$11,Peak!$AN$11,Peak!$AL$11,Peak!$AO$11,Peak!$AM$11)</f>
        <v>0.95</v>
      </c>
      <c r="Y74" s="474">
        <f>CHOOSE(QUOTIENT(MONTH($A74),3)+1,Peak!$AM$17,Peak!$AN$17,Peak!$AL$17,Peak!$AO$17,Peak!$AM$17)</f>
        <v>705</v>
      </c>
    </row>
    <row r="75" spans="1:25" x14ac:dyDescent="0.2">
      <c r="A75" s="1">
        <f t="shared" si="1"/>
        <v>38517.105000000083</v>
      </c>
      <c r="B75" s="172">
        <f>IF('Peak Revenue'!$A$1="BL","-",IF(Peak!H76&gt;Peak!$G76,B$8*$X75,0))</f>
        <v>4.8306067954779284</v>
      </c>
      <c r="C75" s="172">
        <f>IF('Peak Revenue'!$A$1="BL","-",IF(Peak!I76&gt;Peak!$G76,C$8*$X75,0))</f>
        <v>4.8306067954779284</v>
      </c>
      <c r="D75" s="172">
        <f>IF('Peak Revenue'!$A$1="BL","-",IF(Peak!J76&gt;Peak!$G76,D$8*$X75,0))</f>
        <v>9.6612135909558567</v>
      </c>
      <c r="E75" s="172">
        <f>IF('Peak Revenue'!$A$1="BL","-",IF(Peak!K76&gt;Peak!$G76,E$8*$X75,0))</f>
        <v>19.322427181911713</v>
      </c>
      <c r="F75" s="172">
        <f>IF('Peak Revenue'!$A$1="BL","-",IF(Peak!L76&gt;Peak!$G76,F$8*$X75,0))</f>
        <v>19.322427181911713</v>
      </c>
      <c r="G75" s="172">
        <f>IF('Peak Revenue'!$A$1="BL","-",IF(Peak!M76&gt;Peak!$G76,G$8*$X75,0))</f>
        <v>38.644854363823427</v>
      </c>
      <c r="H75" s="172">
        <f>IF('Peak Revenue'!$A$1="BL","-",IF(Peak!N76&gt;Peak!$G76,H$8*$X75,0))</f>
        <v>38.644854363823427</v>
      </c>
      <c r="I75" s="172">
        <f>IF('Peak Revenue'!$A$1="BL","-",IF(Peak!O76&gt;Peak!$G76,I$8*$X75,0))</f>
        <v>38.644854363823427</v>
      </c>
      <c r="J75" s="172">
        <f>IF('Peak Revenue'!$A$1="BL","-",IF(Peak!P76&gt;Peak!$G76,J$8*$X75,0))</f>
        <v>0</v>
      </c>
      <c r="K75" s="172">
        <f>IF('Peak Revenue'!$A$1="BL","-",IF(Peak!Q76&gt;Peak!$G76,K$8*$X75,0))</f>
        <v>0</v>
      </c>
      <c r="L75" s="172">
        <f>IF('Peak Revenue'!$A$1="BL","-",IF(Peak!R76&gt;Peak!$G76,L$8*$X75,0))</f>
        <v>0</v>
      </c>
      <c r="M75" s="172">
        <f>IF('Peak Revenue'!$A$1="BL","-",IF(Peak!S76&gt;Peak!$G76,M$8*$X75,0))</f>
        <v>0</v>
      </c>
      <c r="N75" s="172">
        <f>IF('Peak Revenue'!$A$1="BL","-",IF(Peak!T76&gt;Peak!$G76,N$8*$X75,0))</f>
        <v>0</v>
      </c>
      <c r="O75" s="172">
        <f>IF('Peak Revenue'!$A$1="BL","-",IF(Peak!U76&gt;Peak!$G76,O$8*$X75,0))</f>
        <v>0</v>
      </c>
      <c r="P75" s="172">
        <f>IF('Peak Revenue'!$A$1="BL","-",IF(Peak!V76&gt;Peak!$G76,P$8*$X75,0))</f>
        <v>0</v>
      </c>
      <c r="Q75" s="172">
        <f>IF('Peak Revenue'!$A$1="BL","-",IF(Peak!W76&gt;Peak!$G76,Q$8*$X75,0))</f>
        <v>0</v>
      </c>
      <c r="R75" s="172">
        <f>IF('Peak Revenue'!$A$1="BL","-",IF(Peak!X76&gt;Peak!$G76,R$8*$X75,0))</f>
        <v>0</v>
      </c>
      <c r="S75" s="172">
        <f>IF('Peak Revenue'!$A$1="BL","-",IF(Peak!Y76&gt;Peak!$G76,S$8*$X75,0))</f>
        <v>0</v>
      </c>
      <c r="T75" s="172">
        <f>IF('Peak Revenue'!$A$1="BL","-",IF(Peak!Z76&gt;Peak!$G76,T$8*$X75,0))</f>
        <v>0</v>
      </c>
      <c r="U75" s="172">
        <f>IF('Peak Revenue'!$A$1="BL","-",IF(Peak!AA76&gt;Peak!$G76,U$8*$X75,0))</f>
        <v>0</v>
      </c>
      <c r="V75" s="175">
        <f t="shared" ref="V75:V138" si="2">SUM(B75:U75)</f>
        <v>173.90184463720539</v>
      </c>
      <c r="W75" s="164"/>
      <c r="X75" s="473">
        <f>CHOOSE(QUOTIENT(MONTH($A75),3)+1,Peak!$AM$11,Peak!$AN$11,Peak!$AL$11,Peak!$AO$11,Peak!$AM$11)</f>
        <v>0.96612135909558572</v>
      </c>
      <c r="Y75" s="474">
        <f>CHOOSE(QUOTIENT(MONTH($A75),3)+1,Peak!$AM$17,Peak!$AN$17,Peak!$AL$17,Peak!$AO$17,Peak!$AM$17)</f>
        <v>705</v>
      </c>
    </row>
    <row r="76" spans="1:25" x14ac:dyDescent="0.2">
      <c r="A76" s="1">
        <f t="shared" ref="A76:A139" si="3">A75+30.417</f>
        <v>38547.522000000085</v>
      </c>
      <c r="B76" s="172">
        <f>IF('Peak Revenue'!$A$1="BL","-",IF(Peak!H77&gt;Peak!$G77,B$8*$X76,0))</f>
        <v>4.8306067954779284</v>
      </c>
      <c r="C76" s="172">
        <f>IF('Peak Revenue'!$A$1="BL","-",IF(Peak!I77&gt;Peak!$G77,C$8*$X76,0))</f>
        <v>4.8306067954779284</v>
      </c>
      <c r="D76" s="172">
        <f>IF('Peak Revenue'!$A$1="BL","-",IF(Peak!J77&gt;Peak!$G77,D$8*$X76,0))</f>
        <v>9.6612135909558567</v>
      </c>
      <c r="E76" s="172">
        <f>IF('Peak Revenue'!$A$1="BL","-",IF(Peak!K77&gt;Peak!$G77,E$8*$X76,0))</f>
        <v>19.322427181911713</v>
      </c>
      <c r="F76" s="172">
        <f>IF('Peak Revenue'!$A$1="BL","-",IF(Peak!L77&gt;Peak!$G77,F$8*$X76,0))</f>
        <v>19.322427181911713</v>
      </c>
      <c r="G76" s="172">
        <f>IF('Peak Revenue'!$A$1="BL","-",IF(Peak!M77&gt;Peak!$G77,G$8*$X76,0))</f>
        <v>38.644854363823427</v>
      </c>
      <c r="H76" s="172">
        <f>IF('Peak Revenue'!$A$1="BL","-",IF(Peak!N77&gt;Peak!$G77,H$8*$X76,0))</f>
        <v>38.644854363823427</v>
      </c>
      <c r="I76" s="172">
        <f>IF('Peak Revenue'!$A$1="BL","-",IF(Peak!O77&gt;Peak!$G77,I$8*$X76,0))</f>
        <v>38.644854363823427</v>
      </c>
      <c r="J76" s="172">
        <f>IF('Peak Revenue'!$A$1="BL","-",IF(Peak!P77&gt;Peak!$G77,J$8*$X76,0))</f>
        <v>38.644854363823427</v>
      </c>
      <c r="K76" s="172">
        <f>IF('Peak Revenue'!$A$1="BL","-",IF(Peak!Q77&gt;Peak!$G77,K$8*$X76,0))</f>
        <v>38.644854363823427</v>
      </c>
      <c r="L76" s="172">
        <f>IF('Peak Revenue'!$A$1="BL","-",IF(Peak!R77&gt;Peak!$G77,L$8*$X76,0))</f>
        <v>0</v>
      </c>
      <c r="M76" s="172">
        <f>IF('Peak Revenue'!$A$1="BL","-",IF(Peak!S77&gt;Peak!$G77,M$8*$X76,0))</f>
        <v>0</v>
      </c>
      <c r="N76" s="172">
        <f>IF('Peak Revenue'!$A$1="BL","-",IF(Peak!T77&gt;Peak!$G77,N$8*$X76,0))</f>
        <v>0</v>
      </c>
      <c r="O76" s="172">
        <f>IF('Peak Revenue'!$A$1="BL","-",IF(Peak!U77&gt;Peak!$G77,O$8*$X76,0))</f>
        <v>0</v>
      </c>
      <c r="P76" s="172">
        <f>IF('Peak Revenue'!$A$1="BL","-",IF(Peak!V77&gt;Peak!$G77,P$8*$X76,0))</f>
        <v>0</v>
      </c>
      <c r="Q76" s="172">
        <f>IF('Peak Revenue'!$A$1="BL","-",IF(Peak!W77&gt;Peak!$G77,Q$8*$X76,0))</f>
        <v>0</v>
      </c>
      <c r="R76" s="172">
        <f>IF('Peak Revenue'!$A$1="BL","-",IF(Peak!X77&gt;Peak!$G77,R$8*$X76,0))</f>
        <v>0</v>
      </c>
      <c r="S76" s="172">
        <f>IF('Peak Revenue'!$A$1="BL","-",IF(Peak!Y77&gt;Peak!$G77,S$8*$X76,0))</f>
        <v>0</v>
      </c>
      <c r="T76" s="172">
        <f>IF('Peak Revenue'!$A$1="BL","-",IF(Peak!Z77&gt;Peak!$G77,T$8*$X76,0))</f>
        <v>0</v>
      </c>
      <c r="U76" s="172">
        <f>IF('Peak Revenue'!$A$1="BL","-",IF(Peak!AA77&gt;Peak!$G77,U$8*$X76,0))</f>
        <v>0</v>
      </c>
      <c r="V76" s="175">
        <f t="shared" si="2"/>
        <v>251.19155336485221</v>
      </c>
      <c r="W76" s="164"/>
      <c r="X76" s="473">
        <f>CHOOSE(QUOTIENT(MONTH($A76),3)+1,Peak!$AM$11,Peak!$AN$11,Peak!$AL$11,Peak!$AO$11,Peak!$AM$11)</f>
        <v>0.96612135909558572</v>
      </c>
      <c r="Y76" s="474">
        <f>CHOOSE(QUOTIENT(MONTH($A76),3)+1,Peak!$AM$17,Peak!$AN$17,Peak!$AL$17,Peak!$AO$17,Peak!$AM$17)</f>
        <v>705</v>
      </c>
    </row>
    <row r="77" spans="1:25" x14ac:dyDescent="0.2">
      <c r="A77" s="1">
        <f t="shared" si="3"/>
        <v>38577.939000000086</v>
      </c>
      <c r="B77" s="172">
        <f>IF('Peak Revenue'!$A$1="BL","-",IF(Peak!H78&gt;Peak!$G78,B$8*$X77,0))</f>
        <v>4.8306067954779284</v>
      </c>
      <c r="C77" s="172">
        <f>IF('Peak Revenue'!$A$1="BL","-",IF(Peak!I78&gt;Peak!$G78,C$8*$X77,0))</f>
        <v>4.8306067954779284</v>
      </c>
      <c r="D77" s="172">
        <f>IF('Peak Revenue'!$A$1="BL","-",IF(Peak!J78&gt;Peak!$G78,D$8*$X77,0))</f>
        <v>9.6612135909558567</v>
      </c>
      <c r="E77" s="172">
        <f>IF('Peak Revenue'!$A$1="BL","-",IF(Peak!K78&gt;Peak!$G78,E$8*$X77,0))</f>
        <v>19.322427181911713</v>
      </c>
      <c r="F77" s="172">
        <f>IF('Peak Revenue'!$A$1="BL","-",IF(Peak!L78&gt;Peak!$G78,F$8*$X77,0))</f>
        <v>19.322427181911713</v>
      </c>
      <c r="G77" s="172">
        <f>IF('Peak Revenue'!$A$1="BL","-",IF(Peak!M78&gt;Peak!$G78,G$8*$X77,0))</f>
        <v>38.644854363823427</v>
      </c>
      <c r="H77" s="172">
        <f>IF('Peak Revenue'!$A$1="BL","-",IF(Peak!N78&gt;Peak!$G78,H$8*$X77,0))</f>
        <v>38.644854363823427</v>
      </c>
      <c r="I77" s="172">
        <f>IF('Peak Revenue'!$A$1="BL","-",IF(Peak!O78&gt;Peak!$G78,I$8*$X77,0))</f>
        <v>38.644854363823427</v>
      </c>
      <c r="J77" s="172">
        <f>IF('Peak Revenue'!$A$1="BL","-",IF(Peak!P78&gt;Peak!$G78,J$8*$X77,0))</f>
        <v>38.644854363823427</v>
      </c>
      <c r="K77" s="172">
        <f>IF('Peak Revenue'!$A$1="BL","-",IF(Peak!Q78&gt;Peak!$G78,K$8*$X77,0))</f>
        <v>38.644854363823427</v>
      </c>
      <c r="L77" s="172">
        <f>IF('Peak Revenue'!$A$1="BL","-",IF(Peak!R78&gt;Peak!$G78,L$8*$X77,0))</f>
        <v>38.644854363823427</v>
      </c>
      <c r="M77" s="172">
        <f>IF('Peak Revenue'!$A$1="BL","-",IF(Peak!S78&gt;Peak!$G78,M$8*$X77,0))</f>
        <v>0</v>
      </c>
      <c r="N77" s="172">
        <f>IF('Peak Revenue'!$A$1="BL","-",IF(Peak!T78&gt;Peak!$G78,N$8*$X77,0))</f>
        <v>0</v>
      </c>
      <c r="O77" s="172">
        <f>IF('Peak Revenue'!$A$1="BL","-",IF(Peak!U78&gt;Peak!$G78,O$8*$X77,0))</f>
        <v>0</v>
      </c>
      <c r="P77" s="172">
        <f>IF('Peak Revenue'!$A$1="BL","-",IF(Peak!V78&gt;Peak!$G78,P$8*$X77,0))</f>
        <v>0</v>
      </c>
      <c r="Q77" s="172">
        <f>IF('Peak Revenue'!$A$1="BL","-",IF(Peak!W78&gt;Peak!$G78,Q$8*$X77,0))</f>
        <v>0</v>
      </c>
      <c r="R77" s="172">
        <f>IF('Peak Revenue'!$A$1="BL","-",IF(Peak!X78&gt;Peak!$G78,R$8*$X77,0))</f>
        <v>0</v>
      </c>
      <c r="S77" s="172">
        <f>IF('Peak Revenue'!$A$1="BL","-",IF(Peak!Y78&gt;Peak!$G78,S$8*$X77,0))</f>
        <v>0</v>
      </c>
      <c r="T77" s="172">
        <f>IF('Peak Revenue'!$A$1="BL","-",IF(Peak!Z78&gt;Peak!$G78,T$8*$X77,0))</f>
        <v>0</v>
      </c>
      <c r="U77" s="172">
        <f>IF('Peak Revenue'!$A$1="BL","-",IF(Peak!AA78&gt;Peak!$G78,U$8*$X77,0))</f>
        <v>0</v>
      </c>
      <c r="V77" s="175">
        <f t="shared" si="2"/>
        <v>289.83640772867562</v>
      </c>
      <c r="W77" s="164"/>
      <c r="X77" s="473">
        <f>CHOOSE(QUOTIENT(MONTH($A77),3)+1,Peak!$AM$11,Peak!$AN$11,Peak!$AL$11,Peak!$AO$11,Peak!$AM$11)</f>
        <v>0.96612135909558572</v>
      </c>
      <c r="Y77" s="474">
        <f>CHOOSE(QUOTIENT(MONTH($A77),3)+1,Peak!$AM$17,Peak!$AN$17,Peak!$AL$17,Peak!$AO$17,Peak!$AM$17)</f>
        <v>705</v>
      </c>
    </row>
    <row r="78" spans="1:25" x14ac:dyDescent="0.2">
      <c r="A78" s="1">
        <f t="shared" si="3"/>
        <v>38608.356000000087</v>
      </c>
      <c r="B78" s="172">
        <f>IF('Peak Revenue'!$A$1="BL","-",IF(Peak!H79&gt;Peak!$G79,B$8*$X78,0))</f>
        <v>4.75</v>
      </c>
      <c r="C78" s="172">
        <f>IF('Peak Revenue'!$A$1="BL","-",IF(Peak!I79&gt;Peak!$G79,C$8*$X78,0))</f>
        <v>4.75</v>
      </c>
      <c r="D78" s="172">
        <f>IF('Peak Revenue'!$A$1="BL","-",IF(Peak!J79&gt;Peak!$G79,D$8*$X78,0))</f>
        <v>9.5</v>
      </c>
      <c r="E78" s="172">
        <f>IF('Peak Revenue'!$A$1="BL","-",IF(Peak!K79&gt;Peak!$G79,E$8*$X78,0))</f>
        <v>19</v>
      </c>
      <c r="F78" s="172">
        <f>IF('Peak Revenue'!$A$1="BL","-",IF(Peak!L79&gt;Peak!$G79,F$8*$X78,0))</f>
        <v>19</v>
      </c>
      <c r="G78" s="172">
        <f>IF('Peak Revenue'!$A$1="BL","-",IF(Peak!M79&gt;Peak!$G79,G$8*$X78,0))</f>
        <v>38</v>
      </c>
      <c r="H78" s="172">
        <f>IF('Peak Revenue'!$A$1="BL","-",IF(Peak!N79&gt;Peak!$G79,H$8*$X78,0))</f>
        <v>38</v>
      </c>
      <c r="I78" s="172">
        <f>IF('Peak Revenue'!$A$1="BL","-",IF(Peak!O79&gt;Peak!$G79,I$8*$X78,0))</f>
        <v>38</v>
      </c>
      <c r="J78" s="172">
        <f>IF('Peak Revenue'!$A$1="BL","-",IF(Peak!P79&gt;Peak!$G79,J$8*$X78,0))</f>
        <v>38</v>
      </c>
      <c r="K78" s="172">
        <f>IF('Peak Revenue'!$A$1="BL","-",IF(Peak!Q79&gt;Peak!$G79,K$8*$X78,0))</f>
        <v>0</v>
      </c>
      <c r="L78" s="172">
        <f>IF('Peak Revenue'!$A$1="BL","-",IF(Peak!R79&gt;Peak!$G79,L$8*$X78,0))</f>
        <v>0</v>
      </c>
      <c r="M78" s="172">
        <f>IF('Peak Revenue'!$A$1="BL","-",IF(Peak!S79&gt;Peak!$G79,M$8*$X78,0))</f>
        <v>0</v>
      </c>
      <c r="N78" s="172">
        <f>IF('Peak Revenue'!$A$1="BL","-",IF(Peak!T79&gt;Peak!$G79,N$8*$X78,0))</f>
        <v>0</v>
      </c>
      <c r="O78" s="172">
        <f>IF('Peak Revenue'!$A$1="BL","-",IF(Peak!U79&gt;Peak!$G79,O$8*$X78,0))</f>
        <v>0</v>
      </c>
      <c r="P78" s="172">
        <f>IF('Peak Revenue'!$A$1="BL","-",IF(Peak!V79&gt;Peak!$G79,P$8*$X78,0))</f>
        <v>0</v>
      </c>
      <c r="Q78" s="172">
        <f>IF('Peak Revenue'!$A$1="BL","-",IF(Peak!W79&gt;Peak!$G79,Q$8*$X78,0))</f>
        <v>0</v>
      </c>
      <c r="R78" s="172">
        <f>IF('Peak Revenue'!$A$1="BL","-",IF(Peak!X79&gt;Peak!$G79,R$8*$X78,0))</f>
        <v>0</v>
      </c>
      <c r="S78" s="172">
        <f>IF('Peak Revenue'!$A$1="BL","-",IF(Peak!Y79&gt;Peak!$G79,S$8*$X78,0))</f>
        <v>0</v>
      </c>
      <c r="T78" s="172">
        <f>IF('Peak Revenue'!$A$1="BL","-",IF(Peak!Z79&gt;Peak!$G79,T$8*$X78,0))</f>
        <v>0</v>
      </c>
      <c r="U78" s="172">
        <f>IF('Peak Revenue'!$A$1="BL","-",IF(Peak!AA79&gt;Peak!$G79,U$8*$X78,0))</f>
        <v>0</v>
      </c>
      <c r="V78" s="175">
        <f t="shared" si="2"/>
        <v>209</v>
      </c>
      <c r="W78" s="164"/>
      <c r="X78" s="473">
        <f>CHOOSE(QUOTIENT(MONTH($A78),3)+1,Peak!$AM$11,Peak!$AN$11,Peak!$AL$11,Peak!$AO$11,Peak!$AM$11)</f>
        <v>0.95</v>
      </c>
      <c r="Y78" s="474">
        <f>CHOOSE(QUOTIENT(MONTH($A78),3)+1,Peak!$AM$17,Peak!$AN$17,Peak!$AL$17,Peak!$AO$17,Peak!$AM$17)</f>
        <v>705</v>
      </c>
    </row>
    <row r="79" spans="1:25" x14ac:dyDescent="0.2">
      <c r="A79" s="1">
        <f t="shared" si="3"/>
        <v>38638.773000000088</v>
      </c>
      <c r="B79" s="172">
        <f>IF('Peak Revenue'!$A$1="BL","-",IF(Peak!H80&gt;Peak!$G80,B$8*$X79,0))</f>
        <v>4.75</v>
      </c>
      <c r="C79" s="172">
        <f>IF('Peak Revenue'!$A$1="BL","-",IF(Peak!I80&gt;Peak!$G80,C$8*$X79,0))</f>
        <v>4.75</v>
      </c>
      <c r="D79" s="172">
        <f>IF('Peak Revenue'!$A$1="BL","-",IF(Peak!J80&gt;Peak!$G80,D$8*$X79,0))</f>
        <v>9.5</v>
      </c>
      <c r="E79" s="172">
        <f>IF('Peak Revenue'!$A$1="BL","-",IF(Peak!K80&gt;Peak!$G80,E$8*$X79,0))</f>
        <v>19</v>
      </c>
      <c r="F79" s="172">
        <f>IF('Peak Revenue'!$A$1="BL","-",IF(Peak!L80&gt;Peak!$G80,F$8*$X79,0))</f>
        <v>19</v>
      </c>
      <c r="G79" s="172">
        <f>IF('Peak Revenue'!$A$1="BL","-",IF(Peak!M80&gt;Peak!$G80,G$8*$X79,0))</f>
        <v>38</v>
      </c>
      <c r="H79" s="172">
        <f>IF('Peak Revenue'!$A$1="BL","-",IF(Peak!N80&gt;Peak!$G80,H$8*$X79,0))</f>
        <v>38</v>
      </c>
      <c r="I79" s="172">
        <f>IF('Peak Revenue'!$A$1="BL","-",IF(Peak!O80&gt;Peak!$G80,I$8*$X79,0))</f>
        <v>38</v>
      </c>
      <c r="J79" s="172">
        <f>IF('Peak Revenue'!$A$1="BL","-",IF(Peak!P80&gt;Peak!$G80,J$8*$X79,0))</f>
        <v>38</v>
      </c>
      <c r="K79" s="172">
        <f>IF('Peak Revenue'!$A$1="BL","-",IF(Peak!Q80&gt;Peak!$G80,K$8*$X79,0))</f>
        <v>0</v>
      </c>
      <c r="L79" s="172">
        <f>IF('Peak Revenue'!$A$1="BL","-",IF(Peak!R80&gt;Peak!$G80,L$8*$X79,0))</f>
        <v>0</v>
      </c>
      <c r="M79" s="172">
        <f>IF('Peak Revenue'!$A$1="BL","-",IF(Peak!S80&gt;Peak!$G80,M$8*$X79,0))</f>
        <v>0</v>
      </c>
      <c r="N79" s="172">
        <f>IF('Peak Revenue'!$A$1="BL","-",IF(Peak!T80&gt;Peak!$G80,N$8*$X79,0))</f>
        <v>0</v>
      </c>
      <c r="O79" s="172">
        <f>IF('Peak Revenue'!$A$1="BL","-",IF(Peak!U80&gt;Peak!$G80,O$8*$X79,0))</f>
        <v>0</v>
      </c>
      <c r="P79" s="172">
        <f>IF('Peak Revenue'!$A$1="BL","-",IF(Peak!V80&gt;Peak!$G80,P$8*$X79,0))</f>
        <v>0</v>
      </c>
      <c r="Q79" s="172">
        <f>IF('Peak Revenue'!$A$1="BL","-",IF(Peak!W80&gt;Peak!$G80,Q$8*$X79,0))</f>
        <v>0</v>
      </c>
      <c r="R79" s="172">
        <f>IF('Peak Revenue'!$A$1="BL","-",IF(Peak!X80&gt;Peak!$G80,R$8*$X79,0))</f>
        <v>0</v>
      </c>
      <c r="S79" s="172">
        <f>IF('Peak Revenue'!$A$1="BL","-",IF(Peak!Y80&gt;Peak!$G80,S$8*$X79,0))</f>
        <v>0</v>
      </c>
      <c r="T79" s="172">
        <f>IF('Peak Revenue'!$A$1="BL","-",IF(Peak!Z80&gt;Peak!$G80,T$8*$X79,0))</f>
        <v>0</v>
      </c>
      <c r="U79" s="172">
        <f>IF('Peak Revenue'!$A$1="BL","-",IF(Peak!AA80&gt;Peak!$G80,U$8*$X79,0))</f>
        <v>0</v>
      </c>
      <c r="V79" s="175">
        <f t="shared" si="2"/>
        <v>209</v>
      </c>
      <c r="W79" s="164"/>
      <c r="X79" s="473">
        <f>CHOOSE(QUOTIENT(MONTH($A79),3)+1,Peak!$AM$11,Peak!$AN$11,Peak!$AL$11,Peak!$AO$11,Peak!$AM$11)</f>
        <v>0.95</v>
      </c>
      <c r="Y79" s="474">
        <f>CHOOSE(QUOTIENT(MONTH($A79),3)+1,Peak!$AM$17,Peak!$AN$17,Peak!$AL$17,Peak!$AO$17,Peak!$AM$17)</f>
        <v>705</v>
      </c>
    </row>
    <row r="80" spans="1:25" x14ac:dyDescent="0.2">
      <c r="A80" s="1">
        <f t="shared" si="3"/>
        <v>38669.19000000009</v>
      </c>
      <c r="B80" s="172">
        <f>IF('Peak Revenue'!$A$1="BL","-",IF(Peak!H81&gt;Peak!$G81,B$8*$X80,0))</f>
        <v>4.75</v>
      </c>
      <c r="C80" s="172">
        <f>IF('Peak Revenue'!$A$1="BL","-",IF(Peak!I81&gt;Peak!$G81,C$8*$X80,0))</f>
        <v>4.75</v>
      </c>
      <c r="D80" s="172">
        <f>IF('Peak Revenue'!$A$1="BL","-",IF(Peak!J81&gt;Peak!$G81,D$8*$X80,0))</f>
        <v>9.5</v>
      </c>
      <c r="E80" s="172">
        <f>IF('Peak Revenue'!$A$1="BL","-",IF(Peak!K81&gt;Peak!$G81,E$8*$X80,0))</f>
        <v>19</v>
      </c>
      <c r="F80" s="172">
        <f>IF('Peak Revenue'!$A$1="BL","-",IF(Peak!L81&gt;Peak!$G81,F$8*$X80,0))</f>
        <v>19</v>
      </c>
      <c r="G80" s="172">
        <f>IF('Peak Revenue'!$A$1="BL","-",IF(Peak!M81&gt;Peak!$G81,G$8*$X80,0))</f>
        <v>38</v>
      </c>
      <c r="H80" s="172">
        <f>IF('Peak Revenue'!$A$1="BL","-",IF(Peak!N81&gt;Peak!$G81,H$8*$X80,0))</f>
        <v>38</v>
      </c>
      <c r="I80" s="172">
        <f>IF('Peak Revenue'!$A$1="BL","-",IF(Peak!O81&gt;Peak!$G81,I$8*$X80,0))</f>
        <v>38</v>
      </c>
      <c r="J80" s="172">
        <f>IF('Peak Revenue'!$A$1="BL","-",IF(Peak!P81&gt;Peak!$G81,J$8*$X80,0))</f>
        <v>0</v>
      </c>
      <c r="K80" s="172">
        <f>IF('Peak Revenue'!$A$1="BL","-",IF(Peak!Q81&gt;Peak!$G81,K$8*$X80,0))</f>
        <v>0</v>
      </c>
      <c r="L80" s="172">
        <f>IF('Peak Revenue'!$A$1="BL","-",IF(Peak!R81&gt;Peak!$G81,L$8*$X80,0))</f>
        <v>0</v>
      </c>
      <c r="M80" s="172">
        <f>IF('Peak Revenue'!$A$1="BL","-",IF(Peak!S81&gt;Peak!$G81,M$8*$X80,0))</f>
        <v>0</v>
      </c>
      <c r="N80" s="172">
        <f>IF('Peak Revenue'!$A$1="BL","-",IF(Peak!T81&gt;Peak!$G81,N$8*$X80,0))</f>
        <v>0</v>
      </c>
      <c r="O80" s="172">
        <f>IF('Peak Revenue'!$A$1="BL","-",IF(Peak!U81&gt;Peak!$G81,O$8*$X80,0))</f>
        <v>0</v>
      </c>
      <c r="P80" s="172">
        <f>IF('Peak Revenue'!$A$1="BL","-",IF(Peak!V81&gt;Peak!$G81,P$8*$X80,0))</f>
        <v>0</v>
      </c>
      <c r="Q80" s="172">
        <f>IF('Peak Revenue'!$A$1="BL","-",IF(Peak!W81&gt;Peak!$G81,Q$8*$X80,0))</f>
        <v>0</v>
      </c>
      <c r="R80" s="172">
        <f>IF('Peak Revenue'!$A$1="BL","-",IF(Peak!X81&gt;Peak!$G81,R$8*$X80,0))</f>
        <v>0</v>
      </c>
      <c r="S80" s="172">
        <f>IF('Peak Revenue'!$A$1="BL","-",IF(Peak!Y81&gt;Peak!$G81,S$8*$X80,0))</f>
        <v>0</v>
      </c>
      <c r="T80" s="172">
        <f>IF('Peak Revenue'!$A$1="BL","-",IF(Peak!Z81&gt;Peak!$G81,T$8*$X80,0))</f>
        <v>0</v>
      </c>
      <c r="U80" s="172">
        <f>IF('Peak Revenue'!$A$1="BL","-",IF(Peak!AA81&gt;Peak!$G81,U$8*$X80,0))</f>
        <v>0</v>
      </c>
      <c r="V80" s="175">
        <f t="shared" si="2"/>
        <v>171</v>
      </c>
      <c r="W80" s="164"/>
      <c r="X80" s="473">
        <f>CHOOSE(QUOTIENT(MONTH($A80),3)+1,Peak!$AM$11,Peak!$AN$11,Peak!$AL$11,Peak!$AO$11,Peak!$AM$11)</f>
        <v>0.95</v>
      </c>
      <c r="Y80" s="474">
        <f>CHOOSE(QUOTIENT(MONTH($A80),3)+1,Peak!$AM$17,Peak!$AN$17,Peak!$AL$17,Peak!$AO$17,Peak!$AM$17)</f>
        <v>705</v>
      </c>
    </row>
    <row r="81" spans="1:25" x14ac:dyDescent="0.2">
      <c r="A81" s="1">
        <f t="shared" si="3"/>
        <v>38699.607000000091</v>
      </c>
      <c r="B81" s="172">
        <f>IF('Peak Revenue'!$A$1="BL","-",IF(Peak!H82&gt;Peak!$G82,B$8*$X81,0))</f>
        <v>4.6213830939305875</v>
      </c>
      <c r="C81" s="172">
        <f>IF('Peak Revenue'!$A$1="BL","-",IF(Peak!I82&gt;Peak!$G82,C$8*$X81,0))</f>
        <v>4.6213830939305875</v>
      </c>
      <c r="D81" s="172">
        <f>IF('Peak Revenue'!$A$1="BL","-",IF(Peak!J82&gt;Peak!$G82,D$8*$X81,0))</f>
        <v>9.2427661878611751</v>
      </c>
      <c r="E81" s="172">
        <f>IF('Peak Revenue'!$A$1="BL","-",IF(Peak!K82&gt;Peak!$G82,E$8*$X81,0))</f>
        <v>18.48553237572235</v>
      </c>
      <c r="F81" s="172">
        <f>IF('Peak Revenue'!$A$1="BL","-",IF(Peak!L82&gt;Peak!$G82,F$8*$X81,0))</f>
        <v>18.48553237572235</v>
      </c>
      <c r="G81" s="172">
        <f>IF('Peak Revenue'!$A$1="BL","-",IF(Peak!M82&gt;Peak!$G82,G$8*$X81,0))</f>
        <v>36.9710647514447</v>
      </c>
      <c r="H81" s="172">
        <f>IF('Peak Revenue'!$A$1="BL","-",IF(Peak!N82&gt;Peak!$G82,H$8*$X81,0))</f>
        <v>36.9710647514447</v>
      </c>
      <c r="I81" s="172">
        <f>IF('Peak Revenue'!$A$1="BL","-",IF(Peak!O82&gt;Peak!$G82,I$8*$X81,0))</f>
        <v>36.9710647514447</v>
      </c>
      <c r="J81" s="172">
        <f>IF('Peak Revenue'!$A$1="BL","-",IF(Peak!P82&gt;Peak!$G82,J$8*$X81,0))</f>
        <v>36.9710647514447</v>
      </c>
      <c r="K81" s="172">
        <f>IF('Peak Revenue'!$A$1="BL","-",IF(Peak!Q82&gt;Peak!$G82,K$8*$X81,0))</f>
        <v>0</v>
      </c>
      <c r="L81" s="172">
        <f>IF('Peak Revenue'!$A$1="BL","-",IF(Peak!R82&gt;Peak!$G82,L$8*$X81,0))</f>
        <v>0</v>
      </c>
      <c r="M81" s="172">
        <f>IF('Peak Revenue'!$A$1="BL","-",IF(Peak!S82&gt;Peak!$G82,M$8*$X81,0))</f>
        <v>0</v>
      </c>
      <c r="N81" s="172">
        <f>IF('Peak Revenue'!$A$1="BL","-",IF(Peak!T82&gt;Peak!$G82,N$8*$X81,0))</f>
        <v>0</v>
      </c>
      <c r="O81" s="172">
        <f>IF('Peak Revenue'!$A$1="BL","-",IF(Peak!U82&gt;Peak!$G82,O$8*$X81,0))</f>
        <v>0</v>
      </c>
      <c r="P81" s="172">
        <f>IF('Peak Revenue'!$A$1="BL","-",IF(Peak!V82&gt;Peak!$G82,P$8*$X81,0))</f>
        <v>0</v>
      </c>
      <c r="Q81" s="172">
        <f>IF('Peak Revenue'!$A$1="BL","-",IF(Peak!W82&gt;Peak!$G82,Q$8*$X81,0))</f>
        <v>0</v>
      </c>
      <c r="R81" s="172">
        <f>IF('Peak Revenue'!$A$1="BL","-",IF(Peak!X82&gt;Peak!$G82,R$8*$X81,0))</f>
        <v>0</v>
      </c>
      <c r="S81" s="172">
        <f>IF('Peak Revenue'!$A$1="BL","-",IF(Peak!Y82&gt;Peak!$G82,S$8*$X81,0))</f>
        <v>0</v>
      </c>
      <c r="T81" s="172">
        <f>IF('Peak Revenue'!$A$1="BL","-",IF(Peak!Z82&gt;Peak!$G82,T$8*$X81,0))</f>
        <v>0</v>
      </c>
      <c r="U81" s="172">
        <f>IF('Peak Revenue'!$A$1="BL","-",IF(Peak!AA82&gt;Peak!$G82,U$8*$X81,0))</f>
        <v>0</v>
      </c>
      <c r="V81" s="175">
        <f t="shared" si="2"/>
        <v>203.34085613294587</v>
      </c>
      <c r="W81" s="163">
        <f>SUM(V70:V81)</f>
        <v>2202.0391798752366</v>
      </c>
      <c r="X81" s="473">
        <f>CHOOSE(QUOTIENT(MONTH($A81),3)+1,Peak!$AM$11,Peak!$AN$11,Peak!$AL$11,Peak!$AO$11,Peak!$AM$11)</f>
        <v>0.92427661878611755</v>
      </c>
      <c r="Y81" s="474">
        <f>CHOOSE(QUOTIENT(MONTH($A81),3)+1,Peak!$AM$17,Peak!$AN$17,Peak!$AL$17,Peak!$AO$17,Peak!$AM$17)</f>
        <v>705</v>
      </c>
    </row>
    <row r="82" spans="1:25" x14ac:dyDescent="0.2">
      <c r="A82" s="1">
        <f t="shared" si="3"/>
        <v>38730.024000000092</v>
      </c>
      <c r="B82" s="172">
        <f>IF('Peak Revenue'!$A$1="BL","-",IF(Peak!H83&gt;Peak!$G83,B$8*$X82,0))</f>
        <v>4.6213830939305875</v>
      </c>
      <c r="C82" s="172">
        <f>IF('Peak Revenue'!$A$1="BL","-",IF(Peak!I83&gt;Peak!$G83,C$8*$X82,0))</f>
        <v>4.6213830939305875</v>
      </c>
      <c r="D82" s="172">
        <f>IF('Peak Revenue'!$A$1="BL","-",IF(Peak!J83&gt;Peak!$G83,D$8*$X82,0))</f>
        <v>9.2427661878611751</v>
      </c>
      <c r="E82" s="172">
        <f>IF('Peak Revenue'!$A$1="BL","-",IF(Peak!K83&gt;Peak!$G83,E$8*$X82,0))</f>
        <v>18.48553237572235</v>
      </c>
      <c r="F82" s="172">
        <f>IF('Peak Revenue'!$A$1="BL","-",IF(Peak!L83&gt;Peak!$G83,F$8*$X82,0))</f>
        <v>18.48553237572235</v>
      </c>
      <c r="G82" s="172">
        <f>IF('Peak Revenue'!$A$1="BL","-",IF(Peak!M83&gt;Peak!$G83,G$8*$X82,0))</f>
        <v>36.9710647514447</v>
      </c>
      <c r="H82" s="172">
        <f>IF('Peak Revenue'!$A$1="BL","-",IF(Peak!N83&gt;Peak!$G83,H$8*$X82,0))</f>
        <v>36.9710647514447</v>
      </c>
      <c r="I82" s="172">
        <f>IF('Peak Revenue'!$A$1="BL","-",IF(Peak!O83&gt;Peak!$G83,I$8*$X82,0))</f>
        <v>36.9710647514447</v>
      </c>
      <c r="J82" s="172">
        <f>IF('Peak Revenue'!$A$1="BL","-",IF(Peak!P83&gt;Peak!$G83,J$8*$X82,0))</f>
        <v>36.9710647514447</v>
      </c>
      <c r="K82" s="172">
        <f>IF('Peak Revenue'!$A$1="BL","-",IF(Peak!Q83&gt;Peak!$G83,K$8*$X82,0))</f>
        <v>0</v>
      </c>
      <c r="L82" s="172">
        <f>IF('Peak Revenue'!$A$1="BL","-",IF(Peak!R83&gt;Peak!$G83,L$8*$X82,0))</f>
        <v>0</v>
      </c>
      <c r="M82" s="172">
        <f>IF('Peak Revenue'!$A$1="BL","-",IF(Peak!S83&gt;Peak!$G83,M$8*$X82,0))</f>
        <v>0</v>
      </c>
      <c r="N82" s="172">
        <f>IF('Peak Revenue'!$A$1="BL","-",IF(Peak!T83&gt;Peak!$G83,N$8*$X82,0))</f>
        <v>0</v>
      </c>
      <c r="O82" s="172">
        <f>IF('Peak Revenue'!$A$1="BL","-",IF(Peak!U83&gt;Peak!$G83,O$8*$X82,0))</f>
        <v>0</v>
      </c>
      <c r="P82" s="172">
        <f>IF('Peak Revenue'!$A$1="BL","-",IF(Peak!V83&gt;Peak!$G83,P$8*$X82,0))</f>
        <v>0</v>
      </c>
      <c r="Q82" s="172">
        <f>IF('Peak Revenue'!$A$1="BL","-",IF(Peak!W83&gt;Peak!$G83,Q$8*$X82,0))</f>
        <v>0</v>
      </c>
      <c r="R82" s="172">
        <f>IF('Peak Revenue'!$A$1="BL","-",IF(Peak!X83&gt;Peak!$G83,R$8*$X82,0))</f>
        <v>0</v>
      </c>
      <c r="S82" s="172">
        <f>IF('Peak Revenue'!$A$1="BL","-",IF(Peak!Y83&gt;Peak!$G83,S$8*$X82,0))</f>
        <v>0</v>
      </c>
      <c r="T82" s="172">
        <f>IF('Peak Revenue'!$A$1="BL","-",IF(Peak!Z83&gt;Peak!$G83,T$8*$X82,0))</f>
        <v>0</v>
      </c>
      <c r="U82" s="172">
        <f>IF('Peak Revenue'!$A$1="BL","-",IF(Peak!AA83&gt;Peak!$G83,U$8*$X82,0))</f>
        <v>0</v>
      </c>
      <c r="V82" s="175">
        <f t="shared" si="2"/>
        <v>203.34085613294587</v>
      </c>
      <c r="W82" s="164"/>
      <c r="X82" s="473">
        <f>CHOOSE(QUOTIENT(MONTH($A82),3)+1,Peak!$AM$11,Peak!$AN$11,Peak!$AL$11,Peak!$AO$11,Peak!$AM$11)</f>
        <v>0.92427661878611755</v>
      </c>
      <c r="Y82" s="474">
        <f>CHOOSE(QUOTIENT(MONTH($A82),3)+1,Peak!$AM$17,Peak!$AN$17,Peak!$AL$17,Peak!$AO$17,Peak!$AM$17)</f>
        <v>705</v>
      </c>
    </row>
    <row r="83" spans="1:25" x14ac:dyDescent="0.2">
      <c r="A83" s="1">
        <f t="shared" si="3"/>
        <v>38760.441000000093</v>
      </c>
      <c r="B83" s="172">
        <f>IF('Peak Revenue'!$A$1="BL","-",IF(Peak!H84&gt;Peak!$G84,B$8*$X83,0))</f>
        <v>4.6213830939305875</v>
      </c>
      <c r="C83" s="172">
        <f>IF('Peak Revenue'!$A$1="BL","-",IF(Peak!I84&gt;Peak!$G84,C$8*$X83,0))</f>
        <v>4.6213830939305875</v>
      </c>
      <c r="D83" s="172">
        <f>IF('Peak Revenue'!$A$1="BL","-",IF(Peak!J84&gt;Peak!$G84,D$8*$X83,0))</f>
        <v>9.2427661878611751</v>
      </c>
      <c r="E83" s="172">
        <f>IF('Peak Revenue'!$A$1="BL","-",IF(Peak!K84&gt;Peak!$G84,E$8*$X83,0))</f>
        <v>18.48553237572235</v>
      </c>
      <c r="F83" s="172">
        <f>IF('Peak Revenue'!$A$1="BL","-",IF(Peak!L84&gt;Peak!$G84,F$8*$X83,0))</f>
        <v>18.48553237572235</v>
      </c>
      <c r="G83" s="172">
        <f>IF('Peak Revenue'!$A$1="BL","-",IF(Peak!M84&gt;Peak!$G84,G$8*$X83,0))</f>
        <v>36.9710647514447</v>
      </c>
      <c r="H83" s="172">
        <f>IF('Peak Revenue'!$A$1="BL","-",IF(Peak!N84&gt;Peak!$G84,H$8*$X83,0))</f>
        <v>36.9710647514447</v>
      </c>
      <c r="I83" s="172">
        <f>IF('Peak Revenue'!$A$1="BL","-",IF(Peak!O84&gt;Peak!$G84,I$8*$X83,0))</f>
        <v>36.9710647514447</v>
      </c>
      <c r="J83" s="172">
        <f>IF('Peak Revenue'!$A$1="BL","-",IF(Peak!P84&gt;Peak!$G84,J$8*$X83,0))</f>
        <v>0</v>
      </c>
      <c r="K83" s="172">
        <f>IF('Peak Revenue'!$A$1="BL","-",IF(Peak!Q84&gt;Peak!$G84,K$8*$X83,0))</f>
        <v>0</v>
      </c>
      <c r="L83" s="172">
        <f>IF('Peak Revenue'!$A$1="BL","-",IF(Peak!R84&gt;Peak!$G84,L$8*$X83,0))</f>
        <v>0</v>
      </c>
      <c r="M83" s="172">
        <f>IF('Peak Revenue'!$A$1="BL","-",IF(Peak!S84&gt;Peak!$G84,M$8*$X83,0))</f>
        <v>0</v>
      </c>
      <c r="N83" s="172">
        <f>IF('Peak Revenue'!$A$1="BL","-",IF(Peak!T84&gt;Peak!$G84,N$8*$X83,0))</f>
        <v>0</v>
      </c>
      <c r="O83" s="172">
        <f>IF('Peak Revenue'!$A$1="BL","-",IF(Peak!U84&gt;Peak!$G84,O$8*$X83,0))</f>
        <v>0</v>
      </c>
      <c r="P83" s="172">
        <f>IF('Peak Revenue'!$A$1="BL","-",IF(Peak!V84&gt;Peak!$G84,P$8*$X83,0))</f>
        <v>0</v>
      </c>
      <c r="Q83" s="172">
        <f>IF('Peak Revenue'!$A$1="BL","-",IF(Peak!W84&gt;Peak!$G84,Q$8*$X83,0))</f>
        <v>0</v>
      </c>
      <c r="R83" s="172">
        <f>IF('Peak Revenue'!$A$1="BL","-",IF(Peak!X84&gt;Peak!$G84,R$8*$X83,0))</f>
        <v>0</v>
      </c>
      <c r="S83" s="172">
        <f>IF('Peak Revenue'!$A$1="BL","-",IF(Peak!Y84&gt;Peak!$G84,S$8*$X83,0))</f>
        <v>0</v>
      </c>
      <c r="T83" s="172">
        <f>IF('Peak Revenue'!$A$1="BL","-",IF(Peak!Z84&gt;Peak!$G84,T$8*$X83,0))</f>
        <v>0</v>
      </c>
      <c r="U83" s="172">
        <f>IF('Peak Revenue'!$A$1="BL","-",IF(Peak!AA84&gt;Peak!$G84,U$8*$X83,0))</f>
        <v>0</v>
      </c>
      <c r="V83" s="175">
        <f t="shared" si="2"/>
        <v>166.36979138150116</v>
      </c>
      <c r="W83" s="164"/>
      <c r="X83" s="473">
        <f>CHOOSE(QUOTIENT(MONTH($A83),3)+1,Peak!$AM$11,Peak!$AN$11,Peak!$AL$11,Peak!$AO$11,Peak!$AM$11)</f>
        <v>0.92427661878611755</v>
      </c>
      <c r="Y83" s="474">
        <f>CHOOSE(QUOTIENT(MONTH($A83),3)+1,Peak!$AM$17,Peak!$AN$17,Peak!$AL$17,Peak!$AO$17,Peak!$AM$17)</f>
        <v>705</v>
      </c>
    </row>
    <row r="84" spans="1:25" x14ac:dyDescent="0.2">
      <c r="A84" s="1">
        <f t="shared" si="3"/>
        <v>38790.858000000095</v>
      </c>
      <c r="B84" s="172">
        <f>IF('Peak Revenue'!$A$1="BL","-",IF(Peak!H85&gt;Peak!$G85,B$8*$X84,0))</f>
        <v>4.75</v>
      </c>
      <c r="C84" s="172">
        <f>IF('Peak Revenue'!$A$1="BL","-",IF(Peak!I85&gt;Peak!$G85,C$8*$X84,0))</f>
        <v>4.75</v>
      </c>
      <c r="D84" s="172">
        <f>IF('Peak Revenue'!$A$1="BL","-",IF(Peak!J85&gt;Peak!$G85,D$8*$X84,0))</f>
        <v>9.5</v>
      </c>
      <c r="E84" s="172">
        <f>IF('Peak Revenue'!$A$1="BL","-",IF(Peak!K85&gt;Peak!$G85,E$8*$X84,0))</f>
        <v>19</v>
      </c>
      <c r="F84" s="172">
        <f>IF('Peak Revenue'!$A$1="BL","-",IF(Peak!L85&gt;Peak!$G85,F$8*$X84,0))</f>
        <v>19</v>
      </c>
      <c r="G84" s="172">
        <f>IF('Peak Revenue'!$A$1="BL","-",IF(Peak!M85&gt;Peak!$G85,G$8*$X84,0))</f>
        <v>38</v>
      </c>
      <c r="H84" s="172">
        <f>IF('Peak Revenue'!$A$1="BL","-",IF(Peak!N85&gt;Peak!$G85,H$8*$X84,0))</f>
        <v>38</v>
      </c>
      <c r="I84" s="172">
        <f>IF('Peak Revenue'!$A$1="BL","-",IF(Peak!O85&gt;Peak!$G85,I$8*$X84,0))</f>
        <v>38</v>
      </c>
      <c r="J84" s="172">
        <f>IF('Peak Revenue'!$A$1="BL","-",IF(Peak!P85&gt;Peak!$G85,J$8*$X84,0))</f>
        <v>38</v>
      </c>
      <c r="K84" s="172">
        <f>IF('Peak Revenue'!$A$1="BL","-",IF(Peak!Q85&gt;Peak!$G85,K$8*$X84,0))</f>
        <v>0</v>
      </c>
      <c r="L84" s="172">
        <f>IF('Peak Revenue'!$A$1="BL","-",IF(Peak!R85&gt;Peak!$G85,L$8*$X84,0))</f>
        <v>0</v>
      </c>
      <c r="M84" s="172">
        <f>IF('Peak Revenue'!$A$1="BL","-",IF(Peak!S85&gt;Peak!$G85,M$8*$X84,0))</f>
        <v>0</v>
      </c>
      <c r="N84" s="172">
        <f>IF('Peak Revenue'!$A$1="BL","-",IF(Peak!T85&gt;Peak!$G85,N$8*$X84,0))</f>
        <v>0</v>
      </c>
      <c r="O84" s="172">
        <f>IF('Peak Revenue'!$A$1="BL","-",IF(Peak!U85&gt;Peak!$G85,O$8*$X84,0))</f>
        <v>0</v>
      </c>
      <c r="P84" s="172">
        <f>IF('Peak Revenue'!$A$1="BL","-",IF(Peak!V85&gt;Peak!$G85,P$8*$X84,0))</f>
        <v>0</v>
      </c>
      <c r="Q84" s="172">
        <f>IF('Peak Revenue'!$A$1="BL","-",IF(Peak!W85&gt;Peak!$G85,Q$8*$X84,0))</f>
        <v>0</v>
      </c>
      <c r="R84" s="172">
        <f>IF('Peak Revenue'!$A$1="BL","-",IF(Peak!X85&gt;Peak!$G85,R$8*$X84,0))</f>
        <v>0</v>
      </c>
      <c r="S84" s="172">
        <f>IF('Peak Revenue'!$A$1="BL","-",IF(Peak!Y85&gt;Peak!$G85,S$8*$X84,0))</f>
        <v>0</v>
      </c>
      <c r="T84" s="172">
        <f>IF('Peak Revenue'!$A$1="BL","-",IF(Peak!Z85&gt;Peak!$G85,T$8*$X84,0))</f>
        <v>0</v>
      </c>
      <c r="U84" s="172">
        <f>IF('Peak Revenue'!$A$1="BL","-",IF(Peak!AA85&gt;Peak!$G85,U$8*$X84,0))</f>
        <v>0</v>
      </c>
      <c r="V84" s="175">
        <f t="shared" si="2"/>
        <v>209</v>
      </c>
      <c r="W84" s="164"/>
      <c r="X84" s="473">
        <f>CHOOSE(QUOTIENT(MONTH($A84),3)+1,Peak!$AM$11,Peak!$AN$11,Peak!$AL$11,Peak!$AO$11,Peak!$AM$11)</f>
        <v>0.95</v>
      </c>
      <c r="Y84" s="474">
        <f>CHOOSE(QUOTIENT(MONTH($A84),3)+1,Peak!$AM$17,Peak!$AN$17,Peak!$AL$17,Peak!$AO$17,Peak!$AM$17)</f>
        <v>705</v>
      </c>
    </row>
    <row r="85" spans="1:25" x14ac:dyDescent="0.2">
      <c r="A85" s="1">
        <f t="shared" si="3"/>
        <v>38821.275000000096</v>
      </c>
      <c r="B85" s="172">
        <f>IF('Peak Revenue'!$A$1="BL","-",IF(Peak!H86&gt;Peak!$G86,B$8*$X85,0))</f>
        <v>4.75</v>
      </c>
      <c r="C85" s="172">
        <f>IF('Peak Revenue'!$A$1="BL","-",IF(Peak!I86&gt;Peak!$G86,C$8*$X85,0))</f>
        <v>4.75</v>
      </c>
      <c r="D85" s="172">
        <f>IF('Peak Revenue'!$A$1="BL","-",IF(Peak!J86&gt;Peak!$G86,D$8*$X85,0))</f>
        <v>9.5</v>
      </c>
      <c r="E85" s="172">
        <f>IF('Peak Revenue'!$A$1="BL","-",IF(Peak!K86&gt;Peak!$G86,E$8*$X85,0))</f>
        <v>19</v>
      </c>
      <c r="F85" s="172">
        <f>IF('Peak Revenue'!$A$1="BL","-",IF(Peak!L86&gt;Peak!$G86,F$8*$X85,0))</f>
        <v>19</v>
      </c>
      <c r="G85" s="172">
        <f>IF('Peak Revenue'!$A$1="BL","-",IF(Peak!M86&gt;Peak!$G86,G$8*$X85,0))</f>
        <v>38</v>
      </c>
      <c r="H85" s="172">
        <f>IF('Peak Revenue'!$A$1="BL","-",IF(Peak!N86&gt;Peak!$G86,H$8*$X85,0))</f>
        <v>38</v>
      </c>
      <c r="I85" s="172">
        <f>IF('Peak Revenue'!$A$1="BL","-",IF(Peak!O86&gt;Peak!$G86,I$8*$X85,0))</f>
        <v>38</v>
      </c>
      <c r="J85" s="172">
        <f>IF('Peak Revenue'!$A$1="BL","-",IF(Peak!P86&gt;Peak!$G86,J$8*$X85,0))</f>
        <v>0</v>
      </c>
      <c r="K85" s="172">
        <f>IF('Peak Revenue'!$A$1="BL","-",IF(Peak!Q86&gt;Peak!$G86,K$8*$X85,0))</f>
        <v>0</v>
      </c>
      <c r="L85" s="172">
        <f>IF('Peak Revenue'!$A$1="BL","-",IF(Peak!R86&gt;Peak!$G86,L$8*$X85,0))</f>
        <v>0</v>
      </c>
      <c r="M85" s="172">
        <f>IF('Peak Revenue'!$A$1="BL","-",IF(Peak!S86&gt;Peak!$G86,M$8*$X85,0))</f>
        <v>0</v>
      </c>
      <c r="N85" s="172">
        <f>IF('Peak Revenue'!$A$1="BL","-",IF(Peak!T86&gt;Peak!$G86,N$8*$X85,0))</f>
        <v>0</v>
      </c>
      <c r="O85" s="172">
        <f>IF('Peak Revenue'!$A$1="BL","-",IF(Peak!U86&gt;Peak!$G86,O$8*$X85,0))</f>
        <v>0</v>
      </c>
      <c r="P85" s="172">
        <f>IF('Peak Revenue'!$A$1="BL","-",IF(Peak!V86&gt;Peak!$G86,P$8*$X85,0))</f>
        <v>0</v>
      </c>
      <c r="Q85" s="172">
        <f>IF('Peak Revenue'!$A$1="BL","-",IF(Peak!W86&gt;Peak!$G86,Q$8*$X85,0))</f>
        <v>0</v>
      </c>
      <c r="R85" s="172">
        <f>IF('Peak Revenue'!$A$1="BL","-",IF(Peak!X86&gt;Peak!$G86,R$8*$X85,0))</f>
        <v>0</v>
      </c>
      <c r="S85" s="172">
        <f>IF('Peak Revenue'!$A$1="BL","-",IF(Peak!Y86&gt;Peak!$G86,S$8*$X85,0))</f>
        <v>0</v>
      </c>
      <c r="T85" s="172">
        <f>IF('Peak Revenue'!$A$1="BL","-",IF(Peak!Z86&gt;Peak!$G86,T$8*$X85,0))</f>
        <v>0</v>
      </c>
      <c r="U85" s="172">
        <f>IF('Peak Revenue'!$A$1="BL","-",IF(Peak!AA86&gt;Peak!$G86,U$8*$X85,0))</f>
        <v>0</v>
      </c>
      <c r="V85" s="175">
        <f t="shared" si="2"/>
        <v>171</v>
      </c>
      <c r="W85" s="164"/>
      <c r="X85" s="473">
        <f>CHOOSE(QUOTIENT(MONTH($A85),3)+1,Peak!$AM$11,Peak!$AN$11,Peak!$AL$11,Peak!$AO$11,Peak!$AM$11)</f>
        <v>0.95</v>
      </c>
      <c r="Y85" s="474">
        <f>CHOOSE(QUOTIENT(MONTH($A85),3)+1,Peak!$AM$17,Peak!$AN$17,Peak!$AL$17,Peak!$AO$17,Peak!$AM$17)</f>
        <v>705</v>
      </c>
    </row>
    <row r="86" spans="1:25" x14ac:dyDescent="0.2">
      <c r="A86" s="1">
        <f t="shared" si="3"/>
        <v>38851.692000000097</v>
      </c>
      <c r="B86" s="172">
        <f>IF('Peak Revenue'!$A$1="BL","-",IF(Peak!H87&gt;Peak!$G87,B$8*$X86,0))</f>
        <v>4.75</v>
      </c>
      <c r="C86" s="172">
        <f>IF('Peak Revenue'!$A$1="BL","-",IF(Peak!I87&gt;Peak!$G87,C$8*$X86,0))</f>
        <v>4.75</v>
      </c>
      <c r="D86" s="172">
        <f>IF('Peak Revenue'!$A$1="BL","-",IF(Peak!J87&gt;Peak!$G87,D$8*$X86,0))</f>
        <v>9.5</v>
      </c>
      <c r="E86" s="172">
        <f>IF('Peak Revenue'!$A$1="BL","-",IF(Peak!K87&gt;Peak!$G87,E$8*$X86,0))</f>
        <v>19</v>
      </c>
      <c r="F86" s="172">
        <f>IF('Peak Revenue'!$A$1="BL","-",IF(Peak!L87&gt;Peak!$G87,F$8*$X86,0))</f>
        <v>19</v>
      </c>
      <c r="G86" s="172">
        <f>IF('Peak Revenue'!$A$1="BL","-",IF(Peak!M87&gt;Peak!$G87,G$8*$X86,0))</f>
        <v>38</v>
      </c>
      <c r="H86" s="172">
        <f>IF('Peak Revenue'!$A$1="BL","-",IF(Peak!N87&gt;Peak!$G87,H$8*$X86,0))</f>
        <v>38</v>
      </c>
      <c r="I86" s="172">
        <f>IF('Peak Revenue'!$A$1="BL","-",IF(Peak!O87&gt;Peak!$G87,I$8*$X86,0))</f>
        <v>38</v>
      </c>
      <c r="J86" s="172">
        <f>IF('Peak Revenue'!$A$1="BL","-",IF(Peak!P87&gt;Peak!$G87,J$8*$X86,0))</f>
        <v>0</v>
      </c>
      <c r="K86" s="172">
        <f>IF('Peak Revenue'!$A$1="BL","-",IF(Peak!Q87&gt;Peak!$G87,K$8*$X86,0))</f>
        <v>0</v>
      </c>
      <c r="L86" s="172">
        <f>IF('Peak Revenue'!$A$1="BL","-",IF(Peak!R87&gt;Peak!$G87,L$8*$X86,0))</f>
        <v>0</v>
      </c>
      <c r="M86" s="172">
        <f>IF('Peak Revenue'!$A$1="BL","-",IF(Peak!S87&gt;Peak!$G87,M$8*$X86,0))</f>
        <v>0</v>
      </c>
      <c r="N86" s="172">
        <f>IF('Peak Revenue'!$A$1="BL","-",IF(Peak!T87&gt;Peak!$G87,N$8*$X86,0))</f>
        <v>0</v>
      </c>
      <c r="O86" s="172">
        <f>IF('Peak Revenue'!$A$1="BL","-",IF(Peak!U87&gt;Peak!$G87,O$8*$X86,0))</f>
        <v>0</v>
      </c>
      <c r="P86" s="172">
        <f>IF('Peak Revenue'!$A$1="BL","-",IF(Peak!V87&gt;Peak!$G87,P$8*$X86,0))</f>
        <v>0</v>
      </c>
      <c r="Q86" s="172">
        <f>IF('Peak Revenue'!$A$1="BL","-",IF(Peak!W87&gt;Peak!$G87,Q$8*$X86,0))</f>
        <v>0</v>
      </c>
      <c r="R86" s="172">
        <f>IF('Peak Revenue'!$A$1="BL","-",IF(Peak!X87&gt;Peak!$G87,R$8*$X86,0))</f>
        <v>0</v>
      </c>
      <c r="S86" s="172">
        <f>IF('Peak Revenue'!$A$1="BL","-",IF(Peak!Y87&gt;Peak!$G87,S$8*$X86,0))</f>
        <v>0</v>
      </c>
      <c r="T86" s="172">
        <f>IF('Peak Revenue'!$A$1="BL","-",IF(Peak!Z87&gt;Peak!$G87,T$8*$X86,0))</f>
        <v>0</v>
      </c>
      <c r="U86" s="172">
        <f>IF('Peak Revenue'!$A$1="BL","-",IF(Peak!AA87&gt;Peak!$G87,U$8*$X86,0))</f>
        <v>0</v>
      </c>
      <c r="V86" s="175">
        <f t="shared" si="2"/>
        <v>171</v>
      </c>
      <c r="W86" s="164"/>
      <c r="X86" s="473">
        <f>CHOOSE(QUOTIENT(MONTH($A86),3)+1,Peak!$AM$11,Peak!$AN$11,Peak!$AL$11,Peak!$AO$11,Peak!$AM$11)</f>
        <v>0.95</v>
      </c>
      <c r="Y86" s="474">
        <f>CHOOSE(QUOTIENT(MONTH($A86),3)+1,Peak!$AM$17,Peak!$AN$17,Peak!$AL$17,Peak!$AO$17,Peak!$AM$17)</f>
        <v>705</v>
      </c>
    </row>
    <row r="87" spans="1:25" x14ac:dyDescent="0.2">
      <c r="A87" s="1">
        <f t="shared" si="3"/>
        <v>38882.109000000099</v>
      </c>
      <c r="B87" s="172">
        <f>IF('Peak Revenue'!$A$1="BL","-",IF(Peak!H88&gt;Peak!$G88,B$8*$X87,0))</f>
        <v>4.8306067954779284</v>
      </c>
      <c r="C87" s="172">
        <f>IF('Peak Revenue'!$A$1="BL","-",IF(Peak!I88&gt;Peak!$G88,C$8*$X87,0))</f>
        <v>4.8306067954779284</v>
      </c>
      <c r="D87" s="172">
        <f>IF('Peak Revenue'!$A$1="BL","-",IF(Peak!J88&gt;Peak!$G88,D$8*$X87,0))</f>
        <v>9.6612135909558567</v>
      </c>
      <c r="E87" s="172">
        <f>IF('Peak Revenue'!$A$1="BL","-",IF(Peak!K88&gt;Peak!$G88,E$8*$X87,0))</f>
        <v>19.322427181911713</v>
      </c>
      <c r="F87" s="172">
        <f>IF('Peak Revenue'!$A$1="BL","-",IF(Peak!L88&gt;Peak!$G88,F$8*$X87,0))</f>
        <v>19.322427181911713</v>
      </c>
      <c r="G87" s="172">
        <f>IF('Peak Revenue'!$A$1="BL","-",IF(Peak!M88&gt;Peak!$G88,G$8*$X87,0))</f>
        <v>38.644854363823427</v>
      </c>
      <c r="H87" s="172">
        <f>IF('Peak Revenue'!$A$1="BL","-",IF(Peak!N88&gt;Peak!$G88,H$8*$X87,0))</f>
        <v>38.644854363823427</v>
      </c>
      <c r="I87" s="172">
        <f>IF('Peak Revenue'!$A$1="BL","-",IF(Peak!O88&gt;Peak!$G88,I$8*$X87,0))</f>
        <v>38.644854363823427</v>
      </c>
      <c r="J87" s="172">
        <f>IF('Peak Revenue'!$A$1="BL","-",IF(Peak!P88&gt;Peak!$G88,J$8*$X87,0))</f>
        <v>38.644854363823427</v>
      </c>
      <c r="K87" s="172">
        <f>IF('Peak Revenue'!$A$1="BL","-",IF(Peak!Q88&gt;Peak!$G88,K$8*$X87,0))</f>
        <v>0</v>
      </c>
      <c r="L87" s="172">
        <f>IF('Peak Revenue'!$A$1="BL","-",IF(Peak!R88&gt;Peak!$G88,L$8*$X87,0))</f>
        <v>0</v>
      </c>
      <c r="M87" s="172">
        <f>IF('Peak Revenue'!$A$1="BL","-",IF(Peak!S88&gt;Peak!$G88,M$8*$X87,0))</f>
        <v>0</v>
      </c>
      <c r="N87" s="172">
        <f>IF('Peak Revenue'!$A$1="BL","-",IF(Peak!T88&gt;Peak!$G88,N$8*$X87,0))</f>
        <v>0</v>
      </c>
      <c r="O87" s="172">
        <f>IF('Peak Revenue'!$A$1="BL","-",IF(Peak!U88&gt;Peak!$G88,O$8*$X87,0))</f>
        <v>0</v>
      </c>
      <c r="P87" s="172">
        <f>IF('Peak Revenue'!$A$1="BL","-",IF(Peak!V88&gt;Peak!$G88,P$8*$X87,0))</f>
        <v>0</v>
      </c>
      <c r="Q87" s="172">
        <f>IF('Peak Revenue'!$A$1="BL","-",IF(Peak!W88&gt;Peak!$G88,Q$8*$X87,0))</f>
        <v>0</v>
      </c>
      <c r="R87" s="172">
        <f>IF('Peak Revenue'!$A$1="BL","-",IF(Peak!X88&gt;Peak!$G88,R$8*$X87,0))</f>
        <v>0</v>
      </c>
      <c r="S87" s="172">
        <f>IF('Peak Revenue'!$A$1="BL","-",IF(Peak!Y88&gt;Peak!$G88,S$8*$X87,0))</f>
        <v>0</v>
      </c>
      <c r="T87" s="172">
        <f>IF('Peak Revenue'!$A$1="BL","-",IF(Peak!Z88&gt;Peak!$G88,T$8*$X87,0))</f>
        <v>0</v>
      </c>
      <c r="U87" s="172">
        <f>IF('Peak Revenue'!$A$1="BL","-",IF(Peak!AA88&gt;Peak!$G88,U$8*$X87,0))</f>
        <v>0</v>
      </c>
      <c r="V87" s="175">
        <f t="shared" si="2"/>
        <v>212.5466990010288</v>
      </c>
      <c r="W87" s="164"/>
      <c r="X87" s="473">
        <f>CHOOSE(QUOTIENT(MONTH($A87),3)+1,Peak!$AM$11,Peak!$AN$11,Peak!$AL$11,Peak!$AO$11,Peak!$AM$11)</f>
        <v>0.96612135909558572</v>
      </c>
      <c r="Y87" s="474">
        <f>CHOOSE(QUOTIENT(MONTH($A87),3)+1,Peak!$AM$17,Peak!$AN$17,Peak!$AL$17,Peak!$AO$17,Peak!$AM$17)</f>
        <v>705</v>
      </c>
    </row>
    <row r="88" spans="1:25" x14ac:dyDescent="0.2">
      <c r="A88" s="1">
        <f t="shared" si="3"/>
        <v>38912.5260000001</v>
      </c>
      <c r="B88" s="172">
        <f>IF('Peak Revenue'!$A$1="BL","-",IF(Peak!H89&gt;Peak!$G89,B$8*$X88,0))</f>
        <v>4.8306067954779284</v>
      </c>
      <c r="C88" s="172">
        <f>IF('Peak Revenue'!$A$1="BL","-",IF(Peak!I89&gt;Peak!$G89,C$8*$X88,0))</f>
        <v>4.8306067954779284</v>
      </c>
      <c r="D88" s="172">
        <f>IF('Peak Revenue'!$A$1="BL","-",IF(Peak!J89&gt;Peak!$G89,D$8*$X88,0))</f>
        <v>9.6612135909558567</v>
      </c>
      <c r="E88" s="172">
        <f>IF('Peak Revenue'!$A$1="BL","-",IF(Peak!K89&gt;Peak!$G89,E$8*$X88,0))</f>
        <v>19.322427181911713</v>
      </c>
      <c r="F88" s="172">
        <f>IF('Peak Revenue'!$A$1="BL","-",IF(Peak!L89&gt;Peak!$G89,F$8*$X88,0))</f>
        <v>19.322427181911713</v>
      </c>
      <c r="G88" s="172">
        <f>IF('Peak Revenue'!$A$1="BL","-",IF(Peak!M89&gt;Peak!$G89,G$8*$X88,0))</f>
        <v>38.644854363823427</v>
      </c>
      <c r="H88" s="172">
        <f>IF('Peak Revenue'!$A$1="BL","-",IF(Peak!N89&gt;Peak!$G89,H$8*$X88,0))</f>
        <v>38.644854363823427</v>
      </c>
      <c r="I88" s="172">
        <f>IF('Peak Revenue'!$A$1="BL","-",IF(Peak!O89&gt;Peak!$G89,I$8*$X88,0))</f>
        <v>38.644854363823427</v>
      </c>
      <c r="J88" s="172">
        <f>IF('Peak Revenue'!$A$1="BL","-",IF(Peak!P89&gt;Peak!$G89,J$8*$X88,0))</f>
        <v>38.644854363823427</v>
      </c>
      <c r="K88" s="172">
        <f>IF('Peak Revenue'!$A$1="BL","-",IF(Peak!Q89&gt;Peak!$G89,K$8*$X88,0))</f>
        <v>38.644854363823427</v>
      </c>
      <c r="L88" s="172">
        <f>IF('Peak Revenue'!$A$1="BL","-",IF(Peak!R89&gt;Peak!$G89,L$8*$X88,0))</f>
        <v>38.644854363823427</v>
      </c>
      <c r="M88" s="172">
        <f>IF('Peak Revenue'!$A$1="BL","-",IF(Peak!S89&gt;Peak!$G89,M$8*$X88,0))</f>
        <v>38.644854363823427</v>
      </c>
      <c r="N88" s="172">
        <f>IF('Peak Revenue'!$A$1="BL","-",IF(Peak!T89&gt;Peak!$G89,N$8*$X88,0))</f>
        <v>38.644854363823427</v>
      </c>
      <c r="O88" s="172">
        <f>IF('Peak Revenue'!$A$1="BL","-",IF(Peak!U89&gt;Peak!$G89,O$8*$X88,0))</f>
        <v>38.644854363823427</v>
      </c>
      <c r="P88" s="172">
        <f>IF('Peak Revenue'!$A$1="BL","-",IF(Peak!V89&gt;Peak!$G89,P$8*$X88,0))</f>
        <v>0</v>
      </c>
      <c r="Q88" s="172">
        <f>IF('Peak Revenue'!$A$1="BL","-",IF(Peak!W89&gt;Peak!$G89,Q$8*$X88,0))</f>
        <v>0</v>
      </c>
      <c r="R88" s="172">
        <f>IF('Peak Revenue'!$A$1="BL","-",IF(Peak!X89&gt;Peak!$G89,R$8*$X88,0))</f>
        <v>0</v>
      </c>
      <c r="S88" s="172">
        <f>IF('Peak Revenue'!$A$1="BL","-",IF(Peak!Y89&gt;Peak!$G89,S$8*$X88,0))</f>
        <v>0</v>
      </c>
      <c r="T88" s="172">
        <f>IF('Peak Revenue'!$A$1="BL","-",IF(Peak!Z89&gt;Peak!$G89,T$8*$X88,0))</f>
        <v>0</v>
      </c>
      <c r="U88" s="172">
        <f>IF('Peak Revenue'!$A$1="BL","-",IF(Peak!AA89&gt;Peak!$G89,U$8*$X88,0))</f>
        <v>0</v>
      </c>
      <c r="V88" s="175">
        <f t="shared" si="2"/>
        <v>405.77097082014586</v>
      </c>
      <c r="W88" s="164"/>
      <c r="X88" s="473">
        <f>CHOOSE(QUOTIENT(MONTH($A88),3)+1,Peak!$AM$11,Peak!$AN$11,Peak!$AL$11,Peak!$AO$11,Peak!$AM$11)</f>
        <v>0.96612135909558572</v>
      </c>
      <c r="Y88" s="474">
        <f>CHOOSE(QUOTIENT(MONTH($A88),3)+1,Peak!$AM$17,Peak!$AN$17,Peak!$AL$17,Peak!$AO$17,Peak!$AM$17)</f>
        <v>705</v>
      </c>
    </row>
    <row r="89" spans="1:25" x14ac:dyDescent="0.2">
      <c r="A89" s="1">
        <f t="shared" si="3"/>
        <v>38942.943000000101</v>
      </c>
      <c r="B89" s="172">
        <f>IF('Peak Revenue'!$A$1="BL","-",IF(Peak!H90&gt;Peak!$G90,B$8*$X89,0))</f>
        <v>4.8306067954779284</v>
      </c>
      <c r="C89" s="172">
        <f>IF('Peak Revenue'!$A$1="BL","-",IF(Peak!I90&gt;Peak!$G90,C$8*$X89,0))</f>
        <v>4.8306067954779284</v>
      </c>
      <c r="D89" s="172">
        <f>IF('Peak Revenue'!$A$1="BL","-",IF(Peak!J90&gt;Peak!$G90,D$8*$X89,0))</f>
        <v>9.6612135909558567</v>
      </c>
      <c r="E89" s="172">
        <f>IF('Peak Revenue'!$A$1="BL","-",IF(Peak!K90&gt;Peak!$G90,E$8*$X89,0))</f>
        <v>19.322427181911713</v>
      </c>
      <c r="F89" s="172">
        <f>IF('Peak Revenue'!$A$1="BL","-",IF(Peak!L90&gt;Peak!$G90,F$8*$X89,0))</f>
        <v>19.322427181911713</v>
      </c>
      <c r="G89" s="172">
        <f>IF('Peak Revenue'!$A$1="BL","-",IF(Peak!M90&gt;Peak!$G90,G$8*$X89,0))</f>
        <v>38.644854363823427</v>
      </c>
      <c r="H89" s="172">
        <f>IF('Peak Revenue'!$A$1="BL","-",IF(Peak!N90&gt;Peak!$G90,H$8*$X89,0))</f>
        <v>38.644854363823427</v>
      </c>
      <c r="I89" s="172">
        <f>IF('Peak Revenue'!$A$1="BL","-",IF(Peak!O90&gt;Peak!$G90,I$8*$X89,0))</f>
        <v>38.644854363823427</v>
      </c>
      <c r="J89" s="172">
        <f>IF('Peak Revenue'!$A$1="BL","-",IF(Peak!P90&gt;Peak!$G90,J$8*$X89,0))</f>
        <v>38.644854363823427</v>
      </c>
      <c r="K89" s="172">
        <f>IF('Peak Revenue'!$A$1="BL","-",IF(Peak!Q90&gt;Peak!$G90,K$8*$X89,0))</f>
        <v>38.644854363823427</v>
      </c>
      <c r="L89" s="172">
        <f>IF('Peak Revenue'!$A$1="BL","-",IF(Peak!R90&gt;Peak!$G90,L$8*$X89,0))</f>
        <v>38.644854363823427</v>
      </c>
      <c r="M89" s="172">
        <f>IF('Peak Revenue'!$A$1="BL","-",IF(Peak!S90&gt;Peak!$G90,M$8*$X89,0))</f>
        <v>0</v>
      </c>
      <c r="N89" s="172">
        <f>IF('Peak Revenue'!$A$1="BL","-",IF(Peak!T90&gt;Peak!$G90,N$8*$X89,0))</f>
        <v>0</v>
      </c>
      <c r="O89" s="172">
        <f>IF('Peak Revenue'!$A$1="BL","-",IF(Peak!U90&gt;Peak!$G90,O$8*$X89,0))</f>
        <v>0</v>
      </c>
      <c r="P89" s="172">
        <f>IF('Peak Revenue'!$A$1="BL","-",IF(Peak!V90&gt;Peak!$G90,P$8*$X89,0))</f>
        <v>0</v>
      </c>
      <c r="Q89" s="172">
        <f>IF('Peak Revenue'!$A$1="BL","-",IF(Peak!W90&gt;Peak!$G90,Q$8*$X89,0))</f>
        <v>0</v>
      </c>
      <c r="R89" s="172">
        <f>IF('Peak Revenue'!$A$1="BL","-",IF(Peak!X90&gt;Peak!$G90,R$8*$X89,0))</f>
        <v>0</v>
      </c>
      <c r="S89" s="172">
        <f>IF('Peak Revenue'!$A$1="BL","-",IF(Peak!Y90&gt;Peak!$G90,S$8*$X89,0))</f>
        <v>0</v>
      </c>
      <c r="T89" s="172">
        <f>IF('Peak Revenue'!$A$1="BL","-",IF(Peak!Z90&gt;Peak!$G90,T$8*$X89,0))</f>
        <v>0</v>
      </c>
      <c r="U89" s="172">
        <f>IF('Peak Revenue'!$A$1="BL","-",IF(Peak!AA90&gt;Peak!$G90,U$8*$X89,0))</f>
        <v>0</v>
      </c>
      <c r="V89" s="175">
        <f t="shared" si="2"/>
        <v>289.83640772867562</v>
      </c>
      <c r="W89" s="164"/>
      <c r="X89" s="473">
        <f>CHOOSE(QUOTIENT(MONTH($A89),3)+1,Peak!$AM$11,Peak!$AN$11,Peak!$AL$11,Peak!$AO$11,Peak!$AM$11)</f>
        <v>0.96612135909558572</v>
      </c>
      <c r="Y89" s="474">
        <f>CHOOSE(QUOTIENT(MONTH($A89),3)+1,Peak!$AM$17,Peak!$AN$17,Peak!$AL$17,Peak!$AO$17,Peak!$AM$17)</f>
        <v>705</v>
      </c>
    </row>
    <row r="90" spans="1:25" x14ac:dyDescent="0.2">
      <c r="A90" s="1">
        <f t="shared" si="3"/>
        <v>38973.360000000102</v>
      </c>
      <c r="B90" s="172">
        <f>IF('Peak Revenue'!$A$1="BL","-",IF(Peak!H91&gt;Peak!$G91,B$8*$X90,0))</f>
        <v>4.75</v>
      </c>
      <c r="C90" s="172">
        <f>IF('Peak Revenue'!$A$1="BL","-",IF(Peak!I91&gt;Peak!$G91,C$8*$X90,0))</f>
        <v>4.75</v>
      </c>
      <c r="D90" s="172">
        <f>IF('Peak Revenue'!$A$1="BL","-",IF(Peak!J91&gt;Peak!$G91,D$8*$X90,0))</f>
        <v>9.5</v>
      </c>
      <c r="E90" s="172">
        <f>IF('Peak Revenue'!$A$1="BL","-",IF(Peak!K91&gt;Peak!$G91,E$8*$X90,0))</f>
        <v>19</v>
      </c>
      <c r="F90" s="172">
        <f>IF('Peak Revenue'!$A$1="BL","-",IF(Peak!L91&gt;Peak!$G91,F$8*$X90,0))</f>
        <v>19</v>
      </c>
      <c r="G90" s="172">
        <f>IF('Peak Revenue'!$A$1="BL","-",IF(Peak!M91&gt;Peak!$G91,G$8*$X90,0))</f>
        <v>38</v>
      </c>
      <c r="H90" s="172">
        <f>IF('Peak Revenue'!$A$1="BL","-",IF(Peak!N91&gt;Peak!$G91,H$8*$X90,0))</f>
        <v>38</v>
      </c>
      <c r="I90" s="172">
        <f>IF('Peak Revenue'!$A$1="BL","-",IF(Peak!O91&gt;Peak!$G91,I$8*$X90,0))</f>
        <v>38</v>
      </c>
      <c r="J90" s="172">
        <f>IF('Peak Revenue'!$A$1="BL","-",IF(Peak!P91&gt;Peak!$G91,J$8*$X90,0))</f>
        <v>38</v>
      </c>
      <c r="K90" s="172">
        <f>IF('Peak Revenue'!$A$1="BL","-",IF(Peak!Q91&gt;Peak!$G91,K$8*$X90,0))</f>
        <v>38</v>
      </c>
      <c r="L90" s="172">
        <f>IF('Peak Revenue'!$A$1="BL","-",IF(Peak!R91&gt;Peak!$G91,L$8*$X90,0))</f>
        <v>0</v>
      </c>
      <c r="M90" s="172">
        <f>IF('Peak Revenue'!$A$1="BL","-",IF(Peak!S91&gt;Peak!$G91,M$8*$X90,0))</f>
        <v>0</v>
      </c>
      <c r="N90" s="172">
        <f>IF('Peak Revenue'!$A$1="BL","-",IF(Peak!T91&gt;Peak!$G91,N$8*$X90,0))</f>
        <v>0</v>
      </c>
      <c r="O90" s="172">
        <f>IF('Peak Revenue'!$A$1="BL","-",IF(Peak!U91&gt;Peak!$G91,O$8*$X90,0))</f>
        <v>0</v>
      </c>
      <c r="P90" s="172">
        <f>IF('Peak Revenue'!$A$1="BL","-",IF(Peak!V91&gt;Peak!$G91,P$8*$X90,0))</f>
        <v>0</v>
      </c>
      <c r="Q90" s="172">
        <f>IF('Peak Revenue'!$A$1="BL","-",IF(Peak!W91&gt;Peak!$G91,Q$8*$X90,0))</f>
        <v>0</v>
      </c>
      <c r="R90" s="172">
        <f>IF('Peak Revenue'!$A$1="BL","-",IF(Peak!X91&gt;Peak!$G91,R$8*$X90,0))</f>
        <v>0</v>
      </c>
      <c r="S90" s="172">
        <f>IF('Peak Revenue'!$A$1="BL","-",IF(Peak!Y91&gt;Peak!$G91,S$8*$X90,0))</f>
        <v>0</v>
      </c>
      <c r="T90" s="172">
        <f>IF('Peak Revenue'!$A$1="BL","-",IF(Peak!Z91&gt;Peak!$G91,T$8*$X90,0))</f>
        <v>0</v>
      </c>
      <c r="U90" s="172">
        <f>IF('Peak Revenue'!$A$1="BL","-",IF(Peak!AA91&gt;Peak!$G91,U$8*$X90,0))</f>
        <v>0</v>
      </c>
      <c r="V90" s="175">
        <f t="shared" si="2"/>
        <v>247</v>
      </c>
      <c r="W90" s="164"/>
      <c r="X90" s="473">
        <f>CHOOSE(QUOTIENT(MONTH($A90),3)+1,Peak!$AM$11,Peak!$AN$11,Peak!$AL$11,Peak!$AO$11,Peak!$AM$11)</f>
        <v>0.95</v>
      </c>
      <c r="Y90" s="474">
        <f>CHOOSE(QUOTIENT(MONTH($A90),3)+1,Peak!$AM$17,Peak!$AN$17,Peak!$AL$17,Peak!$AO$17,Peak!$AM$17)</f>
        <v>705</v>
      </c>
    </row>
    <row r="91" spans="1:25" x14ac:dyDescent="0.2">
      <c r="A91" s="1">
        <f t="shared" si="3"/>
        <v>39003.777000000104</v>
      </c>
      <c r="B91" s="172">
        <f>IF('Peak Revenue'!$A$1="BL","-",IF(Peak!H92&gt;Peak!$G92,B$8*$X91,0))</f>
        <v>4.75</v>
      </c>
      <c r="C91" s="172">
        <f>IF('Peak Revenue'!$A$1="BL","-",IF(Peak!I92&gt;Peak!$G92,C$8*$X91,0))</f>
        <v>4.75</v>
      </c>
      <c r="D91" s="172">
        <f>IF('Peak Revenue'!$A$1="BL","-",IF(Peak!J92&gt;Peak!$G92,D$8*$X91,0))</f>
        <v>9.5</v>
      </c>
      <c r="E91" s="172">
        <f>IF('Peak Revenue'!$A$1="BL","-",IF(Peak!K92&gt;Peak!$G92,E$8*$X91,0))</f>
        <v>19</v>
      </c>
      <c r="F91" s="172">
        <f>IF('Peak Revenue'!$A$1="BL","-",IF(Peak!L92&gt;Peak!$G92,F$8*$X91,0))</f>
        <v>19</v>
      </c>
      <c r="G91" s="172">
        <f>IF('Peak Revenue'!$A$1="BL","-",IF(Peak!M92&gt;Peak!$G92,G$8*$X91,0))</f>
        <v>38</v>
      </c>
      <c r="H91" s="172">
        <f>IF('Peak Revenue'!$A$1="BL","-",IF(Peak!N92&gt;Peak!$G92,H$8*$X91,0))</f>
        <v>38</v>
      </c>
      <c r="I91" s="172">
        <f>IF('Peak Revenue'!$A$1="BL","-",IF(Peak!O92&gt;Peak!$G92,I$8*$X91,0))</f>
        <v>38</v>
      </c>
      <c r="J91" s="172">
        <f>IF('Peak Revenue'!$A$1="BL","-",IF(Peak!P92&gt;Peak!$G92,J$8*$X91,0))</f>
        <v>0</v>
      </c>
      <c r="K91" s="172">
        <f>IF('Peak Revenue'!$A$1="BL","-",IF(Peak!Q92&gt;Peak!$G92,K$8*$X91,0))</f>
        <v>0</v>
      </c>
      <c r="L91" s="172">
        <f>IF('Peak Revenue'!$A$1="BL","-",IF(Peak!R92&gt;Peak!$G92,L$8*$X91,0))</f>
        <v>0</v>
      </c>
      <c r="M91" s="172">
        <f>IF('Peak Revenue'!$A$1="BL","-",IF(Peak!S92&gt;Peak!$G92,M$8*$X91,0))</f>
        <v>0</v>
      </c>
      <c r="N91" s="172">
        <f>IF('Peak Revenue'!$A$1="BL","-",IF(Peak!T92&gt;Peak!$G92,N$8*$X91,0))</f>
        <v>0</v>
      </c>
      <c r="O91" s="172">
        <f>IF('Peak Revenue'!$A$1="BL","-",IF(Peak!U92&gt;Peak!$G92,O$8*$X91,0))</f>
        <v>0</v>
      </c>
      <c r="P91" s="172">
        <f>IF('Peak Revenue'!$A$1="BL","-",IF(Peak!V92&gt;Peak!$G92,P$8*$X91,0))</f>
        <v>0</v>
      </c>
      <c r="Q91" s="172">
        <f>IF('Peak Revenue'!$A$1="BL","-",IF(Peak!W92&gt;Peak!$G92,Q$8*$X91,0))</f>
        <v>0</v>
      </c>
      <c r="R91" s="172">
        <f>IF('Peak Revenue'!$A$1="BL","-",IF(Peak!X92&gt;Peak!$G92,R$8*$X91,0))</f>
        <v>0</v>
      </c>
      <c r="S91" s="172">
        <f>IF('Peak Revenue'!$A$1="BL","-",IF(Peak!Y92&gt;Peak!$G92,S$8*$X91,0))</f>
        <v>0</v>
      </c>
      <c r="T91" s="172">
        <f>IF('Peak Revenue'!$A$1="BL","-",IF(Peak!Z92&gt;Peak!$G92,T$8*$X91,0))</f>
        <v>0</v>
      </c>
      <c r="U91" s="172">
        <f>IF('Peak Revenue'!$A$1="BL","-",IF(Peak!AA92&gt;Peak!$G92,U$8*$X91,0))</f>
        <v>0</v>
      </c>
      <c r="V91" s="175">
        <f t="shared" si="2"/>
        <v>171</v>
      </c>
      <c r="W91" s="164"/>
      <c r="X91" s="473">
        <f>CHOOSE(QUOTIENT(MONTH($A91),3)+1,Peak!$AM$11,Peak!$AN$11,Peak!$AL$11,Peak!$AO$11,Peak!$AM$11)</f>
        <v>0.95</v>
      </c>
      <c r="Y91" s="474">
        <f>CHOOSE(QUOTIENT(MONTH($A91),3)+1,Peak!$AM$17,Peak!$AN$17,Peak!$AL$17,Peak!$AO$17,Peak!$AM$17)</f>
        <v>705</v>
      </c>
    </row>
    <row r="92" spans="1:25" x14ac:dyDescent="0.2">
      <c r="A92" s="1">
        <f t="shared" si="3"/>
        <v>39034.194000000105</v>
      </c>
      <c r="B92" s="172">
        <f>IF('Peak Revenue'!$A$1="BL","-",IF(Peak!H93&gt;Peak!$G93,B$8*$X92,0))</f>
        <v>4.75</v>
      </c>
      <c r="C92" s="172">
        <f>IF('Peak Revenue'!$A$1="BL","-",IF(Peak!I93&gt;Peak!$G93,C$8*$X92,0))</f>
        <v>4.75</v>
      </c>
      <c r="D92" s="172">
        <f>IF('Peak Revenue'!$A$1="BL","-",IF(Peak!J93&gt;Peak!$G93,D$8*$X92,0))</f>
        <v>9.5</v>
      </c>
      <c r="E92" s="172">
        <f>IF('Peak Revenue'!$A$1="BL","-",IF(Peak!K93&gt;Peak!$G93,E$8*$X92,0))</f>
        <v>19</v>
      </c>
      <c r="F92" s="172">
        <f>IF('Peak Revenue'!$A$1="BL","-",IF(Peak!L93&gt;Peak!$G93,F$8*$X92,0))</f>
        <v>19</v>
      </c>
      <c r="G92" s="172">
        <f>IF('Peak Revenue'!$A$1="BL","-",IF(Peak!M93&gt;Peak!$G93,G$8*$X92,0))</f>
        <v>38</v>
      </c>
      <c r="H92" s="172">
        <f>IF('Peak Revenue'!$A$1="BL","-",IF(Peak!N93&gt;Peak!$G93,H$8*$X92,0))</f>
        <v>38</v>
      </c>
      <c r="I92" s="172">
        <f>IF('Peak Revenue'!$A$1="BL","-",IF(Peak!O93&gt;Peak!$G93,I$8*$X92,0))</f>
        <v>38</v>
      </c>
      <c r="J92" s="172">
        <f>IF('Peak Revenue'!$A$1="BL","-",IF(Peak!P93&gt;Peak!$G93,J$8*$X92,0))</f>
        <v>38</v>
      </c>
      <c r="K92" s="172">
        <f>IF('Peak Revenue'!$A$1="BL","-",IF(Peak!Q93&gt;Peak!$G93,K$8*$X92,0))</f>
        <v>0</v>
      </c>
      <c r="L92" s="172">
        <f>IF('Peak Revenue'!$A$1="BL","-",IF(Peak!R93&gt;Peak!$G93,L$8*$X92,0))</f>
        <v>0</v>
      </c>
      <c r="M92" s="172">
        <f>IF('Peak Revenue'!$A$1="BL","-",IF(Peak!S93&gt;Peak!$G93,M$8*$X92,0))</f>
        <v>0</v>
      </c>
      <c r="N92" s="172">
        <f>IF('Peak Revenue'!$A$1="BL","-",IF(Peak!T93&gt;Peak!$G93,N$8*$X92,0))</f>
        <v>0</v>
      </c>
      <c r="O92" s="172">
        <f>IF('Peak Revenue'!$A$1="BL","-",IF(Peak!U93&gt;Peak!$G93,O$8*$X92,0))</f>
        <v>0</v>
      </c>
      <c r="P92" s="172">
        <f>IF('Peak Revenue'!$A$1="BL","-",IF(Peak!V93&gt;Peak!$G93,P$8*$X92,0))</f>
        <v>0</v>
      </c>
      <c r="Q92" s="172">
        <f>IF('Peak Revenue'!$A$1="BL","-",IF(Peak!W93&gt;Peak!$G93,Q$8*$X92,0))</f>
        <v>0</v>
      </c>
      <c r="R92" s="172">
        <f>IF('Peak Revenue'!$A$1="BL","-",IF(Peak!X93&gt;Peak!$G93,R$8*$X92,0))</f>
        <v>0</v>
      </c>
      <c r="S92" s="172">
        <f>IF('Peak Revenue'!$A$1="BL","-",IF(Peak!Y93&gt;Peak!$G93,S$8*$X92,0))</f>
        <v>0</v>
      </c>
      <c r="T92" s="172">
        <f>IF('Peak Revenue'!$A$1="BL","-",IF(Peak!Z93&gt;Peak!$G93,T$8*$X92,0))</f>
        <v>0</v>
      </c>
      <c r="U92" s="172">
        <f>IF('Peak Revenue'!$A$1="BL","-",IF(Peak!AA93&gt;Peak!$G93,U$8*$X92,0))</f>
        <v>0</v>
      </c>
      <c r="V92" s="175">
        <f t="shared" si="2"/>
        <v>209</v>
      </c>
      <c r="W92" s="164"/>
      <c r="X92" s="473">
        <f>CHOOSE(QUOTIENT(MONTH($A92),3)+1,Peak!$AM$11,Peak!$AN$11,Peak!$AL$11,Peak!$AO$11,Peak!$AM$11)</f>
        <v>0.95</v>
      </c>
      <c r="Y92" s="474">
        <f>CHOOSE(QUOTIENT(MONTH($A92),3)+1,Peak!$AM$17,Peak!$AN$17,Peak!$AL$17,Peak!$AO$17,Peak!$AM$17)</f>
        <v>705</v>
      </c>
    </row>
    <row r="93" spans="1:25" x14ac:dyDescent="0.2">
      <c r="A93" s="1">
        <f t="shared" si="3"/>
        <v>39064.611000000106</v>
      </c>
      <c r="B93" s="172">
        <f>IF('Peak Revenue'!$A$1="BL","-",IF(Peak!H94&gt;Peak!$G94,B$8*$X93,0))</f>
        <v>4.6213830939305875</v>
      </c>
      <c r="C93" s="172">
        <f>IF('Peak Revenue'!$A$1="BL","-",IF(Peak!I94&gt;Peak!$G94,C$8*$X93,0))</f>
        <v>4.6213830939305875</v>
      </c>
      <c r="D93" s="172">
        <f>IF('Peak Revenue'!$A$1="BL","-",IF(Peak!J94&gt;Peak!$G94,D$8*$X93,0))</f>
        <v>9.2427661878611751</v>
      </c>
      <c r="E93" s="172">
        <f>IF('Peak Revenue'!$A$1="BL","-",IF(Peak!K94&gt;Peak!$G94,E$8*$X93,0))</f>
        <v>18.48553237572235</v>
      </c>
      <c r="F93" s="172">
        <f>IF('Peak Revenue'!$A$1="BL","-",IF(Peak!L94&gt;Peak!$G94,F$8*$X93,0))</f>
        <v>18.48553237572235</v>
      </c>
      <c r="G93" s="172">
        <f>IF('Peak Revenue'!$A$1="BL","-",IF(Peak!M94&gt;Peak!$G94,G$8*$X93,0))</f>
        <v>36.9710647514447</v>
      </c>
      <c r="H93" s="172">
        <f>IF('Peak Revenue'!$A$1="BL","-",IF(Peak!N94&gt;Peak!$G94,H$8*$X93,0))</f>
        <v>36.9710647514447</v>
      </c>
      <c r="I93" s="172">
        <f>IF('Peak Revenue'!$A$1="BL","-",IF(Peak!O94&gt;Peak!$G94,I$8*$X93,0))</f>
        <v>36.9710647514447</v>
      </c>
      <c r="J93" s="172">
        <f>IF('Peak Revenue'!$A$1="BL","-",IF(Peak!P94&gt;Peak!$G94,J$8*$X93,0))</f>
        <v>36.9710647514447</v>
      </c>
      <c r="K93" s="172">
        <f>IF('Peak Revenue'!$A$1="BL","-",IF(Peak!Q94&gt;Peak!$G94,K$8*$X93,0))</f>
        <v>36.9710647514447</v>
      </c>
      <c r="L93" s="172">
        <f>IF('Peak Revenue'!$A$1="BL","-",IF(Peak!R94&gt;Peak!$G94,L$8*$X93,0))</f>
        <v>0</v>
      </c>
      <c r="M93" s="172">
        <f>IF('Peak Revenue'!$A$1="BL","-",IF(Peak!S94&gt;Peak!$G94,M$8*$X93,0))</f>
        <v>0</v>
      </c>
      <c r="N93" s="172">
        <f>IF('Peak Revenue'!$A$1="BL","-",IF(Peak!T94&gt;Peak!$G94,N$8*$X93,0))</f>
        <v>0</v>
      </c>
      <c r="O93" s="172">
        <f>IF('Peak Revenue'!$A$1="BL","-",IF(Peak!U94&gt;Peak!$G94,O$8*$X93,0))</f>
        <v>0</v>
      </c>
      <c r="P93" s="172">
        <f>IF('Peak Revenue'!$A$1="BL","-",IF(Peak!V94&gt;Peak!$G94,P$8*$X93,0))</f>
        <v>0</v>
      </c>
      <c r="Q93" s="172">
        <f>IF('Peak Revenue'!$A$1="BL","-",IF(Peak!W94&gt;Peak!$G94,Q$8*$X93,0))</f>
        <v>0</v>
      </c>
      <c r="R93" s="172">
        <f>IF('Peak Revenue'!$A$1="BL","-",IF(Peak!X94&gt;Peak!$G94,R$8*$X93,0))</f>
        <v>0</v>
      </c>
      <c r="S93" s="172">
        <f>IF('Peak Revenue'!$A$1="BL","-",IF(Peak!Y94&gt;Peak!$G94,S$8*$X93,0))</f>
        <v>0</v>
      </c>
      <c r="T93" s="172">
        <f>IF('Peak Revenue'!$A$1="BL","-",IF(Peak!Z94&gt;Peak!$G94,T$8*$X93,0))</f>
        <v>0</v>
      </c>
      <c r="U93" s="172">
        <f>IF('Peak Revenue'!$A$1="BL","-",IF(Peak!AA94&gt;Peak!$G94,U$8*$X93,0))</f>
        <v>0</v>
      </c>
      <c r="V93" s="175">
        <f t="shared" si="2"/>
        <v>240.31192088439059</v>
      </c>
      <c r="W93" s="163">
        <f>SUM(V82:V93)</f>
        <v>2696.1766459486876</v>
      </c>
      <c r="X93" s="473">
        <f>CHOOSE(QUOTIENT(MONTH($A93),3)+1,Peak!$AM$11,Peak!$AN$11,Peak!$AL$11,Peak!$AO$11,Peak!$AM$11)</f>
        <v>0.92427661878611755</v>
      </c>
      <c r="Y93" s="474">
        <f>CHOOSE(QUOTIENT(MONTH($A93),3)+1,Peak!$AM$17,Peak!$AN$17,Peak!$AL$17,Peak!$AO$17,Peak!$AM$17)</f>
        <v>705</v>
      </c>
    </row>
    <row r="94" spans="1:25" x14ac:dyDescent="0.2">
      <c r="A94" s="1">
        <f t="shared" si="3"/>
        <v>39095.028000000108</v>
      </c>
      <c r="B94" s="172">
        <f>IF('Peak Revenue'!$A$1="BL","-",IF(Peak!H95&gt;Peak!$G95,B$8*$X94,0))</f>
        <v>4.6213830939305875</v>
      </c>
      <c r="C94" s="172">
        <f>IF('Peak Revenue'!$A$1="BL","-",IF(Peak!I95&gt;Peak!$G95,C$8*$X94,0))</f>
        <v>4.6213830939305875</v>
      </c>
      <c r="D94" s="172">
        <f>IF('Peak Revenue'!$A$1="BL","-",IF(Peak!J95&gt;Peak!$G95,D$8*$X94,0))</f>
        <v>9.2427661878611751</v>
      </c>
      <c r="E94" s="172">
        <f>IF('Peak Revenue'!$A$1="BL","-",IF(Peak!K95&gt;Peak!$G95,E$8*$X94,0))</f>
        <v>18.48553237572235</v>
      </c>
      <c r="F94" s="172">
        <f>IF('Peak Revenue'!$A$1="BL","-",IF(Peak!L95&gt;Peak!$G95,F$8*$X94,0))</f>
        <v>18.48553237572235</v>
      </c>
      <c r="G94" s="172">
        <f>IF('Peak Revenue'!$A$1="BL","-",IF(Peak!M95&gt;Peak!$G95,G$8*$X94,0))</f>
        <v>36.9710647514447</v>
      </c>
      <c r="H94" s="172">
        <f>IF('Peak Revenue'!$A$1="BL","-",IF(Peak!N95&gt;Peak!$G95,H$8*$X94,0))</f>
        <v>36.9710647514447</v>
      </c>
      <c r="I94" s="172">
        <f>IF('Peak Revenue'!$A$1="BL","-",IF(Peak!O95&gt;Peak!$G95,I$8*$X94,0))</f>
        <v>0</v>
      </c>
      <c r="J94" s="172">
        <f>IF('Peak Revenue'!$A$1="BL","-",IF(Peak!P95&gt;Peak!$G95,J$8*$X94,0))</f>
        <v>0</v>
      </c>
      <c r="K94" s="172">
        <f>IF('Peak Revenue'!$A$1="BL","-",IF(Peak!Q95&gt;Peak!$G95,K$8*$X94,0))</f>
        <v>0</v>
      </c>
      <c r="L94" s="172">
        <f>IF('Peak Revenue'!$A$1="BL","-",IF(Peak!R95&gt;Peak!$G95,L$8*$X94,0))</f>
        <v>0</v>
      </c>
      <c r="M94" s="172">
        <f>IF('Peak Revenue'!$A$1="BL","-",IF(Peak!S95&gt;Peak!$G95,M$8*$X94,0))</f>
        <v>0</v>
      </c>
      <c r="N94" s="172">
        <f>IF('Peak Revenue'!$A$1="BL","-",IF(Peak!T95&gt;Peak!$G95,N$8*$X94,0))</f>
        <v>0</v>
      </c>
      <c r="O94" s="172">
        <f>IF('Peak Revenue'!$A$1="BL","-",IF(Peak!U95&gt;Peak!$G95,O$8*$X94,0))</f>
        <v>0</v>
      </c>
      <c r="P94" s="172">
        <f>IF('Peak Revenue'!$A$1="BL","-",IF(Peak!V95&gt;Peak!$G95,P$8*$X94,0))</f>
        <v>0</v>
      </c>
      <c r="Q94" s="172">
        <f>IF('Peak Revenue'!$A$1="BL","-",IF(Peak!W95&gt;Peak!$G95,Q$8*$X94,0))</f>
        <v>0</v>
      </c>
      <c r="R94" s="172">
        <f>IF('Peak Revenue'!$A$1="BL","-",IF(Peak!X95&gt;Peak!$G95,R$8*$X94,0))</f>
        <v>0</v>
      </c>
      <c r="S94" s="172">
        <f>IF('Peak Revenue'!$A$1="BL","-",IF(Peak!Y95&gt;Peak!$G95,S$8*$X94,0))</f>
        <v>0</v>
      </c>
      <c r="T94" s="172">
        <f>IF('Peak Revenue'!$A$1="BL","-",IF(Peak!Z95&gt;Peak!$G95,T$8*$X94,0))</f>
        <v>0</v>
      </c>
      <c r="U94" s="172">
        <f>IF('Peak Revenue'!$A$1="BL","-",IF(Peak!AA95&gt;Peak!$G95,U$8*$X94,0))</f>
        <v>0</v>
      </c>
      <c r="V94" s="175">
        <f t="shared" si="2"/>
        <v>129.39872663005644</v>
      </c>
      <c r="W94" s="164"/>
      <c r="X94" s="473">
        <f>CHOOSE(QUOTIENT(MONTH($A94),3)+1,Peak!$AM$11,Peak!$AN$11,Peak!$AL$11,Peak!$AO$11,Peak!$AM$11)</f>
        <v>0.92427661878611755</v>
      </c>
      <c r="Y94" s="474">
        <f>CHOOSE(QUOTIENT(MONTH($A94),3)+1,Peak!$AM$17,Peak!$AN$17,Peak!$AL$17,Peak!$AO$17,Peak!$AM$17)</f>
        <v>705</v>
      </c>
    </row>
    <row r="95" spans="1:25" x14ac:dyDescent="0.2">
      <c r="A95" s="1">
        <f t="shared" si="3"/>
        <v>39125.445000000109</v>
      </c>
      <c r="B95" s="172">
        <f>IF('Peak Revenue'!$A$1="BL","-",IF(Peak!H96&gt;Peak!$G96,B$8*$X95,0))</f>
        <v>4.6213830939305875</v>
      </c>
      <c r="C95" s="172">
        <f>IF('Peak Revenue'!$A$1="BL","-",IF(Peak!I96&gt;Peak!$G96,C$8*$X95,0))</f>
        <v>4.6213830939305875</v>
      </c>
      <c r="D95" s="172">
        <f>IF('Peak Revenue'!$A$1="BL","-",IF(Peak!J96&gt;Peak!$G96,D$8*$X95,0))</f>
        <v>9.2427661878611751</v>
      </c>
      <c r="E95" s="172">
        <f>IF('Peak Revenue'!$A$1="BL","-",IF(Peak!K96&gt;Peak!$G96,E$8*$X95,0))</f>
        <v>18.48553237572235</v>
      </c>
      <c r="F95" s="172">
        <f>IF('Peak Revenue'!$A$1="BL","-",IF(Peak!L96&gt;Peak!$G96,F$8*$X95,0))</f>
        <v>18.48553237572235</v>
      </c>
      <c r="G95" s="172">
        <f>IF('Peak Revenue'!$A$1="BL","-",IF(Peak!M96&gt;Peak!$G96,G$8*$X95,0))</f>
        <v>36.9710647514447</v>
      </c>
      <c r="H95" s="172">
        <f>IF('Peak Revenue'!$A$1="BL","-",IF(Peak!N96&gt;Peak!$G96,H$8*$X95,0))</f>
        <v>36.9710647514447</v>
      </c>
      <c r="I95" s="172">
        <f>IF('Peak Revenue'!$A$1="BL","-",IF(Peak!O96&gt;Peak!$G96,I$8*$X95,0))</f>
        <v>36.9710647514447</v>
      </c>
      <c r="J95" s="172">
        <f>IF('Peak Revenue'!$A$1="BL","-",IF(Peak!P96&gt;Peak!$G96,J$8*$X95,0))</f>
        <v>36.9710647514447</v>
      </c>
      <c r="K95" s="172">
        <f>IF('Peak Revenue'!$A$1="BL","-",IF(Peak!Q96&gt;Peak!$G96,K$8*$X95,0))</f>
        <v>36.9710647514447</v>
      </c>
      <c r="L95" s="172">
        <f>IF('Peak Revenue'!$A$1="BL","-",IF(Peak!R96&gt;Peak!$G96,L$8*$X95,0))</f>
        <v>36.9710647514447</v>
      </c>
      <c r="M95" s="172">
        <f>IF('Peak Revenue'!$A$1="BL","-",IF(Peak!S96&gt;Peak!$G96,M$8*$X95,0))</f>
        <v>0</v>
      </c>
      <c r="N95" s="172">
        <f>IF('Peak Revenue'!$A$1="BL","-",IF(Peak!T96&gt;Peak!$G96,N$8*$X95,0))</f>
        <v>0</v>
      </c>
      <c r="O95" s="172">
        <f>IF('Peak Revenue'!$A$1="BL","-",IF(Peak!U96&gt;Peak!$G96,O$8*$X95,0))</f>
        <v>0</v>
      </c>
      <c r="P95" s="172">
        <f>IF('Peak Revenue'!$A$1="BL","-",IF(Peak!V96&gt;Peak!$G96,P$8*$X95,0))</f>
        <v>0</v>
      </c>
      <c r="Q95" s="172">
        <f>IF('Peak Revenue'!$A$1="BL","-",IF(Peak!W96&gt;Peak!$G96,Q$8*$X95,0))</f>
        <v>0</v>
      </c>
      <c r="R95" s="172">
        <f>IF('Peak Revenue'!$A$1="BL","-",IF(Peak!X96&gt;Peak!$G96,R$8*$X95,0))</f>
        <v>0</v>
      </c>
      <c r="S95" s="172">
        <f>IF('Peak Revenue'!$A$1="BL","-",IF(Peak!Y96&gt;Peak!$G96,S$8*$X95,0))</f>
        <v>0</v>
      </c>
      <c r="T95" s="172">
        <f>IF('Peak Revenue'!$A$1="BL","-",IF(Peak!Z96&gt;Peak!$G96,T$8*$X95,0))</f>
        <v>0</v>
      </c>
      <c r="U95" s="172">
        <f>IF('Peak Revenue'!$A$1="BL","-",IF(Peak!AA96&gt;Peak!$G96,U$8*$X95,0))</f>
        <v>0</v>
      </c>
      <c r="V95" s="175">
        <f t="shared" si="2"/>
        <v>277.2829856358353</v>
      </c>
      <c r="W95" s="164"/>
      <c r="X95" s="473">
        <f>CHOOSE(QUOTIENT(MONTH($A95),3)+1,Peak!$AM$11,Peak!$AN$11,Peak!$AL$11,Peak!$AO$11,Peak!$AM$11)</f>
        <v>0.92427661878611755</v>
      </c>
      <c r="Y95" s="474">
        <f>CHOOSE(QUOTIENT(MONTH($A95),3)+1,Peak!$AM$17,Peak!$AN$17,Peak!$AL$17,Peak!$AO$17,Peak!$AM$17)</f>
        <v>705</v>
      </c>
    </row>
    <row r="96" spans="1:25" x14ac:dyDescent="0.2">
      <c r="A96" s="1">
        <f t="shared" si="3"/>
        <v>39155.86200000011</v>
      </c>
      <c r="B96" s="172">
        <f>IF('Peak Revenue'!$A$1="BL","-",IF(Peak!H97&gt;Peak!$G97,B$8*$X96,0))</f>
        <v>4.75</v>
      </c>
      <c r="C96" s="172">
        <f>IF('Peak Revenue'!$A$1="BL","-",IF(Peak!I97&gt;Peak!$G97,C$8*$X96,0))</f>
        <v>4.75</v>
      </c>
      <c r="D96" s="172">
        <f>IF('Peak Revenue'!$A$1="BL","-",IF(Peak!J97&gt;Peak!$G97,D$8*$X96,0))</f>
        <v>9.5</v>
      </c>
      <c r="E96" s="172">
        <f>IF('Peak Revenue'!$A$1="BL","-",IF(Peak!K97&gt;Peak!$G97,E$8*$X96,0))</f>
        <v>19</v>
      </c>
      <c r="F96" s="172">
        <f>IF('Peak Revenue'!$A$1="BL","-",IF(Peak!L97&gt;Peak!$G97,F$8*$X96,0))</f>
        <v>19</v>
      </c>
      <c r="G96" s="172">
        <f>IF('Peak Revenue'!$A$1="BL","-",IF(Peak!M97&gt;Peak!$G97,G$8*$X96,0))</f>
        <v>38</v>
      </c>
      <c r="H96" s="172">
        <f>IF('Peak Revenue'!$A$1="BL","-",IF(Peak!N97&gt;Peak!$G97,H$8*$X96,0))</f>
        <v>38</v>
      </c>
      <c r="I96" s="172">
        <f>IF('Peak Revenue'!$A$1="BL","-",IF(Peak!O97&gt;Peak!$G97,I$8*$X96,0))</f>
        <v>38</v>
      </c>
      <c r="J96" s="172">
        <f>IF('Peak Revenue'!$A$1="BL","-",IF(Peak!P97&gt;Peak!$G97,J$8*$X96,0))</f>
        <v>38</v>
      </c>
      <c r="K96" s="172">
        <f>IF('Peak Revenue'!$A$1="BL","-",IF(Peak!Q97&gt;Peak!$G97,K$8*$X96,0))</f>
        <v>38</v>
      </c>
      <c r="L96" s="172">
        <f>IF('Peak Revenue'!$A$1="BL","-",IF(Peak!R97&gt;Peak!$G97,L$8*$X96,0))</f>
        <v>0</v>
      </c>
      <c r="M96" s="172">
        <f>IF('Peak Revenue'!$A$1="BL","-",IF(Peak!S97&gt;Peak!$G97,M$8*$X96,0))</f>
        <v>0</v>
      </c>
      <c r="N96" s="172">
        <f>IF('Peak Revenue'!$A$1="BL","-",IF(Peak!T97&gt;Peak!$G97,N$8*$X96,0))</f>
        <v>0</v>
      </c>
      <c r="O96" s="172">
        <f>IF('Peak Revenue'!$A$1="BL","-",IF(Peak!U97&gt;Peak!$G97,O$8*$X96,0))</f>
        <v>0</v>
      </c>
      <c r="P96" s="172">
        <f>IF('Peak Revenue'!$A$1="BL","-",IF(Peak!V97&gt;Peak!$G97,P$8*$X96,0))</f>
        <v>0</v>
      </c>
      <c r="Q96" s="172">
        <f>IF('Peak Revenue'!$A$1="BL","-",IF(Peak!W97&gt;Peak!$G97,Q$8*$X96,0))</f>
        <v>0</v>
      </c>
      <c r="R96" s="172">
        <f>IF('Peak Revenue'!$A$1="BL","-",IF(Peak!X97&gt;Peak!$G97,R$8*$X96,0))</f>
        <v>0</v>
      </c>
      <c r="S96" s="172">
        <f>IF('Peak Revenue'!$A$1="BL","-",IF(Peak!Y97&gt;Peak!$G97,S$8*$X96,0))</f>
        <v>0</v>
      </c>
      <c r="T96" s="172">
        <f>IF('Peak Revenue'!$A$1="BL","-",IF(Peak!Z97&gt;Peak!$G97,T$8*$X96,0))</f>
        <v>0</v>
      </c>
      <c r="U96" s="172">
        <f>IF('Peak Revenue'!$A$1="BL","-",IF(Peak!AA97&gt;Peak!$G97,U$8*$X96,0))</f>
        <v>0</v>
      </c>
      <c r="V96" s="175">
        <f t="shared" si="2"/>
        <v>247</v>
      </c>
      <c r="W96" s="164"/>
      <c r="X96" s="473">
        <f>CHOOSE(QUOTIENT(MONTH($A96),3)+1,Peak!$AM$11,Peak!$AN$11,Peak!$AL$11,Peak!$AO$11,Peak!$AM$11)</f>
        <v>0.95</v>
      </c>
      <c r="Y96" s="474">
        <f>CHOOSE(QUOTIENT(MONTH($A96),3)+1,Peak!$AM$17,Peak!$AN$17,Peak!$AL$17,Peak!$AO$17,Peak!$AM$17)</f>
        <v>705</v>
      </c>
    </row>
    <row r="97" spans="1:25" x14ac:dyDescent="0.2">
      <c r="A97" s="1">
        <f t="shared" si="3"/>
        <v>39186.279000000111</v>
      </c>
      <c r="B97" s="172">
        <f>IF('Peak Revenue'!$A$1="BL","-",IF(Peak!H98&gt;Peak!$G98,B$8*$X97,0))</f>
        <v>4.75</v>
      </c>
      <c r="C97" s="172">
        <f>IF('Peak Revenue'!$A$1="BL","-",IF(Peak!I98&gt;Peak!$G98,C$8*$X97,0))</f>
        <v>4.75</v>
      </c>
      <c r="D97" s="172">
        <f>IF('Peak Revenue'!$A$1="BL","-",IF(Peak!J98&gt;Peak!$G98,D$8*$X97,0))</f>
        <v>9.5</v>
      </c>
      <c r="E97" s="172">
        <f>IF('Peak Revenue'!$A$1="BL","-",IF(Peak!K98&gt;Peak!$G98,E$8*$X97,0))</f>
        <v>19</v>
      </c>
      <c r="F97" s="172">
        <f>IF('Peak Revenue'!$A$1="BL","-",IF(Peak!L98&gt;Peak!$G98,F$8*$X97,0))</f>
        <v>19</v>
      </c>
      <c r="G97" s="172">
        <f>IF('Peak Revenue'!$A$1="BL","-",IF(Peak!M98&gt;Peak!$G98,G$8*$X97,0))</f>
        <v>38</v>
      </c>
      <c r="H97" s="172">
        <f>IF('Peak Revenue'!$A$1="BL","-",IF(Peak!N98&gt;Peak!$G98,H$8*$X97,0))</f>
        <v>38</v>
      </c>
      <c r="I97" s="172">
        <f>IF('Peak Revenue'!$A$1="BL","-",IF(Peak!O98&gt;Peak!$G98,I$8*$X97,0))</f>
        <v>38</v>
      </c>
      <c r="J97" s="172">
        <f>IF('Peak Revenue'!$A$1="BL","-",IF(Peak!P98&gt;Peak!$G98,J$8*$X97,0))</f>
        <v>38</v>
      </c>
      <c r="K97" s="172">
        <f>IF('Peak Revenue'!$A$1="BL","-",IF(Peak!Q98&gt;Peak!$G98,K$8*$X97,0))</f>
        <v>38</v>
      </c>
      <c r="L97" s="172">
        <f>IF('Peak Revenue'!$A$1="BL","-",IF(Peak!R98&gt;Peak!$G98,L$8*$X97,0))</f>
        <v>0</v>
      </c>
      <c r="M97" s="172">
        <f>IF('Peak Revenue'!$A$1="BL","-",IF(Peak!S98&gt;Peak!$G98,M$8*$X97,0))</f>
        <v>0</v>
      </c>
      <c r="N97" s="172">
        <f>IF('Peak Revenue'!$A$1="BL","-",IF(Peak!T98&gt;Peak!$G98,N$8*$X97,0))</f>
        <v>0</v>
      </c>
      <c r="O97" s="172">
        <f>IF('Peak Revenue'!$A$1="BL","-",IF(Peak!U98&gt;Peak!$G98,O$8*$X97,0))</f>
        <v>0</v>
      </c>
      <c r="P97" s="172">
        <f>IF('Peak Revenue'!$A$1="BL","-",IF(Peak!V98&gt;Peak!$G98,P$8*$X97,0))</f>
        <v>0</v>
      </c>
      <c r="Q97" s="172">
        <f>IF('Peak Revenue'!$A$1="BL","-",IF(Peak!W98&gt;Peak!$G98,Q$8*$X97,0))</f>
        <v>0</v>
      </c>
      <c r="R97" s="172">
        <f>IF('Peak Revenue'!$A$1="BL","-",IF(Peak!X98&gt;Peak!$G98,R$8*$X97,0))</f>
        <v>0</v>
      </c>
      <c r="S97" s="172">
        <f>IF('Peak Revenue'!$A$1="BL","-",IF(Peak!Y98&gt;Peak!$G98,S$8*$X97,0))</f>
        <v>0</v>
      </c>
      <c r="T97" s="172">
        <f>IF('Peak Revenue'!$A$1="BL","-",IF(Peak!Z98&gt;Peak!$G98,T$8*$X97,0))</f>
        <v>0</v>
      </c>
      <c r="U97" s="172">
        <f>IF('Peak Revenue'!$A$1="BL","-",IF(Peak!AA98&gt;Peak!$G98,U$8*$X97,0))</f>
        <v>0</v>
      </c>
      <c r="V97" s="175">
        <f t="shared" si="2"/>
        <v>247</v>
      </c>
      <c r="W97" s="164"/>
      <c r="X97" s="473">
        <f>CHOOSE(QUOTIENT(MONTH($A97),3)+1,Peak!$AM$11,Peak!$AN$11,Peak!$AL$11,Peak!$AO$11,Peak!$AM$11)</f>
        <v>0.95</v>
      </c>
      <c r="Y97" s="474">
        <f>CHOOSE(QUOTIENT(MONTH($A97),3)+1,Peak!$AM$17,Peak!$AN$17,Peak!$AL$17,Peak!$AO$17,Peak!$AM$17)</f>
        <v>705</v>
      </c>
    </row>
    <row r="98" spans="1:25" x14ac:dyDescent="0.2">
      <c r="A98" s="1">
        <f t="shared" si="3"/>
        <v>39216.696000000113</v>
      </c>
      <c r="B98" s="172">
        <f>IF('Peak Revenue'!$A$1="BL","-",IF(Peak!H99&gt;Peak!$G99,B$8*$X98,0))</f>
        <v>4.75</v>
      </c>
      <c r="C98" s="172">
        <f>IF('Peak Revenue'!$A$1="BL","-",IF(Peak!I99&gt;Peak!$G99,C$8*$X98,0))</f>
        <v>4.75</v>
      </c>
      <c r="D98" s="172">
        <f>IF('Peak Revenue'!$A$1="BL","-",IF(Peak!J99&gt;Peak!$G99,D$8*$X98,0))</f>
        <v>9.5</v>
      </c>
      <c r="E98" s="172">
        <f>IF('Peak Revenue'!$A$1="BL","-",IF(Peak!K99&gt;Peak!$G99,E$8*$X98,0))</f>
        <v>19</v>
      </c>
      <c r="F98" s="172">
        <f>IF('Peak Revenue'!$A$1="BL","-",IF(Peak!L99&gt;Peak!$G99,F$8*$X98,0))</f>
        <v>19</v>
      </c>
      <c r="G98" s="172">
        <f>IF('Peak Revenue'!$A$1="BL","-",IF(Peak!M99&gt;Peak!$G99,G$8*$X98,0))</f>
        <v>38</v>
      </c>
      <c r="H98" s="172">
        <f>IF('Peak Revenue'!$A$1="BL","-",IF(Peak!N99&gt;Peak!$G99,H$8*$X98,0))</f>
        <v>38</v>
      </c>
      <c r="I98" s="172">
        <f>IF('Peak Revenue'!$A$1="BL","-",IF(Peak!O99&gt;Peak!$G99,I$8*$X98,0))</f>
        <v>0</v>
      </c>
      <c r="J98" s="172">
        <f>IF('Peak Revenue'!$A$1="BL","-",IF(Peak!P99&gt;Peak!$G99,J$8*$X98,0))</f>
        <v>0</v>
      </c>
      <c r="K98" s="172">
        <f>IF('Peak Revenue'!$A$1="BL","-",IF(Peak!Q99&gt;Peak!$G99,K$8*$X98,0))</f>
        <v>0</v>
      </c>
      <c r="L98" s="172">
        <f>IF('Peak Revenue'!$A$1="BL","-",IF(Peak!R99&gt;Peak!$G99,L$8*$X98,0))</f>
        <v>0</v>
      </c>
      <c r="M98" s="172">
        <f>IF('Peak Revenue'!$A$1="BL","-",IF(Peak!S99&gt;Peak!$G99,M$8*$X98,0))</f>
        <v>0</v>
      </c>
      <c r="N98" s="172">
        <f>IF('Peak Revenue'!$A$1="BL","-",IF(Peak!T99&gt;Peak!$G99,N$8*$X98,0))</f>
        <v>0</v>
      </c>
      <c r="O98" s="172">
        <f>IF('Peak Revenue'!$A$1="BL","-",IF(Peak!U99&gt;Peak!$G99,O$8*$X98,0))</f>
        <v>0</v>
      </c>
      <c r="P98" s="172">
        <f>IF('Peak Revenue'!$A$1="BL","-",IF(Peak!V99&gt;Peak!$G99,P$8*$X98,0))</f>
        <v>0</v>
      </c>
      <c r="Q98" s="172">
        <f>IF('Peak Revenue'!$A$1="BL","-",IF(Peak!W99&gt;Peak!$G99,Q$8*$X98,0))</f>
        <v>0</v>
      </c>
      <c r="R98" s="172">
        <f>IF('Peak Revenue'!$A$1="BL","-",IF(Peak!X99&gt;Peak!$G99,R$8*$X98,0))</f>
        <v>0</v>
      </c>
      <c r="S98" s="172">
        <f>IF('Peak Revenue'!$A$1="BL","-",IF(Peak!Y99&gt;Peak!$G99,S$8*$X98,0))</f>
        <v>0</v>
      </c>
      <c r="T98" s="172">
        <f>IF('Peak Revenue'!$A$1="BL","-",IF(Peak!Z99&gt;Peak!$G99,T$8*$X98,0))</f>
        <v>0</v>
      </c>
      <c r="U98" s="172">
        <f>IF('Peak Revenue'!$A$1="BL","-",IF(Peak!AA99&gt;Peak!$G99,U$8*$X98,0))</f>
        <v>0</v>
      </c>
      <c r="V98" s="175">
        <f t="shared" si="2"/>
        <v>133</v>
      </c>
      <c r="W98" s="164"/>
      <c r="X98" s="473">
        <f>CHOOSE(QUOTIENT(MONTH($A98),3)+1,Peak!$AM$11,Peak!$AN$11,Peak!$AL$11,Peak!$AO$11,Peak!$AM$11)</f>
        <v>0.95</v>
      </c>
      <c r="Y98" s="474">
        <f>CHOOSE(QUOTIENT(MONTH($A98),3)+1,Peak!$AM$17,Peak!$AN$17,Peak!$AL$17,Peak!$AO$17,Peak!$AM$17)</f>
        <v>705</v>
      </c>
    </row>
    <row r="99" spans="1:25" x14ac:dyDescent="0.2">
      <c r="A99" s="1">
        <f t="shared" si="3"/>
        <v>39247.113000000114</v>
      </c>
      <c r="B99" s="172">
        <f>IF('Peak Revenue'!$A$1="BL","-",IF(Peak!H100&gt;Peak!$G100,B$8*$X99,0))</f>
        <v>4.8306067954779284</v>
      </c>
      <c r="C99" s="172">
        <f>IF('Peak Revenue'!$A$1="BL","-",IF(Peak!I100&gt;Peak!$G100,C$8*$X99,0))</f>
        <v>4.8306067954779284</v>
      </c>
      <c r="D99" s="172">
        <f>IF('Peak Revenue'!$A$1="BL","-",IF(Peak!J100&gt;Peak!$G100,D$8*$X99,0))</f>
        <v>9.6612135909558567</v>
      </c>
      <c r="E99" s="172">
        <f>IF('Peak Revenue'!$A$1="BL","-",IF(Peak!K100&gt;Peak!$G100,E$8*$X99,0))</f>
        <v>19.322427181911713</v>
      </c>
      <c r="F99" s="172">
        <f>IF('Peak Revenue'!$A$1="BL","-",IF(Peak!L100&gt;Peak!$G100,F$8*$X99,0))</f>
        <v>19.322427181911713</v>
      </c>
      <c r="G99" s="172">
        <f>IF('Peak Revenue'!$A$1="BL","-",IF(Peak!M100&gt;Peak!$G100,G$8*$X99,0))</f>
        <v>38.644854363823427</v>
      </c>
      <c r="H99" s="172">
        <f>IF('Peak Revenue'!$A$1="BL","-",IF(Peak!N100&gt;Peak!$G100,H$8*$X99,0))</f>
        <v>38.644854363823427</v>
      </c>
      <c r="I99" s="172">
        <f>IF('Peak Revenue'!$A$1="BL","-",IF(Peak!O100&gt;Peak!$G100,I$8*$X99,0))</f>
        <v>38.644854363823427</v>
      </c>
      <c r="J99" s="172">
        <f>IF('Peak Revenue'!$A$1="BL","-",IF(Peak!P100&gt;Peak!$G100,J$8*$X99,0))</f>
        <v>38.644854363823427</v>
      </c>
      <c r="K99" s="172">
        <f>IF('Peak Revenue'!$A$1="BL","-",IF(Peak!Q100&gt;Peak!$G100,K$8*$X99,0))</f>
        <v>38.644854363823427</v>
      </c>
      <c r="L99" s="172">
        <f>IF('Peak Revenue'!$A$1="BL","-",IF(Peak!R100&gt;Peak!$G100,L$8*$X99,0))</f>
        <v>0</v>
      </c>
      <c r="M99" s="172">
        <f>IF('Peak Revenue'!$A$1="BL","-",IF(Peak!S100&gt;Peak!$G100,M$8*$X99,0))</f>
        <v>0</v>
      </c>
      <c r="N99" s="172">
        <f>IF('Peak Revenue'!$A$1="BL","-",IF(Peak!T100&gt;Peak!$G100,N$8*$X99,0))</f>
        <v>0</v>
      </c>
      <c r="O99" s="172">
        <f>IF('Peak Revenue'!$A$1="BL","-",IF(Peak!U100&gt;Peak!$G100,O$8*$X99,0))</f>
        <v>0</v>
      </c>
      <c r="P99" s="172">
        <f>IF('Peak Revenue'!$A$1="BL","-",IF(Peak!V100&gt;Peak!$G100,P$8*$X99,0))</f>
        <v>0</v>
      </c>
      <c r="Q99" s="172">
        <f>IF('Peak Revenue'!$A$1="BL","-",IF(Peak!W100&gt;Peak!$G100,Q$8*$X99,0))</f>
        <v>0</v>
      </c>
      <c r="R99" s="172">
        <f>IF('Peak Revenue'!$A$1="BL","-",IF(Peak!X100&gt;Peak!$G100,R$8*$X99,0))</f>
        <v>0</v>
      </c>
      <c r="S99" s="172">
        <f>IF('Peak Revenue'!$A$1="BL","-",IF(Peak!Y100&gt;Peak!$G100,S$8*$X99,0))</f>
        <v>0</v>
      </c>
      <c r="T99" s="172">
        <f>IF('Peak Revenue'!$A$1="BL","-",IF(Peak!Z100&gt;Peak!$G100,T$8*$X99,0))</f>
        <v>0</v>
      </c>
      <c r="U99" s="172">
        <f>IF('Peak Revenue'!$A$1="BL","-",IF(Peak!AA100&gt;Peak!$G100,U$8*$X99,0))</f>
        <v>0</v>
      </c>
      <c r="V99" s="175">
        <f t="shared" si="2"/>
        <v>251.19155336485221</v>
      </c>
      <c r="W99" s="164"/>
      <c r="X99" s="473">
        <f>CHOOSE(QUOTIENT(MONTH($A99),3)+1,Peak!$AM$11,Peak!$AN$11,Peak!$AL$11,Peak!$AO$11,Peak!$AM$11)</f>
        <v>0.96612135909558572</v>
      </c>
      <c r="Y99" s="474">
        <f>CHOOSE(QUOTIENT(MONTH($A99),3)+1,Peak!$AM$17,Peak!$AN$17,Peak!$AL$17,Peak!$AO$17,Peak!$AM$17)</f>
        <v>705</v>
      </c>
    </row>
    <row r="100" spans="1:25" x14ac:dyDescent="0.2">
      <c r="A100" s="1">
        <f t="shared" si="3"/>
        <v>39277.530000000115</v>
      </c>
      <c r="B100" s="172">
        <f>IF('Peak Revenue'!$A$1="BL","-",IF(Peak!H101&gt;Peak!$G101,B$8*$X100,0))</f>
        <v>4.8306067954779284</v>
      </c>
      <c r="C100" s="172">
        <f>IF('Peak Revenue'!$A$1="BL","-",IF(Peak!I101&gt;Peak!$G101,C$8*$X100,0))</f>
        <v>4.8306067954779284</v>
      </c>
      <c r="D100" s="172">
        <f>IF('Peak Revenue'!$A$1="BL","-",IF(Peak!J101&gt;Peak!$G101,D$8*$X100,0))</f>
        <v>9.6612135909558567</v>
      </c>
      <c r="E100" s="172">
        <f>IF('Peak Revenue'!$A$1="BL","-",IF(Peak!K101&gt;Peak!$G101,E$8*$X100,0))</f>
        <v>19.322427181911713</v>
      </c>
      <c r="F100" s="172">
        <f>IF('Peak Revenue'!$A$1="BL","-",IF(Peak!L101&gt;Peak!$G101,F$8*$X100,0))</f>
        <v>19.322427181911713</v>
      </c>
      <c r="G100" s="172">
        <f>IF('Peak Revenue'!$A$1="BL","-",IF(Peak!M101&gt;Peak!$G101,G$8*$X100,0))</f>
        <v>38.644854363823427</v>
      </c>
      <c r="H100" s="172">
        <f>IF('Peak Revenue'!$A$1="BL","-",IF(Peak!N101&gt;Peak!$G101,H$8*$X100,0))</f>
        <v>38.644854363823427</v>
      </c>
      <c r="I100" s="172">
        <f>IF('Peak Revenue'!$A$1="BL","-",IF(Peak!O101&gt;Peak!$G101,I$8*$X100,0))</f>
        <v>38.644854363823427</v>
      </c>
      <c r="J100" s="172">
        <f>IF('Peak Revenue'!$A$1="BL","-",IF(Peak!P101&gt;Peak!$G101,J$8*$X100,0))</f>
        <v>38.644854363823427</v>
      </c>
      <c r="K100" s="172">
        <f>IF('Peak Revenue'!$A$1="BL","-",IF(Peak!Q101&gt;Peak!$G101,K$8*$X100,0))</f>
        <v>38.644854363823427</v>
      </c>
      <c r="L100" s="172">
        <f>IF('Peak Revenue'!$A$1="BL","-",IF(Peak!R101&gt;Peak!$G101,L$8*$X100,0))</f>
        <v>38.644854363823427</v>
      </c>
      <c r="M100" s="172">
        <f>IF('Peak Revenue'!$A$1="BL","-",IF(Peak!S101&gt;Peak!$G101,M$8*$X100,0))</f>
        <v>0</v>
      </c>
      <c r="N100" s="172">
        <f>IF('Peak Revenue'!$A$1="BL","-",IF(Peak!T101&gt;Peak!$G101,N$8*$X100,0))</f>
        <v>0</v>
      </c>
      <c r="O100" s="172">
        <f>IF('Peak Revenue'!$A$1="BL","-",IF(Peak!U101&gt;Peak!$G101,O$8*$X100,0))</f>
        <v>0</v>
      </c>
      <c r="P100" s="172">
        <f>IF('Peak Revenue'!$A$1="BL","-",IF(Peak!V101&gt;Peak!$G101,P$8*$X100,0))</f>
        <v>0</v>
      </c>
      <c r="Q100" s="172">
        <f>IF('Peak Revenue'!$A$1="BL","-",IF(Peak!W101&gt;Peak!$G101,Q$8*$X100,0))</f>
        <v>0</v>
      </c>
      <c r="R100" s="172">
        <f>IF('Peak Revenue'!$A$1="BL","-",IF(Peak!X101&gt;Peak!$G101,R$8*$X100,0))</f>
        <v>0</v>
      </c>
      <c r="S100" s="172">
        <f>IF('Peak Revenue'!$A$1="BL","-",IF(Peak!Y101&gt;Peak!$G101,S$8*$X100,0))</f>
        <v>0</v>
      </c>
      <c r="T100" s="172">
        <f>IF('Peak Revenue'!$A$1="BL","-",IF(Peak!Z101&gt;Peak!$G101,T$8*$X100,0))</f>
        <v>0</v>
      </c>
      <c r="U100" s="172">
        <f>IF('Peak Revenue'!$A$1="BL","-",IF(Peak!AA101&gt;Peak!$G101,U$8*$X100,0))</f>
        <v>0</v>
      </c>
      <c r="V100" s="175">
        <f t="shared" si="2"/>
        <v>289.83640772867562</v>
      </c>
      <c r="W100" s="164"/>
      <c r="X100" s="473">
        <f>CHOOSE(QUOTIENT(MONTH($A100),3)+1,Peak!$AM$11,Peak!$AN$11,Peak!$AL$11,Peak!$AO$11,Peak!$AM$11)</f>
        <v>0.96612135909558572</v>
      </c>
      <c r="Y100" s="474">
        <f>CHOOSE(QUOTIENT(MONTH($A100),3)+1,Peak!$AM$17,Peak!$AN$17,Peak!$AL$17,Peak!$AO$17,Peak!$AM$17)</f>
        <v>705</v>
      </c>
    </row>
    <row r="101" spans="1:25" x14ac:dyDescent="0.2">
      <c r="A101" s="1">
        <f t="shared" si="3"/>
        <v>39307.947000000117</v>
      </c>
      <c r="B101" s="172">
        <f>IF('Peak Revenue'!$A$1="BL","-",IF(Peak!H102&gt;Peak!$G102,B$8*$X101,0))</f>
        <v>4.8306067954779284</v>
      </c>
      <c r="C101" s="172">
        <f>IF('Peak Revenue'!$A$1="BL","-",IF(Peak!I102&gt;Peak!$G102,C$8*$X101,0))</f>
        <v>4.8306067954779284</v>
      </c>
      <c r="D101" s="172">
        <f>IF('Peak Revenue'!$A$1="BL","-",IF(Peak!J102&gt;Peak!$G102,D$8*$X101,0))</f>
        <v>9.6612135909558567</v>
      </c>
      <c r="E101" s="172">
        <f>IF('Peak Revenue'!$A$1="BL","-",IF(Peak!K102&gt;Peak!$G102,E$8*$X101,0))</f>
        <v>19.322427181911713</v>
      </c>
      <c r="F101" s="172">
        <f>IF('Peak Revenue'!$A$1="BL","-",IF(Peak!L102&gt;Peak!$G102,F$8*$X101,0))</f>
        <v>19.322427181911713</v>
      </c>
      <c r="G101" s="172">
        <f>IF('Peak Revenue'!$A$1="BL","-",IF(Peak!M102&gt;Peak!$G102,G$8*$X101,0))</f>
        <v>38.644854363823427</v>
      </c>
      <c r="H101" s="172">
        <f>IF('Peak Revenue'!$A$1="BL","-",IF(Peak!N102&gt;Peak!$G102,H$8*$X101,0))</f>
        <v>38.644854363823427</v>
      </c>
      <c r="I101" s="172">
        <f>IF('Peak Revenue'!$A$1="BL","-",IF(Peak!O102&gt;Peak!$G102,I$8*$X101,0))</f>
        <v>38.644854363823427</v>
      </c>
      <c r="J101" s="172">
        <f>IF('Peak Revenue'!$A$1="BL","-",IF(Peak!P102&gt;Peak!$G102,J$8*$X101,0))</f>
        <v>38.644854363823427</v>
      </c>
      <c r="K101" s="172">
        <f>IF('Peak Revenue'!$A$1="BL","-",IF(Peak!Q102&gt;Peak!$G102,K$8*$X101,0))</f>
        <v>38.644854363823427</v>
      </c>
      <c r="L101" s="172">
        <f>IF('Peak Revenue'!$A$1="BL","-",IF(Peak!R102&gt;Peak!$G102,L$8*$X101,0))</f>
        <v>38.644854363823427</v>
      </c>
      <c r="M101" s="172">
        <f>IF('Peak Revenue'!$A$1="BL","-",IF(Peak!S102&gt;Peak!$G102,M$8*$X101,0))</f>
        <v>38.644854363823427</v>
      </c>
      <c r="N101" s="172">
        <f>IF('Peak Revenue'!$A$1="BL","-",IF(Peak!T102&gt;Peak!$G102,N$8*$X101,0))</f>
        <v>38.644854363823427</v>
      </c>
      <c r="O101" s="172">
        <f>IF('Peak Revenue'!$A$1="BL","-",IF(Peak!U102&gt;Peak!$G102,O$8*$X101,0))</f>
        <v>0</v>
      </c>
      <c r="P101" s="172">
        <f>IF('Peak Revenue'!$A$1="BL","-",IF(Peak!V102&gt;Peak!$G102,P$8*$X101,0))</f>
        <v>0</v>
      </c>
      <c r="Q101" s="172">
        <f>IF('Peak Revenue'!$A$1="BL","-",IF(Peak!W102&gt;Peak!$G102,Q$8*$X101,0))</f>
        <v>0</v>
      </c>
      <c r="R101" s="172">
        <f>IF('Peak Revenue'!$A$1="BL","-",IF(Peak!X102&gt;Peak!$G102,R$8*$X101,0))</f>
        <v>0</v>
      </c>
      <c r="S101" s="172">
        <f>IF('Peak Revenue'!$A$1="BL","-",IF(Peak!Y102&gt;Peak!$G102,S$8*$X101,0))</f>
        <v>0</v>
      </c>
      <c r="T101" s="172">
        <f>IF('Peak Revenue'!$A$1="BL","-",IF(Peak!Z102&gt;Peak!$G102,T$8*$X101,0))</f>
        <v>0</v>
      </c>
      <c r="U101" s="172">
        <f>IF('Peak Revenue'!$A$1="BL","-",IF(Peak!AA102&gt;Peak!$G102,U$8*$X101,0))</f>
        <v>0</v>
      </c>
      <c r="V101" s="175">
        <f t="shared" si="2"/>
        <v>367.12611645632245</v>
      </c>
      <c r="W101" s="164"/>
      <c r="X101" s="473">
        <f>CHOOSE(QUOTIENT(MONTH($A101),3)+1,Peak!$AM$11,Peak!$AN$11,Peak!$AL$11,Peak!$AO$11,Peak!$AM$11)</f>
        <v>0.96612135909558572</v>
      </c>
      <c r="Y101" s="474">
        <f>CHOOSE(QUOTIENT(MONTH($A101),3)+1,Peak!$AM$17,Peak!$AN$17,Peak!$AL$17,Peak!$AO$17,Peak!$AM$17)</f>
        <v>705</v>
      </c>
    </row>
    <row r="102" spans="1:25" x14ac:dyDescent="0.2">
      <c r="A102" s="1">
        <f t="shared" si="3"/>
        <v>39338.364000000118</v>
      </c>
      <c r="B102" s="172">
        <f>IF('Peak Revenue'!$A$1="BL","-",IF(Peak!H103&gt;Peak!$G103,B$8*$X102,0))</f>
        <v>4.75</v>
      </c>
      <c r="C102" s="172">
        <f>IF('Peak Revenue'!$A$1="BL","-",IF(Peak!I103&gt;Peak!$G103,C$8*$X102,0))</f>
        <v>4.75</v>
      </c>
      <c r="D102" s="172">
        <f>IF('Peak Revenue'!$A$1="BL","-",IF(Peak!J103&gt;Peak!$G103,D$8*$X102,0))</f>
        <v>9.5</v>
      </c>
      <c r="E102" s="172">
        <f>IF('Peak Revenue'!$A$1="BL","-",IF(Peak!K103&gt;Peak!$G103,E$8*$X102,0))</f>
        <v>19</v>
      </c>
      <c r="F102" s="172">
        <f>IF('Peak Revenue'!$A$1="BL","-",IF(Peak!L103&gt;Peak!$G103,F$8*$X102,0))</f>
        <v>19</v>
      </c>
      <c r="G102" s="172">
        <f>IF('Peak Revenue'!$A$1="BL","-",IF(Peak!M103&gt;Peak!$G103,G$8*$X102,0))</f>
        <v>38</v>
      </c>
      <c r="H102" s="172">
        <f>IF('Peak Revenue'!$A$1="BL","-",IF(Peak!N103&gt;Peak!$G103,H$8*$X102,0))</f>
        <v>38</v>
      </c>
      <c r="I102" s="172">
        <f>IF('Peak Revenue'!$A$1="BL","-",IF(Peak!O103&gt;Peak!$G103,I$8*$X102,0))</f>
        <v>38</v>
      </c>
      <c r="J102" s="172">
        <f>IF('Peak Revenue'!$A$1="BL","-",IF(Peak!P103&gt;Peak!$G103,J$8*$X102,0))</f>
        <v>38</v>
      </c>
      <c r="K102" s="172">
        <f>IF('Peak Revenue'!$A$1="BL","-",IF(Peak!Q103&gt;Peak!$G103,K$8*$X102,0))</f>
        <v>38</v>
      </c>
      <c r="L102" s="172">
        <f>IF('Peak Revenue'!$A$1="BL","-",IF(Peak!R103&gt;Peak!$G103,L$8*$X102,0))</f>
        <v>38</v>
      </c>
      <c r="M102" s="172">
        <f>IF('Peak Revenue'!$A$1="BL","-",IF(Peak!S103&gt;Peak!$G103,M$8*$X102,0))</f>
        <v>0</v>
      </c>
      <c r="N102" s="172">
        <f>IF('Peak Revenue'!$A$1="BL","-",IF(Peak!T103&gt;Peak!$G103,N$8*$X102,0))</f>
        <v>0</v>
      </c>
      <c r="O102" s="172">
        <f>IF('Peak Revenue'!$A$1="BL","-",IF(Peak!U103&gt;Peak!$G103,O$8*$X102,0))</f>
        <v>0</v>
      </c>
      <c r="P102" s="172">
        <f>IF('Peak Revenue'!$A$1="BL","-",IF(Peak!V103&gt;Peak!$G103,P$8*$X102,0))</f>
        <v>0</v>
      </c>
      <c r="Q102" s="172">
        <f>IF('Peak Revenue'!$A$1="BL","-",IF(Peak!W103&gt;Peak!$G103,Q$8*$X102,0))</f>
        <v>0</v>
      </c>
      <c r="R102" s="172">
        <f>IF('Peak Revenue'!$A$1="BL","-",IF(Peak!X103&gt;Peak!$G103,R$8*$X102,0))</f>
        <v>0</v>
      </c>
      <c r="S102" s="172">
        <f>IF('Peak Revenue'!$A$1="BL","-",IF(Peak!Y103&gt;Peak!$G103,S$8*$X102,0))</f>
        <v>0</v>
      </c>
      <c r="T102" s="172">
        <f>IF('Peak Revenue'!$A$1="BL","-",IF(Peak!Z103&gt;Peak!$G103,T$8*$X102,0))</f>
        <v>0</v>
      </c>
      <c r="U102" s="172">
        <f>IF('Peak Revenue'!$A$1="BL","-",IF(Peak!AA103&gt;Peak!$G103,U$8*$X102,0))</f>
        <v>0</v>
      </c>
      <c r="V102" s="175">
        <f t="shared" si="2"/>
        <v>285</v>
      </c>
      <c r="W102" s="164"/>
      <c r="X102" s="473">
        <f>CHOOSE(QUOTIENT(MONTH($A102),3)+1,Peak!$AM$11,Peak!$AN$11,Peak!$AL$11,Peak!$AO$11,Peak!$AM$11)</f>
        <v>0.95</v>
      </c>
      <c r="Y102" s="474">
        <f>CHOOSE(QUOTIENT(MONTH($A102),3)+1,Peak!$AM$17,Peak!$AN$17,Peak!$AL$17,Peak!$AO$17,Peak!$AM$17)</f>
        <v>705</v>
      </c>
    </row>
    <row r="103" spans="1:25" x14ac:dyDescent="0.2">
      <c r="A103" s="1">
        <f t="shared" si="3"/>
        <v>39368.781000000119</v>
      </c>
      <c r="B103" s="172">
        <f>IF('Peak Revenue'!$A$1="BL","-",IF(Peak!H104&gt;Peak!$G104,B$8*$X103,0))</f>
        <v>4.75</v>
      </c>
      <c r="C103" s="172">
        <f>IF('Peak Revenue'!$A$1="BL","-",IF(Peak!I104&gt;Peak!$G104,C$8*$X103,0))</f>
        <v>4.75</v>
      </c>
      <c r="D103" s="172">
        <f>IF('Peak Revenue'!$A$1="BL","-",IF(Peak!J104&gt;Peak!$G104,D$8*$X103,0))</f>
        <v>9.5</v>
      </c>
      <c r="E103" s="172">
        <f>IF('Peak Revenue'!$A$1="BL","-",IF(Peak!K104&gt;Peak!$G104,E$8*$X103,0))</f>
        <v>19</v>
      </c>
      <c r="F103" s="172">
        <f>IF('Peak Revenue'!$A$1="BL","-",IF(Peak!L104&gt;Peak!$G104,F$8*$X103,0))</f>
        <v>19</v>
      </c>
      <c r="G103" s="172">
        <f>IF('Peak Revenue'!$A$1="BL","-",IF(Peak!M104&gt;Peak!$G104,G$8*$X103,0))</f>
        <v>38</v>
      </c>
      <c r="H103" s="172">
        <f>IF('Peak Revenue'!$A$1="BL","-",IF(Peak!N104&gt;Peak!$G104,H$8*$X103,0))</f>
        <v>38</v>
      </c>
      <c r="I103" s="172">
        <f>IF('Peak Revenue'!$A$1="BL","-",IF(Peak!O104&gt;Peak!$G104,I$8*$X103,0))</f>
        <v>38</v>
      </c>
      <c r="J103" s="172">
        <f>IF('Peak Revenue'!$A$1="BL","-",IF(Peak!P104&gt;Peak!$G104,J$8*$X103,0))</f>
        <v>38</v>
      </c>
      <c r="K103" s="172">
        <f>IF('Peak Revenue'!$A$1="BL","-",IF(Peak!Q104&gt;Peak!$G104,K$8*$X103,0))</f>
        <v>38</v>
      </c>
      <c r="L103" s="172">
        <f>IF('Peak Revenue'!$A$1="BL","-",IF(Peak!R104&gt;Peak!$G104,L$8*$X103,0))</f>
        <v>0</v>
      </c>
      <c r="M103" s="172">
        <f>IF('Peak Revenue'!$A$1="BL","-",IF(Peak!S104&gt;Peak!$G104,M$8*$X103,0))</f>
        <v>0</v>
      </c>
      <c r="N103" s="172">
        <f>IF('Peak Revenue'!$A$1="BL","-",IF(Peak!T104&gt;Peak!$G104,N$8*$X103,0))</f>
        <v>0</v>
      </c>
      <c r="O103" s="172">
        <f>IF('Peak Revenue'!$A$1="BL","-",IF(Peak!U104&gt;Peak!$G104,O$8*$X103,0))</f>
        <v>0</v>
      </c>
      <c r="P103" s="172">
        <f>IF('Peak Revenue'!$A$1="BL","-",IF(Peak!V104&gt;Peak!$G104,P$8*$X103,0))</f>
        <v>0</v>
      </c>
      <c r="Q103" s="172">
        <f>IF('Peak Revenue'!$A$1="BL","-",IF(Peak!W104&gt;Peak!$G104,Q$8*$X103,0))</f>
        <v>0</v>
      </c>
      <c r="R103" s="172">
        <f>IF('Peak Revenue'!$A$1="BL","-",IF(Peak!X104&gt;Peak!$G104,R$8*$X103,0))</f>
        <v>0</v>
      </c>
      <c r="S103" s="172">
        <f>IF('Peak Revenue'!$A$1="BL","-",IF(Peak!Y104&gt;Peak!$G104,S$8*$X103,0))</f>
        <v>0</v>
      </c>
      <c r="T103" s="172">
        <f>IF('Peak Revenue'!$A$1="BL","-",IF(Peak!Z104&gt;Peak!$G104,T$8*$X103,0))</f>
        <v>0</v>
      </c>
      <c r="U103" s="172">
        <f>IF('Peak Revenue'!$A$1="BL","-",IF(Peak!AA104&gt;Peak!$G104,U$8*$X103,0))</f>
        <v>0</v>
      </c>
      <c r="V103" s="175">
        <f t="shared" si="2"/>
        <v>247</v>
      </c>
      <c r="W103" s="164"/>
      <c r="X103" s="473">
        <f>CHOOSE(QUOTIENT(MONTH($A103),3)+1,Peak!$AM$11,Peak!$AN$11,Peak!$AL$11,Peak!$AO$11,Peak!$AM$11)</f>
        <v>0.95</v>
      </c>
      <c r="Y103" s="474">
        <f>CHOOSE(QUOTIENT(MONTH($A103),3)+1,Peak!$AM$17,Peak!$AN$17,Peak!$AL$17,Peak!$AO$17,Peak!$AM$17)</f>
        <v>705</v>
      </c>
    </row>
    <row r="104" spans="1:25" x14ac:dyDescent="0.2">
      <c r="A104" s="1">
        <f t="shared" si="3"/>
        <v>39399.19800000012</v>
      </c>
      <c r="B104" s="172">
        <f>IF('Peak Revenue'!$A$1="BL","-",IF(Peak!H105&gt;Peak!$G105,B$8*$X104,0))</f>
        <v>4.75</v>
      </c>
      <c r="C104" s="172">
        <f>IF('Peak Revenue'!$A$1="BL","-",IF(Peak!I105&gt;Peak!$G105,C$8*$X104,0))</f>
        <v>4.75</v>
      </c>
      <c r="D104" s="172">
        <f>IF('Peak Revenue'!$A$1="BL","-",IF(Peak!J105&gt;Peak!$G105,D$8*$X104,0))</f>
        <v>9.5</v>
      </c>
      <c r="E104" s="172">
        <f>IF('Peak Revenue'!$A$1="BL","-",IF(Peak!K105&gt;Peak!$G105,E$8*$X104,0))</f>
        <v>19</v>
      </c>
      <c r="F104" s="172">
        <f>IF('Peak Revenue'!$A$1="BL","-",IF(Peak!L105&gt;Peak!$G105,F$8*$X104,0))</f>
        <v>19</v>
      </c>
      <c r="G104" s="172">
        <f>IF('Peak Revenue'!$A$1="BL","-",IF(Peak!M105&gt;Peak!$G105,G$8*$X104,0))</f>
        <v>38</v>
      </c>
      <c r="H104" s="172">
        <f>IF('Peak Revenue'!$A$1="BL","-",IF(Peak!N105&gt;Peak!$G105,H$8*$X104,0))</f>
        <v>38</v>
      </c>
      <c r="I104" s="172">
        <f>IF('Peak Revenue'!$A$1="BL","-",IF(Peak!O105&gt;Peak!$G105,I$8*$X104,0))</f>
        <v>38</v>
      </c>
      <c r="J104" s="172">
        <f>IF('Peak Revenue'!$A$1="BL","-",IF(Peak!P105&gt;Peak!$G105,J$8*$X104,0))</f>
        <v>38</v>
      </c>
      <c r="K104" s="172">
        <f>IF('Peak Revenue'!$A$1="BL","-",IF(Peak!Q105&gt;Peak!$G105,K$8*$X104,0))</f>
        <v>0</v>
      </c>
      <c r="L104" s="172">
        <f>IF('Peak Revenue'!$A$1="BL","-",IF(Peak!R105&gt;Peak!$G105,L$8*$X104,0))</f>
        <v>0</v>
      </c>
      <c r="M104" s="172">
        <f>IF('Peak Revenue'!$A$1="BL","-",IF(Peak!S105&gt;Peak!$G105,M$8*$X104,0))</f>
        <v>0</v>
      </c>
      <c r="N104" s="172">
        <f>IF('Peak Revenue'!$A$1="BL","-",IF(Peak!T105&gt;Peak!$G105,N$8*$X104,0))</f>
        <v>0</v>
      </c>
      <c r="O104" s="172">
        <f>IF('Peak Revenue'!$A$1="BL","-",IF(Peak!U105&gt;Peak!$G105,O$8*$X104,0))</f>
        <v>0</v>
      </c>
      <c r="P104" s="172">
        <f>IF('Peak Revenue'!$A$1="BL","-",IF(Peak!V105&gt;Peak!$G105,P$8*$X104,0))</f>
        <v>0</v>
      </c>
      <c r="Q104" s="172">
        <f>IF('Peak Revenue'!$A$1="BL","-",IF(Peak!W105&gt;Peak!$G105,Q$8*$X104,0))</f>
        <v>0</v>
      </c>
      <c r="R104" s="172">
        <f>IF('Peak Revenue'!$A$1="BL","-",IF(Peak!X105&gt;Peak!$G105,R$8*$X104,0))</f>
        <v>0</v>
      </c>
      <c r="S104" s="172">
        <f>IF('Peak Revenue'!$A$1="BL","-",IF(Peak!Y105&gt;Peak!$G105,S$8*$X104,0))</f>
        <v>0</v>
      </c>
      <c r="T104" s="172">
        <f>IF('Peak Revenue'!$A$1="BL","-",IF(Peak!Z105&gt;Peak!$G105,T$8*$X104,0))</f>
        <v>0</v>
      </c>
      <c r="U104" s="172">
        <f>IF('Peak Revenue'!$A$1="BL","-",IF(Peak!AA105&gt;Peak!$G105,U$8*$X104,0))</f>
        <v>0</v>
      </c>
      <c r="V104" s="175">
        <f t="shared" si="2"/>
        <v>209</v>
      </c>
      <c r="W104" s="164"/>
      <c r="X104" s="473">
        <f>CHOOSE(QUOTIENT(MONTH($A104),3)+1,Peak!$AM$11,Peak!$AN$11,Peak!$AL$11,Peak!$AO$11,Peak!$AM$11)</f>
        <v>0.95</v>
      </c>
      <c r="Y104" s="474">
        <f>CHOOSE(QUOTIENT(MONTH($A104),3)+1,Peak!$AM$17,Peak!$AN$17,Peak!$AL$17,Peak!$AO$17,Peak!$AM$17)</f>
        <v>705</v>
      </c>
    </row>
    <row r="105" spans="1:25" x14ac:dyDescent="0.2">
      <c r="A105" s="1">
        <f t="shared" si="3"/>
        <v>39429.615000000122</v>
      </c>
      <c r="B105" s="172">
        <f>IF('Peak Revenue'!$A$1="BL","-",IF(Peak!H106&gt;Peak!$G106,B$8*$X105,0))</f>
        <v>4.6213830939305875</v>
      </c>
      <c r="C105" s="172">
        <f>IF('Peak Revenue'!$A$1="BL","-",IF(Peak!I106&gt;Peak!$G106,C$8*$X105,0))</f>
        <v>4.6213830939305875</v>
      </c>
      <c r="D105" s="172">
        <f>IF('Peak Revenue'!$A$1="BL","-",IF(Peak!J106&gt;Peak!$G106,D$8*$X105,0))</f>
        <v>9.2427661878611751</v>
      </c>
      <c r="E105" s="172">
        <f>IF('Peak Revenue'!$A$1="BL","-",IF(Peak!K106&gt;Peak!$G106,E$8*$X105,0))</f>
        <v>18.48553237572235</v>
      </c>
      <c r="F105" s="172">
        <f>IF('Peak Revenue'!$A$1="BL","-",IF(Peak!L106&gt;Peak!$G106,F$8*$X105,0))</f>
        <v>18.48553237572235</v>
      </c>
      <c r="G105" s="172">
        <f>IF('Peak Revenue'!$A$1="BL","-",IF(Peak!M106&gt;Peak!$G106,G$8*$X105,0))</f>
        <v>36.9710647514447</v>
      </c>
      <c r="H105" s="172">
        <f>IF('Peak Revenue'!$A$1="BL","-",IF(Peak!N106&gt;Peak!$G106,H$8*$X105,0))</f>
        <v>36.9710647514447</v>
      </c>
      <c r="I105" s="172">
        <f>IF('Peak Revenue'!$A$1="BL","-",IF(Peak!O106&gt;Peak!$G106,I$8*$X105,0))</f>
        <v>36.9710647514447</v>
      </c>
      <c r="J105" s="172">
        <f>IF('Peak Revenue'!$A$1="BL","-",IF(Peak!P106&gt;Peak!$G106,J$8*$X105,0))</f>
        <v>36.9710647514447</v>
      </c>
      <c r="K105" s="172">
        <f>IF('Peak Revenue'!$A$1="BL","-",IF(Peak!Q106&gt;Peak!$G106,K$8*$X105,0))</f>
        <v>0</v>
      </c>
      <c r="L105" s="172">
        <f>IF('Peak Revenue'!$A$1="BL","-",IF(Peak!R106&gt;Peak!$G106,L$8*$X105,0))</f>
        <v>0</v>
      </c>
      <c r="M105" s="172">
        <f>IF('Peak Revenue'!$A$1="BL","-",IF(Peak!S106&gt;Peak!$G106,M$8*$X105,0))</f>
        <v>0</v>
      </c>
      <c r="N105" s="172">
        <f>IF('Peak Revenue'!$A$1="BL","-",IF(Peak!T106&gt;Peak!$G106,N$8*$X105,0))</f>
        <v>0</v>
      </c>
      <c r="O105" s="172">
        <f>IF('Peak Revenue'!$A$1="BL","-",IF(Peak!U106&gt;Peak!$G106,O$8*$X105,0))</f>
        <v>0</v>
      </c>
      <c r="P105" s="172">
        <f>IF('Peak Revenue'!$A$1="BL","-",IF(Peak!V106&gt;Peak!$G106,P$8*$X105,0))</f>
        <v>0</v>
      </c>
      <c r="Q105" s="172">
        <f>IF('Peak Revenue'!$A$1="BL","-",IF(Peak!W106&gt;Peak!$G106,Q$8*$X105,0))</f>
        <v>0</v>
      </c>
      <c r="R105" s="172">
        <f>IF('Peak Revenue'!$A$1="BL","-",IF(Peak!X106&gt;Peak!$G106,R$8*$X105,0))</f>
        <v>0</v>
      </c>
      <c r="S105" s="172">
        <f>IF('Peak Revenue'!$A$1="BL","-",IF(Peak!Y106&gt;Peak!$G106,S$8*$X105,0))</f>
        <v>0</v>
      </c>
      <c r="T105" s="172">
        <f>IF('Peak Revenue'!$A$1="BL","-",IF(Peak!Z106&gt;Peak!$G106,T$8*$X105,0))</f>
        <v>0</v>
      </c>
      <c r="U105" s="172">
        <f>IF('Peak Revenue'!$A$1="BL","-",IF(Peak!AA106&gt;Peak!$G106,U$8*$X105,0))</f>
        <v>0</v>
      </c>
      <c r="V105" s="175">
        <f t="shared" si="2"/>
        <v>203.34085613294587</v>
      </c>
      <c r="W105" s="163">
        <f>SUM(V94:V105)</f>
        <v>2886.176645948688</v>
      </c>
      <c r="X105" s="473">
        <f>CHOOSE(QUOTIENT(MONTH($A105),3)+1,Peak!$AM$11,Peak!$AN$11,Peak!$AL$11,Peak!$AO$11,Peak!$AM$11)</f>
        <v>0.92427661878611755</v>
      </c>
      <c r="Y105" s="474">
        <f>CHOOSE(QUOTIENT(MONTH($A105),3)+1,Peak!$AM$17,Peak!$AN$17,Peak!$AL$17,Peak!$AO$17,Peak!$AM$17)</f>
        <v>705</v>
      </c>
    </row>
    <row r="106" spans="1:25" x14ac:dyDescent="0.2">
      <c r="A106" s="1">
        <f t="shared" si="3"/>
        <v>39460.032000000123</v>
      </c>
      <c r="B106" s="172">
        <f>IF('Peak Revenue'!$A$1="BL","-",IF(Peak!H107&gt;Peak!$G107,B$8*$X106,0))</f>
        <v>4.6213830939305875</v>
      </c>
      <c r="C106" s="172">
        <f>IF('Peak Revenue'!$A$1="BL","-",IF(Peak!I107&gt;Peak!$G107,C$8*$X106,0))</f>
        <v>4.6213830939305875</v>
      </c>
      <c r="D106" s="172">
        <f>IF('Peak Revenue'!$A$1="BL","-",IF(Peak!J107&gt;Peak!$G107,D$8*$X106,0))</f>
        <v>9.2427661878611751</v>
      </c>
      <c r="E106" s="172">
        <f>IF('Peak Revenue'!$A$1="BL","-",IF(Peak!K107&gt;Peak!$G107,E$8*$X106,0))</f>
        <v>18.48553237572235</v>
      </c>
      <c r="F106" s="172">
        <f>IF('Peak Revenue'!$A$1="BL","-",IF(Peak!L107&gt;Peak!$G107,F$8*$X106,0))</f>
        <v>18.48553237572235</v>
      </c>
      <c r="G106" s="172">
        <f>IF('Peak Revenue'!$A$1="BL","-",IF(Peak!M107&gt;Peak!$G107,G$8*$X106,0))</f>
        <v>36.9710647514447</v>
      </c>
      <c r="H106" s="172">
        <f>IF('Peak Revenue'!$A$1="BL","-",IF(Peak!N107&gt;Peak!$G107,H$8*$X106,0))</f>
        <v>36.9710647514447</v>
      </c>
      <c r="I106" s="172">
        <f>IF('Peak Revenue'!$A$1="BL","-",IF(Peak!O107&gt;Peak!$G107,I$8*$X106,0))</f>
        <v>36.9710647514447</v>
      </c>
      <c r="J106" s="172">
        <f>IF('Peak Revenue'!$A$1="BL","-",IF(Peak!P107&gt;Peak!$G107,J$8*$X106,0))</f>
        <v>36.9710647514447</v>
      </c>
      <c r="K106" s="172">
        <f>IF('Peak Revenue'!$A$1="BL","-",IF(Peak!Q107&gt;Peak!$G107,K$8*$X106,0))</f>
        <v>36.9710647514447</v>
      </c>
      <c r="L106" s="172">
        <f>IF('Peak Revenue'!$A$1="BL","-",IF(Peak!R107&gt;Peak!$G107,L$8*$X106,0))</f>
        <v>0</v>
      </c>
      <c r="M106" s="172">
        <f>IF('Peak Revenue'!$A$1="BL","-",IF(Peak!S107&gt;Peak!$G107,M$8*$X106,0))</f>
        <v>0</v>
      </c>
      <c r="N106" s="172">
        <f>IF('Peak Revenue'!$A$1="BL","-",IF(Peak!T107&gt;Peak!$G107,N$8*$X106,0))</f>
        <v>0</v>
      </c>
      <c r="O106" s="172">
        <f>IF('Peak Revenue'!$A$1="BL","-",IF(Peak!U107&gt;Peak!$G107,O$8*$X106,0))</f>
        <v>0</v>
      </c>
      <c r="P106" s="172">
        <f>IF('Peak Revenue'!$A$1="BL","-",IF(Peak!V107&gt;Peak!$G107,P$8*$X106,0))</f>
        <v>0</v>
      </c>
      <c r="Q106" s="172">
        <f>IF('Peak Revenue'!$A$1="BL","-",IF(Peak!W107&gt;Peak!$G107,Q$8*$X106,0))</f>
        <v>0</v>
      </c>
      <c r="R106" s="172">
        <f>IF('Peak Revenue'!$A$1="BL","-",IF(Peak!X107&gt;Peak!$G107,R$8*$X106,0))</f>
        <v>0</v>
      </c>
      <c r="S106" s="172">
        <f>IF('Peak Revenue'!$A$1="BL","-",IF(Peak!Y107&gt;Peak!$G107,S$8*$X106,0))</f>
        <v>0</v>
      </c>
      <c r="T106" s="172">
        <f>IF('Peak Revenue'!$A$1="BL","-",IF(Peak!Z107&gt;Peak!$G107,T$8*$X106,0))</f>
        <v>0</v>
      </c>
      <c r="U106" s="172">
        <f>IF('Peak Revenue'!$A$1="BL","-",IF(Peak!AA107&gt;Peak!$G107,U$8*$X106,0))</f>
        <v>0</v>
      </c>
      <c r="V106" s="175">
        <f t="shared" si="2"/>
        <v>240.31192088439059</v>
      </c>
      <c r="W106" s="164"/>
      <c r="X106" s="473">
        <f>CHOOSE(QUOTIENT(MONTH($A106),3)+1,Peak!$AM$11,Peak!$AN$11,Peak!$AL$11,Peak!$AO$11,Peak!$AM$11)</f>
        <v>0.92427661878611755</v>
      </c>
      <c r="Y106" s="474">
        <f>CHOOSE(QUOTIENT(MONTH($A106),3)+1,Peak!$AM$17,Peak!$AN$17,Peak!$AL$17,Peak!$AO$17,Peak!$AM$17)</f>
        <v>705</v>
      </c>
    </row>
    <row r="107" spans="1:25" x14ac:dyDescent="0.2">
      <c r="A107" s="1">
        <f t="shared" si="3"/>
        <v>39490.449000000124</v>
      </c>
      <c r="B107" s="172">
        <f>IF('Peak Revenue'!$A$1="BL","-",IF(Peak!H108&gt;Peak!$G108,B$8*$X107,0))</f>
        <v>4.6213830939305875</v>
      </c>
      <c r="C107" s="172">
        <f>IF('Peak Revenue'!$A$1="BL","-",IF(Peak!I108&gt;Peak!$G108,C$8*$X107,0))</f>
        <v>4.6213830939305875</v>
      </c>
      <c r="D107" s="172">
        <f>IF('Peak Revenue'!$A$1="BL","-",IF(Peak!J108&gt;Peak!$G108,D$8*$X107,0))</f>
        <v>9.2427661878611751</v>
      </c>
      <c r="E107" s="172">
        <f>IF('Peak Revenue'!$A$1="BL","-",IF(Peak!K108&gt;Peak!$G108,E$8*$X107,0))</f>
        <v>18.48553237572235</v>
      </c>
      <c r="F107" s="172">
        <f>IF('Peak Revenue'!$A$1="BL","-",IF(Peak!L108&gt;Peak!$G108,F$8*$X107,0))</f>
        <v>18.48553237572235</v>
      </c>
      <c r="G107" s="172">
        <f>IF('Peak Revenue'!$A$1="BL","-",IF(Peak!M108&gt;Peak!$G108,G$8*$X107,0))</f>
        <v>36.9710647514447</v>
      </c>
      <c r="H107" s="172">
        <f>IF('Peak Revenue'!$A$1="BL","-",IF(Peak!N108&gt;Peak!$G108,H$8*$X107,0))</f>
        <v>36.9710647514447</v>
      </c>
      <c r="I107" s="172">
        <f>IF('Peak Revenue'!$A$1="BL","-",IF(Peak!O108&gt;Peak!$G108,I$8*$X107,0))</f>
        <v>36.9710647514447</v>
      </c>
      <c r="J107" s="172">
        <f>IF('Peak Revenue'!$A$1="BL","-",IF(Peak!P108&gt;Peak!$G108,J$8*$X107,0))</f>
        <v>36.9710647514447</v>
      </c>
      <c r="K107" s="172">
        <f>IF('Peak Revenue'!$A$1="BL","-",IF(Peak!Q108&gt;Peak!$G108,K$8*$X107,0))</f>
        <v>36.9710647514447</v>
      </c>
      <c r="L107" s="172">
        <f>IF('Peak Revenue'!$A$1="BL","-",IF(Peak!R108&gt;Peak!$G108,L$8*$X107,0))</f>
        <v>36.9710647514447</v>
      </c>
      <c r="M107" s="172">
        <f>IF('Peak Revenue'!$A$1="BL","-",IF(Peak!S108&gt;Peak!$G108,M$8*$X107,0))</f>
        <v>36.9710647514447</v>
      </c>
      <c r="N107" s="172">
        <f>IF('Peak Revenue'!$A$1="BL","-",IF(Peak!T108&gt;Peak!$G108,N$8*$X107,0))</f>
        <v>0</v>
      </c>
      <c r="O107" s="172">
        <f>IF('Peak Revenue'!$A$1="BL","-",IF(Peak!U108&gt;Peak!$G108,O$8*$X107,0))</f>
        <v>0</v>
      </c>
      <c r="P107" s="172">
        <f>IF('Peak Revenue'!$A$1="BL","-",IF(Peak!V108&gt;Peak!$G108,P$8*$X107,0))</f>
        <v>0</v>
      </c>
      <c r="Q107" s="172">
        <f>IF('Peak Revenue'!$A$1="BL","-",IF(Peak!W108&gt;Peak!$G108,Q$8*$X107,0))</f>
        <v>0</v>
      </c>
      <c r="R107" s="172">
        <f>IF('Peak Revenue'!$A$1="BL","-",IF(Peak!X108&gt;Peak!$G108,R$8*$X107,0))</f>
        <v>0</v>
      </c>
      <c r="S107" s="172">
        <f>IF('Peak Revenue'!$A$1="BL","-",IF(Peak!Y108&gt;Peak!$G108,S$8*$X107,0))</f>
        <v>0</v>
      </c>
      <c r="T107" s="172">
        <f>IF('Peak Revenue'!$A$1="BL","-",IF(Peak!Z108&gt;Peak!$G108,T$8*$X107,0))</f>
        <v>0</v>
      </c>
      <c r="U107" s="172">
        <f>IF('Peak Revenue'!$A$1="BL","-",IF(Peak!AA108&gt;Peak!$G108,U$8*$X107,0))</f>
        <v>0</v>
      </c>
      <c r="V107" s="175">
        <f t="shared" si="2"/>
        <v>314.25405038728002</v>
      </c>
      <c r="W107" s="164"/>
      <c r="X107" s="473">
        <f>CHOOSE(QUOTIENT(MONTH($A107),3)+1,Peak!$AM$11,Peak!$AN$11,Peak!$AL$11,Peak!$AO$11,Peak!$AM$11)</f>
        <v>0.92427661878611755</v>
      </c>
      <c r="Y107" s="474">
        <f>CHOOSE(QUOTIENT(MONTH($A107),3)+1,Peak!$AM$17,Peak!$AN$17,Peak!$AL$17,Peak!$AO$17,Peak!$AM$17)</f>
        <v>705</v>
      </c>
    </row>
    <row r="108" spans="1:25" x14ac:dyDescent="0.2">
      <c r="A108" s="1">
        <f t="shared" si="3"/>
        <v>39520.866000000125</v>
      </c>
      <c r="B108" s="172">
        <f>IF('Peak Revenue'!$A$1="BL","-",IF(Peak!H109&gt;Peak!$G109,B$8*$X108,0))</f>
        <v>4.75</v>
      </c>
      <c r="C108" s="172">
        <f>IF('Peak Revenue'!$A$1="BL","-",IF(Peak!I109&gt;Peak!$G109,C$8*$X108,0))</f>
        <v>4.75</v>
      </c>
      <c r="D108" s="172">
        <f>IF('Peak Revenue'!$A$1="BL","-",IF(Peak!J109&gt;Peak!$G109,D$8*$X108,0))</f>
        <v>9.5</v>
      </c>
      <c r="E108" s="172">
        <f>IF('Peak Revenue'!$A$1="BL","-",IF(Peak!K109&gt;Peak!$G109,E$8*$X108,0))</f>
        <v>19</v>
      </c>
      <c r="F108" s="172">
        <f>IF('Peak Revenue'!$A$1="BL","-",IF(Peak!L109&gt;Peak!$G109,F$8*$X108,0))</f>
        <v>19</v>
      </c>
      <c r="G108" s="172">
        <f>IF('Peak Revenue'!$A$1="BL","-",IF(Peak!M109&gt;Peak!$G109,G$8*$X108,0))</f>
        <v>38</v>
      </c>
      <c r="H108" s="172">
        <f>IF('Peak Revenue'!$A$1="BL","-",IF(Peak!N109&gt;Peak!$G109,H$8*$X108,0))</f>
        <v>38</v>
      </c>
      <c r="I108" s="172">
        <f>IF('Peak Revenue'!$A$1="BL","-",IF(Peak!O109&gt;Peak!$G109,I$8*$X108,0))</f>
        <v>38</v>
      </c>
      <c r="J108" s="172">
        <f>IF('Peak Revenue'!$A$1="BL","-",IF(Peak!P109&gt;Peak!$G109,J$8*$X108,0))</f>
        <v>38</v>
      </c>
      <c r="K108" s="172">
        <f>IF('Peak Revenue'!$A$1="BL","-",IF(Peak!Q109&gt;Peak!$G109,K$8*$X108,0))</f>
        <v>38</v>
      </c>
      <c r="L108" s="172">
        <f>IF('Peak Revenue'!$A$1="BL","-",IF(Peak!R109&gt;Peak!$G109,L$8*$X108,0))</f>
        <v>38</v>
      </c>
      <c r="M108" s="172">
        <f>IF('Peak Revenue'!$A$1="BL","-",IF(Peak!S109&gt;Peak!$G109,M$8*$X108,0))</f>
        <v>38</v>
      </c>
      <c r="N108" s="172">
        <f>IF('Peak Revenue'!$A$1="BL","-",IF(Peak!T109&gt;Peak!$G109,N$8*$X108,0))</f>
        <v>38</v>
      </c>
      <c r="O108" s="172">
        <f>IF('Peak Revenue'!$A$1="BL","-",IF(Peak!U109&gt;Peak!$G109,O$8*$X108,0))</f>
        <v>38</v>
      </c>
      <c r="P108" s="172">
        <f>IF('Peak Revenue'!$A$1="BL","-",IF(Peak!V109&gt;Peak!$G109,P$8*$X108,0))</f>
        <v>38</v>
      </c>
      <c r="Q108" s="172">
        <f>IF('Peak Revenue'!$A$1="BL","-",IF(Peak!W109&gt;Peak!$G109,Q$8*$X108,0))</f>
        <v>0</v>
      </c>
      <c r="R108" s="172">
        <f>IF('Peak Revenue'!$A$1="BL","-",IF(Peak!X109&gt;Peak!$G109,R$8*$X108,0))</f>
        <v>0</v>
      </c>
      <c r="S108" s="172">
        <f>IF('Peak Revenue'!$A$1="BL","-",IF(Peak!Y109&gt;Peak!$G109,S$8*$X108,0))</f>
        <v>0</v>
      </c>
      <c r="T108" s="172">
        <f>IF('Peak Revenue'!$A$1="BL","-",IF(Peak!Z109&gt;Peak!$G109,T$8*$X108,0))</f>
        <v>0</v>
      </c>
      <c r="U108" s="172">
        <f>IF('Peak Revenue'!$A$1="BL","-",IF(Peak!AA109&gt;Peak!$G109,U$8*$X108,0))</f>
        <v>0</v>
      </c>
      <c r="V108" s="175">
        <f t="shared" si="2"/>
        <v>437</v>
      </c>
      <c r="W108" s="164"/>
      <c r="X108" s="473">
        <f>CHOOSE(QUOTIENT(MONTH($A108),3)+1,Peak!$AM$11,Peak!$AN$11,Peak!$AL$11,Peak!$AO$11,Peak!$AM$11)</f>
        <v>0.95</v>
      </c>
      <c r="Y108" s="474">
        <f>CHOOSE(QUOTIENT(MONTH($A108),3)+1,Peak!$AM$17,Peak!$AN$17,Peak!$AL$17,Peak!$AO$17,Peak!$AM$17)</f>
        <v>705</v>
      </c>
    </row>
    <row r="109" spans="1:25" x14ac:dyDescent="0.2">
      <c r="A109" s="1">
        <f t="shared" si="3"/>
        <v>39551.283000000127</v>
      </c>
      <c r="B109" s="172">
        <f>IF('Peak Revenue'!$A$1="BL","-",IF(Peak!H110&gt;Peak!$G110,B$8*$X109,0))</f>
        <v>4.75</v>
      </c>
      <c r="C109" s="172">
        <f>IF('Peak Revenue'!$A$1="BL","-",IF(Peak!I110&gt;Peak!$G110,C$8*$X109,0))</f>
        <v>4.75</v>
      </c>
      <c r="D109" s="172">
        <f>IF('Peak Revenue'!$A$1="BL","-",IF(Peak!J110&gt;Peak!$G110,D$8*$X109,0))</f>
        <v>9.5</v>
      </c>
      <c r="E109" s="172">
        <f>IF('Peak Revenue'!$A$1="BL","-",IF(Peak!K110&gt;Peak!$G110,E$8*$X109,0))</f>
        <v>19</v>
      </c>
      <c r="F109" s="172">
        <f>IF('Peak Revenue'!$A$1="BL","-",IF(Peak!L110&gt;Peak!$G110,F$8*$X109,0))</f>
        <v>19</v>
      </c>
      <c r="G109" s="172">
        <f>IF('Peak Revenue'!$A$1="BL","-",IF(Peak!M110&gt;Peak!$G110,G$8*$X109,0))</f>
        <v>38</v>
      </c>
      <c r="H109" s="172">
        <f>IF('Peak Revenue'!$A$1="BL","-",IF(Peak!N110&gt;Peak!$G110,H$8*$X109,0))</f>
        <v>38</v>
      </c>
      <c r="I109" s="172">
        <f>IF('Peak Revenue'!$A$1="BL","-",IF(Peak!O110&gt;Peak!$G110,I$8*$X109,0))</f>
        <v>38</v>
      </c>
      <c r="J109" s="172">
        <f>IF('Peak Revenue'!$A$1="BL","-",IF(Peak!P110&gt;Peak!$G110,J$8*$X109,0))</f>
        <v>38</v>
      </c>
      <c r="K109" s="172">
        <f>IF('Peak Revenue'!$A$1="BL","-",IF(Peak!Q110&gt;Peak!$G110,K$8*$X109,0))</f>
        <v>38</v>
      </c>
      <c r="L109" s="172">
        <f>IF('Peak Revenue'!$A$1="BL","-",IF(Peak!R110&gt;Peak!$G110,L$8*$X109,0))</f>
        <v>0</v>
      </c>
      <c r="M109" s="172">
        <f>IF('Peak Revenue'!$A$1="BL","-",IF(Peak!S110&gt;Peak!$G110,M$8*$X109,0))</f>
        <v>0</v>
      </c>
      <c r="N109" s="172">
        <f>IF('Peak Revenue'!$A$1="BL","-",IF(Peak!T110&gt;Peak!$G110,N$8*$X109,0))</f>
        <v>0</v>
      </c>
      <c r="O109" s="172">
        <f>IF('Peak Revenue'!$A$1="BL","-",IF(Peak!U110&gt;Peak!$G110,O$8*$X109,0))</f>
        <v>0</v>
      </c>
      <c r="P109" s="172">
        <f>IF('Peak Revenue'!$A$1="BL","-",IF(Peak!V110&gt;Peak!$G110,P$8*$X109,0))</f>
        <v>0</v>
      </c>
      <c r="Q109" s="172">
        <f>IF('Peak Revenue'!$A$1="BL","-",IF(Peak!W110&gt;Peak!$G110,Q$8*$X109,0))</f>
        <v>0</v>
      </c>
      <c r="R109" s="172">
        <f>IF('Peak Revenue'!$A$1="BL","-",IF(Peak!X110&gt;Peak!$G110,R$8*$X109,0))</f>
        <v>0</v>
      </c>
      <c r="S109" s="172">
        <f>IF('Peak Revenue'!$A$1="BL","-",IF(Peak!Y110&gt;Peak!$G110,S$8*$X109,0))</f>
        <v>0</v>
      </c>
      <c r="T109" s="172">
        <f>IF('Peak Revenue'!$A$1="BL","-",IF(Peak!Z110&gt;Peak!$G110,T$8*$X109,0))</f>
        <v>0</v>
      </c>
      <c r="U109" s="172">
        <f>IF('Peak Revenue'!$A$1="BL","-",IF(Peak!AA110&gt;Peak!$G110,U$8*$X109,0))</f>
        <v>0</v>
      </c>
      <c r="V109" s="175">
        <f t="shared" si="2"/>
        <v>247</v>
      </c>
      <c r="W109" s="164"/>
      <c r="X109" s="473">
        <f>CHOOSE(QUOTIENT(MONTH($A109),3)+1,Peak!$AM$11,Peak!$AN$11,Peak!$AL$11,Peak!$AO$11,Peak!$AM$11)</f>
        <v>0.95</v>
      </c>
      <c r="Y109" s="474">
        <f>CHOOSE(QUOTIENT(MONTH($A109),3)+1,Peak!$AM$17,Peak!$AN$17,Peak!$AL$17,Peak!$AO$17,Peak!$AM$17)</f>
        <v>705</v>
      </c>
    </row>
    <row r="110" spans="1:25" x14ac:dyDescent="0.2">
      <c r="A110" s="1">
        <f t="shared" si="3"/>
        <v>39581.700000000128</v>
      </c>
      <c r="B110" s="172">
        <f>IF('Peak Revenue'!$A$1="BL","-",IF(Peak!H111&gt;Peak!$G111,B$8*$X110,0))</f>
        <v>4.75</v>
      </c>
      <c r="C110" s="172">
        <f>IF('Peak Revenue'!$A$1="BL","-",IF(Peak!I111&gt;Peak!$G111,C$8*$X110,0))</f>
        <v>4.75</v>
      </c>
      <c r="D110" s="172">
        <f>IF('Peak Revenue'!$A$1="BL","-",IF(Peak!J111&gt;Peak!$G111,D$8*$X110,0))</f>
        <v>9.5</v>
      </c>
      <c r="E110" s="172">
        <f>IF('Peak Revenue'!$A$1="BL","-",IF(Peak!K111&gt;Peak!$G111,E$8*$X110,0))</f>
        <v>19</v>
      </c>
      <c r="F110" s="172">
        <f>IF('Peak Revenue'!$A$1="BL","-",IF(Peak!L111&gt;Peak!$G111,F$8*$X110,0))</f>
        <v>19</v>
      </c>
      <c r="G110" s="172">
        <f>IF('Peak Revenue'!$A$1="BL","-",IF(Peak!M111&gt;Peak!$G111,G$8*$X110,0))</f>
        <v>38</v>
      </c>
      <c r="H110" s="172">
        <f>IF('Peak Revenue'!$A$1="BL","-",IF(Peak!N111&gt;Peak!$G111,H$8*$X110,0))</f>
        <v>38</v>
      </c>
      <c r="I110" s="172">
        <f>IF('Peak Revenue'!$A$1="BL","-",IF(Peak!O111&gt;Peak!$G111,I$8*$X110,0))</f>
        <v>38</v>
      </c>
      <c r="J110" s="172">
        <f>IF('Peak Revenue'!$A$1="BL","-",IF(Peak!P111&gt;Peak!$G111,J$8*$X110,0))</f>
        <v>0</v>
      </c>
      <c r="K110" s="172">
        <f>IF('Peak Revenue'!$A$1="BL","-",IF(Peak!Q111&gt;Peak!$G111,K$8*$X110,0))</f>
        <v>0</v>
      </c>
      <c r="L110" s="172">
        <f>IF('Peak Revenue'!$A$1="BL","-",IF(Peak!R111&gt;Peak!$G111,L$8*$X110,0))</f>
        <v>0</v>
      </c>
      <c r="M110" s="172">
        <f>IF('Peak Revenue'!$A$1="BL","-",IF(Peak!S111&gt;Peak!$G111,M$8*$X110,0))</f>
        <v>0</v>
      </c>
      <c r="N110" s="172">
        <f>IF('Peak Revenue'!$A$1="BL","-",IF(Peak!T111&gt;Peak!$G111,N$8*$X110,0))</f>
        <v>0</v>
      </c>
      <c r="O110" s="172">
        <f>IF('Peak Revenue'!$A$1="BL","-",IF(Peak!U111&gt;Peak!$G111,O$8*$X110,0))</f>
        <v>0</v>
      </c>
      <c r="P110" s="172">
        <f>IF('Peak Revenue'!$A$1="BL","-",IF(Peak!V111&gt;Peak!$G111,P$8*$X110,0))</f>
        <v>0</v>
      </c>
      <c r="Q110" s="172">
        <f>IF('Peak Revenue'!$A$1="BL","-",IF(Peak!W111&gt;Peak!$G111,Q$8*$X110,0))</f>
        <v>0</v>
      </c>
      <c r="R110" s="172">
        <f>IF('Peak Revenue'!$A$1="BL","-",IF(Peak!X111&gt;Peak!$G111,R$8*$X110,0))</f>
        <v>0</v>
      </c>
      <c r="S110" s="172">
        <f>IF('Peak Revenue'!$A$1="BL","-",IF(Peak!Y111&gt;Peak!$G111,S$8*$X110,0))</f>
        <v>0</v>
      </c>
      <c r="T110" s="172">
        <f>IF('Peak Revenue'!$A$1="BL","-",IF(Peak!Z111&gt;Peak!$G111,T$8*$X110,0))</f>
        <v>0</v>
      </c>
      <c r="U110" s="172">
        <f>IF('Peak Revenue'!$A$1="BL","-",IF(Peak!AA111&gt;Peak!$G111,U$8*$X110,0))</f>
        <v>0</v>
      </c>
      <c r="V110" s="175">
        <f t="shared" si="2"/>
        <v>171</v>
      </c>
      <c r="W110" s="164"/>
      <c r="X110" s="473">
        <f>CHOOSE(QUOTIENT(MONTH($A110),3)+1,Peak!$AM$11,Peak!$AN$11,Peak!$AL$11,Peak!$AO$11,Peak!$AM$11)</f>
        <v>0.95</v>
      </c>
      <c r="Y110" s="474">
        <f>CHOOSE(QUOTIENT(MONTH($A110),3)+1,Peak!$AM$17,Peak!$AN$17,Peak!$AL$17,Peak!$AO$17,Peak!$AM$17)</f>
        <v>705</v>
      </c>
    </row>
    <row r="111" spans="1:25" x14ac:dyDescent="0.2">
      <c r="A111" s="1">
        <f t="shared" si="3"/>
        <v>39612.117000000129</v>
      </c>
      <c r="B111" s="172">
        <f>IF('Peak Revenue'!$A$1="BL","-",IF(Peak!H112&gt;Peak!$G112,B$8*$X111,0))</f>
        <v>4.8306067954779284</v>
      </c>
      <c r="C111" s="172">
        <f>IF('Peak Revenue'!$A$1="BL","-",IF(Peak!I112&gt;Peak!$G112,C$8*$X111,0))</f>
        <v>4.8306067954779284</v>
      </c>
      <c r="D111" s="172">
        <f>IF('Peak Revenue'!$A$1="BL","-",IF(Peak!J112&gt;Peak!$G112,D$8*$X111,0))</f>
        <v>9.6612135909558567</v>
      </c>
      <c r="E111" s="172">
        <f>IF('Peak Revenue'!$A$1="BL","-",IF(Peak!K112&gt;Peak!$G112,E$8*$X111,0))</f>
        <v>19.322427181911713</v>
      </c>
      <c r="F111" s="172">
        <f>IF('Peak Revenue'!$A$1="BL","-",IF(Peak!L112&gt;Peak!$G112,F$8*$X111,0))</f>
        <v>19.322427181911713</v>
      </c>
      <c r="G111" s="172">
        <f>IF('Peak Revenue'!$A$1="BL","-",IF(Peak!M112&gt;Peak!$G112,G$8*$X111,0))</f>
        <v>38.644854363823427</v>
      </c>
      <c r="H111" s="172">
        <f>IF('Peak Revenue'!$A$1="BL","-",IF(Peak!N112&gt;Peak!$G112,H$8*$X111,0))</f>
        <v>38.644854363823427</v>
      </c>
      <c r="I111" s="172">
        <f>IF('Peak Revenue'!$A$1="BL","-",IF(Peak!O112&gt;Peak!$G112,I$8*$X111,0))</f>
        <v>38.644854363823427</v>
      </c>
      <c r="J111" s="172">
        <f>IF('Peak Revenue'!$A$1="BL","-",IF(Peak!P112&gt;Peak!$G112,J$8*$X111,0))</f>
        <v>38.644854363823427</v>
      </c>
      <c r="K111" s="172">
        <f>IF('Peak Revenue'!$A$1="BL","-",IF(Peak!Q112&gt;Peak!$G112,K$8*$X111,0))</f>
        <v>38.644854363823427</v>
      </c>
      <c r="L111" s="172">
        <f>IF('Peak Revenue'!$A$1="BL","-",IF(Peak!R112&gt;Peak!$G112,L$8*$X111,0))</f>
        <v>38.644854363823427</v>
      </c>
      <c r="M111" s="172">
        <f>IF('Peak Revenue'!$A$1="BL","-",IF(Peak!S112&gt;Peak!$G112,M$8*$X111,0))</f>
        <v>0</v>
      </c>
      <c r="N111" s="172">
        <f>IF('Peak Revenue'!$A$1="BL","-",IF(Peak!T112&gt;Peak!$G112,N$8*$X111,0))</f>
        <v>0</v>
      </c>
      <c r="O111" s="172">
        <f>IF('Peak Revenue'!$A$1="BL","-",IF(Peak!U112&gt;Peak!$G112,O$8*$X111,0))</f>
        <v>0</v>
      </c>
      <c r="P111" s="172">
        <f>IF('Peak Revenue'!$A$1="BL","-",IF(Peak!V112&gt;Peak!$G112,P$8*$X111,0))</f>
        <v>0</v>
      </c>
      <c r="Q111" s="172">
        <f>IF('Peak Revenue'!$A$1="BL","-",IF(Peak!W112&gt;Peak!$G112,Q$8*$X111,0))</f>
        <v>0</v>
      </c>
      <c r="R111" s="172">
        <f>IF('Peak Revenue'!$A$1="BL","-",IF(Peak!X112&gt;Peak!$G112,R$8*$X111,0))</f>
        <v>0</v>
      </c>
      <c r="S111" s="172">
        <f>IF('Peak Revenue'!$A$1="BL","-",IF(Peak!Y112&gt;Peak!$G112,S$8*$X111,0))</f>
        <v>0</v>
      </c>
      <c r="T111" s="172">
        <f>IF('Peak Revenue'!$A$1="BL","-",IF(Peak!Z112&gt;Peak!$G112,T$8*$X111,0))</f>
        <v>0</v>
      </c>
      <c r="U111" s="172">
        <f>IF('Peak Revenue'!$A$1="BL","-",IF(Peak!AA112&gt;Peak!$G112,U$8*$X111,0))</f>
        <v>0</v>
      </c>
      <c r="V111" s="175">
        <f t="shared" si="2"/>
        <v>289.83640772867562</v>
      </c>
      <c r="W111" s="164"/>
      <c r="X111" s="473">
        <f>CHOOSE(QUOTIENT(MONTH($A111),3)+1,Peak!$AM$11,Peak!$AN$11,Peak!$AL$11,Peak!$AO$11,Peak!$AM$11)</f>
        <v>0.96612135909558572</v>
      </c>
      <c r="Y111" s="474">
        <f>CHOOSE(QUOTIENT(MONTH($A111),3)+1,Peak!$AM$17,Peak!$AN$17,Peak!$AL$17,Peak!$AO$17,Peak!$AM$17)</f>
        <v>705</v>
      </c>
    </row>
    <row r="112" spans="1:25" x14ac:dyDescent="0.2">
      <c r="A112" s="1">
        <f t="shared" si="3"/>
        <v>39642.534000000131</v>
      </c>
      <c r="B112" s="172">
        <f>IF('Peak Revenue'!$A$1="BL","-",IF(Peak!H113&gt;Peak!$G113,B$8*$X112,0))</f>
        <v>4.8306067954779284</v>
      </c>
      <c r="C112" s="172">
        <f>IF('Peak Revenue'!$A$1="BL","-",IF(Peak!I113&gt;Peak!$G113,C$8*$X112,0))</f>
        <v>4.8306067954779284</v>
      </c>
      <c r="D112" s="172">
        <f>IF('Peak Revenue'!$A$1="BL","-",IF(Peak!J113&gt;Peak!$G113,D$8*$X112,0))</f>
        <v>9.6612135909558567</v>
      </c>
      <c r="E112" s="172">
        <f>IF('Peak Revenue'!$A$1="BL","-",IF(Peak!K113&gt;Peak!$G113,E$8*$X112,0))</f>
        <v>19.322427181911713</v>
      </c>
      <c r="F112" s="172">
        <f>IF('Peak Revenue'!$A$1="BL","-",IF(Peak!L113&gt;Peak!$G113,F$8*$X112,0))</f>
        <v>19.322427181911713</v>
      </c>
      <c r="G112" s="172">
        <f>IF('Peak Revenue'!$A$1="BL","-",IF(Peak!M113&gt;Peak!$G113,G$8*$X112,0))</f>
        <v>38.644854363823427</v>
      </c>
      <c r="H112" s="172">
        <f>IF('Peak Revenue'!$A$1="BL","-",IF(Peak!N113&gt;Peak!$G113,H$8*$X112,0))</f>
        <v>38.644854363823427</v>
      </c>
      <c r="I112" s="172">
        <f>IF('Peak Revenue'!$A$1="BL","-",IF(Peak!O113&gt;Peak!$G113,I$8*$X112,0))</f>
        <v>38.644854363823427</v>
      </c>
      <c r="J112" s="172">
        <f>IF('Peak Revenue'!$A$1="BL","-",IF(Peak!P113&gt;Peak!$G113,J$8*$X112,0))</f>
        <v>38.644854363823427</v>
      </c>
      <c r="K112" s="172">
        <f>IF('Peak Revenue'!$A$1="BL","-",IF(Peak!Q113&gt;Peak!$G113,K$8*$X112,0))</f>
        <v>38.644854363823427</v>
      </c>
      <c r="L112" s="172">
        <f>IF('Peak Revenue'!$A$1="BL","-",IF(Peak!R113&gt;Peak!$G113,L$8*$X112,0))</f>
        <v>38.644854363823427</v>
      </c>
      <c r="M112" s="172">
        <f>IF('Peak Revenue'!$A$1="BL","-",IF(Peak!S113&gt;Peak!$G113,M$8*$X112,0))</f>
        <v>38.644854363823427</v>
      </c>
      <c r="N112" s="172">
        <f>IF('Peak Revenue'!$A$1="BL","-",IF(Peak!T113&gt;Peak!$G113,N$8*$X112,0))</f>
        <v>38.644854363823427</v>
      </c>
      <c r="O112" s="172">
        <f>IF('Peak Revenue'!$A$1="BL","-",IF(Peak!U113&gt;Peak!$G113,O$8*$X112,0))</f>
        <v>0</v>
      </c>
      <c r="P112" s="172">
        <f>IF('Peak Revenue'!$A$1="BL","-",IF(Peak!V113&gt;Peak!$G113,P$8*$X112,0))</f>
        <v>0</v>
      </c>
      <c r="Q112" s="172">
        <f>IF('Peak Revenue'!$A$1="BL","-",IF(Peak!W113&gt;Peak!$G113,Q$8*$X112,0))</f>
        <v>0</v>
      </c>
      <c r="R112" s="172">
        <f>IF('Peak Revenue'!$A$1="BL","-",IF(Peak!X113&gt;Peak!$G113,R$8*$X112,0))</f>
        <v>0</v>
      </c>
      <c r="S112" s="172">
        <f>IF('Peak Revenue'!$A$1="BL","-",IF(Peak!Y113&gt;Peak!$G113,S$8*$X112,0))</f>
        <v>0</v>
      </c>
      <c r="T112" s="172">
        <f>IF('Peak Revenue'!$A$1="BL","-",IF(Peak!Z113&gt;Peak!$G113,T$8*$X112,0))</f>
        <v>0</v>
      </c>
      <c r="U112" s="172">
        <f>IF('Peak Revenue'!$A$1="BL","-",IF(Peak!AA113&gt;Peak!$G113,U$8*$X112,0))</f>
        <v>0</v>
      </c>
      <c r="V112" s="175">
        <f t="shared" si="2"/>
        <v>367.12611645632245</v>
      </c>
      <c r="W112" s="164"/>
      <c r="X112" s="473">
        <f>CHOOSE(QUOTIENT(MONTH($A112),3)+1,Peak!$AM$11,Peak!$AN$11,Peak!$AL$11,Peak!$AO$11,Peak!$AM$11)</f>
        <v>0.96612135909558572</v>
      </c>
      <c r="Y112" s="474">
        <f>CHOOSE(QUOTIENT(MONTH($A112),3)+1,Peak!$AM$17,Peak!$AN$17,Peak!$AL$17,Peak!$AO$17,Peak!$AM$17)</f>
        <v>705</v>
      </c>
    </row>
    <row r="113" spans="1:25" x14ac:dyDescent="0.2">
      <c r="A113" s="1">
        <f t="shared" si="3"/>
        <v>39672.951000000132</v>
      </c>
      <c r="B113" s="172">
        <f>IF('Peak Revenue'!$A$1="BL","-",IF(Peak!H114&gt;Peak!$G114,B$8*$X113,0))</f>
        <v>4.8306067954779284</v>
      </c>
      <c r="C113" s="172">
        <f>IF('Peak Revenue'!$A$1="BL","-",IF(Peak!I114&gt;Peak!$G114,C$8*$X113,0))</f>
        <v>4.8306067954779284</v>
      </c>
      <c r="D113" s="172">
        <f>IF('Peak Revenue'!$A$1="BL","-",IF(Peak!J114&gt;Peak!$G114,D$8*$X113,0))</f>
        <v>9.6612135909558567</v>
      </c>
      <c r="E113" s="172">
        <f>IF('Peak Revenue'!$A$1="BL","-",IF(Peak!K114&gt;Peak!$G114,E$8*$X113,0))</f>
        <v>19.322427181911713</v>
      </c>
      <c r="F113" s="172">
        <f>IF('Peak Revenue'!$A$1="BL","-",IF(Peak!L114&gt;Peak!$G114,F$8*$X113,0))</f>
        <v>19.322427181911713</v>
      </c>
      <c r="G113" s="172">
        <f>IF('Peak Revenue'!$A$1="BL","-",IF(Peak!M114&gt;Peak!$G114,G$8*$X113,0))</f>
        <v>38.644854363823427</v>
      </c>
      <c r="H113" s="172">
        <f>IF('Peak Revenue'!$A$1="BL","-",IF(Peak!N114&gt;Peak!$G114,H$8*$X113,0))</f>
        <v>38.644854363823427</v>
      </c>
      <c r="I113" s="172">
        <f>IF('Peak Revenue'!$A$1="BL","-",IF(Peak!O114&gt;Peak!$G114,I$8*$X113,0))</f>
        <v>38.644854363823427</v>
      </c>
      <c r="J113" s="172">
        <f>IF('Peak Revenue'!$A$1="BL","-",IF(Peak!P114&gt;Peak!$G114,J$8*$X113,0))</f>
        <v>38.644854363823427</v>
      </c>
      <c r="K113" s="172">
        <f>IF('Peak Revenue'!$A$1="BL","-",IF(Peak!Q114&gt;Peak!$G114,K$8*$X113,0))</f>
        <v>38.644854363823427</v>
      </c>
      <c r="L113" s="172">
        <f>IF('Peak Revenue'!$A$1="BL","-",IF(Peak!R114&gt;Peak!$G114,L$8*$X113,0))</f>
        <v>38.644854363823427</v>
      </c>
      <c r="M113" s="172">
        <f>IF('Peak Revenue'!$A$1="BL","-",IF(Peak!S114&gt;Peak!$G114,M$8*$X113,0))</f>
        <v>0</v>
      </c>
      <c r="N113" s="172">
        <f>IF('Peak Revenue'!$A$1="BL","-",IF(Peak!T114&gt;Peak!$G114,N$8*$X113,0))</f>
        <v>0</v>
      </c>
      <c r="O113" s="172">
        <f>IF('Peak Revenue'!$A$1="BL","-",IF(Peak!U114&gt;Peak!$G114,O$8*$X113,0))</f>
        <v>0</v>
      </c>
      <c r="P113" s="172">
        <f>IF('Peak Revenue'!$A$1="BL","-",IF(Peak!V114&gt;Peak!$G114,P$8*$X113,0))</f>
        <v>0</v>
      </c>
      <c r="Q113" s="172">
        <f>IF('Peak Revenue'!$A$1="BL","-",IF(Peak!W114&gt;Peak!$G114,Q$8*$X113,0))</f>
        <v>0</v>
      </c>
      <c r="R113" s="172">
        <f>IF('Peak Revenue'!$A$1="BL","-",IF(Peak!X114&gt;Peak!$G114,R$8*$X113,0))</f>
        <v>0</v>
      </c>
      <c r="S113" s="172">
        <f>IF('Peak Revenue'!$A$1="BL","-",IF(Peak!Y114&gt;Peak!$G114,S$8*$X113,0))</f>
        <v>0</v>
      </c>
      <c r="T113" s="172">
        <f>IF('Peak Revenue'!$A$1="BL","-",IF(Peak!Z114&gt;Peak!$G114,T$8*$X113,0))</f>
        <v>0</v>
      </c>
      <c r="U113" s="172">
        <f>IF('Peak Revenue'!$A$1="BL","-",IF(Peak!AA114&gt;Peak!$G114,U$8*$X113,0))</f>
        <v>0</v>
      </c>
      <c r="V113" s="175">
        <f t="shared" si="2"/>
        <v>289.83640772867562</v>
      </c>
      <c r="W113" s="164"/>
      <c r="X113" s="473">
        <f>CHOOSE(QUOTIENT(MONTH($A113),3)+1,Peak!$AM$11,Peak!$AN$11,Peak!$AL$11,Peak!$AO$11,Peak!$AM$11)</f>
        <v>0.96612135909558572</v>
      </c>
      <c r="Y113" s="474">
        <f>CHOOSE(QUOTIENT(MONTH($A113),3)+1,Peak!$AM$17,Peak!$AN$17,Peak!$AL$17,Peak!$AO$17,Peak!$AM$17)</f>
        <v>705</v>
      </c>
    </row>
    <row r="114" spans="1:25" x14ac:dyDescent="0.2">
      <c r="A114" s="1">
        <f t="shared" si="3"/>
        <v>39703.368000000133</v>
      </c>
      <c r="B114" s="172">
        <f>IF('Peak Revenue'!$A$1="BL","-",IF(Peak!H115&gt;Peak!$G115,B$8*$X114,0))</f>
        <v>4.75</v>
      </c>
      <c r="C114" s="172">
        <f>IF('Peak Revenue'!$A$1="BL","-",IF(Peak!I115&gt;Peak!$G115,C$8*$X114,0))</f>
        <v>4.75</v>
      </c>
      <c r="D114" s="172">
        <f>IF('Peak Revenue'!$A$1="BL","-",IF(Peak!J115&gt;Peak!$G115,D$8*$X114,0))</f>
        <v>9.5</v>
      </c>
      <c r="E114" s="172">
        <f>IF('Peak Revenue'!$A$1="BL","-",IF(Peak!K115&gt;Peak!$G115,E$8*$X114,0))</f>
        <v>19</v>
      </c>
      <c r="F114" s="172">
        <f>IF('Peak Revenue'!$A$1="BL","-",IF(Peak!L115&gt;Peak!$G115,F$8*$X114,0))</f>
        <v>19</v>
      </c>
      <c r="G114" s="172">
        <f>IF('Peak Revenue'!$A$1="BL","-",IF(Peak!M115&gt;Peak!$G115,G$8*$X114,0))</f>
        <v>38</v>
      </c>
      <c r="H114" s="172">
        <f>IF('Peak Revenue'!$A$1="BL","-",IF(Peak!N115&gt;Peak!$G115,H$8*$X114,0))</f>
        <v>38</v>
      </c>
      <c r="I114" s="172">
        <f>IF('Peak Revenue'!$A$1="BL","-",IF(Peak!O115&gt;Peak!$G115,I$8*$X114,0))</f>
        <v>38</v>
      </c>
      <c r="J114" s="172">
        <f>IF('Peak Revenue'!$A$1="BL","-",IF(Peak!P115&gt;Peak!$G115,J$8*$X114,0))</f>
        <v>38</v>
      </c>
      <c r="K114" s="172">
        <f>IF('Peak Revenue'!$A$1="BL","-",IF(Peak!Q115&gt;Peak!$G115,K$8*$X114,0))</f>
        <v>38</v>
      </c>
      <c r="L114" s="172">
        <f>IF('Peak Revenue'!$A$1="BL","-",IF(Peak!R115&gt;Peak!$G115,L$8*$X114,0))</f>
        <v>38</v>
      </c>
      <c r="M114" s="172">
        <f>IF('Peak Revenue'!$A$1="BL","-",IF(Peak!S115&gt;Peak!$G115,M$8*$X114,0))</f>
        <v>0</v>
      </c>
      <c r="N114" s="172">
        <f>IF('Peak Revenue'!$A$1="BL","-",IF(Peak!T115&gt;Peak!$G115,N$8*$X114,0))</f>
        <v>0</v>
      </c>
      <c r="O114" s="172">
        <f>IF('Peak Revenue'!$A$1="BL","-",IF(Peak!U115&gt;Peak!$G115,O$8*$X114,0))</f>
        <v>0</v>
      </c>
      <c r="P114" s="172">
        <f>IF('Peak Revenue'!$A$1="BL","-",IF(Peak!V115&gt;Peak!$G115,P$8*$X114,0))</f>
        <v>0</v>
      </c>
      <c r="Q114" s="172">
        <f>IF('Peak Revenue'!$A$1="BL","-",IF(Peak!W115&gt;Peak!$G115,Q$8*$X114,0))</f>
        <v>0</v>
      </c>
      <c r="R114" s="172">
        <f>IF('Peak Revenue'!$A$1="BL","-",IF(Peak!X115&gt;Peak!$G115,R$8*$X114,0))</f>
        <v>0</v>
      </c>
      <c r="S114" s="172">
        <f>IF('Peak Revenue'!$A$1="BL","-",IF(Peak!Y115&gt;Peak!$G115,S$8*$X114,0))</f>
        <v>0</v>
      </c>
      <c r="T114" s="172">
        <f>IF('Peak Revenue'!$A$1="BL","-",IF(Peak!Z115&gt;Peak!$G115,T$8*$X114,0))</f>
        <v>0</v>
      </c>
      <c r="U114" s="172">
        <f>IF('Peak Revenue'!$A$1="BL","-",IF(Peak!AA115&gt;Peak!$G115,U$8*$X114,0))</f>
        <v>0</v>
      </c>
      <c r="V114" s="175">
        <f t="shared" si="2"/>
        <v>285</v>
      </c>
      <c r="W114" s="164"/>
      <c r="X114" s="473">
        <f>CHOOSE(QUOTIENT(MONTH($A114),3)+1,Peak!$AM$11,Peak!$AN$11,Peak!$AL$11,Peak!$AO$11,Peak!$AM$11)</f>
        <v>0.95</v>
      </c>
      <c r="Y114" s="474">
        <f>CHOOSE(QUOTIENT(MONTH($A114),3)+1,Peak!$AM$17,Peak!$AN$17,Peak!$AL$17,Peak!$AO$17,Peak!$AM$17)</f>
        <v>705</v>
      </c>
    </row>
    <row r="115" spans="1:25" x14ac:dyDescent="0.2">
      <c r="A115" s="1">
        <f t="shared" si="3"/>
        <v>39733.785000000134</v>
      </c>
      <c r="B115" s="172">
        <f>IF('Peak Revenue'!$A$1="BL","-",IF(Peak!H116&gt;Peak!$G116,B$8*$X115,0))</f>
        <v>4.75</v>
      </c>
      <c r="C115" s="172">
        <f>IF('Peak Revenue'!$A$1="BL","-",IF(Peak!I116&gt;Peak!$G116,C$8*$X115,0))</f>
        <v>4.75</v>
      </c>
      <c r="D115" s="172">
        <f>IF('Peak Revenue'!$A$1="BL","-",IF(Peak!J116&gt;Peak!$G116,D$8*$X115,0))</f>
        <v>9.5</v>
      </c>
      <c r="E115" s="172">
        <f>IF('Peak Revenue'!$A$1="BL","-",IF(Peak!K116&gt;Peak!$G116,E$8*$X115,0))</f>
        <v>19</v>
      </c>
      <c r="F115" s="172">
        <f>IF('Peak Revenue'!$A$1="BL","-",IF(Peak!L116&gt;Peak!$G116,F$8*$X115,0))</f>
        <v>19</v>
      </c>
      <c r="G115" s="172">
        <f>IF('Peak Revenue'!$A$1="BL","-",IF(Peak!M116&gt;Peak!$G116,G$8*$X115,0))</f>
        <v>38</v>
      </c>
      <c r="H115" s="172">
        <f>IF('Peak Revenue'!$A$1="BL","-",IF(Peak!N116&gt;Peak!$G116,H$8*$X115,0))</f>
        <v>38</v>
      </c>
      <c r="I115" s="172">
        <f>IF('Peak Revenue'!$A$1="BL","-",IF(Peak!O116&gt;Peak!$G116,I$8*$X115,0))</f>
        <v>38</v>
      </c>
      <c r="J115" s="172">
        <f>IF('Peak Revenue'!$A$1="BL","-",IF(Peak!P116&gt;Peak!$G116,J$8*$X115,0))</f>
        <v>38</v>
      </c>
      <c r="K115" s="172">
        <f>IF('Peak Revenue'!$A$1="BL","-",IF(Peak!Q116&gt;Peak!$G116,K$8*$X115,0))</f>
        <v>0</v>
      </c>
      <c r="L115" s="172">
        <f>IF('Peak Revenue'!$A$1="BL","-",IF(Peak!R116&gt;Peak!$G116,L$8*$X115,0))</f>
        <v>0</v>
      </c>
      <c r="M115" s="172">
        <f>IF('Peak Revenue'!$A$1="BL","-",IF(Peak!S116&gt;Peak!$G116,M$8*$X115,0))</f>
        <v>0</v>
      </c>
      <c r="N115" s="172">
        <f>IF('Peak Revenue'!$A$1="BL","-",IF(Peak!T116&gt;Peak!$G116,N$8*$X115,0))</f>
        <v>0</v>
      </c>
      <c r="O115" s="172">
        <f>IF('Peak Revenue'!$A$1="BL","-",IF(Peak!U116&gt;Peak!$G116,O$8*$X115,0))</f>
        <v>0</v>
      </c>
      <c r="P115" s="172">
        <f>IF('Peak Revenue'!$A$1="BL","-",IF(Peak!V116&gt;Peak!$G116,P$8*$X115,0))</f>
        <v>0</v>
      </c>
      <c r="Q115" s="172">
        <f>IF('Peak Revenue'!$A$1="BL","-",IF(Peak!W116&gt;Peak!$G116,Q$8*$X115,0))</f>
        <v>0</v>
      </c>
      <c r="R115" s="172">
        <f>IF('Peak Revenue'!$A$1="BL","-",IF(Peak!X116&gt;Peak!$G116,R$8*$X115,0))</f>
        <v>0</v>
      </c>
      <c r="S115" s="172">
        <f>IF('Peak Revenue'!$A$1="BL","-",IF(Peak!Y116&gt;Peak!$G116,S$8*$X115,0))</f>
        <v>0</v>
      </c>
      <c r="T115" s="172">
        <f>IF('Peak Revenue'!$A$1="BL","-",IF(Peak!Z116&gt;Peak!$G116,T$8*$X115,0))</f>
        <v>0</v>
      </c>
      <c r="U115" s="172">
        <f>IF('Peak Revenue'!$A$1="BL","-",IF(Peak!AA116&gt;Peak!$G116,U$8*$X115,0))</f>
        <v>0</v>
      </c>
      <c r="V115" s="175">
        <f t="shared" si="2"/>
        <v>209</v>
      </c>
      <c r="W115" s="164"/>
      <c r="X115" s="473">
        <f>CHOOSE(QUOTIENT(MONTH($A115),3)+1,Peak!$AM$11,Peak!$AN$11,Peak!$AL$11,Peak!$AO$11,Peak!$AM$11)</f>
        <v>0.95</v>
      </c>
      <c r="Y115" s="474">
        <f>CHOOSE(QUOTIENT(MONTH($A115),3)+1,Peak!$AM$17,Peak!$AN$17,Peak!$AL$17,Peak!$AO$17,Peak!$AM$17)</f>
        <v>705</v>
      </c>
    </row>
    <row r="116" spans="1:25" x14ac:dyDescent="0.2">
      <c r="A116" s="1">
        <f t="shared" si="3"/>
        <v>39764.202000000136</v>
      </c>
      <c r="B116" s="172">
        <f>IF('Peak Revenue'!$A$1="BL","-",IF(Peak!H117&gt;Peak!$G117,B$8*$X116,0))</f>
        <v>4.75</v>
      </c>
      <c r="C116" s="172">
        <f>IF('Peak Revenue'!$A$1="BL","-",IF(Peak!I117&gt;Peak!$G117,C$8*$X116,0))</f>
        <v>4.75</v>
      </c>
      <c r="D116" s="172">
        <f>IF('Peak Revenue'!$A$1="BL","-",IF(Peak!J117&gt;Peak!$G117,D$8*$X116,0))</f>
        <v>9.5</v>
      </c>
      <c r="E116" s="172">
        <f>IF('Peak Revenue'!$A$1="BL","-",IF(Peak!K117&gt;Peak!$G117,E$8*$X116,0))</f>
        <v>19</v>
      </c>
      <c r="F116" s="172">
        <f>IF('Peak Revenue'!$A$1="BL","-",IF(Peak!L117&gt;Peak!$G117,F$8*$X116,0))</f>
        <v>19</v>
      </c>
      <c r="G116" s="172">
        <f>IF('Peak Revenue'!$A$1="BL","-",IF(Peak!M117&gt;Peak!$G117,G$8*$X116,0))</f>
        <v>38</v>
      </c>
      <c r="H116" s="172">
        <f>IF('Peak Revenue'!$A$1="BL","-",IF(Peak!N117&gt;Peak!$G117,H$8*$X116,0))</f>
        <v>38</v>
      </c>
      <c r="I116" s="172">
        <f>IF('Peak Revenue'!$A$1="BL","-",IF(Peak!O117&gt;Peak!$G117,I$8*$X116,0))</f>
        <v>38</v>
      </c>
      <c r="J116" s="172">
        <f>IF('Peak Revenue'!$A$1="BL","-",IF(Peak!P117&gt;Peak!$G117,J$8*$X116,0))</f>
        <v>38</v>
      </c>
      <c r="K116" s="172">
        <f>IF('Peak Revenue'!$A$1="BL","-",IF(Peak!Q117&gt;Peak!$G117,K$8*$X116,0))</f>
        <v>38</v>
      </c>
      <c r="L116" s="172">
        <f>IF('Peak Revenue'!$A$1="BL","-",IF(Peak!R117&gt;Peak!$G117,L$8*$X116,0))</f>
        <v>0</v>
      </c>
      <c r="M116" s="172">
        <f>IF('Peak Revenue'!$A$1="BL","-",IF(Peak!S117&gt;Peak!$G117,M$8*$X116,0))</f>
        <v>0</v>
      </c>
      <c r="N116" s="172">
        <f>IF('Peak Revenue'!$A$1="BL","-",IF(Peak!T117&gt;Peak!$G117,N$8*$X116,0))</f>
        <v>0</v>
      </c>
      <c r="O116" s="172">
        <f>IF('Peak Revenue'!$A$1="BL","-",IF(Peak!U117&gt;Peak!$G117,O$8*$X116,0))</f>
        <v>0</v>
      </c>
      <c r="P116" s="172">
        <f>IF('Peak Revenue'!$A$1="BL","-",IF(Peak!V117&gt;Peak!$G117,P$8*$X116,0))</f>
        <v>0</v>
      </c>
      <c r="Q116" s="172">
        <f>IF('Peak Revenue'!$A$1="BL","-",IF(Peak!W117&gt;Peak!$G117,Q$8*$X116,0))</f>
        <v>0</v>
      </c>
      <c r="R116" s="172">
        <f>IF('Peak Revenue'!$A$1="BL","-",IF(Peak!X117&gt;Peak!$G117,R$8*$X116,0))</f>
        <v>0</v>
      </c>
      <c r="S116" s="172">
        <f>IF('Peak Revenue'!$A$1="BL","-",IF(Peak!Y117&gt;Peak!$G117,S$8*$X116,0))</f>
        <v>0</v>
      </c>
      <c r="T116" s="172">
        <f>IF('Peak Revenue'!$A$1="BL","-",IF(Peak!Z117&gt;Peak!$G117,T$8*$X116,0))</f>
        <v>0</v>
      </c>
      <c r="U116" s="172">
        <f>IF('Peak Revenue'!$A$1="BL","-",IF(Peak!AA117&gt;Peak!$G117,U$8*$X116,0))</f>
        <v>0</v>
      </c>
      <c r="V116" s="175">
        <f t="shared" si="2"/>
        <v>247</v>
      </c>
      <c r="W116" s="164"/>
      <c r="X116" s="473">
        <f>CHOOSE(QUOTIENT(MONTH($A116),3)+1,Peak!$AM$11,Peak!$AN$11,Peak!$AL$11,Peak!$AO$11,Peak!$AM$11)</f>
        <v>0.95</v>
      </c>
      <c r="Y116" s="474">
        <f>CHOOSE(QUOTIENT(MONTH($A116),3)+1,Peak!$AM$17,Peak!$AN$17,Peak!$AL$17,Peak!$AO$17,Peak!$AM$17)</f>
        <v>705</v>
      </c>
    </row>
    <row r="117" spans="1:25" x14ac:dyDescent="0.2">
      <c r="A117" s="1">
        <f t="shared" si="3"/>
        <v>39794.619000000137</v>
      </c>
      <c r="B117" s="172">
        <f>IF('Peak Revenue'!$A$1="BL","-",IF(Peak!H118&gt;Peak!$G118,B$8*$X117,0))</f>
        <v>4.6213830939305875</v>
      </c>
      <c r="C117" s="172">
        <f>IF('Peak Revenue'!$A$1="BL","-",IF(Peak!I118&gt;Peak!$G118,C$8*$X117,0))</f>
        <v>4.6213830939305875</v>
      </c>
      <c r="D117" s="172">
        <f>IF('Peak Revenue'!$A$1="BL","-",IF(Peak!J118&gt;Peak!$G118,D$8*$X117,0))</f>
        <v>9.2427661878611751</v>
      </c>
      <c r="E117" s="172">
        <f>IF('Peak Revenue'!$A$1="BL","-",IF(Peak!K118&gt;Peak!$G118,E$8*$X117,0))</f>
        <v>18.48553237572235</v>
      </c>
      <c r="F117" s="172">
        <f>IF('Peak Revenue'!$A$1="BL","-",IF(Peak!L118&gt;Peak!$G118,F$8*$X117,0))</f>
        <v>18.48553237572235</v>
      </c>
      <c r="G117" s="172">
        <f>IF('Peak Revenue'!$A$1="BL","-",IF(Peak!M118&gt;Peak!$G118,G$8*$X117,0))</f>
        <v>36.9710647514447</v>
      </c>
      <c r="H117" s="172">
        <f>IF('Peak Revenue'!$A$1="BL","-",IF(Peak!N118&gt;Peak!$G118,H$8*$X117,0))</f>
        <v>36.9710647514447</v>
      </c>
      <c r="I117" s="172">
        <f>IF('Peak Revenue'!$A$1="BL","-",IF(Peak!O118&gt;Peak!$G118,I$8*$X117,0))</f>
        <v>36.9710647514447</v>
      </c>
      <c r="J117" s="172">
        <f>IF('Peak Revenue'!$A$1="BL","-",IF(Peak!P118&gt;Peak!$G118,J$8*$X117,0))</f>
        <v>36.9710647514447</v>
      </c>
      <c r="K117" s="172">
        <f>IF('Peak Revenue'!$A$1="BL","-",IF(Peak!Q118&gt;Peak!$G118,K$8*$X117,0))</f>
        <v>36.9710647514447</v>
      </c>
      <c r="L117" s="172">
        <f>IF('Peak Revenue'!$A$1="BL","-",IF(Peak!R118&gt;Peak!$G118,L$8*$X117,0))</f>
        <v>36.9710647514447</v>
      </c>
      <c r="M117" s="172">
        <f>IF('Peak Revenue'!$A$1="BL","-",IF(Peak!S118&gt;Peak!$G118,M$8*$X117,0))</f>
        <v>36.9710647514447</v>
      </c>
      <c r="N117" s="172">
        <f>IF('Peak Revenue'!$A$1="BL","-",IF(Peak!T118&gt;Peak!$G118,N$8*$X117,0))</f>
        <v>0</v>
      </c>
      <c r="O117" s="172">
        <f>IF('Peak Revenue'!$A$1="BL","-",IF(Peak!U118&gt;Peak!$G118,O$8*$X117,0))</f>
        <v>0</v>
      </c>
      <c r="P117" s="172">
        <f>IF('Peak Revenue'!$A$1="BL","-",IF(Peak!V118&gt;Peak!$G118,P$8*$X117,0))</f>
        <v>0</v>
      </c>
      <c r="Q117" s="172">
        <f>IF('Peak Revenue'!$A$1="BL","-",IF(Peak!W118&gt;Peak!$G118,Q$8*$X117,0))</f>
        <v>0</v>
      </c>
      <c r="R117" s="172">
        <f>IF('Peak Revenue'!$A$1="BL","-",IF(Peak!X118&gt;Peak!$G118,R$8*$X117,0))</f>
        <v>0</v>
      </c>
      <c r="S117" s="172">
        <f>IF('Peak Revenue'!$A$1="BL","-",IF(Peak!Y118&gt;Peak!$G118,S$8*$X117,0))</f>
        <v>0</v>
      </c>
      <c r="T117" s="172">
        <f>IF('Peak Revenue'!$A$1="BL","-",IF(Peak!Z118&gt;Peak!$G118,T$8*$X117,0))</f>
        <v>0</v>
      </c>
      <c r="U117" s="172">
        <f>IF('Peak Revenue'!$A$1="BL","-",IF(Peak!AA118&gt;Peak!$G118,U$8*$X117,0))</f>
        <v>0</v>
      </c>
      <c r="V117" s="175">
        <f t="shared" si="2"/>
        <v>314.25405038728002</v>
      </c>
      <c r="W117" s="163">
        <f>SUM(V106:V117)</f>
        <v>3411.6189535726244</v>
      </c>
      <c r="X117" s="473">
        <f>CHOOSE(QUOTIENT(MONTH($A117),3)+1,Peak!$AM$11,Peak!$AN$11,Peak!$AL$11,Peak!$AO$11,Peak!$AM$11)</f>
        <v>0.92427661878611755</v>
      </c>
      <c r="Y117" s="474">
        <f>CHOOSE(QUOTIENT(MONTH($A117),3)+1,Peak!$AM$17,Peak!$AN$17,Peak!$AL$17,Peak!$AO$17,Peak!$AM$17)</f>
        <v>705</v>
      </c>
    </row>
    <row r="118" spans="1:25" x14ac:dyDescent="0.2">
      <c r="A118" s="1">
        <f t="shared" si="3"/>
        <v>39825.036000000138</v>
      </c>
      <c r="B118" s="172">
        <f>IF('Peak Revenue'!$A$1="BL","-",IF(Peak!H119&gt;Peak!$G119,B$8*$X118,0))</f>
        <v>4.6213830939305875</v>
      </c>
      <c r="C118" s="172">
        <f>IF('Peak Revenue'!$A$1="BL","-",IF(Peak!I119&gt;Peak!$G119,C$8*$X118,0))</f>
        <v>4.6213830939305875</v>
      </c>
      <c r="D118" s="172">
        <f>IF('Peak Revenue'!$A$1="BL","-",IF(Peak!J119&gt;Peak!$G119,D$8*$X118,0))</f>
        <v>9.2427661878611751</v>
      </c>
      <c r="E118" s="172">
        <f>IF('Peak Revenue'!$A$1="BL","-",IF(Peak!K119&gt;Peak!$G119,E$8*$X118,0))</f>
        <v>18.48553237572235</v>
      </c>
      <c r="F118" s="172">
        <f>IF('Peak Revenue'!$A$1="BL","-",IF(Peak!L119&gt;Peak!$G119,F$8*$X118,0))</f>
        <v>18.48553237572235</v>
      </c>
      <c r="G118" s="172">
        <f>IF('Peak Revenue'!$A$1="BL","-",IF(Peak!M119&gt;Peak!$G119,G$8*$X118,0))</f>
        <v>36.9710647514447</v>
      </c>
      <c r="H118" s="172">
        <f>IF('Peak Revenue'!$A$1="BL","-",IF(Peak!N119&gt;Peak!$G119,H$8*$X118,0))</f>
        <v>36.9710647514447</v>
      </c>
      <c r="I118" s="172">
        <f>IF('Peak Revenue'!$A$1="BL","-",IF(Peak!O119&gt;Peak!$G119,I$8*$X118,0))</f>
        <v>36.9710647514447</v>
      </c>
      <c r="J118" s="172">
        <f>IF('Peak Revenue'!$A$1="BL","-",IF(Peak!P119&gt;Peak!$G119,J$8*$X118,0))</f>
        <v>36.9710647514447</v>
      </c>
      <c r="K118" s="172">
        <f>IF('Peak Revenue'!$A$1="BL","-",IF(Peak!Q119&gt;Peak!$G119,K$8*$X118,0))</f>
        <v>36.9710647514447</v>
      </c>
      <c r="L118" s="172">
        <f>IF('Peak Revenue'!$A$1="BL","-",IF(Peak!R119&gt;Peak!$G119,L$8*$X118,0))</f>
        <v>0</v>
      </c>
      <c r="M118" s="172">
        <f>IF('Peak Revenue'!$A$1="BL","-",IF(Peak!S119&gt;Peak!$G119,M$8*$X118,0))</f>
        <v>0</v>
      </c>
      <c r="N118" s="172">
        <f>IF('Peak Revenue'!$A$1="BL","-",IF(Peak!T119&gt;Peak!$G119,N$8*$X118,0))</f>
        <v>0</v>
      </c>
      <c r="O118" s="172">
        <f>IF('Peak Revenue'!$A$1="BL","-",IF(Peak!U119&gt;Peak!$G119,O$8*$X118,0))</f>
        <v>0</v>
      </c>
      <c r="P118" s="172">
        <f>IF('Peak Revenue'!$A$1="BL","-",IF(Peak!V119&gt;Peak!$G119,P$8*$X118,0))</f>
        <v>0</v>
      </c>
      <c r="Q118" s="172">
        <f>IF('Peak Revenue'!$A$1="BL","-",IF(Peak!W119&gt;Peak!$G119,Q$8*$X118,0))</f>
        <v>0</v>
      </c>
      <c r="R118" s="172">
        <f>IF('Peak Revenue'!$A$1="BL","-",IF(Peak!X119&gt;Peak!$G119,R$8*$X118,0))</f>
        <v>0</v>
      </c>
      <c r="S118" s="172">
        <f>IF('Peak Revenue'!$A$1="BL","-",IF(Peak!Y119&gt;Peak!$G119,S$8*$X118,0))</f>
        <v>0</v>
      </c>
      <c r="T118" s="172">
        <f>IF('Peak Revenue'!$A$1="BL","-",IF(Peak!Z119&gt;Peak!$G119,T$8*$X118,0))</f>
        <v>0</v>
      </c>
      <c r="U118" s="172">
        <f>IF('Peak Revenue'!$A$1="BL","-",IF(Peak!AA119&gt;Peak!$G119,U$8*$X118,0))</f>
        <v>0</v>
      </c>
      <c r="V118" s="175">
        <f t="shared" si="2"/>
        <v>240.31192088439059</v>
      </c>
      <c r="W118" s="164"/>
      <c r="X118" s="473">
        <f>CHOOSE(QUOTIENT(MONTH($A118),3)+1,Peak!$AM$11,Peak!$AN$11,Peak!$AL$11,Peak!$AO$11,Peak!$AM$11)</f>
        <v>0.92427661878611755</v>
      </c>
      <c r="Y118" s="474">
        <f>CHOOSE(QUOTIENT(MONTH($A118),3)+1,Peak!$AM$17,Peak!$AN$17,Peak!$AL$17,Peak!$AO$17,Peak!$AM$17)</f>
        <v>705</v>
      </c>
    </row>
    <row r="119" spans="1:25" x14ac:dyDescent="0.2">
      <c r="A119" s="1">
        <f t="shared" si="3"/>
        <v>39855.45300000014</v>
      </c>
      <c r="B119" s="172">
        <f>IF('Peak Revenue'!$A$1="BL","-",IF(Peak!H120&gt;Peak!$G120,B$8*$X119,0))</f>
        <v>4.6213830939305875</v>
      </c>
      <c r="C119" s="172">
        <f>IF('Peak Revenue'!$A$1="BL","-",IF(Peak!I120&gt;Peak!$G120,C$8*$X119,0))</f>
        <v>4.6213830939305875</v>
      </c>
      <c r="D119" s="172">
        <f>IF('Peak Revenue'!$A$1="BL","-",IF(Peak!J120&gt;Peak!$G120,D$8*$X119,0))</f>
        <v>9.2427661878611751</v>
      </c>
      <c r="E119" s="172">
        <f>IF('Peak Revenue'!$A$1="BL","-",IF(Peak!K120&gt;Peak!$G120,E$8*$X119,0))</f>
        <v>18.48553237572235</v>
      </c>
      <c r="F119" s="172">
        <f>IF('Peak Revenue'!$A$1="BL","-",IF(Peak!L120&gt;Peak!$G120,F$8*$X119,0))</f>
        <v>18.48553237572235</v>
      </c>
      <c r="G119" s="172">
        <f>IF('Peak Revenue'!$A$1="BL","-",IF(Peak!M120&gt;Peak!$G120,G$8*$X119,0))</f>
        <v>36.9710647514447</v>
      </c>
      <c r="H119" s="172">
        <f>IF('Peak Revenue'!$A$1="BL","-",IF(Peak!N120&gt;Peak!$G120,H$8*$X119,0))</f>
        <v>36.9710647514447</v>
      </c>
      <c r="I119" s="172">
        <f>IF('Peak Revenue'!$A$1="BL","-",IF(Peak!O120&gt;Peak!$G120,I$8*$X119,0))</f>
        <v>36.9710647514447</v>
      </c>
      <c r="J119" s="172">
        <f>IF('Peak Revenue'!$A$1="BL","-",IF(Peak!P120&gt;Peak!$G120,J$8*$X119,0))</f>
        <v>36.9710647514447</v>
      </c>
      <c r="K119" s="172">
        <f>IF('Peak Revenue'!$A$1="BL","-",IF(Peak!Q120&gt;Peak!$G120,K$8*$X119,0))</f>
        <v>36.9710647514447</v>
      </c>
      <c r="L119" s="172">
        <f>IF('Peak Revenue'!$A$1="BL","-",IF(Peak!R120&gt;Peak!$G120,L$8*$X119,0))</f>
        <v>36.9710647514447</v>
      </c>
      <c r="M119" s="172">
        <f>IF('Peak Revenue'!$A$1="BL","-",IF(Peak!S120&gt;Peak!$G120,M$8*$X119,0))</f>
        <v>0</v>
      </c>
      <c r="N119" s="172">
        <f>IF('Peak Revenue'!$A$1="BL","-",IF(Peak!T120&gt;Peak!$G120,N$8*$X119,0))</f>
        <v>0</v>
      </c>
      <c r="O119" s="172">
        <f>IF('Peak Revenue'!$A$1="BL","-",IF(Peak!U120&gt;Peak!$G120,O$8*$X119,0))</f>
        <v>0</v>
      </c>
      <c r="P119" s="172">
        <f>IF('Peak Revenue'!$A$1="BL","-",IF(Peak!V120&gt;Peak!$G120,P$8*$X119,0))</f>
        <v>0</v>
      </c>
      <c r="Q119" s="172">
        <f>IF('Peak Revenue'!$A$1="BL","-",IF(Peak!W120&gt;Peak!$G120,Q$8*$X119,0))</f>
        <v>0</v>
      </c>
      <c r="R119" s="172">
        <f>IF('Peak Revenue'!$A$1="BL","-",IF(Peak!X120&gt;Peak!$G120,R$8*$X119,0))</f>
        <v>0</v>
      </c>
      <c r="S119" s="172">
        <f>IF('Peak Revenue'!$A$1="BL","-",IF(Peak!Y120&gt;Peak!$G120,S$8*$X119,0))</f>
        <v>0</v>
      </c>
      <c r="T119" s="172">
        <f>IF('Peak Revenue'!$A$1="BL","-",IF(Peak!Z120&gt;Peak!$G120,T$8*$X119,0))</f>
        <v>0</v>
      </c>
      <c r="U119" s="172">
        <f>IF('Peak Revenue'!$A$1="BL","-",IF(Peak!AA120&gt;Peak!$G120,U$8*$X119,0))</f>
        <v>0</v>
      </c>
      <c r="V119" s="175">
        <f t="shared" si="2"/>
        <v>277.2829856358353</v>
      </c>
      <c r="W119" s="164"/>
      <c r="X119" s="473">
        <f>CHOOSE(QUOTIENT(MONTH($A119),3)+1,Peak!$AM$11,Peak!$AN$11,Peak!$AL$11,Peak!$AO$11,Peak!$AM$11)</f>
        <v>0.92427661878611755</v>
      </c>
      <c r="Y119" s="474">
        <f>CHOOSE(QUOTIENT(MONTH($A119),3)+1,Peak!$AM$17,Peak!$AN$17,Peak!$AL$17,Peak!$AO$17,Peak!$AM$17)</f>
        <v>705</v>
      </c>
    </row>
    <row r="120" spans="1:25" x14ac:dyDescent="0.2">
      <c r="A120" s="1">
        <f t="shared" si="3"/>
        <v>39885.870000000141</v>
      </c>
      <c r="B120" s="172">
        <f>IF('Peak Revenue'!$A$1="BL","-",IF(Peak!H121&gt;Peak!$G121,B$8*$X120,0))</f>
        <v>4.75</v>
      </c>
      <c r="C120" s="172">
        <f>IF('Peak Revenue'!$A$1="BL","-",IF(Peak!I121&gt;Peak!$G121,C$8*$X120,0))</f>
        <v>4.75</v>
      </c>
      <c r="D120" s="172">
        <f>IF('Peak Revenue'!$A$1="BL","-",IF(Peak!J121&gt;Peak!$G121,D$8*$X120,0))</f>
        <v>9.5</v>
      </c>
      <c r="E120" s="172">
        <f>IF('Peak Revenue'!$A$1="BL","-",IF(Peak!K121&gt;Peak!$G121,E$8*$X120,0))</f>
        <v>19</v>
      </c>
      <c r="F120" s="172">
        <f>IF('Peak Revenue'!$A$1="BL","-",IF(Peak!L121&gt;Peak!$G121,F$8*$X120,0))</f>
        <v>19</v>
      </c>
      <c r="G120" s="172">
        <f>IF('Peak Revenue'!$A$1="BL","-",IF(Peak!M121&gt;Peak!$G121,G$8*$X120,0))</f>
        <v>38</v>
      </c>
      <c r="H120" s="172">
        <f>IF('Peak Revenue'!$A$1="BL","-",IF(Peak!N121&gt;Peak!$G121,H$8*$X120,0))</f>
        <v>38</v>
      </c>
      <c r="I120" s="172">
        <f>IF('Peak Revenue'!$A$1="BL","-",IF(Peak!O121&gt;Peak!$G121,I$8*$X120,0))</f>
        <v>38</v>
      </c>
      <c r="J120" s="172">
        <f>IF('Peak Revenue'!$A$1="BL","-",IF(Peak!P121&gt;Peak!$G121,J$8*$X120,0))</f>
        <v>38</v>
      </c>
      <c r="K120" s="172">
        <f>IF('Peak Revenue'!$A$1="BL","-",IF(Peak!Q121&gt;Peak!$G121,K$8*$X120,0))</f>
        <v>38</v>
      </c>
      <c r="L120" s="172">
        <f>IF('Peak Revenue'!$A$1="BL","-",IF(Peak!R121&gt;Peak!$G121,L$8*$X120,0))</f>
        <v>38</v>
      </c>
      <c r="M120" s="172">
        <f>IF('Peak Revenue'!$A$1="BL","-",IF(Peak!S121&gt;Peak!$G121,M$8*$X120,0))</f>
        <v>38</v>
      </c>
      <c r="N120" s="172">
        <f>IF('Peak Revenue'!$A$1="BL","-",IF(Peak!T121&gt;Peak!$G121,N$8*$X120,0))</f>
        <v>0</v>
      </c>
      <c r="O120" s="172">
        <f>IF('Peak Revenue'!$A$1="BL","-",IF(Peak!U121&gt;Peak!$G121,O$8*$X120,0))</f>
        <v>0</v>
      </c>
      <c r="P120" s="172">
        <f>IF('Peak Revenue'!$A$1="BL","-",IF(Peak!V121&gt;Peak!$G121,P$8*$X120,0))</f>
        <v>0</v>
      </c>
      <c r="Q120" s="172">
        <f>IF('Peak Revenue'!$A$1="BL","-",IF(Peak!W121&gt;Peak!$G121,Q$8*$X120,0))</f>
        <v>0</v>
      </c>
      <c r="R120" s="172">
        <f>IF('Peak Revenue'!$A$1="BL","-",IF(Peak!X121&gt;Peak!$G121,R$8*$X120,0))</f>
        <v>0</v>
      </c>
      <c r="S120" s="172">
        <f>IF('Peak Revenue'!$A$1="BL","-",IF(Peak!Y121&gt;Peak!$G121,S$8*$X120,0))</f>
        <v>0</v>
      </c>
      <c r="T120" s="172">
        <f>IF('Peak Revenue'!$A$1="BL","-",IF(Peak!Z121&gt;Peak!$G121,T$8*$X120,0))</f>
        <v>0</v>
      </c>
      <c r="U120" s="172">
        <f>IF('Peak Revenue'!$A$1="BL","-",IF(Peak!AA121&gt;Peak!$G121,U$8*$X120,0))</f>
        <v>0</v>
      </c>
      <c r="V120" s="175">
        <f t="shared" si="2"/>
        <v>323</v>
      </c>
      <c r="W120" s="164"/>
      <c r="X120" s="473">
        <f>CHOOSE(QUOTIENT(MONTH($A120),3)+1,Peak!$AM$11,Peak!$AN$11,Peak!$AL$11,Peak!$AO$11,Peak!$AM$11)</f>
        <v>0.95</v>
      </c>
      <c r="Y120" s="474">
        <f>CHOOSE(QUOTIENT(MONTH($A120),3)+1,Peak!$AM$17,Peak!$AN$17,Peak!$AL$17,Peak!$AO$17,Peak!$AM$17)</f>
        <v>705</v>
      </c>
    </row>
    <row r="121" spans="1:25" x14ac:dyDescent="0.2">
      <c r="A121" s="1">
        <f t="shared" si="3"/>
        <v>39916.287000000142</v>
      </c>
      <c r="B121" s="172">
        <f>IF('Peak Revenue'!$A$1="BL","-",IF(Peak!H122&gt;Peak!$G122,B$8*$X121,0))</f>
        <v>4.75</v>
      </c>
      <c r="C121" s="172">
        <f>IF('Peak Revenue'!$A$1="BL","-",IF(Peak!I122&gt;Peak!$G122,C$8*$X121,0))</f>
        <v>4.75</v>
      </c>
      <c r="D121" s="172">
        <f>IF('Peak Revenue'!$A$1="BL","-",IF(Peak!J122&gt;Peak!$G122,D$8*$X121,0))</f>
        <v>9.5</v>
      </c>
      <c r="E121" s="172">
        <f>IF('Peak Revenue'!$A$1="BL","-",IF(Peak!K122&gt;Peak!$G122,E$8*$X121,0))</f>
        <v>19</v>
      </c>
      <c r="F121" s="172">
        <f>IF('Peak Revenue'!$A$1="BL","-",IF(Peak!L122&gt;Peak!$G122,F$8*$X121,0))</f>
        <v>19</v>
      </c>
      <c r="G121" s="172">
        <f>IF('Peak Revenue'!$A$1="BL","-",IF(Peak!M122&gt;Peak!$G122,G$8*$X121,0))</f>
        <v>38</v>
      </c>
      <c r="H121" s="172">
        <f>IF('Peak Revenue'!$A$1="BL","-",IF(Peak!N122&gt;Peak!$G122,H$8*$X121,0))</f>
        <v>38</v>
      </c>
      <c r="I121" s="172">
        <f>IF('Peak Revenue'!$A$1="BL","-",IF(Peak!O122&gt;Peak!$G122,I$8*$X121,0))</f>
        <v>38</v>
      </c>
      <c r="J121" s="172">
        <f>IF('Peak Revenue'!$A$1="BL","-",IF(Peak!P122&gt;Peak!$G122,J$8*$X121,0))</f>
        <v>38</v>
      </c>
      <c r="K121" s="172">
        <f>IF('Peak Revenue'!$A$1="BL","-",IF(Peak!Q122&gt;Peak!$G122,K$8*$X121,0))</f>
        <v>38</v>
      </c>
      <c r="L121" s="172">
        <f>IF('Peak Revenue'!$A$1="BL","-",IF(Peak!R122&gt;Peak!$G122,L$8*$X121,0))</f>
        <v>38</v>
      </c>
      <c r="M121" s="172">
        <f>IF('Peak Revenue'!$A$1="BL","-",IF(Peak!S122&gt;Peak!$G122,M$8*$X121,0))</f>
        <v>0</v>
      </c>
      <c r="N121" s="172">
        <f>IF('Peak Revenue'!$A$1="BL","-",IF(Peak!T122&gt;Peak!$G122,N$8*$X121,0))</f>
        <v>0</v>
      </c>
      <c r="O121" s="172">
        <f>IF('Peak Revenue'!$A$1="BL","-",IF(Peak!U122&gt;Peak!$G122,O$8*$X121,0))</f>
        <v>0</v>
      </c>
      <c r="P121" s="172">
        <f>IF('Peak Revenue'!$A$1="BL","-",IF(Peak!V122&gt;Peak!$G122,P$8*$X121,0))</f>
        <v>0</v>
      </c>
      <c r="Q121" s="172">
        <f>IF('Peak Revenue'!$A$1="BL","-",IF(Peak!W122&gt;Peak!$G122,Q$8*$X121,0))</f>
        <v>0</v>
      </c>
      <c r="R121" s="172">
        <f>IF('Peak Revenue'!$A$1="BL","-",IF(Peak!X122&gt;Peak!$G122,R$8*$X121,0))</f>
        <v>0</v>
      </c>
      <c r="S121" s="172">
        <f>IF('Peak Revenue'!$A$1="BL","-",IF(Peak!Y122&gt;Peak!$G122,S$8*$X121,0))</f>
        <v>0</v>
      </c>
      <c r="T121" s="172">
        <f>IF('Peak Revenue'!$A$1="BL","-",IF(Peak!Z122&gt;Peak!$G122,T$8*$X121,0))</f>
        <v>0</v>
      </c>
      <c r="U121" s="172">
        <f>IF('Peak Revenue'!$A$1="BL","-",IF(Peak!AA122&gt;Peak!$G122,U$8*$X121,0))</f>
        <v>0</v>
      </c>
      <c r="V121" s="175">
        <f t="shared" si="2"/>
        <v>285</v>
      </c>
      <c r="W121" s="164"/>
      <c r="X121" s="473">
        <f>CHOOSE(QUOTIENT(MONTH($A121),3)+1,Peak!$AM$11,Peak!$AN$11,Peak!$AL$11,Peak!$AO$11,Peak!$AM$11)</f>
        <v>0.95</v>
      </c>
      <c r="Y121" s="474">
        <f>CHOOSE(QUOTIENT(MONTH($A121),3)+1,Peak!$AM$17,Peak!$AN$17,Peak!$AL$17,Peak!$AO$17,Peak!$AM$17)</f>
        <v>705</v>
      </c>
    </row>
    <row r="122" spans="1:25" x14ac:dyDescent="0.2">
      <c r="A122" s="1">
        <f t="shared" si="3"/>
        <v>39946.704000000143</v>
      </c>
      <c r="B122" s="172">
        <f>IF('Peak Revenue'!$A$1="BL","-",IF(Peak!H123&gt;Peak!$G123,B$8*$X122,0))</f>
        <v>4.75</v>
      </c>
      <c r="C122" s="172">
        <f>IF('Peak Revenue'!$A$1="BL","-",IF(Peak!I123&gt;Peak!$G123,C$8*$X122,0))</f>
        <v>4.75</v>
      </c>
      <c r="D122" s="172">
        <f>IF('Peak Revenue'!$A$1="BL","-",IF(Peak!J123&gt;Peak!$G123,D$8*$X122,0))</f>
        <v>9.5</v>
      </c>
      <c r="E122" s="172">
        <f>IF('Peak Revenue'!$A$1="BL","-",IF(Peak!K123&gt;Peak!$G123,E$8*$X122,0))</f>
        <v>19</v>
      </c>
      <c r="F122" s="172">
        <f>IF('Peak Revenue'!$A$1="BL","-",IF(Peak!L123&gt;Peak!$G123,F$8*$X122,0))</f>
        <v>19</v>
      </c>
      <c r="G122" s="172">
        <f>IF('Peak Revenue'!$A$1="BL","-",IF(Peak!M123&gt;Peak!$G123,G$8*$X122,0))</f>
        <v>38</v>
      </c>
      <c r="H122" s="172">
        <f>IF('Peak Revenue'!$A$1="BL","-",IF(Peak!N123&gt;Peak!$G123,H$8*$X122,0))</f>
        <v>38</v>
      </c>
      <c r="I122" s="172">
        <f>IF('Peak Revenue'!$A$1="BL","-",IF(Peak!O123&gt;Peak!$G123,I$8*$X122,0))</f>
        <v>38</v>
      </c>
      <c r="J122" s="172">
        <f>IF('Peak Revenue'!$A$1="BL","-",IF(Peak!P123&gt;Peak!$G123,J$8*$X122,0))</f>
        <v>38</v>
      </c>
      <c r="K122" s="172">
        <f>IF('Peak Revenue'!$A$1="BL","-",IF(Peak!Q123&gt;Peak!$G123,K$8*$X122,0))</f>
        <v>0</v>
      </c>
      <c r="L122" s="172">
        <f>IF('Peak Revenue'!$A$1="BL","-",IF(Peak!R123&gt;Peak!$G123,L$8*$X122,0))</f>
        <v>0</v>
      </c>
      <c r="M122" s="172">
        <f>IF('Peak Revenue'!$A$1="BL","-",IF(Peak!S123&gt;Peak!$G123,M$8*$X122,0))</f>
        <v>0</v>
      </c>
      <c r="N122" s="172">
        <f>IF('Peak Revenue'!$A$1="BL","-",IF(Peak!T123&gt;Peak!$G123,N$8*$X122,0))</f>
        <v>0</v>
      </c>
      <c r="O122" s="172">
        <f>IF('Peak Revenue'!$A$1="BL","-",IF(Peak!U123&gt;Peak!$G123,O$8*$X122,0))</f>
        <v>0</v>
      </c>
      <c r="P122" s="172">
        <f>IF('Peak Revenue'!$A$1="BL","-",IF(Peak!V123&gt;Peak!$G123,P$8*$X122,0))</f>
        <v>0</v>
      </c>
      <c r="Q122" s="172">
        <f>IF('Peak Revenue'!$A$1="BL","-",IF(Peak!W123&gt;Peak!$G123,Q$8*$X122,0))</f>
        <v>0</v>
      </c>
      <c r="R122" s="172">
        <f>IF('Peak Revenue'!$A$1="BL","-",IF(Peak!X123&gt;Peak!$G123,R$8*$X122,0))</f>
        <v>0</v>
      </c>
      <c r="S122" s="172">
        <f>IF('Peak Revenue'!$A$1="BL","-",IF(Peak!Y123&gt;Peak!$G123,S$8*$X122,0))</f>
        <v>0</v>
      </c>
      <c r="T122" s="172">
        <f>IF('Peak Revenue'!$A$1="BL","-",IF(Peak!Z123&gt;Peak!$G123,T$8*$X122,0))</f>
        <v>0</v>
      </c>
      <c r="U122" s="172">
        <f>IF('Peak Revenue'!$A$1="BL","-",IF(Peak!AA123&gt;Peak!$G123,U$8*$X122,0))</f>
        <v>0</v>
      </c>
      <c r="V122" s="175">
        <f t="shared" si="2"/>
        <v>209</v>
      </c>
      <c r="W122" s="164"/>
      <c r="X122" s="473">
        <f>CHOOSE(QUOTIENT(MONTH($A122),3)+1,Peak!$AM$11,Peak!$AN$11,Peak!$AL$11,Peak!$AO$11,Peak!$AM$11)</f>
        <v>0.95</v>
      </c>
      <c r="Y122" s="474">
        <f>CHOOSE(QUOTIENT(MONTH($A122),3)+1,Peak!$AM$17,Peak!$AN$17,Peak!$AL$17,Peak!$AO$17,Peak!$AM$17)</f>
        <v>705</v>
      </c>
    </row>
    <row r="123" spans="1:25" x14ac:dyDescent="0.2">
      <c r="A123" s="1">
        <f t="shared" si="3"/>
        <v>39977.121000000145</v>
      </c>
      <c r="B123" s="172">
        <f>IF('Peak Revenue'!$A$1="BL","-",IF(Peak!H124&gt;Peak!$G124,B$8*$X123,0))</f>
        <v>4.8306067954779284</v>
      </c>
      <c r="C123" s="172">
        <f>IF('Peak Revenue'!$A$1="BL","-",IF(Peak!I124&gt;Peak!$G124,C$8*$X123,0))</f>
        <v>4.8306067954779284</v>
      </c>
      <c r="D123" s="172">
        <f>IF('Peak Revenue'!$A$1="BL","-",IF(Peak!J124&gt;Peak!$G124,D$8*$X123,0))</f>
        <v>9.6612135909558567</v>
      </c>
      <c r="E123" s="172">
        <f>IF('Peak Revenue'!$A$1="BL","-",IF(Peak!K124&gt;Peak!$G124,E$8*$X123,0))</f>
        <v>19.322427181911713</v>
      </c>
      <c r="F123" s="172">
        <f>IF('Peak Revenue'!$A$1="BL","-",IF(Peak!L124&gt;Peak!$G124,F$8*$X123,0))</f>
        <v>19.322427181911713</v>
      </c>
      <c r="G123" s="172">
        <f>IF('Peak Revenue'!$A$1="BL","-",IF(Peak!M124&gt;Peak!$G124,G$8*$X123,0))</f>
        <v>38.644854363823427</v>
      </c>
      <c r="H123" s="172">
        <f>IF('Peak Revenue'!$A$1="BL","-",IF(Peak!N124&gt;Peak!$G124,H$8*$X123,0))</f>
        <v>38.644854363823427</v>
      </c>
      <c r="I123" s="172">
        <f>IF('Peak Revenue'!$A$1="BL","-",IF(Peak!O124&gt;Peak!$G124,I$8*$X123,0))</f>
        <v>38.644854363823427</v>
      </c>
      <c r="J123" s="172">
        <f>IF('Peak Revenue'!$A$1="BL","-",IF(Peak!P124&gt;Peak!$G124,J$8*$X123,0))</f>
        <v>38.644854363823427</v>
      </c>
      <c r="K123" s="172">
        <f>IF('Peak Revenue'!$A$1="BL","-",IF(Peak!Q124&gt;Peak!$G124,K$8*$X123,0))</f>
        <v>38.644854363823427</v>
      </c>
      <c r="L123" s="172">
        <f>IF('Peak Revenue'!$A$1="BL","-",IF(Peak!R124&gt;Peak!$G124,L$8*$X123,0))</f>
        <v>0</v>
      </c>
      <c r="M123" s="172">
        <f>IF('Peak Revenue'!$A$1="BL","-",IF(Peak!S124&gt;Peak!$G124,M$8*$X123,0))</f>
        <v>0</v>
      </c>
      <c r="N123" s="172">
        <f>IF('Peak Revenue'!$A$1="BL","-",IF(Peak!T124&gt;Peak!$G124,N$8*$X123,0))</f>
        <v>0</v>
      </c>
      <c r="O123" s="172">
        <f>IF('Peak Revenue'!$A$1="BL","-",IF(Peak!U124&gt;Peak!$G124,O$8*$X123,0))</f>
        <v>0</v>
      </c>
      <c r="P123" s="172">
        <f>IF('Peak Revenue'!$A$1="BL","-",IF(Peak!V124&gt;Peak!$G124,P$8*$X123,0))</f>
        <v>0</v>
      </c>
      <c r="Q123" s="172">
        <f>IF('Peak Revenue'!$A$1="BL","-",IF(Peak!W124&gt;Peak!$G124,Q$8*$X123,0))</f>
        <v>0</v>
      </c>
      <c r="R123" s="172">
        <f>IF('Peak Revenue'!$A$1="BL","-",IF(Peak!X124&gt;Peak!$G124,R$8*$X123,0))</f>
        <v>0</v>
      </c>
      <c r="S123" s="172">
        <f>IF('Peak Revenue'!$A$1="BL","-",IF(Peak!Y124&gt;Peak!$G124,S$8*$X123,0))</f>
        <v>0</v>
      </c>
      <c r="T123" s="172">
        <f>IF('Peak Revenue'!$A$1="BL","-",IF(Peak!Z124&gt;Peak!$G124,T$8*$X123,0))</f>
        <v>0</v>
      </c>
      <c r="U123" s="172">
        <f>IF('Peak Revenue'!$A$1="BL","-",IF(Peak!AA124&gt;Peak!$G124,U$8*$X123,0))</f>
        <v>0</v>
      </c>
      <c r="V123" s="175">
        <f t="shared" si="2"/>
        <v>251.19155336485221</v>
      </c>
      <c r="W123" s="164"/>
      <c r="X123" s="473">
        <f>CHOOSE(QUOTIENT(MONTH($A123),3)+1,Peak!$AM$11,Peak!$AN$11,Peak!$AL$11,Peak!$AO$11,Peak!$AM$11)</f>
        <v>0.96612135909558572</v>
      </c>
      <c r="Y123" s="474">
        <f>CHOOSE(QUOTIENT(MONTH($A123),3)+1,Peak!$AM$17,Peak!$AN$17,Peak!$AL$17,Peak!$AO$17,Peak!$AM$17)</f>
        <v>705</v>
      </c>
    </row>
    <row r="124" spans="1:25" x14ac:dyDescent="0.2">
      <c r="A124" s="1">
        <f t="shared" si="3"/>
        <v>40007.538000000146</v>
      </c>
      <c r="B124" s="172">
        <f>IF('Peak Revenue'!$A$1="BL","-",IF(Peak!H125&gt;Peak!$G125,B$8*$X124,0))</f>
        <v>4.8306067954779284</v>
      </c>
      <c r="C124" s="172">
        <f>IF('Peak Revenue'!$A$1="BL","-",IF(Peak!I125&gt;Peak!$G125,C$8*$X124,0))</f>
        <v>4.8306067954779284</v>
      </c>
      <c r="D124" s="172">
        <f>IF('Peak Revenue'!$A$1="BL","-",IF(Peak!J125&gt;Peak!$G125,D$8*$X124,0))</f>
        <v>9.6612135909558567</v>
      </c>
      <c r="E124" s="172">
        <f>IF('Peak Revenue'!$A$1="BL","-",IF(Peak!K125&gt;Peak!$G125,E$8*$X124,0))</f>
        <v>19.322427181911713</v>
      </c>
      <c r="F124" s="172">
        <f>IF('Peak Revenue'!$A$1="BL","-",IF(Peak!L125&gt;Peak!$G125,F$8*$X124,0))</f>
        <v>19.322427181911713</v>
      </c>
      <c r="G124" s="172">
        <f>IF('Peak Revenue'!$A$1="BL","-",IF(Peak!M125&gt;Peak!$G125,G$8*$X124,0))</f>
        <v>38.644854363823427</v>
      </c>
      <c r="H124" s="172">
        <f>IF('Peak Revenue'!$A$1="BL","-",IF(Peak!N125&gt;Peak!$G125,H$8*$X124,0))</f>
        <v>38.644854363823427</v>
      </c>
      <c r="I124" s="172">
        <f>IF('Peak Revenue'!$A$1="BL","-",IF(Peak!O125&gt;Peak!$G125,I$8*$X124,0))</f>
        <v>38.644854363823427</v>
      </c>
      <c r="J124" s="172">
        <f>IF('Peak Revenue'!$A$1="BL","-",IF(Peak!P125&gt;Peak!$G125,J$8*$X124,0))</f>
        <v>38.644854363823427</v>
      </c>
      <c r="K124" s="172">
        <f>IF('Peak Revenue'!$A$1="BL","-",IF(Peak!Q125&gt;Peak!$G125,K$8*$X124,0))</f>
        <v>38.644854363823427</v>
      </c>
      <c r="L124" s="172">
        <f>IF('Peak Revenue'!$A$1="BL","-",IF(Peak!R125&gt;Peak!$G125,L$8*$X124,0))</f>
        <v>38.644854363823427</v>
      </c>
      <c r="M124" s="172">
        <f>IF('Peak Revenue'!$A$1="BL","-",IF(Peak!S125&gt;Peak!$G125,M$8*$X124,0))</f>
        <v>0</v>
      </c>
      <c r="N124" s="172">
        <f>IF('Peak Revenue'!$A$1="BL","-",IF(Peak!T125&gt;Peak!$G125,N$8*$X124,0))</f>
        <v>0</v>
      </c>
      <c r="O124" s="172">
        <f>IF('Peak Revenue'!$A$1="BL","-",IF(Peak!U125&gt;Peak!$G125,O$8*$X124,0))</f>
        <v>0</v>
      </c>
      <c r="P124" s="172">
        <f>IF('Peak Revenue'!$A$1="BL","-",IF(Peak!V125&gt;Peak!$G125,P$8*$X124,0))</f>
        <v>0</v>
      </c>
      <c r="Q124" s="172">
        <f>IF('Peak Revenue'!$A$1="BL","-",IF(Peak!W125&gt;Peak!$G125,Q$8*$X124,0))</f>
        <v>0</v>
      </c>
      <c r="R124" s="172">
        <f>IF('Peak Revenue'!$A$1="BL","-",IF(Peak!X125&gt;Peak!$G125,R$8*$X124,0))</f>
        <v>0</v>
      </c>
      <c r="S124" s="172">
        <f>IF('Peak Revenue'!$A$1="BL","-",IF(Peak!Y125&gt;Peak!$G125,S$8*$X124,0))</f>
        <v>0</v>
      </c>
      <c r="T124" s="172">
        <f>IF('Peak Revenue'!$A$1="BL","-",IF(Peak!Z125&gt;Peak!$G125,T$8*$X124,0))</f>
        <v>0</v>
      </c>
      <c r="U124" s="172">
        <f>IF('Peak Revenue'!$A$1="BL","-",IF(Peak!AA125&gt;Peak!$G125,U$8*$X124,0))</f>
        <v>0</v>
      </c>
      <c r="V124" s="175">
        <f t="shared" si="2"/>
        <v>289.83640772867562</v>
      </c>
      <c r="W124" s="164"/>
      <c r="X124" s="473">
        <f>CHOOSE(QUOTIENT(MONTH($A124),3)+1,Peak!$AM$11,Peak!$AN$11,Peak!$AL$11,Peak!$AO$11,Peak!$AM$11)</f>
        <v>0.96612135909558572</v>
      </c>
      <c r="Y124" s="474">
        <f>CHOOSE(QUOTIENT(MONTH($A124),3)+1,Peak!$AM$17,Peak!$AN$17,Peak!$AL$17,Peak!$AO$17,Peak!$AM$17)</f>
        <v>705</v>
      </c>
    </row>
    <row r="125" spans="1:25" x14ac:dyDescent="0.2">
      <c r="A125" s="1">
        <f t="shared" si="3"/>
        <v>40037.955000000147</v>
      </c>
      <c r="B125" s="172">
        <f>IF('Peak Revenue'!$A$1="BL","-",IF(Peak!H126&gt;Peak!$G126,B$8*$X125,0))</f>
        <v>4.8306067954779284</v>
      </c>
      <c r="C125" s="172">
        <f>IF('Peak Revenue'!$A$1="BL","-",IF(Peak!I126&gt;Peak!$G126,C$8*$X125,0))</f>
        <v>4.8306067954779284</v>
      </c>
      <c r="D125" s="172">
        <f>IF('Peak Revenue'!$A$1="BL","-",IF(Peak!J126&gt;Peak!$G126,D$8*$X125,0))</f>
        <v>9.6612135909558567</v>
      </c>
      <c r="E125" s="172">
        <f>IF('Peak Revenue'!$A$1="BL","-",IF(Peak!K126&gt;Peak!$G126,E$8*$X125,0))</f>
        <v>19.322427181911713</v>
      </c>
      <c r="F125" s="172">
        <f>IF('Peak Revenue'!$A$1="BL","-",IF(Peak!L126&gt;Peak!$G126,F$8*$X125,0))</f>
        <v>19.322427181911713</v>
      </c>
      <c r="G125" s="172">
        <f>IF('Peak Revenue'!$A$1="BL","-",IF(Peak!M126&gt;Peak!$G126,G$8*$X125,0))</f>
        <v>38.644854363823427</v>
      </c>
      <c r="H125" s="172">
        <f>IF('Peak Revenue'!$A$1="BL","-",IF(Peak!N126&gt;Peak!$G126,H$8*$X125,0))</f>
        <v>38.644854363823427</v>
      </c>
      <c r="I125" s="172">
        <f>IF('Peak Revenue'!$A$1="BL","-",IF(Peak!O126&gt;Peak!$G126,I$8*$X125,0))</f>
        <v>38.644854363823427</v>
      </c>
      <c r="J125" s="172">
        <f>IF('Peak Revenue'!$A$1="BL","-",IF(Peak!P126&gt;Peak!$G126,J$8*$X125,0))</f>
        <v>38.644854363823427</v>
      </c>
      <c r="K125" s="172">
        <f>IF('Peak Revenue'!$A$1="BL","-",IF(Peak!Q126&gt;Peak!$G126,K$8*$X125,0))</f>
        <v>38.644854363823427</v>
      </c>
      <c r="L125" s="172">
        <f>IF('Peak Revenue'!$A$1="BL","-",IF(Peak!R126&gt;Peak!$G126,L$8*$X125,0))</f>
        <v>38.644854363823427</v>
      </c>
      <c r="M125" s="172">
        <f>IF('Peak Revenue'!$A$1="BL","-",IF(Peak!S126&gt;Peak!$G126,M$8*$X125,0))</f>
        <v>38.644854363823427</v>
      </c>
      <c r="N125" s="172">
        <f>IF('Peak Revenue'!$A$1="BL","-",IF(Peak!T126&gt;Peak!$G126,N$8*$X125,0))</f>
        <v>38.644854363823427</v>
      </c>
      <c r="O125" s="172">
        <f>IF('Peak Revenue'!$A$1="BL","-",IF(Peak!U126&gt;Peak!$G126,O$8*$X125,0))</f>
        <v>38.644854363823427</v>
      </c>
      <c r="P125" s="172">
        <f>IF('Peak Revenue'!$A$1="BL","-",IF(Peak!V126&gt;Peak!$G126,P$8*$X125,0))</f>
        <v>38.644854363823427</v>
      </c>
      <c r="Q125" s="172">
        <f>IF('Peak Revenue'!$A$1="BL","-",IF(Peak!W126&gt;Peak!$G126,Q$8*$X125,0))</f>
        <v>38.644854363823427</v>
      </c>
      <c r="R125" s="172">
        <f>IF('Peak Revenue'!$A$1="BL","-",IF(Peak!X126&gt;Peak!$G126,R$8*$X125,0))</f>
        <v>38.644854363823427</v>
      </c>
      <c r="S125" s="172">
        <f>IF('Peak Revenue'!$A$1="BL","-",IF(Peak!Y126&gt;Peak!$G126,S$8*$X125,0))</f>
        <v>0</v>
      </c>
      <c r="T125" s="172">
        <f>IF('Peak Revenue'!$A$1="BL","-",IF(Peak!Z126&gt;Peak!$G126,T$8*$X125,0))</f>
        <v>0</v>
      </c>
      <c r="U125" s="172">
        <f>IF('Peak Revenue'!$A$1="BL","-",IF(Peak!AA126&gt;Peak!$G126,U$8*$X125,0))</f>
        <v>0</v>
      </c>
      <c r="V125" s="175">
        <f t="shared" si="2"/>
        <v>521.70553391161616</v>
      </c>
      <c r="W125" s="164"/>
      <c r="X125" s="473">
        <f>CHOOSE(QUOTIENT(MONTH($A125),3)+1,Peak!$AM$11,Peak!$AN$11,Peak!$AL$11,Peak!$AO$11,Peak!$AM$11)</f>
        <v>0.96612135909558572</v>
      </c>
      <c r="Y125" s="474">
        <f>CHOOSE(QUOTIENT(MONTH($A125),3)+1,Peak!$AM$17,Peak!$AN$17,Peak!$AL$17,Peak!$AO$17,Peak!$AM$17)</f>
        <v>705</v>
      </c>
    </row>
    <row r="126" spans="1:25" x14ac:dyDescent="0.2">
      <c r="A126" s="1">
        <f t="shared" si="3"/>
        <v>40068.372000000149</v>
      </c>
      <c r="B126" s="172">
        <f>IF('Peak Revenue'!$A$1="BL","-",IF(Peak!H127&gt;Peak!$G127,B$8*$X126,0))</f>
        <v>4.75</v>
      </c>
      <c r="C126" s="172">
        <f>IF('Peak Revenue'!$A$1="BL","-",IF(Peak!I127&gt;Peak!$G127,C$8*$X126,0))</f>
        <v>4.75</v>
      </c>
      <c r="D126" s="172">
        <f>IF('Peak Revenue'!$A$1="BL","-",IF(Peak!J127&gt;Peak!$G127,D$8*$X126,0))</f>
        <v>9.5</v>
      </c>
      <c r="E126" s="172">
        <f>IF('Peak Revenue'!$A$1="BL","-",IF(Peak!K127&gt;Peak!$G127,E$8*$X126,0))</f>
        <v>19</v>
      </c>
      <c r="F126" s="172">
        <f>IF('Peak Revenue'!$A$1="BL","-",IF(Peak!L127&gt;Peak!$G127,F$8*$X126,0))</f>
        <v>19</v>
      </c>
      <c r="G126" s="172">
        <f>IF('Peak Revenue'!$A$1="BL","-",IF(Peak!M127&gt;Peak!$G127,G$8*$X126,0))</f>
        <v>38</v>
      </c>
      <c r="H126" s="172">
        <f>IF('Peak Revenue'!$A$1="BL","-",IF(Peak!N127&gt;Peak!$G127,H$8*$X126,0))</f>
        <v>38</v>
      </c>
      <c r="I126" s="172">
        <f>IF('Peak Revenue'!$A$1="BL","-",IF(Peak!O127&gt;Peak!$G127,I$8*$X126,0))</f>
        <v>38</v>
      </c>
      <c r="J126" s="172">
        <f>IF('Peak Revenue'!$A$1="BL","-",IF(Peak!P127&gt;Peak!$G127,J$8*$X126,0))</f>
        <v>38</v>
      </c>
      <c r="K126" s="172">
        <f>IF('Peak Revenue'!$A$1="BL","-",IF(Peak!Q127&gt;Peak!$G127,K$8*$X126,0))</f>
        <v>0</v>
      </c>
      <c r="L126" s="172">
        <f>IF('Peak Revenue'!$A$1="BL","-",IF(Peak!R127&gt;Peak!$G127,L$8*$X126,0))</f>
        <v>0</v>
      </c>
      <c r="M126" s="172">
        <f>IF('Peak Revenue'!$A$1="BL","-",IF(Peak!S127&gt;Peak!$G127,M$8*$X126,0))</f>
        <v>0</v>
      </c>
      <c r="N126" s="172">
        <f>IF('Peak Revenue'!$A$1="BL","-",IF(Peak!T127&gt;Peak!$G127,N$8*$X126,0))</f>
        <v>0</v>
      </c>
      <c r="O126" s="172">
        <f>IF('Peak Revenue'!$A$1="BL","-",IF(Peak!U127&gt;Peak!$G127,O$8*$X126,0))</f>
        <v>0</v>
      </c>
      <c r="P126" s="172">
        <f>IF('Peak Revenue'!$A$1="BL","-",IF(Peak!V127&gt;Peak!$G127,P$8*$X126,0))</f>
        <v>0</v>
      </c>
      <c r="Q126" s="172">
        <f>IF('Peak Revenue'!$A$1="BL","-",IF(Peak!W127&gt;Peak!$G127,Q$8*$X126,0))</f>
        <v>0</v>
      </c>
      <c r="R126" s="172">
        <f>IF('Peak Revenue'!$A$1="BL","-",IF(Peak!X127&gt;Peak!$G127,R$8*$X126,0))</f>
        <v>0</v>
      </c>
      <c r="S126" s="172">
        <f>IF('Peak Revenue'!$A$1="BL","-",IF(Peak!Y127&gt;Peak!$G127,S$8*$X126,0))</f>
        <v>0</v>
      </c>
      <c r="T126" s="172">
        <f>IF('Peak Revenue'!$A$1="BL","-",IF(Peak!Z127&gt;Peak!$G127,T$8*$X126,0))</f>
        <v>0</v>
      </c>
      <c r="U126" s="172">
        <f>IF('Peak Revenue'!$A$1="BL","-",IF(Peak!AA127&gt;Peak!$G127,U$8*$X126,0))</f>
        <v>0</v>
      </c>
      <c r="V126" s="175">
        <f t="shared" si="2"/>
        <v>209</v>
      </c>
      <c r="W126" s="164"/>
      <c r="X126" s="473">
        <f>CHOOSE(QUOTIENT(MONTH($A126),3)+1,Peak!$AM$11,Peak!$AN$11,Peak!$AL$11,Peak!$AO$11,Peak!$AM$11)</f>
        <v>0.95</v>
      </c>
      <c r="Y126" s="474">
        <f>CHOOSE(QUOTIENT(MONTH($A126),3)+1,Peak!$AM$17,Peak!$AN$17,Peak!$AL$17,Peak!$AO$17,Peak!$AM$17)</f>
        <v>705</v>
      </c>
    </row>
    <row r="127" spans="1:25" x14ac:dyDescent="0.2">
      <c r="A127" s="1">
        <f t="shared" si="3"/>
        <v>40098.78900000015</v>
      </c>
      <c r="B127" s="172">
        <f>IF('Peak Revenue'!$A$1="BL","-",IF(Peak!H128&gt;Peak!$G128,B$8*$X127,0))</f>
        <v>4.75</v>
      </c>
      <c r="C127" s="172">
        <f>IF('Peak Revenue'!$A$1="BL","-",IF(Peak!I128&gt;Peak!$G128,C$8*$X127,0))</f>
        <v>4.75</v>
      </c>
      <c r="D127" s="172">
        <f>IF('Peak Revenue'!$A$1="BL","-",IF(Peak!J128&gt;Peak!$G128,D$8*$X127,0))</f>
        <v>9.5</v>
      </c>
      <c r="E127" s="172">
        <f>IF('Peak Revenue'!$A$1="BL","-",IF(Peak!K128&gt;Peak!$G128,E$8*$X127,0))</f>
        <v>19</v>
      </c>
      <c r="F127" s="172">
        <f>IF('Peak Revenue'!$A$1="BL","-",IF(Peak!L128&gt;Peak!$G128,F$8*$X127,0))</f>
        <v>19</v>
      </c>
      <c r="G127" s="172">
        <f>IF('Peak Revenue'!$A$1="BL","-",IF(Peak!M128&gt;Peak!$G128,G$8*$X127,0))</f>
        <v>38</v>
      </c>
      <c r="H127" s="172">
        <f>IF('Peak Revenue'!$A$1="BL","-",IF(Peak!N128&gt;Peak!$G128,H$8*$X127,0))</f>
        <v>38</v>
      </c>
      <c r="I127" s="172">
        <f>IF('Peak Revenue'!$A$1="BL","-",IF(Peak!O128&gt;Peak!$G128,I$8*$X127,0))</f>
        <v>38</v>
      </c>
      <c r="J127" s="172">
        <f>IF('Peak Revenue'!$A$1="BL","-",IF(Peak!P128&gt;Peak!$G128,J$8*$X127,0))</f>
        <v>38</v>
      </c>
      <c r="K127" s="172">
        <f>IF('Peak Revenue'!$A$1="BL","-",IF(Peak!Q128&gt;Peak!$G128,K$8*$X127,0))</f>
        <v>0</v>
      </c>
      <c r="L127" s="172">
        <f>IF('Peak Revenue'!$A$1="BL","-",IF(Peak!R128&gt;Peak!$G128,L$8*$X127,0))</f>
        <v>0</v>
      </c>
      <c r="M127" s="172">
        <f>IF('Peak Revenue'!$A$1="BL","-",IF(Peak!S128&gt;Peak!$G128,M$8*$X127,0))</f>
        <v>0</v>
      </c>
      <c r="N127" s="172">
        <f>IF('Peak Revenue'!$A$1="BL","-",IF(Peak!T128&gt;Peak!$G128,N$8*$X127,0))</f>
        <v>0</v>
      </c>
      <c r="O127" s="172">
        <f>IF('Peak Revenue'!$A$1="BL","-",IF(Peak!U128&gt;Peak!$G128,O$8*$X127,0))</f>
        <v>0</v>
      </c>
      <c r="P127" s="172">
        <f>IF('Peak Revenue'!$A$1="BL","-",IF(Peak!V128&gt;Peak!$G128,P$8*$X127,0))</f>
        <v>0</v>
      </c>
      <c r="Q127" s="172">
        <f>IF('Peak Revenue'!$A$1="BL","-",IF(Peak!W128&gt;Peak!$G128,Q$8*$X127,0))</f>
        <v>0</v>
      </c>
      <c r="R127" s="172">
        <f>IF('Peak Revenue'!$A$1="BL","-",IF(Peak!X128&gt;Peak!$G128,R$8*$X127,0))</f>
        <v>0</v>
      </c>
      <c r="S127" s="172">
        <f>IF('Peak Revenue'!$A$1="BL","-",IF(Peak!Y128&gt;Peak!$G128,S$8*$X127,0))</f>
        <v>0</v>
      </c>
      <c r="T127" s="172">
        <f>IF('Peak Revenue'!$A$1="BL","-",IF(Peak!Z128&gt;Peak!$G128,T$8*$X127,0))</f>
        <v>0</v>
      </c>
      <c r="U127" s="172">
        <f>IF('Peak Revenue'!$A$1="BL","-",IF(Peak!AA128&gt;Peak!$G128,U$8*$X127,0))</f>
        <v>0</v>
      </c>
      <c r="V127" s="175">
        <f t="shared" si="2"/>
        <v>209</v>
      </c>
      <c r="W127" s="164"/>
      <c r="X127" s="473">
        <f>CHOOSE(QUOTIENT(MONTH($A127),3)+1,Peak!$AM$11,Peak!$AN$11,Peak!$AL$11,Peak!$AO$11,Peak!$AM$11)</f>
        <v>0.95</v>
      </c>
      <c r="Y127" s="474">
        <f>CHOOSE(QUOTIENT(MONTH($A127),3)+1,Peak!$AM$17,Peak!$AN$17,Peak!$AL$17,Peak!$AO$17,Peak!$AM$17)</f>
        <v>705</v>
      </c>
    </row>
    <row r="128" spans="1:25" x14ac:dyDescent="0.2">
      <c r="A128" s="1">
        <f t="shared" si="3"/>
        <v>40129.206000000151</v>
      </c>
      <c r="B128" s="172">
        <f>IF('Peak Revenue'!$A$1="BL","-",IF(Peak!H129&gt;Peak!$G129,B$8*$X128,0))</f>
        <v>4.75</v>
      </c>
      <c r="C128" s="172">
        <f>IF('Peak Revenue'!$A$1="BL","-",IF(Peak!I129&gt;Peak!$G129,C$8*$X128,0))</f>
        <v>4.75</v>
      </c>
      <c r="D128" s="172">
        <f>IF('Peak Revenue'!$A$1="BL","-",IF(Peak!J129&gt;Peak!$G129,D$8*$X128,0))</f>
        <v>9.5</v>
      </c>
      <c r="E128" s="172">
        <f>IF('Peak Revenue'!$A$1="BL","-",IF(Peak!K129&gt;Peak!$G129,E$8*$X128,0))</f>
        <v>19</v>
      </c>
      <c r="F128" s="172">
        <f>IF('Peak Revenue'!$A$1="BL","-",IF(Peak!L129&gt;Peak!$G129,F$8*$X128,0))</f>
        <v>19</v>
      </c>
      <c r="G128" s="172">
        <f>IF('Peak Revenue'!$A$1="BL","-",IF(Peak!M129&gt;Peak!$G129,G$8*$X128,0))</f>
        <v>38</v>
      </c>
      <c r="H128" s="172">
        <f>IF('Peak Revenue'!$A$1="BL","-",IF(Peak!N129&gt;Peak!$G129,H$8*$X128,0))</f>
        <v>38</v>
      </c>
      <c r="I128" s="172">
        <f>IF('Peak Revenue'!$A$1="BL","-",IF(Peak!O129&gt;Peak!$G129,I$8*$X128,0))</f>
        <v>38</v>
      </c>
      <c r="J128" s="172">
        <f>IF('Peak Revenue'!$A$1="BL","-",IF(Peak!P129&gt;Peak!$G129,J$8*$X128,0))</f>
        <v>38</v>
      </c>
      <c r="K128" s="172">
        <f>IF('Peak Revenue'!$A$1="BL","-",IF(Peak!Q129&gt;Peak!$G129,K$8*$X128,0))</f>
        <v>38</v>
      </c>
      <c r="L128" s="172">
        <f>IF('Peak Revenue'!$A$1="BL","-",IF(Peak!R129&gt;Peak!$G129,L$8*$X128,0))</f>
        <v>0</v>
      </c>
      <c r="M128" s="172">
        <f>IF('Peak Revenue'!$A$1="BL","-",IF(Peak!S129&gt;Peak!$G129,M$8*$X128,0))</f>
        <v>0</v>
      </c>
      <c r="N128" s="172">
        <f>IF('Peak Revenue'!$A$1="BL","-",IF(Peak!T129&gt;Peak!$G129,N$8*$X128,0))</f>
        <v>0</v>
      </c>
      <c r="O128" s="172">
        <f>IF('Peak Revenue'!$A$1="BL","-",IF(Peak!U129&gt;Peak!$G129,O$8*$X128,0))</f>
        <v>0</v>
      </c>
      <c r="P128" s="172">
        <f>IF('Peak Revenue'!$A$1="BL","-",IF(Peak!V129&gt;Peak!$G129,P$8*$X128,0))</f>
        <v>0</v>
      </c>
      <c r="Q128" s="172">
        <f>IF('Peak Revenue'!$A$1="BL","-",IF(Peak!W129&gt;Peak!$G129,Q$8*$X128,0))</f>
        <v>0</v>
      </c>
      <c r="R128" s="172">
        <f>IF('Peak Revenue'!$A$1="BL","-",IF(Peak!X129&gt;Peak!$G129,R$8*$X128,0))</f>
        <v>0</v>
      </c>
      <c r="S128" s="172">
        <f>IF('Peak Revenue'!$A$1="BL","-",IF(Peak!Y129&gt;Peak!$G129,S$8*$X128,0))</f>
        <v>0</v>
      </c>
      <c r="T128" s="172">
        <f>IF('Peak Revenue'!$A$1="BL","-",IF(Peak!Z129&gt;Peak!$G129,T$8*$X128,0))</f>
        <v>0</v>
      </c>
      <c r="U128" s="172">
        <f>IF('Peak Revenue'!$A$1="BL","-",IF(Peak!AA129&gt;Peak!$G129,U$8*$X128,0))</f>
        <v>0</v>
      </c>
      <c r="V128" s="175">
        <f t="shared" si="2"/>
        <v>247</v>
      </c>
      <c r="W128" s="164"/>
      <c r="X128" s="473">
        <f>CHOOSE(QUOTIENT(MONTH($A128),3)+1,Peak!$AM$11,Peak!$AN$11,Peak!$AL$11,Peak!$AO$11,Peak!$AM$11)</f>
        <v>0.95</v>
      </c>
      <c r="Y128" s="474">
        <f>CHOOSE(QUOTIENT(MONTH($A128),3)+1,Peak!$AM$17,Peak!$AN$17,Peak!$AL$17,Peak!$AO$17,Peak!$AM$17)</f>
        <v>705</v>
      </c>
    </row>
    <row r="129" spans="1:25" x14ac:dyDescent="0.2">
      <c r="A129" s="1">
        <f t="shared" si="3"/>
        <v>40159.623000000152</v>
      </c>
      <c r="B129" s="172">
        <f>IF('Peak Revenue'!$A$1="BL","-",IF(Peak!H130&gt;Peak!$G130,B$8*$X129,0))</f>
        <v>4.6213830939305875</v>
      </c>
      <c r="C129" s="172">
        <f>IF('Peak Revenue'!$A$1="BL","-",IF(Peak!I130&gt;Peak!$G130,C$8*$X129,0))</f>
        <v>4.6213830939305875</v>
      </c>
      <c r="D129" s="172">
        <f>IF('Peak Revenue'!$A$1="BL","-",IF(Peak!J130&gt;Peak!$G130,D$8*$X129,0))</f>
        <v>9.2427661878611751</v>
      </c>
      <c r="E129" s="172">
        <f>IF('Peak Revenue'!$A$1="BL","-",IF(Peak!K130&gt;Peak!$G130,E$8*$X129,0))</f>
        <v>18.48553237572235</v>
      </c>
      <c r="F129" s="172">
        <f>IF('Peak Revenue'!$A$1="BL","-",IF(Peak!L130&gt;Peak!$G130,F$8*$X129,0))</f>
        <v>18.48553237572235</v>
      </c>
      <c r="G129" s="172">
        <f>IF('Peak Revenue'!$A$1="BL","-",IF(Peak!M130&gt;Peak!$G130,G$8*$X129,0))</f>
        <v>36.9710647514447</v>
      </c>
      <c r="H129" s="172">
        <f>IF('Peak Revenue'!$A$1="BL","-",IF(Peak!N130&gt;Peak!$G130,H$8*$X129,0))</f>
        <v>36.9710647514447</v>
      </c>
      <c r="I129" s="172">
        <f>IF('Peak Revenue'!$A$1="BL","-",IF(Peak!O130&gt;Peak!$G130,I$8*$X129,0))</f>
        <v>36.9710647514447</v>
      </c>
      <c r="J129" s="172">
        <f>IF('Peak Revenue'!$A$1="BL","-",IF(Peak!P130&gt;Peak!$G130,J$8*$X129,0))</f>
        <v>36.9710647514447</v>
      </c>
      <c r="K129" s="172">
        <f>IF('Peak Revenue'!$A$1="BL","-",IF(Peak!Q130&gt;Peak!$G130,K$8*$X129,0))</f>
        <v>36.9710647514447</v>
      </c>
      <c r="L129" s="172">
        <f>IF('Peak Revenue'!$A$1="BL","-",IF(Peak!R130&gt;Peak!$G130,L$8*$X129,0))</f>
        <v>0</v>
      </c>
      <c r="M129" s="172">
        <f>IF('Peak Revenue'!$A$1="BL","-",IF(Peak!S130&gt;Peak!$G130,M$8*$X129,0))</f>
        <v>0</v>
      </c>
      <c r="N129" s="172">
        <f>IF('Peak Revenue'!$A$1="BL","-",IF(Peak!T130&gt;Peak!$G130,N$8*$X129,0))</f>
        <v>0</v>
      </c>
      <c r="O129" s="172">
        <f>IF('Peak Revenue'!$A$1="BL","-",IF(Peak!U130&gt;Peak!$G130,O$8*$X129,0))</f>
        <v>0</v>
      </c>
      <c r="P129" s="172">
        <f>IF('Peak Revenue'!$A$1="BL","-",IF(Peak!V130&gt;Peak!$G130,P$8*$X129,0))</f>
        <v>0</v>
      </c>
      <c r="Q129" s="172">
        <f>IF('Peak Revenue'!$A$1="BL","-",IF(Peak!W130&gt;Peak!$G130,Q$8*$X129,0))</f>
        <v>0</v>
      </c>
      <c r="R129" s="172">
        <f>IF('Peak Revenue'!$A$1="BL","-",IF(Peak!X130&gt;Peak!$G130,R$8*$X129,0))</f>
        <v>0</v>
      </c>
      <c r="S129" s="172">
        <f>IF('Peak Revenue'!$A$1="BL","-",IF(Peak!Y130&gt;Peak!$G130,S$8*$X129,0))</f>
        <v>0</v>
      </c>
      <c r="T129" s="172">
        <f>IF('Peak Revenue'!$A$1="BL","-",IF(Peak!Z130&gt;Peak!$G130,T$8*$X129,0))</f>
        <v>0</v>
      </c>
      <c r="U129" s="172">
        <f>IF('Peak Revenue'!$A$1="BL","-",IF(Peak!AA130&gt;Peak!$G130,U$8*$X129,0))</f>
        <v>0</v>
      </c>
      <c r="V129" s="175">
        <f t="shared" si="2"/>
        <v>240.31192088439059</v>
      </c>
      <c r="W129" s="163">
        <f>SUM(V118:V129)</f>
        <v>3302.6403224097598</v>
      </c>
      <c r="X129" s="473">
        <f>CHOOSE(QUOTIENT(MONTH($A129),3)+1,Peak!$AM$11,Peak!$AN$11,Peak!$AL$11,Peak!$AO$11,Peak!$AM$11)</f>
        <v>0.92427661878611755</v>
      </c>
      <c r="Y129" s="474">
        <f>CHOOSE(QUOTIENT(MONTH($A129),3)+1,Peak!$AM$17,Peak!$AN$17,Peak!$AL$17,Peak!$AO$17,Peak!$AM$17)</f>
        <v>705</v>
      </c>
    </row>
    <row r="130" spans="1:25" x14ac:dyDescent="0.2">
      <c r="A130" s="1">
        <f t="shared" si="3"/>
        <v>40190.040000000154</v>
      </c>
      <c r="B130" s="172">
        <f>IF('Peak Revenue'!$A$1="BL","-",IF(Peak!H131&gt;Peak!$G131,B$8*$X130,0))</f>
        <v>4.6213830939305875</v>
      </c>
      <c r="C130" s="172">
        <f>IF('Peak Revenue'!$A$1="BL","-",IF(Peak!I131&gt;Peak!$G131,C$8*$X130,0))</f>
        <v>4.6213830939305875</v>
      </c>
      <c r="D130" s="172">
        <f>IF('Peak Revenue'!$A$1="BL","-",IF(Peak!J131&gt;Peak!$G131,D$8*$X130,0))</f>
        <v>9.2427661878611751</v>
      </c>
      <c r="E130" s="172">
        <f>IF('Peak Revenue'!$A$1="BL","-",IF(Peak!K131&gt;Peak!$G131,E$8*$X130,0))</f>
        <v>18.48553237572235</v>
      </c>
      <c r="F130" s="172">
        <f>IF('Peak Revenue'!$A$1="BL","-",IF(Peak!L131&gt;Peak!$G131,F$8*$X130,0))</f>
        <v>18.48553237572235</v>
      </c>
      <c r="G130" s="172">
        <f>IF('Peak Revenue'!$A$1="BL","-",IF(Peak!M131&gt;Peak!$G131,G$8*$X130,0))</f>
        <v>36.9710647514447</v>
      </c>
      <c r="H130" s="172">
        <f>IF('Peak Revenue'!$A$1="BL","-",IF(Peak!N131&gt;Peak!$G131,H$8*$X130,0))</f>
        <v>36.9710647514447</v>
      </c>
      <c r="I130" s="172">
        <f>IF('Peak Revenue'!$A$1="BL","-",IF(Peak!O131&gt;Peak!$G131,I$8*$X130,0))</f>
        <v>36.9710647514447</v>
      </c>
      <c r="J130" s="172">
        <f>IF('Peak Revenue'!$A$1="BL","-",IF(Peak!P131&gt;Peak!$G131,J$8*$X130,0))</f>
        <v>0</v>
      </c>
      <c r="K130" s="172">
        <f>IF('Peak Revenue'!$A$1="BL","-",IF(Peak!Q131&gt;Peak!$G131,K$8*$X130,0))</f>
        <v>0</v>
      </c>
      <c r="L130" s="172">
        <f>IF('Peak Revenue'!$A$1="BL","-",IF(Peak!R131&gt;Peak!$G131,L$8*$X130,0))</f>
        <v>0</v>
      </c>
      <c r="M130" s="172">
        <f>IF('Peak Revenue'!$A$1="BL","-",IF(Peak!S131&gt;Peak!$G131,M$8*$X130,0))</f>
        <v>0</v>
      </c>
      <c r="N130" s="172">
        <f>IF('Peak Revenue'!$A$1="BL","-",IF(Peak!T131&gt;Peak!$G131,N$8*$X130,0))</f>
        <v>0</v>
      </c>
      <c r="O130" s="172">
        <f>IF('Peak Revenue'!$A$1="BL","-",IF(Peak!U131&gt;Peak!$G131,O$8*$X130,0))</f>
        <v>0</v>
      </c>
      <c r="P130" s="172">
        <f>IF('Peak Revenue'!$A$1="BL","-",IF(Peak!V131&gt;Peak!$G131,P$8*$X130,0))</f>
        <v>0</v>
      </c>
      <c r="Q130" s="172">
        <f>IF('Peak Revenue'!$A$1="BL","-",IF(Peak!W131&gt;Peak!$G131,Q$8*$X130,0))</f>
        <v>0</v>
      </c>
      <c r="R130" s="172">
        <f>IF('Peak Revenue'!$A$1="BL","-",IF(Peak!X131&gt;Peak!$G131,R$8*$X130,0))</f>
        <v>0</v>
      </c>
      <c r="S130" s="172">
        <f>IF('Peak Revenue'!$A$1="BL","-",IF(Peak!Y131&gt;Peak!$G131,S$8*$X130,0))</f>
        <v>0</v>
      </c>
      <c r="T130" s="172">
        <f>IF('Peak Revenue'!$A$1="BL","-",IF(Peak!Z131&gt;Peak!$G131,T$8*$X130,0))</f>
        <v>0</v>
      </c>
      <c r="U130" s="172">
        <f>IF('Peak Revenue'!$A$1="BL","-",IF(Peak!AA131&gt;Peak!$G131,U$8*$X130,0))</f>
        <v>0</v>
      </c>
      <c r="V130" s="175">
        <f t="shared" si="2"/>
        <v>166.36979138150116</v>
      </c>
      <c r="W130" s="164"/>
      <c r="X130" s="473">
        <f>CHOOSE(QUOTIENT(MONTH($A130),3)+1,Peak!$AM$11,Peak!$AN$11,Peak!$AL$11,Peak!$AO$11,Peak!$AM$11)</f>
        <v>0.92427661878611755</v>
      </c>
      <c r="Y130" s="474">
        <f>CHOOSE(QUOTIENT(MONTH($A130),3)+1,Peak!$AM$17,Peak!$AN$17,Peak!$AL$17,Peak!$AO$17,Peak!$AM$17)</f>
        <v>705</v>
      </c>
    </row>
    <row r="131" spans="1:25" x14ac:dyDescent="0.2">
      <c r="A131" s="1">
        <f t="shared" si="3"/>
        <v>40220.457000000155</v>
      </c>
      <c r="B131" s="172">
        <f>IF('Peak Revenue'!$A$1="BL","-",IF(Peak!H132&gt;Peak!$G132,B$8*$X131,0))</f>
        <v>4.6213830939305875</v>
      </c>
      <c r="C131" s="172">
        <f>IF('Peak Revenue'!$A$1="BL","-",IF(Peak!I132&gt;Peak!$G132,C$8*$X131,0))</f>
        <v>4.6213830939305875</v>
      </c>
      <c r="D131" s="172">
        <f>IF('Peak Revenue'!$A$1="BL","-",IF(Peak!J132&gt;Peak!$G132,D$8*$X131,0))</f>
        <v>9.2427661878611751</v>
      </c>
      <c r="E131" s="172">
        <f>IF('Peak Revenue'!$A$1="BL","-",IF(Peak!K132&gt;Peak!$G132,E$8*$X131,0))</f>
        <v>18.48553237572235</v>
      </c>
      <c r="F131" s="172">
        <f>IF('Peak Revenue'!$A$1="BL","-",IF(Peak!L132&gt;Peak!$G132,F$8*$X131,0))</f>
        <v>18.48553237572235</v>
      </c>
      <c r="G131" s="172">
        <f>IF('Peak Revenue'!$A$1="BL","-",IF(Peak!M132&gt;Peak!$G132,G$8*$X131,0))</f>
        <v>36.9710647514447</v>
      </c>
      <c r="H131" s="172">
        <f>IF('Peak Revenue'!$A$1="BL","-",IF(Peak!N132&gt;Peak!$G132,H$8*$X131,0))</f>
        <v>36.9710647514447</v>
      </c>
      <c r="I131" s="172">
        <f>IF('Peak Revenue'!$A$1="BL","-",IF(Peak!O132&gt;Peak!$G132,I$8*$X131,0))</f>
        <v>36.9710647514447</v>
      </c>
      <c r="J131" s="172">
        <f>IF('Peak Revenue'!$A$1="BL","-",IF(Peak!P132&gt;Peak!$G132,J$8*$X131,0))</f>
        <v>36.9710647514447</v>
      </c>
      <c r="K131" s="172">
        <f>IF('Peak Revenue'!$A$1="BL","-",IF(Peak!Q132&gt;Peak!$G132,K$8*$X131,0))</f>
        <v>36.9710647514447</v>
      </c>
      <c r="L131" s="172">
        <f>IF('Peak Revenue'!$A$1="BL","-",IF(Peak!R132&gt;Peak!$G132,L$8*$X131,0))</f>
        <v>0</v>
      </c>
      <c r="M131" s="172">
        <f>IF('Peak Revenue'!$A$1="BL","-",IF(Peak!S132&gt;Peak!$G132,M$8*$X131,0))</f>
        <v>0</v>
      </c>
      <c r="N131" s="172">
        <f>IF('Peak Revenue'!$A$1="BL","-",IF(Peak!T132&gt;Peak!$G132,N$8*$X131,0))</f>
        <v>0</v>
      </c>
      <c r="O131" s="172">
        <f>IF('Peak Revenue'!$A$1="BL","-",IF(Peak!U132&gt;Peak!$G132,O$8*$X131,0))</f>
        <v>0</v>
      </c>
      <c r="P131" s="172">
        <f>IF('Peak Revenue'!$A$1="BL","-",IF(Peak!V132&gt;Peak!$G132,P$8*$X131,0))</f>
        <v>0</v>
      </c>
      <c r="Q131" s="172">
        <f>IF('Peak Revenue'!$A$1="BL","-",IF(Peak!W132&gt;Peak!$G132,Q$8*$X131,0))</f>
        <v>0</v>
      </c>
      <c r="R131" s="172">
        <f>IF('Peak Revenue'!$A$1="BL","-",IF(Peak!X132&gt;Peak!$G132,R$8*$X131,0))</f>
        <v>0</v>
      </c>
      <c r="S131" s="172">
        <f>IF('Peak Revenue'!$A$1="BL","-",IF(Peak!Y132&gt;Peak!$G132,S$8*$X131,0))</f>
        <v>0</v>
      </c>
      <c r="T131" s="172">
        <f>IF('Peak Revenue'!$A$1="BL","-",IF(Peak!Z132&gt;Peak!$G132,T$8*$X131,0))</f>
        <v>0</v>
      </c>
      <c r="U131" s="172">
        <f>IF('Peak Revenue'!$A$1="BL","-",IF(Peak!AA132&gt;Peak!$G132,U$8*$X131,0))</f>
        <v>0</v>
      </c>
      <c r="V131" s="175">
        <f t="shared" si="2"/>
        <v>240.31192088439059</v>
      </c>
      <c r="W131" s="164"/>
      <c r="X131" s="473">
        <f>CHOOSE(QUOTIENT(MONTH($A131),3)+1,Peak!$AM$11,Peak!$AN$11,Peak!$AL$11,Peak!$AO$11,Peak!$AM$11)</f>
        <v>0.92427661878611755</v>
      </c>
      <c r="Y131" s="474">
        <f>CHOOSE(QUOTIENT(MONTH($A131),3)+1,Peak!$AM$17,Peak!$AN$17,Peak!$AL$17,Peak!$AO$17,Peak!$AM$17)</f>
        <v>705</v>
      </c>
    </row>
    <row r="132" spans="1:25" x14ac:dyDescent="0.2">
      <c r="A132" s="1">
        <f t="shared" si="3"/>
        <v>40250.874000000156</v>
      </c>
      <c r="B132" s="172">
        <f>IF('Peak Revenue'!$A$1="BL","-",IF(Peak!H133&gt;Peak!$G133,B$8*$X132,0))</f>
        <v>4.75</v>
      </c>
      <c r="C132" s="172">
        <f>IF('Peak Revenue'!$A$1="BL","-",IF(Peak!I133&gt;Peak!$G133,C$8*$X132,0))</f>
        <v>4.75</v>
      </c>
      <c r="D132" s="172">
        <f>IF('Peak Revenue'!$A$1="BL","-",IF(Peak!J133&gt;Peak!$G133,D$8*$X132,0))</f>
        <v>9.5</v>
      </c>
      <c r="E132" s="172">
        <f>IF('Peak Revenue'!$A$1="BL","-",IF(Peak!K133&gt;Peak!$G133,E$8*$X132,0))</f>
        <v>19</v>
      </c>
      <c r="F132" s="172">
        <f>IF('Peak Revenue'!$A$1="BL","-",IF(Peak!L133&gt;Peak!$G133,F$8*$X132,0))</f>
        <v>19</v>
      </c>
      <c r="G132" s="172">
        <f>IF('Peak Revenue'!$A$1="BL","-",IF(Peak!M133&gt;Peak!$G133,G$8*$X132,0))</f>
        <v>38</v>
      </c>
      <c r="H132" s="172">
        <f>IF('Peak Revenue'!$A$1="BL","-",IF(Peak!N133&gt;Peak!$G133,H$8*$X132,0))</f>
        <v>38</v>
      </c>
      <c r="I132" s="172">
        <f>IF('Peak Revenue'!$A$1="BL","-",IF(Peak!O133&gt;Peak!$G133,I$8*$X132,0))</f>
        <v>38</v>
      </c>
      <c r="J132" s="172">
        <f>IF('Peak Revenue'!$A$1="BL","-",IF(Peak!P133&gt;Peak!$G133,J$8*$X132,0))</f>
        <v>38</v>
      </c>
      <c r="K132" s="172">
        <f>IF('Peak Revenue'!$A$1="BL","-",IF(Peak!Q133&gt;Peak!$G133,K$8*$X132,0))</f>
        <v>0</v>
      </c>
      <c r="L132" s="172">
        <f>IF('Peak Revenue'!$A$1="BL","-",IF(Peak!R133&gt;Peak!$G133,L$8*$X132,0))</f>
        <v>0</v>
      </c>
      <c r="M132" s="172">
        <f>IF('Peak Revenue'!$A$1="BL","-",IF(Peak!S133&gt;Peak!$G133,M$8*$X132,0))</f>
        <v>0</v>
      </c>
      <c r="N132" s="172">
        <f>IF('Peak Revenue'!$A$1="BL","-",IF(Peak!T133&gt;Peak!$G133,N$8*$X132,0))</f>
        <v>0</v>
      </c>
      <c r="O132" s="172">
        <f>IF('Peak Revenue'!$A$1="BL","-",IF(Peak!U133&gt;Peak!$G133,O$8*$X132,0))</f>
        <v>0</v>
      </c>
      <c r="P132" s="172">
        <f>IF('Peak Revenue'!$A$1="BL","-",IF(Peak!V133&gt;Peak!$G133,P$8*$X132,0))</f>
        <v>0</v>
      </c>
      <c r="Q132" s="172">
        <f>IF('Peak Revenue'!$A$1="BL","-",IF(Peak!W133&gt;Peak!$G133,Q$8*$X132,0))</f>
        <v>0</v>
      </c>
      <c r="R132" s="172">
        <f>IF('Peak Revenue'!$A$1="BL","-",IF(Peak!X133&gt;Peak!$G133,R$8*$X132,0))</f>
        <v>0</v>
      </c>
      <c r="S132" s="172">
        <f>IF('Peak Revenue'!$A$1="BL","-",IF(Peak!Y133&gt;Peak!$G133,S$8*$X132,0))</f>
        <v>0</v>
      </c>
      <c r="T132" s="172">
        <f>IF('Peak Revenue'!$A$1="BL","-",IF(Peak!Z133&gt;Peak!$G133,T$8*$X132,0))</f>
        <v>0</v>
      </c>
      <c r="U132" s="172">
        <f>IF('Peak Revenue'!$A$1="BL","-",IF(Peak!AA133&gt;Peak!$G133,U$8*$X132,0))</f>
        <v>0</v>
      </c>
      <c r="V132" s="175">
        <f t="shared" si="2"/>
        <v>209</v>
      </c>
      <c r="W132" s="164"/>
      <c r="X132" s="473">
        <f>CHOOSE(QUOTIENT(MONTH($A132),3)+1,Peak!$AM$11,Peak!$AN$11,Peak!$AL$11,Peak!$AO$11,Peak!$AM$11)</f>
        <v>0.95</v>
      </c>
      <c r="Y132" s="474">
        <f>CHOOSE(QUOTIENT(MONTH($A132),3)+1,Peak!$AM$17,Peak!$AN$17,Peak!$AL$17,Peak!$AO$17,Peak!$AM$17)</f>
        <v>705</v>
      </c>
    </row>
    <row r="133" spans="1:25" x14ac:dyDescent="0.2">
      <c r="A133" s="1">
        <f t="shared" si="3"/>
        <v>40281.291000000158</v>
      </c>
      <c r="B133" s="172">
        <f>IF('Peak Revenue'!$A$1="BL","-",IF(Peak!H134&gt;Peak!$G134,B$8*$X133,0))</f>
        <v>4.75</v>
      </c>
      <c r="C133" s="172">
        <f>IF('Peak Revenue'!$A$1="BL","-",IF(Peak!I134&gt;Peak!$G134,C$8*$X133,0))</f>
        <v>4.75</v>
      </c>
      <c r="D133" s="172">
        <f>IF('Peak Revenue'!$A$1="BL","-",IF(Peak!J134&gt;Peak!$G134,D$8*$X133,0))</f>
        <v>9.5</v>
      </c>
      <c r="E133" s="172">
        <f>IF('Peak Revenue'!$A$1="BL","-",IF(Peak!K134&gt;Peak!$G134,E$8*$X133,0))</f>
        <v>19</v>
      </c>
      <c r="F133" s="172">
        <f>IF('Peak Revenue'!$A$1="BL","-",IF(Peak!L134&gt;Peak!$G134,F$8*$X133,0))</f>
        <v>19</v>
      </c>
      <c r="G133" s="172">
        <f>IF('Peak Revenue'!$A$1="BL","-",IF(Peak!M134&gt;Peak!$G134,G$8*$X133,0))</f>
        <v>38</v>
      </c>
      <c r="H133" s="172">
        <f>IF('Peak Revenue'!$A$1="BL","-",IF(Peak!N134&gt;Peak!$G134,H$8*$X133,0))</f>
        <v>38</v>
      </c>
      <c r="I133" s="172">
        <f>IF('Peak Revenue'!$A$1="BL","-",IF(Peak!O134&gt;Peak!$G134,I$8*$X133,0))</f>
        <v>0</v>
      </c>
      <c r="J133" s="172">
        <f>IF('Peak Revenue'!$A$1="BL","-",IF(Peak!P134&gt;Peak!$G134,J$8*$X133,0))</f>
        <v>0</v>
      </c>
      <c r="K133" s="172">
        <f>IF('Peak Revenue'!$A$1="BL","-",IF(Peak!Q134&gt;Peak!$G134,K$8*$X133,0))</f>
        <v>0</v>
      </c>
      <c r="L133" s="172">
        <f>IF('Peak Revenue'!$A$1="BL","-",IF(Peak!R134&gt;Peak!$G134,L$8*$X133,0))</f>
        <v>0</v>
      </c>
      <c r="M133" s="172">
        <f>IF('Peak Revenue'!$A$1="BL","-",IF(Peak!S134&gt;Peak!$G134,M$8*$X133,0))</f>
        <v>0</v>
      </c>
      <c r="N133" s="172">
        <f>IF('Peak Revenue'!$A$1="BL","-",IF(Peak!T134&gt;Peak!$G134,N$8*$X133,0))</f>
        <v>0</v>
      </c>
      <c r="O133" s="172">
        <f>IF('Peak Revenue'!$A$1="BL","-",IF(Peak!U134&gt;Peak!$G134,O$8*$X133,0))</f>
        <v>0</v>
      </c>
      <c r="P133" s="172">
        <f>IF('Peak Revenue'!$A$1="BL","-",IF(Peak!V134&gt;Peak!$G134,P$8*$X133,0))</f>
        <v>0</v>
      </c>
      <c r="Q133" s="172">
        <f>IF('Peak Revenue'!$A$1="BL","-",IF(Peak!W134&gt;Peak!$G134,Q$8*$X133,0))</f>
        <v>0</v>
      </c>
      <c r="R133" s="172">
        <f>IF('Peak Revenue'!$A$1="BL","-",IF(Peak!X134&gt;Peak!$G134,R$8*$X133,0))</f>
        <v>0</v>
      </c>
      <c r="S133" s="172">
        <f>IF('Peak Revenue'!$A$1="BL","-",IF(Peak!Y134&gt;Peak!$G134,S$8*$X133,0))</f>
        <v>0</v>
      </c>
      <c r="T133" s="172">
        <f>IF('Peak Revenue'!$A$1="BL","-",IF(Peak!Z134&gt;Peak!$G134,T$8*$X133,0))</f>
        <v>0</v>
      </c>
      <c r="U133" s="172">
        <f>IF('Peak Revenue'!$A$1="BL","-",IF(Peak!AA134&gt;Peak!$G134,U$8*$X133,0))</f>
        <v>0</v>
      </c>
      <c r="V133" s="175">
        <f t="shared" si="2"/>
        <v>133</v>
      </c>
      <c r="W133" s="164"/>
      <c r="X133" s="473">
        <f>CHOOSE(QUOTIENT(MONTH($A133),3)+1,Peak!$AM$11,Peak!$AN$11,Peak!$AL$11,Peak!$AO$11,Peak!$AM$11)</f>
        <v>0.95</v>
      </c>
      <c r="Y133" s="474">
        <f>CHOOSE(QUOTIENT(MONTH($A133),3)+1,Peak!$AM$17,Peak!$AN$17,Peak!$AL$17,Peak!$AO$17,Peak!$AM$17)</f>
        <v>705</v>
      </c>
    </row>
    <row r="134" spans="1:25" x14ac:dyDescent="0.2">
      <c r="A134" s="1">
        <f t="shared" si="3"/>
        <v>40311.708000000159</v>
      </c>
      <c r="B134" s="172">
        <f>IF('Peak Revenue'!$A$1="BL","-",IF(Peak!H135&gt;Peak!$G135,B$8*$X134,0))</f>
        <v>4.75</v>
      </c>
      <c r="C134" s="172">
        <f>IF('Peak Revenue'!$A$1="BL","-",IF(Peak!I135&gt;Peak!$G135,C$8*$X134,0))</f>
        <v>4.75</v>
      </c>
      <c r="D134" s="172">
        <f>IF('Peak Revenue'!$A$1="BL","-",IF(Peak!J135&gt;Peak!$G135,D$8*$X134,0))</f>
        <v>9.5</v>
      </c>
      <c r="E134" s="172">
        <f>IF('Peak Revenue'!$A$1="BL","-",IF(Peak!K135&gt;Peak!$G135,E$8*$X134,0))</f>
        <v>19</v>
      </c>
      <c r="F134" s="172">
        <f>IF('Peak Revenue'!$A$1="BL","-",IF(Peak!L135&gt;Peak!$G135,F$8*$X134,0))</f>
        <v>19</v>
      </c>
      <c r="G134" s="172">
        <f>IF('Peak Revenue'!$A$1="BL","-",IF(Peak!M135&gt;Peak!$G135,G$8*$X134,0))</f>
        <v>38</v>
      </c>
      <c r="H134" s="172">
        <f>IF('Peak Revenue'!$A$1="BL","-",IF(Peak!N135&gt;Peak!$G135,H$8*$X134,0))</f>
        <v>38</v>
      </c>
      <c r="I134" s="172">
        <f>IF('Peak Revenue'!$A$1="BL","-",IF(Peak!O135&gt;Peak!$G135,I$8*$X134,0))</f>
        <v>0</v>
      </c>
      <c r="J134" s="172">
        <f>IF('Peak Revenue'!$A$1="BL","-",IF(Peak!P135&gt;Peak!$G135,J$8*$X134,0))</f>
        <v>0</v>
      </c>
      <c r="K134" s="172">
        <f>IF('Peak Revenue'!$A$1="BL","-",IF(Peak!Q135&gt;Peak!$G135,K$8*$X134,0))</f>
        <v>0</v>
      </c>
      <c r="L134" s="172">
        <f>IF('Peak Revenue'!$A$1="BL","-",IF(Peak!R135&gt;Peak!$G135,L$8*$X134,0))</f>
        <v>0</v>
      </c>
      <c r="M134" s="172">
        <f>IF('Peak Revenue'!$A$1="BL","-",IF(Peak!S135&gt;Peak!$G135,M$8*$X134,0))</f>
        <v>0</v>
      </c>
      <c r="N134" s="172">
        <f>IF('Peak Revenue'!$A$1="BL","-",IF(Peak!T135&gt;Peak!$G135,N$8*$X134,0))</f>
        <v>0</v>
      </c>
      <c r="O134" s="172">
        <f>IF('Peak Revenue'!$A$1="BL","-",IF(Peak!U135&gt;Peak!$G135,O$8*$X134,0))</f>
        <v>0</v>
      </c>
      <c r="P134" s="172">
        <f>IF('Peak Revenue'!$A$1="BL","-",IF(Peak!V135&gt;Peak!$G135,P$8*$X134,0))</f>
        <v>0</v>
      </c>
      <c r="Q134" s="172">
        <f>IF('Peak Revenue'!$A$1="BL","-",IF(Peak!W135&gt;Peak!$G135,Q$8*$X134,0))</f>
        <v>0</v>
      </c>
      <c r="R134" s="172">
        <f>IF('Peak Revenue'!$A$1="BL","-",IF(Peak!X135&gt;Peak!$G135,R$8*$X134,0))</f>
        <v>0</v>
      </c>
      <c r="S134" s="172">
        <f>IF('Peak Revenue'!$A$1="BL","-",IF(Peak!Y135&gt;Peak!$G135,S$8*$X134,0))</f>
        <v>0</v>
      </c>
      <c r="T134" s="172">
        <f>IF('Peak Revenue'!$A$1="BL","-",IF(Peak!Z135&gt;Peak!$G135,T$8*$X134,0))</f>
        <v>0</v>
      </c>
      <c r="U134" s="172">
        <f>IF('Peak Revenue'!$A$1="BL","-",IF(Peak!AA135&gt;Peak!$G135,U$8*$X134,0))</f>
        <v>0</v>
      </c>
      <c r="V134" s="175">
        <f t="shared" si="2"/>
        <v>133</v>
      </c>
      <c r="W134" s="164"/>
      <c r="X134" s="473">
        <f>CHOOSE(QUOTIENT(MONTH($A134),3)+1,Peak!$AM$11,Peak!$AN$11,Peak!$AL$11,Peak!$AO$11,Peak!$AM$11)</f>
        <v>0.95</v>
      </c>
      <c r="Y134" s="474">
        <f>CHOOSE(QUOTIENT(MONTH($A134),3)+1,Peak!$AM$17,Peak!$AN$17,Peak!$AL$17,Peak!$AO$17,Peak!$AM$17)</f>
        <v>705</v>
      </c>
    </row>
    <row r="135" spans="1:25" x14ac:dyDescent="0.2">
      <c r="A135" s="1">
        <f t="shared" si="3"/>
        <v>40342.12500000016</v>
      </c>
      <c r="B135" s="172">
        <f>IF('Peak Revenue'!$A$1="BL","-",IF(Peak!H136&gt;Peak!$G136,B$8*$X135,0))</f>
        <v>4.8306067954779284</v>
      </c>
      <c r="C135" s="172">
        <f>IF('Peak Revenue'!$A$1="BL","-",IF(Peak!I136&gt;Peak!$G136,C$8*$X135,0))</f>
        <v>4.8306067954779284</v>
      </c>
      <c r="D135" s="172">
        <f>IF('Peak Revenue'!$A$1="BL","-",IF(Peak!J136&gt;Peak!$G136,D$8*$X135,0))</f>
        <v>9.6612135909558567</v>
      </c>
      <c r="E135" s="172">
        <f>IF('Peak Revenue'!$A$1="BL","-",IF(Peak!K136&gt;Peak!$G136,E$8*$X135,0))</f>
        <v>19.322427181911713</v>
      </c>
      <c r="F135" s="172">
        <f>IF('Peak Revenue'!$A$1="BL","-",IF(Peak!L136&gt;Peak!$G136,F$8*$X135,0))</f>
        <v>19.322427181911713</v>
      </c>
      <c r="G135" s="172">
        <f>IF('Peak Revenue'!$A$1="BL","-",IF(Peak!M136&gt;Peak!$G136,G$8*$X135,0))</f>
        <v>38.644854363823427</v>
      </c>
      <c r="H135" s="172">
        <f>IF('Peak Revenue'!$A$1="BL","-",IF(Peak!N136&gt;Peak!$G136,H$8*$X135,0))</f>
        <v>38.644854363823427</v>
      </c>
      <c r="I135" s="172">
        <f>IF('Peak Revenue'!$A$1="BL","-",IF(Peak!O136&gt;Peak!$G136,I$8*$X135,0))</f>
        <v>38.644854363823427</v>
      </c>
      <c r="J135" s="172">
        <f>IF('Peak Revenue'!$A$1="BL","-",IF(Peak!P136&gt;Peak!$G136,J$8*$X135,0))</f>
        <v>38.644854363823427</v>
      </c>
      <c r="K135" s="172">
        <f>IF('Peak Revenue'!$A$1="BL","-",IF(Peak!Q136&gt;Peak!$G136,K$8*$X135,0))</f>
        <v>38.644854363823427</v>
      </c>
      <c r="L135" s="172">
        <f>IF('Peak Revenue'!$A$1="BL","-",IF(Peak!R136&gt;Peak!$G136,L$8*$X135,0))</f>
        <v>38.644854363823427</v>
      </c>
      <c r="M135" s="172">
        <f>IF('Peak Revenue'!$A$1="BL","-",IF(Peak!S136&gt;Peak!$G136,M$8*$X135,0))</f>
        <v>38.644854363823427</v>
      </c>
      <c r="N135" s="172">
        <f>IF('Peak Revenue'!$A$1="BL","-",IF(Peak!T136&gt;Peak!$G136,N$8*$X135,0))</f>
        <v>38.644854363823427</v>
      </c>
      <c r="O135" s="172">
        <f>IF('Peak Revenue'!$A$1="BL","-",IF(Peak!U136&gt;Peak!$G136,O$8*$X135,0))</f>
        <v>38.644854363823427</v>
      </c>
      <c r="P135" s="172">
        <f>IF('Peak Revenue'!$A$1="BL","-",IF(Peak!V136&gt;Peak!$G136,P$8*$X135,0))</f>
        <v>0</v>
      </c>
      <c r="Q135" s="172">
        <f>IF('Peak Revenue'!$A$1="BL","-",IF(Peak!W136&gt;Peak!$G136,Q$8*$X135,0))</f>
        <v>0</v>
      </c>
      <c r="R135" s="172">
        <f>IF('Peak Revenue'!$A$1="BL","-",IF(Peak!X136&gt;Peak!$G136,R$8*$X135,0))</f>
        <v>0</v>
      </c>
      <c r="S135" s="172">
        <f>IF('Peak Revenue'!$A$1="BL","-",IF(Peak!Y136&gt;Peak!$G136,S$8*$X135,0))</f>
        <v>0</v>
      </c>
      <c r="T135" s="172">
        <f>IF('Peak Revenue'!$A$1="BL","-",IF(Peak!Z136&gt;Peak!$G136,T$8*$X135,0))</f>
        <v>0</v>
      </c>
      <c r="U135" s="172">
        <f>IF('Peak Revenue'!$A$1="BL","-",IF(Peak!AA136&gt;Peak!$G136,U$8*$X135,0))</f>
        <v>0</v>
      </c>
      <c r="V135" s="175">
        <f t="shared" si="2"/>
        <v>405.77097082014586</v>
      </c>
      <c r="W135" s="164"/>
      <c r="X135" s="473">
        <f>CHOOSE(QUOTIENT(MONTH($A135),3)+1,Peak!$AM$11,Peak!$AN$11,Peak!$AL$11,Peak!$AO$11,Peak!$AM$11)</f>
        <v>0.96612135909558572</v>
      </c>
      <c r="Y135" s="474">
        <f>CHOOSE(QUOTIENT(MONTH($A135),3)+1,Peak!$AM$17,Peak!$AN$17,Peak!$AL$17,Peak!$AO$17,Peak!$AM$17)</f>
        <v>705</v>
      </c>
    </row>
    <row r="136" spans="1:25" x14ac:dyDescent="0.2">
      <c r="A136" s="1">
        <f t="shared" si="3"/>
        <v>40372.542000000161</v>
      </c>
      <c r="B136" s="172">
        <f>IF('Peak Revenue'!$A$1="BL","-",IF(Peak!H137&gt;Peak!$G137,B$8*$X136,0))</f>
        <v>4.8306067954779284</v>
      </c>
      <c r="C136" s="172">
        <f>IF('Peak Revenue'!$A$1="BL","-",IF(Peak!I137&gt;Peak!$G137,C$8*$X136,0))</f>
        <v>4.8306067954779284</v>
      </c>
      <c r="D136" s="172">
        <f>IF('Peak Revenue'!$A$1="BL","-",IF(Peak!J137&gt;Peak!$G137,D$8*$X136,0))</f>
        <v>9.6612135909558567</v>
      </c>
      <c r="E136" s="172">
        <f>IF('Peak Revenue'!$A$1="BL","-",IF(Peak!K137&gt;Peak!$G137,E$8*$X136,0))</f>
        <v>19.322427181911713</v>
      </c>
      <c r="F136" s="172">
        <f>IF('Peak Revenue'!$A$1="BL","-",IF(Peak!L137&gt;Peak!$G137,F$8*$X136,0))</f>
        <v>19.322427181911713</v>
      </c>
      <c r="G136" s="172">
        <f>IF('Peak Revenue'!$A$1="BL","-",IF(Peak!M137&gt;Peak!$G137,G$8*$X136,0))</f>
        <v>38.644854363823427</v>
      </c>
      <c r="H136" s="172">
        <f>IF('Peak Revenue'!$A$1="BL","-",IF(Peak!N137&gt;Peak!$G137,H$8*$X136,0))</f>
        <v>38.644854363823427</v>
      </c>
      <c r="I136" s="172">
        <f>IF('Peak Revenue'!$A$1="BL","-",IF(Peak!O137&gt;Peak!$G137,I$8*$X136,0))</f>
        <v>38.644854363823427</v>
      </c>
      <c r="J136" s="172">
        <f>IF('Peak Revenue'!$A$1="BL","-",IF(Peak!P137&gt;Peak!$G137,J$8*$X136,0))</f>
        <v>38.644854363823427</v>
      </c>
      <c r="K136" s="172">
        <f>IF('Peak Revenue'!$A$1="BL","-",IF(Peak!Q137&gt;Peak!$G137,K$8*$X136,0))</f>
        <v>38.644854363823427</v>
      </c>
      <c r="L136" s="172">
        <f>IF('Peak Revenue'!$A$1="BL","-",IF(Peak!R137&gt;Peak!$G137,L$8*$X136,0))</f>
        <v>38.644854363823427</v>
      </c>
      <c r="M136" s="172">
        <f>IF('Peak Revenue'!$A$1="BL","-",IF(Peak!S137&gt;Peak!$G137,M$8*$X136,0))</f>
        <v>0</v>
      </c>
      <c r="N136" s="172">
        <f>IF('Peak Revenue'!$A$1="BL","-",IF(Peak!T137&gt;Peak!$G137,N$8*$X136,0))</f>
        <v>0</v>
      </c>
      <c r="O136" s="172">
        <f>IF('Peak Revenue'!$A$1="BL","-",IF(Peak!U137&gt;Peak!$G137,O$8*$X136,0))</f>
        <v>0</v>
      </c>
      <c r="P136" s="172">
        <f>IF('Peak Revenue'!$A$1="BL","-",IF(Peak!V137&gt;Peak!$G137,P$8*$X136,0))</f>
        <v>0</v>
      </c>
      <c r="Q136" s="172">
        <f>IF('Peak Revenue'!$A$1="BL","-",IF(Peak!W137&gt;Peak!$G137,Q$8*$X136,0))</f>
        <v>0</v>
      </c>
      <c r="R136" s="172">
        <f>IF('Peak Revenue'!$A$1="BL","-",IF(Peak!X137&gt;Peak!$G137,R$8*$X136,0))</f>
        <v>0</v>
      </c>
      <c r="S136" s="172">
        <f>IF('Peak Revenue'!$A$1="BL","-",IF(Peak!Y137&gt;Peak!$G137,S$8*$X136,0))</f>
        <v>0</v>
      </c>
      <c r="T136" s="172">
        <f>IF('Peak Revenue'!$A$1="BL","-",IF(Peak!Z137&gt;Peak!$G137,T$8*$X136,0))</f>
        <v>0</v>
      </c>
      <c r="U136" s="172">
        <f>IF('Peak Revenue'!$A$1="BL","-",IF(Peak!AA137&gt;Peak!$G137,U$8*$X136,0))</f>
        <v>0</v>
      </c>
      <c r="V136" s="175">
        <f t="shared" si="2"/>
        <v>289.83640772867562</v>
      </c>
      <c r="W136" s="164"/>
      <c r="X136" s="473">
        <f>CHOOSE(QUOTIENT(MONTH($A136),3)+1,Peak!$AM$11,Peak!$AN$11,Peak!$AL$11,Peak!$AO$11,Peak!$AM$11)</f>
        <v>0.96612135909558572</v>
      </c>
      <c r="Y136" s="474">
        <f>CHOOSE(QUOTIENT(MONTH($A136),3)+1,Peak!$AM$17,Peak!$AN$17,Peak!$AL$17,Peak!$AO$17,Peak!$AM$17)</f>
        <v>705</v>
      </c>
    </row>
    <row r="137" spans="1:25" x14ac:dyDescent="0.2">
      <c r="A137" s="1">
        <f t="shared" si="3"/>
        <v>40402.959000000163</v>
      </c>
      <c r="B137" s="172">
        <f>IF('Peak Revenue'!$A$1="BL","-",IF(Peak!H138&gt;Peak!$G138,B$8*$X137,0))</f>
        <v>4.8306067954779284</v>
      </c>
      <c r="C137" s="172">
        <f>IF('Peak Revenue'!$A$1="BL","-",IF(Peak!I138&gt;Peak!$G138,C$8*$X137,0))</f>
        <v>4.8306067954779284</v>
      </c>
      <c r="D137" s="172">
        <f>IF('Peak Revenue'!$A$1="BL","-",IF(Peak!J138&gt;Peak!$G138,D$8*$X137,0))</f>
        <v>9.6612135909558567</v>
      </c>
      <c r="E137" s="172">
        <f>IF('Peak Revenue'!$A$1="BL","-",IF(Peak!K138&gt;Peak!$G138,E$8*$X137,0))</f>
        <v>19.322427181911713</v>
      </c>
      <c r="F137" s="172">
        <f>IF('Peak Revenue'!$A$1="BL","-",IF(Peak!L138&gt;Peak!$G138,F$8*$X137,0))</f>
        <v>19.322427181911713</v>
      </c>
      <c r="G137" s="172">
        <f>IF('Peak Revenue'!$A$1="BL","-",IF(Peak!M138&gt;Peak!$G138,G$8*$X137,0))</f>
        <v>38.644854363823427</v>
      </c>
      <c r="H137" s="172">
        <f>IF('Peak Revenue'!$A$1="BL","-",IF(Peak!N138&gt;Peak!$G138,H$8*$X137,0))</f>
        <v>38.644854363823427</v>
      </c>
      <c r="I137" s="172">
        <f>IF('Peak Revenue'!$A$1="BL","-",IF(Peak!O138&gt;Peak!$G138,I$8*$X137,0))</f>
        <v>0</v>
      </c>
      <c r="J137" s="172">
        <f>IF('Peak Revenue'!$A$1="BL","-",IF(Peak!P138&gt;Peak!$G138,J$8*$X137,0))</f>
        <v>0</v>
      </c>
      <c r="K137" s="172">
        <f>IF('Peak Revenue'!$A$1="BL","-",IF(Peak!Q138&gt;Peak!$G138,K$8*$X137,0))</f>
        <v>0</v>
      </c>
      <c r="L137" s="172">
        <f>IF('Peak Revenue'!$A$1="BL","-",IF(Peak!R138&gt;Peak!$G138,L$8*$X137,0))</f>
        <v>0</v>
      </c>
      <c r="M137" s="172">
        <f>IF('Peak Revenue'!$A$1="BL","-",IF(Peak!S138&gt;Peak!$G138,M$8*$X137,0))</f>
        <v>0</v>
      </c>
      <c r="N137" s="172">
        <f>IF('Peak Revenue'!$A$1="BL","-",IF(Peak!T138&gt;Peak!$G138,N$8*$X137,0))</f>
        <v>0</v>
      </c>
      <c r="O137" s="172">
        <f>IF('Peak Revenue'!$A$1="BL","-",IF(Peak!U138&gt;Peak!$G138,O$8*$X137,0))</f>
        <v>0</v>
      </c>
      <c r="P137" s="172">
        <f>IF('Peak Revenue'!$A$1="BL","-",IF(Peak!V138&gt;Peak!$G138,P$8*$X137,0))</f>
        <v>0</v>
      </c>
      <c r="Q137" s="172">
        <f>IF('Peak Revenue'!$A$1="BL","-",IF(Peak!W138&gt;Peak!$G138,Q$8*$X137,0))</f>
        <v>0</v>
      </c>
      <c r="R137" s="172">
        <f>IF('Peak Revenue'!$A$1="BL","-",IF(Peak!X138&gt;Peak!$G138,R$8*$X137,0))</f>
        <v>0</v>
      </c>
      <c r="S137" s="172">
        <f>IF('Peak Revenue'!$A$1="BL","-",IF(Peak!Y138&gt;Peak!$G138,S$8*$X137,0))</f>
        <v>0</v>
      </c>
      <c r="T137" s="172">
        <f>IF('Peak Revenue'!$A$1="BL","-",IF(Peak!Z138&gt;Peak!$G138,T$8*$X137,0))</f>
        <v>0</v>
      </c>
      <c r="U137" s="172">
        <f>IF('Peak Revenue'!$A$1="BL","-",IF(Peak!AA138&gt;Peak!$G138,U$8*$X137,0))</f>
        <v>0</v>
      </c>
      <c r="V137" s="175">
        <f t="shared" si="2"/>
        <v>135.25699027338197</v>
      </c>
      <c r="W137" s="164"/>
      <c r="X137" s="473">
        <f>CHOOSE(QUOTIENT(MONTH($A137),3)+1,Peak!$AM$11,Peak!$AN$11,Peak!$AL$11,Peak!$AO$11,Peak!$AM$11)</f>
        <v>0.96612135909558572</v>
      </c>
      <c r="Y137" s="474">
        <f>CHOOSE(QUOTIENT(MONTH($A137),3)+1,Peak!$AM$17,Peak!$AN$17,Peak!$AL$17,Peak!$AO$17,Peak!$AM$17)</f>
        <v>705</v>
      </c>
    </row>
    <row r="138" spans="1:25" x14ac:dyDescent="0.2">
      <c r="A138" s="1">
        <f t="shared" si="3"/>
        <v>40433.376000000164</v>
      </c>
      <c r="B138" s="172">
        <f>IF('Peak Revenue'!$A$1="BL","-",IF(Peak!H139&gt;Peak!$G139,B$8*$X138,0))</f>
        <v>4.75</v>
      </c>
      <c r="C138" s="172">
        <f>IF('Peak Revenue'!$A$1="BL","-",IF(Peak!I139&gt;Peak!$G139,C$8*$X138,0))</f>
        <v>4.75</v>
      </c>
      <c r="D138" s="172">
        <f>IF('Peak Revenue'!$A$1="BL","-",IF(Peak!J139&gt;Peak!$G139,D$8*$X138,0))</f>
        <v>9.5</v>
      </c>
      <c r="E138" s="172">
        <f>IF('Peak Revenue'!$A$1="BL","-",IF(Peak!K139&gt;Peak!$G139,E$8*$X138,0))</f>
        <v>19</v>
      </c>
      <c r="F138" s="172">
        <f>IF('Peak Revenue'!$A$1="BL","-",IF(Peak!L139&gt;Peak!$G139,F$8*$X138,0))</f>
        <v>19</v>
      </c>
      <c r="G138" s="172">
        <f>IF('Peak Revenue'!$A$1="BL","-",IF(Peak!M139&gt;Peak!$G139,G$8*$X138,0))</f>
        <v>38</v>
      </c>
      <c r="H138" s="172">
        <f>IF('Peak Revenue'!$A$1="BL","-",IF(Peak!N139&gt;Peak!$G139,H$8*$X138,0))</f>
        <v>38</v>
      </c>
      <c r="I138" s="172">
        <f>IF('Peak Revenue'!$A$1="BL","-",IF(Peak!O139&gt;Peak!$G139,I$8*$X138,0))</f>
        <v>38</v>
      </c>
      <c r="J138" s="172">
        <f>IF('Peak Revenue'!$A$1="BL","-",IF(Peak!P139&gt;Peak!$G139,J$8*$X138,0))</f>
        <v>38</v>
      </c>
      <c r="K138" s="172">
        <f>IF('Peak Revenue'!$A$1="BL","-",IF(Peak!Q139&gt;Peak!$G139,K$8*$X138,0))</f>
        <v>38</v>
      </c>
      <c r="L138" s="172">
        <f>IF('Peak Revenue'!$A$1="BL","-",IF(Peak!R139&gt;Peak!$G139,L$8*$X138,0))</f>
        <v>38</v>
      </c>
      <c r="M138" s="172">
        <f>IF('Peak Revenue'!$A$1="BL","-",IF(Peak!S139&gt;Peak!$G139,M$8*$X138,0))</f>
        <v>38</v>
      </c>
      <c r="N138" s="172">
        <f>IF('Peak Revenue'!$A$1="BL","-",IF(Peak!T139&gt;Peak!$G139,N$8*$X138,0))</f>
        <v>0</v>
      </c>
      <c r="O138" s="172">
        <f>IF('Peak Revenue'!$A$1="BL","-",IF(Peak!U139&gt;Peak!$G139,O$8*$X138,0))</f>
        <v>0</v>
      </c>
      <c r="P138" s="172">
        <f>IF('Peak Revenue'!$A$1="BL","-",IF(Peak!V139&gt;Peak!$G139,P$8*$X138,0))</f>
        <v>0</v>
      </c>
      <c r="Q138" s="172">
        <f>IF('Peak Revenue'!$A$1="BL","-",IF(Peak!W139&gt;Peak!$G139,Q$8*$X138,0))</f>
        <v>0</v>
      </c>
      <c r="R138" s="172">
        <f>IF('Peak Revenue'!$A$1="BL","-",IF(Peak!X139&gt;Peak!$G139,R$8*$X138,0))</f>
        <v>0</v>
      </c>
      <c r="S138" s="172">
        <f>IF('Peak Revenue'!$A$1="BL","-",IF(Peak!Y139&gt;Peak!$G139,S$8*$X138,0))</f>
        <v>0</v>
      </c>
      <c r="T138" s="172">
        <f>IF('Peak Revenue'!$A$1="BL","-",IF(Peak!Z139&gt;Peak!$G139,T$8*$X138,0))</f>
        <v>0</v>
      </c>
      <c r="U138" s="172">
        <f>IF('Peak Revenue'!$A$1="BL","-",IF(Peak!AA139&gt;Peak!$G139,U$8*$X138,0))</f>
        <v>0</v>
      </c>
      <c r="V138" s="175">
        <f t="shared" si="2"/>
        <v>323</v>
      </c>
      <c r="W138" s="164"/>
      <c r="X138" s="473">
        <f>CHOOSE(QUOTIENT(MONTH($A138),3)+1,Peak!$AM$11,Peak!$AN$11,Peak!$AL$11,Peak!$AO$11,Peak!$AM$11)</f>
        <v>0.95</v>
      </c>
      <c r="Y138" s="474">
        <f>CHOOSE(QUOTIENT(MONTH($A138),3)+1,Peak!$AM$17,Peak!$AN$17,Peak!$AL$17,Peak!$AO$17,Peak!$AM$17)</f>
        <v>705</v>
      </c>
    </row>
    <row r="139" spans="1:25" x14ac:dyDescent="0.2">
      <c r="A139" s="1">
        <f t="shared" si="3"/>
        <v>40463.793000000165</v>
      </c>
      <c r="B139" s="172">
        <f>IF('Peak Revenue'!$A$1="BL","-",IF(Peak!H140&gt;Peak!$G140,B$8*$X139,0))</f>
        <v>4.75</v>
      </c>
      <c r="C139" s="172">
        <f>IF('Peak Revenue'!$A$1="BL","-",IF(Peak!I140&gt;Peak!$G140,C$8*$X139,0))</f>
        <v>4.75</v>
      </c>
      <c r="D139" s="172">
        <f>IF('Peak Revenue'!$A$1="BL","-",IF(Peak!J140&gt;Peak!$G140,D$8*$X139,0))</f>
        <v>9.5</v>
      </c>
      <c r="E139" s="172">
        <f>IF('Peak Revenue'!$A$1="BL","-",IF(Peak!K140&gt;Peak!$G140,E$8*$X139,0))</f>
        <v>19</v>
      </c>
      <c r="F139" s="172">
        <f>IF('Peak Revenue'!$A$1="BL","-",IF(Peak!L140&gt;Peak!$G140,F$8*$X139,0))</f>
        <v>19</v>
      </c>
      <c r="G139" s="172">
        <f>IF('Peak Revenue'!$A$1="BL","-",IF(Peak!M140&gt;Peak!$G140,G$8*$X139,0))</f>
        <v>38</v>
      </c>
      <c r="H139" s="172">
        <f>IF('Peak Revenue'!$A$1="BL","-",IF(Peak!N140&gt;Peak!$G140,H$8*$X139,0))</f>
        <v>38</v>
      </c>
      <c r="I139" s="172">
        <f>IF('Peak Revenue'!$A$1="BL","-",IF(Peak!O140&gt;Peak!$G140,I$8*$X139,0))</f>
        <v>38</v>
      </c>
      <c r="J139" s="172">
        <f>IF('Peak Revenue'!$A$1="BL","-",IF(Peak!P140&gt;Peak!$G140,J$8*$X139,0))</f>
        <v>38</v>
      </c>
      <c r="K139" s="172">
        <f>IF('Peak Revenue'!$A$1="BL","-",IF(Peak!Q140&gt;Peak!$G140,K$8*$X139,0))</f>
        <v>0</v>
      </c>
      <c r="L139" s="172">
        <f>IF('Peak Revenue'!$A$1="BL","-",IF(Peak!R140&gt;Peak!$G140,L$8*$X139,0))</f>
        <v>0</v>
      </c>
      <c r="M139" s="172">
        <f>IF('Peak Revenue'!$A$1="BL","-",IF(Peak!S140&gt;Peak!$G140,M$8*$X139,0))</f>
        <v>0</v>
      </c>
      <c r="N139" s="172">
        <f>IF('Peak Revenue'!$A$1="BL","-",IF(Peak!T140&gt;Peak!$G140,N$8*$X139,0))</f>
        <v>0</v>
      </c>
      <c r="O139" s="172">
        <f>IF('Peak Revenue'!$A$1="BL","-",IF(Peak!U140&gt;Peak!$G140,O$8*$X139,0))</f>
        <v>0</v>
      </c>
      <c r="P139" s="172">
        <f>IF('Peak Revenue'!$A$1="BL","-",IF(Peak!V140&gt;Peak!$G140,P$8*$X139,0))</f>
        <v>0</v>
      </c>
      <c r="Q139" s="172">
        <f>IF('Peak Revenue'!$A$1="BL","-",IF(Peak!W140&gt;Peak!$G140,Q$8*$X139,0))</f>
        <v>0</v>
      </c>
      <c r="R139" s="172">
        <f>IF('Peak Revenue'!$A$1="BL","-",IF(Peak!X140&gt;Peak!$G140,R$8*$X139,0))</f>
        <v>0</v>
      </c>
      <c r="S139" s="172">
        <f>IF('Peak Revenue'!$A$1="BL","-",IF(Peak!Y140&gt;Peak!$G140,S$8*$X139,0))</f>
        <v>0</v>
      </c>
      <c r="T139" s="172">
        <f>IF('Peak Revenue'!$A$1="BL","-",IF(Peak!Z140&gt;Peak!$G140,T$8*$X139,0))</f>
        <v>0</v>
      </c>
      <c r="U139" s="172">
        <f>IF('Peak Revenue'!$A$1="BL","-",IF(Peak!AA140&gt;Peak!$G140,U$8*$X139,0))</f>
        <v>0</v>
      </c>
      <c r="V139" s="175">
        <f t="shared" ref="V139:V202" si="4">SUM(B139:U139)</f>
        <v>209</v>
      </c>
      <c r="W139" s="164"/>
      <c r="X139" s="473">
        <f>CHOOSE(QUOTIENT(MONTH($A139),3)+1,Peak!$AM$11,Peak!$AN$11,Peak!$AL$11,Peak!$AO$11,Peak!$AM$11)</f>
        <v>0.95</v>
      </c>
      <c r="Y139" s="474">
        <f>CHOOSE(QUOTIENT(MONTH($A139),3)+1,Peak!$AM$17,Peak!$AN$17,Peak!$AL$17,Peak!$AO$17,Peak!$AM$17)</f>
        <v>705</v>
      </c>
    </row>
    <row r="140" spans="1:25" x14ac:dyDescent="0.2">
      <c r="A140" s="1">
        <f t="shared" ref="A140:A203" si="5">A139+30.417</f>
        <v>40494.210000000166</v>
      </c>
      <c r="B140" s="172">
        <f>IF('Peak Revenue'!$A$1="BL","-",IF(Peak!H141&gt;Peak!$G141,B$8*$X140,0))</f>
        <v>4.75</v>
      </c>
      <c r="C140" s="172">
        <f>IF('Peak Revenue'!$A$1="BL","-",IF(Peak!I141&gt;Peak!$G141,C$8*$X140,0))</f>
        <v>4.75</v>
      </c>
      <c r="D140" s="172">
        <f>IF('Peak Revenue'!$A$1="BL","-",IF(Peak!J141&gt;Peak!$G141,D$8*$X140,0))</f>
        <v>9.5</v>
      </c>
      <c r="E140" s="172">
        <f>IF('Peak Revenue'!$A$1="BL","-",IF(Peak!K141&gt;Peak!$G141,E$8*$X140,0))</f>
        <v>19</v>
      </c>
      <c r="F140" s="172">
        <f>IF('Peak Revenue'!$A$1="BL","-",IF(Peak!L141&gt;Peak!$G141,F$8*$X140,0))</f>
        <v>19</v>
      </c>
      <c r="G140" s="172">
        <f>IF('Peak Revenue'!$A$1="BL","-",IF(Peak!M141&gt;Peak!$G141,G$8*$X140,0))</f>
        <v>38</v>
      </c>
      <c r="H140" s="172">
        <f>IF('Peak Revenue'!$A$1="BL","-",IF(Peak!N141&gt;Peak!$G141,H$8*$X140,0))</f>
        <v>38</v>
      </c>
      <c r="I140" s="172">
        <f>IF('Peak Revenue'!$A$1="BL","-",IF(Peak!O141&gt;Peak!$G141,I$8*$X140,0))</f>
        <v>38</v>
      </c>
      <c r="J140" s="172">
        <f>IF('Peak Revenue'!$A$1="BL","-",IF(Peak!P141&gt;Peak!$G141,J$8*$X140,0))</f>
        <v>38</v>
      </c>
      <c r="K140" s="172">
        <f>IF('Peak Revenue'!$A$1="BL","-",IF(Peak!Q141&gt;Peak!$G141,K$8*$X140,0))</f>
        <v>38</v>
      </c>
      <c r="L140" s="172">
        <f>IF('Peak Revenue'!$A$1="BL","-",IF(Peak!R141&gt;Peak!$G141,L$8*$X140,0))</f>
        <v>38</v>
      </c>
      <c r="M140" s="172">
        <f>IF('Peak Revenue'!$A$1="BL","-",IF(Peak!S141&gt;Peak!$G141,M$8*$X140,0))</f>
        <v>38</v>
      </c>
      <c r="N140" s="172">
        <f>IF('Peak Revenue'!$A$1="BL","-",IF(Peak!T141&gt;Peak!$G141,N$8*$X140,0))</f>
        <v>0</v>
      </c>
      <c r="O140" s="172">
        <f>IF('Peak Revenue'!$A$1="BL","-",IF(Peak!U141&gt;Peak!$G141,O$8*$X140,0))</f>
        <v>0</v>
      </c>
      <c r="P140" s="172">
        <f>IF('Peak Revenue'!$A$1="BL","-",IF(Peak!V141&gt;Peak!$G141,P$8*$X140,0))</f>
        <v>0</v>
      </c>
      <c r="Q140" s="172">
        <f>IF('Peak Revenue'!$A$1="BL","-",IF(Peak!W141&gt;Peak!$G141,Q$8*$X140,0))</f>
        <v>0</v>
      </c>
      <c r="R140" s="172">
        <f>IF('Peak Revenue'!$A$1="BL","-",IF(Peak!X141&gt;Peak!$G141,R$8*$X140,0))</f>
        <v>0</v>
      </c>
      <c r="S140" s="172">
        <f>IF('Peak Revenue'!$A$1="BL","-",IF(Peak!Y141&gt;Peak!$G141,S$8*$X140,0))</f>
        <v>0</v>
      </c>
      <c r="T140" s="172">
        <f>IF('Peak Revenue'!$A$1="BL","-",IF(Peak!Z141&gt;Peak!$G141,T$8*$X140,0))</f>
        <v>0</v>
      </c>
      <c r="U140" s="172">
        <f>IF('Peak Revenue'!$A$1="BL","-",IF(Peak!AA141&gt;Peak!$G141,U$8*$X140,0))</f>
        <v>0</v>
      </c>
      <c r="V140" s="175">
        <f t="shared" si="4"/>
        <v>323</v>
      </c>
      <c r="W140" s="164"/>
      <c r="X140" s="473">
        <f>CHOOSE(QUOTIENT(MONTH($A140),3)+1,Peak!$AM$11,Peak!$AN$11,Peak!$AL$11,Peak!$AO$11,Peak!$AM$11)</f>
        <v>0.95</v>
      </c>
      <c r="Y140" s="474">
        <f>CHOOSE(QUOTIENT(MONTH($A140),3)+1,Peak!$AM$17,Peak!$AN$17,Peak!$AL$17,Peak!$AO$17,Peak!$AM$17)</f>
        <v>705</v>
      </c>
    </row>
    <row r="141" spans="1:25" x14ac:dyDescent="0.2">
      <c r="A141" s="1">
        <f t="shared" si="5"/>
        <v>40524.627000000168</v>
      </c>
      <c r="B141" s="172">
        <f>IF('Peak Revenue'!$A$1="BL","-",IF(Peak!H142&gt;Peak!$G142,B$8*$X141,0))</f>
        <v>4.6213830939305875</v>
      </c>
      <c r="C141" s="172">
        <f>IF('Peak Revenue'!$A$1="BL","-",IF(Peak!I142&gt;Peak!$G142,C$8*$X141,0))</f>
        <v>4.6213830939305875</v>
      </c>
      <c r="D141" s="172">
        <f>IF('Peak Revenue'!$A$1="BL","-",IF(Peak!J142&gt;Peak!$G142,D$8*$X141,0))</f>
        <v>9.2427661878611751</v>
      </c>
      <c r="E141" s="172">
        <f>IF('Peak Revenue'!$A$1="BL","-",IF(Peak!K142&gt;Peak!$G142,E$8*$X141,0))</f>
        <v>18.48553237572235</v>
      </c>
      <c r="F141" s="172">
        <f>IF('Peak Revenue'!$A$1="BL","-",IF(Peak!L142&gt;Peak!$G142,F$8*$X141,0))</f>
        <v>18.48553237572235</v>
      </c>
      <c r="G141" s="172">
        <f>IF('Peak Revenue'!$A$1="BL","-",IF(Peak!M142&gt;Peak!$G142,G$8*$X141,0))</f>
        <v>36.9710647514447</v>
      </c>
      <c r="H141" s="172">
        <f>IF('Peak Revenue'!$A$1="BL","-",IF(Peak!N142&gt;Peak!$G142,H$8*$X141,0))</f>
        <v>36.9710647514447</v>
      </c>
      <c r="I141" s="172">
        <f>IF('Peak Revenue'!$A$1="BL","-",IF(Peak!O142&gt;Peak!$G142,I$8*$X141,0))</f>
        <v>36.9710647514447</v>
      </c>
      <c r="J141" s="172">
        <f>IF('Peak Revenue'!$A$1="BL","-",IF(Peak!P142&gt;Peak!$G142,J$8*$X141,0))</f>
        <v>36.9710647514447</v>
      </c>
      <c r="K141" s="172">
        <f>IF('Peak Revenue'!$A$1="BL","-",IF(Peak!Q142&gt;Peak!$G142,K$8*$X141,0))</f>
        <v>36.9710647514447</v>
      </c>
      <c r="L141" s="172">
        <f>IF('Peak Revenue'!$A$1="BL","-",IF(Peak!R142&gt;Peak!$G142,L$8*$X141,0))</f>
        <v>0</v>
      </c>
      <c r="M141" s="172">
        <f>IF('Peak Revenue'!$A$1="BL","-",IF(Peak!S142&gt;Peak!$G142,M$8*$X141,0))</f>
        <v>0</v>
      </c>
      <c r="N141" s="172">
        <f>IF('Peak Revenue'!$A$1="BL","-",IF(Peak!T142&gt;Peak!$G142,N$8*$X141,0))</f>
        <v>0</v>
      </c>
      <c r="O141" s="172">
        <f>IF('Peak Revenue'!$A$1="BL","-",IF(Peak!U142&gt;Peak!$G142,O$8*$X141,0))</f>
        <v>0</v>
      </c>
      <c r="P141" s="172">
        <f>IF('Peak Revenue'!$A$1="BL","-",IF(Peak!V142&gt;Peak!$G142,P$8*$X141,0))</f>
        <v>0</v>
      </c>
      <c r="Q141" s="172">
        <f>IF('Peak Revenue'!$A$1="BL","-",IF(Peak!W142&gt;Peak!$G142,Q$8*$X141,0))</f>
        <v>0</v>
      </c>
      <c r="R141" s="172">
        <f>IF('Peak Revenue'!$A$1="BL","-",IF(Peak!X142&gt;Peak!$G142,R$8*$X141,0))</f>
        <v>0</v>
      </c>
      <c r="S141" s="172">
        <f>IF('Peak Revenue'!$A$1="BL","-",IF(Peak!Y142&gt;Peak!$G142,S$8*$X141,0))</f>
        <v>0</v>
      </c>
      <c r="T141" s="172">
        <f>IF('Peak Revenue'!$A$1="BL","-",IF(Peak!Z142&gt;Peak!$G142,T$8*$X141,0))</f>
        <v>0</v>
      </c>
      <c r="U141" s="172">
        <f>IF('Peak Revenue'!$A$1="BL","-",IF(Peak!AA142&gt;Peak!$G142,U$8*$X141,0))</f>
        <v>0</v>
      </c>
      <c r="V141" s="175">
        <f t="shared" si="4"/>
        <v>240.31192088439059</v>
      </c>
      <c r="W141" s="163">
        <f>SUM(V130:V141)</f>
        <v>2807.8580019724855</v>
      </c>
      <c r="X141" s="473">
        <f>CHOOSE(QUOTIENT(MONTH($A141),3)+1,Peak!$AM$11,Peak!$AN$11,Peak!$AL$11,Peak!$AO$11,Peak!$AM$11)</f>
        <v>0.92427661878611755</v>
      </c>
      <c r="Y141" s="474">
        <f>CHOOSE(QUOTIENT(MONTH($A141),3)+1,Peak!$AM$17,Peak!$AN$17,Peak!$AL$17,Peak!$AO$17,Peak!$AM$17)</f>
        <v>705</v>
      </c>
    </row>
    <row r="142" spans="1:25" x14ac:dyDescent="0.2">
      <c r="A142" s="1">
        <f t="shared" si="5"/>
        <v>40555.044000000169</v>
      </c>
      <c r="B142" s="172">
        <f>IF('Peak Revenue'!$A$1="BL","-",IF(Peak!H143&gt;Peak!$G143,B$8*$X142,0))</f>
        <v>4.6213830939305875</v>
      </c>
      <c r="C142" s="172">
        <f>IF('Peak Revenue'!$A$1="BL","-",IF(Peak!I143&gt;Peak!$G143,C$8*$X142,0))</f>
        <v>4.6213830939305875</v>
      </c>
      <c r="D142" s="172">
        <f>IF('Peak Revenue'!$A$1="BL","-",IF(Peak!J143&gt;Peak!$G143,D$8*$X142,0))</f>
        <v>9.2427661878611751</v>
      </c>
      <c r="E142" s="172">
        <f>IF('Peak Revenue'!$A$1="BL","-",IF(Peak!K143&gt;Peak!$G143,E$8*$X142,0))</f>
        <v>18.48553237572235</v>
      </c>
      <c r="F142" s="172">
        <f>IF('Peak Revenue'!$A$1="BL","-",IF(Peak!L143&gt;Peak!$G143,F$8*$X142,0))</f>
        <v>18.48553237572235</v>
      </c>
      <c r="G142" s="172">
        <f>IF('Peak Revenue'!$A$1="BL","-",IF(Peak!M143&gt;Peak!$G143,G$8*$X142,0))</f>
        <v>36.9710647514447</v>
      </c>
      <c r="H142" s="172">
        <f>IF('Peak Revenue'!$A$1="BL","-",IF(Peak!N143&gt;Peak!$G143,H$8*$X142,0))</f>
        <v>36.9710647514447</v>
      </c>
      <c r="I142" s="172">
        <f>IF('Peak Revenue'!$A$1="BL","-",IF(Peak!O143&gt;Peak!$G143,I$8*$X142,0))</f>
        <v>36.9710647514447</v>
      </c>
      <c r="J142" s="172">
        <f>IF('Peak Revenue'!$A$1="BL","-",IF(Peak!P143&gt;Peak!$G143,J$8*$X142,0))</f>
        <v>36.9710647514447</v>
      </c>
      <c r="K142" s="172">
        <f>IF('Peak Revenue'!$A$1="BL","-",IF(Peak!Q143&gt;Peak!$G143,K$8*$X142,0))</f>
        <v>36.9710647514447</v>
      </c>
      <c r="L142" s="172">
        <f>IF('Peak Revenue'!$A$1="BL","-",IF(Peak!R143&gt;Peak!$G143,L$8*$X142,0))</f>
        <v>0</v>
      </c>
      <c r="M142" s="172">
        <f>IF('Peak Revenue'!$A$1="BL","-",IF(Peak!S143&gt;Peak!$G143,M$8*$X142,0))</f>
        <v>0</v>
      </c>
      <c r="N142" s="172">
        <f>IF('Peak Revenue'!$A$1="BL","-",IF(Peak!T143&gt;Peak!$G143,N$8*$X142,0))</f>
        <v>0</v>
      </c>
      <c r="O142" s="172">
        <f>IF('Peak Revenue'!$A$1="BL","-",IF(Peak!U143&gt;Peak!$G143,O$8*$X142,0))</f>
        <v>0</v>
      </c>
      <c r="P142" s="172">
        <f>IF('Peak Revenue'!$A$1="BL","-",IF(Peak!V143&gt;Peak!$G143,P$8*$X142,0))</f>
        <v>0</v>
      </c>
      <c r="Q142" s="172">
        <f>IF('Peak Revenue'!$A$1="BL","-",IF(Peak!W143&gt;Peak!$G143,Q$8*$X142,0))</f>
        <v>0</v>
      </c>
      <c r="R142" s="172">
        <f>IF('Peak Revenue'!$A$1="BL","-",IF(Peak!X143&gt;Peak!$G143,R$8*$X142,0))</f>
        <v>0</v>
      </c>
      <c r="S142" s="172">
        <f>IF('Peak Revenue'!$A$1="BL","-",IF(Peak!Y143&gt;Peak!$G143,S$8*$X142,0))</f>
        <v>0</v>
      </c>
      <c r="T142" s="172">
        <f>IF('Peak Revenue'!$A$1="BL","-",IF(Peak!Z143&gt;Peak!$G143,T$8*$X142,0))</f>
        <v>0</v>
      </c>
      <c r="U142" s="172">
        <f>IF('Peak Revenue'!$A$1="BL","-",IF(Peak!AA143&gt;Peak!$G143,U$8*$X142,0))</f>
        <v>0</v>
      </c>
      <c r="V142" s="175">
        <f t="shared" si="4"/>
        <v>240.31192088439059</v>
      </c>
      <c r="W142" s="164"/>
      <c r="X142" s="473">
        <f>CHOOSE(QUOTIENT(MONTH($A142),3)+1,Peak!$AM$11,Peak!$AN$11,Peak!$AL$11,Peak!$AO$11,Peak!$AM$11)</f>
        <v>0.92427661878611755</v>
      </c>
      <c r="Y142" s="474">
        <f>CHOOSE(QUOTIENT(MONTH($A142),3)+1,Peak!$AM$17,Peak!$AN$17,Peak!$AL$17,Peak!$AO$17,Peak!$AM$17)</f>
        <v>705</v>
      </c>
    </row>
    <row r="143" spans="1:25" x14ac:dyDescent="0.2">
      <c r="A143" s="1">
        <f t="shared" si="5"/>
        <v>40585.46100000017</v>
      </c>
      <c r="B143" s="172">
        <f>IF('Peak Revenue'!$A$1="BL","-",IF(Peak!H144&gt;Peak!$G144,B$8*$X143,0))</f>
        <v>4.6213830939305875</v>
      </c>
      <c r="C143" s="172">
        <f>IF('Peak Revenue'!$A$1="BL","-",IF(Peak!I144&gt;Peak!$G144,C$8*$X143,0))</f>
        <v>4.6213830939305875</v>
      </c>
      <c r="D143" s="172">
        <f>IF('Peak Revenue'!$A$1="BL","-",IF(Peak!J144&gt;Peak!$G144,D$8*$X143,0))</f>
        <v>9.2427661878611751</v>
      </c>
      <c r="E143" s="172">
        <f>IF('Peak Revenue'!$A$1="BL","-",IF(Peak!K144&gt;Peak!$G144,E$8*$X143,0))</f>
        <v>18.48553237572235</v>
      </c>
      <c r="F143" s="172">
        <f>IF('Peak Revenue'!$A$1="BL","-",IF(Peak!L144&gt;Peak!$G144,F$8*$X143,0))</f>
        <v>18.48553237572235</v>
      </c>
      <c r="G143" s="172">
        <f>IF('Peak Revenue'!$A$1="BL","-",IF(Peak!M144&gt;Peak!$G144,G$8*$X143,0))</f>
        <v>36.9710647514447</v>
      </c>
      <c r="H143" s="172">
        <f>IF('Peak Revenue'!$A$1="BL","-",IF(Peak!N144&gt;Peak!$G144,H$8*$X143,0))</f>
        <v>36.9710647514447</v>
      </c>
      <c r="I143" s="172">
        <f>IF('Peak Revenue'!$A$1="BL","-",IF(Peak!O144&gt;Peak!$G144,I$8*$X143,0))</f>
        <v>36.9710647514447</v>
      </c>
      <c r="J143" s="172">
        <f>IF('Peak Revenue'!$A$1="BL","-",IF(Peak!P144&gt;Peak!$G144,J$8*$X143,0))</f>
        <v>36.9710647514447</v>
      </c>
      <c r="K143" s="172">
        <f>IF('Peak Revenue'!$A$1="BL","-",IF(Peak!Q144&gt;Peak!$G144,K$8*$X143,0))</f>
        <v>36.9710647514447</v>
      </c>
      <c r="L143" s="172">
        <f>IF('Peak Revenue'!$A$1="BL","-",IF(Peak!R144&gt;Peak!$G144,L$8*$X143,0))</f>
        <v>36.9710647514447</v>
      </c>
      <c r="M143" s="172">
        <f>IF('Peak Revenue'!$A$1="BL","-",IF(Peak!S144&gt;Peak!$G144,M$8*$X143,0))</f>
        <v>36.9710647514447</v>
      </c>
      <c r="N143" s="172">
        <f>IF('Peak Revenue'!$A$1="BL","-",IF(Peak!T144&gt;Peak!$G144,N$8*$X143,0))</f>
        <v>0</v>
      </c>
      <c r="O143" s="172">
        <f>IF('Peak Revenue'!$A$1="BL","-",IF(Peak!U144&gt;Peak!$G144,O$8*$X143,0))</f>
        <v>0</v>
      </c>
      <c r="P143" s="172">
        <f>IF('Peak Revenue'!$A$1="BL","-",IF(Peak!V144&gt;Peak!$G144,P$8*$X143,0))</f>
        <v>0</v>
      </c>
      <c r="Q143" s="172">
        <f>IF('Peak Revenue'!$A$1="BL","-",IF(Peak!W144&gt;Peak!$G144,Q$8*$X143,0))</f>
        <v>0</v>
      </c>
      <c r="R143" s="172">
        <f>IF('Peak Revenue'!$A$1="BL","-",IF(Peak!X144&gt;Peak!$G144,R$8*$X143,0))</f>
        <v>0</v>
      </c>
      <c r="S143" s="172">
        <f>IF('Peak Revenue'!$A$1="BL","-",IF(Peak!Y144&gt;Peak!$G144,S$8*$X143,0))</f>
        <v>0</v>
      </c>
      <c r="T143" s="172">
        <f>IF('Peak Revenue'!$A$1="BL","-",IF(Peak!Z144&gt;Peak!$G144,T$8*$X143,0))</f>
        <v>0</v>
      </c>
      <c r="U143" s="172">
        <f>IF('Peak Revenue'!$A$1="BL","-",IF(Peak!AA144&gt;Peak!$G144,U$8*$X143,0))</f>
        <v>0</v>
      </c>
      <c r="V143" s="175">
        <f t="shared" si="4"/>
        <v>314.25405038728002</v>
      </c>
      <c r="W143" s="164"/>
      <c r="X143" s="473">
        <f>CHOOSE(QUOTIENT(MONTH($A143),3)+1,Peak!$AM$11,Peak!$AN$11,Peak!$AL$11,Peak!$AO$11,Peak!$AM$11)</f>
        <v>0.92427661878611755</v>
      </c>
      <c r="Y143" s="474">
        <f>CHOOSE(QUOTIENT(MONTH($A143),3)+1,Peak!$AM$17,Peak!$AN$17,Peak!$AL$17,Peak!$AO$17,Peak!$AM$17)</f>
        <v>705</v>
      </c>
    </row>
    <row r="144" spans="1:25" x14ac:dyDescent="0.2">
      <c r="A144" s="1">
        <f t="shared" si="5"/>
        <v>40615.878000000172</v>
      </c>
      <c r="B144" s="172">
        <f>IF('Peak Revenue'!$A$1="BL","-",IF(Peak!H145&gt;Peak!$G145,B$8*$X144,0))</f>
        <v>4.75</v>
      </c>
      <c r="C144" s="172">
        <f>IF('Peak Revenue'!$A$1="BL","-",IF(Peak!I145&gt;Peak!$G145,C$8*$X144,0))</f>
        <v>4.75</v>
      </c>
      <c r="D144" s="172">
        <f>IF('Peak Revenue'!$A$1="BL","-",IF(Peak!J145&gt;Peak!$G145,D$8*$X144,0))</f>
        <v>9.5</v>
      </c>
      <c r="E144" s="172">
        <f>IF('Peak Revenue'!$A$1="BL","-",IF(Peak!K145&gt;Peak!$G145,E$8*$X144,0))</f>
        <v>19</v>
      </c>
      <c r="F144" s="172">
        <f>IF('Peak Revenue'!$A$1="BL","-",IF(Peak!L145&gt;Peak!$G145,F$8*$X144,0))</f>
        <v>19</v>
      </c>
      <c r="G144" s="172">
        <f>IF('Peak Revenue'!$A$1="BL","-",IF(Peak!M145&gt;Peak!$G145,G$8*$X144,0))</f>
        <v>38</v>
      </c>
      <c r="H144" s="172">
        <f>IF('Peak Revenue'!$A$1="BL","-",IF(Peak!N145&gt;Peak!$G145,H$8*$X144,0))</f>
        <v>38</v>
      </c>
      <c r="I144" s="172">
        <f>IF('Peak Revenue'!$A$1="BL","-",IF(Peak!O145&gt;Peak!$G145,I$8*$X144,0))</f>
        <v>38</v>
      </c>
      <c r="J144" s="172">
        <f>IF('Peak Revenue'!$A$1="BL","-",IF(Peak!P145&gt;Peak!$G145,J$8*$X144,0))</f>
        <v>38</v>
      </c>
      <c r="K144" s="172">
        <f>IF('Peak Revenue'!$A$1="BL","-",IF(Peak!Q145&gt;Peak!$G145,K$8*$X144,0))</f>
        <v>38</v>
      </c>
      <c r="L144" s="172">
        <f>IF('Peak Revenue'!$A$1="BL","-",IF(Peak!R145&gt;Peak!$G145,L$8*$X144,0))</f>
        <v>38</v>
      </c>
      <c r="M144" s="172">
        <f>IF('Peak Revenue'!$A$1="BL","-",IF(Peak!S145&gt;Peak!$G145,M$8*$X144,0))</f>
        <v>0</v>
      </c>
      <c r="N144" s="172">
        <f>IF('Peak Revenue'!$A$1="BL","-",IF(Peak!T145&gt;Peak!$G145,N$8*$X144,0))</f>
        <v>0</v>
      </c>
      <c r="O144" s="172">
        <f>IF('Peak Revenue'!$A$1="BL","-",IF(Peak!U145&gt;Peak!$G145,O$8*$X144,0))</f>
        <v>0</v>
      </c>
      <c r="P144" s="172">
        <f>IF('Peak Revenue'!$A$1="BL","-",IF(Peak!V145&gt;Peak!$G145,P$8*$X144,0))</f>
        <v>0</v>
      </c>
      <c r="Q144" s="172">
        <f>IF('Peak Revenue'!$A$1="BL","-",IF(Peak!W145&gt;Peak!$G145,Q$8*$X144,0))</f>
        <v>0</v>
      </c>
      <c r="R144" s="172">
        <f>IF('Peak Revenue'!$A$1="BL","-",IF(Peak!X145&gt;Peak!$G145,R$8*$X144,0))</f>
        <v>0</v>
      </c>
      <c r="S144" s="172">
        <f>IF('Peak Revenue'!$A$1="BL","-",IF(Peak!Y145&gt;Peak!$G145,S$8*$X144,0))</f>
        <v>0</v>
      </c>
      <c r="T144" s="172">
        <f>IF('Peak Revenue'!$A$1="BL","-",IF(Peak!Z145&gt;Peak!$G145,T$8*$X144,0))</f>
        <v>0</v>
      </c>
      <c r="U144" s="172">
        <f>IF('Peak Revenue'!$A$1="BL","-",IF(Peak!AA145&gt;Peak!$G145,U$8*$X144,0))</f>
        <v>0</v>
      </c>
      <c r="V144" s="175">
        <f t="shared" si="4"/>
        <v>285</v>
      </c>
      <c r="W144" s="164"/>
      <c r="X144" s="473">
        <f>CHOOSE(QUOTIENT(MONTH($A144),3)+1,Peak!$AM$11,Peak!$AN$11,Peak!$AL$11,Peak!$AO$11,Peak!$AM$11)</f>
        <v>0.95</v>
      </c>
      <c r="Y144" s="474">
        <f>CHOOSE(QUOTIENT(MONTH($A144),3)+1,Peak!$AM$17,Peak!$AN$17,Peak!$AL$17,Peak!$AO$17,Peak!$AM$17)</f>
        <v>705</v>
      </c>
    </row>
    <row r="145" spans="1:25" x14ac:dyDescent="0.2">
      <c r="A145" s="1">
        <f t="shared" si="5"/>
        <v>40646.295000000173</v>
      </c>
      <c r="B145" s="172">
        <f>IF('Peak Revenue'!$A$1="BL","-",IF(Peak!H146&gt;Peak!$G146,B$8*$X145,0))</f>
        <v>4.75</v>
      </c>
      <c r="C145" s="172">
        <f>IF('Peak Revenue'!$A$1="BL","-",IF(Peak!I146&gt;Peak!$G146,C$8*$X145,0))</f>
        <v>4.75</v>
      </c>
      <c r="D145" s="172">
        <f>IF('Peak Revenue'!$A$1="BL","-",IF(Peak!J146&gt;Peak!$G146,D$8*$X145,0))</f>
        <v>9.5</v>
      </c>
      <c r="E145" s="172">
        <f>IF('Peak Revenue'!$A$1="BL","-",IF(Peak!K146&gt;Peak!$G146,E$8*$X145,0))</f>
        <v>19</v>
      </c>
      <c r="F145" s="172">
        <f>IF('Peak Revenue'!$A$1="BL","-",IF(Peak!L146&gt;Peak!$G146,F$8*$X145,0))</f>
        <v>19</v>
      </c>
      <c r="G145" s="172">
        <f>IF('Peak Revenue'!$A$1="BL","-",IF(Peak!M146&gt;Peak!$G146,G$8*$X145,0))</f>
        <v>38</v>
      </c>
      <c r="H145" s="172">
        <f>IF('Peak Revenue'!$A$1="BL","-",IF(Peak!N146&gt;Peak!$G146,H$8*$X145,0))</f>
        <v>38</v>
      </c>
      <c r="I145" s="172">
        <f>IF('Peak Revenue'!$A$1="BL","-",IF(Peak!O146&gt;Peak!$G146,I$8*$X145,0))</f>
        <v>38</v>
      </c>
      <c r="J145" s="172">
        <f>IF('Peak Revenue'!$A$1="BL","-",IF(Peak!P146&gt;Peak!$G146,J$8*$X145,0))</f>
        <v>0</v>
      </c>
      <c r="K145" s="172">
        <f>IF('Peak Revenue'!$A$1="BL","-",IF(Peak!Q146&gt;Peak!$G146,K$8*$X145,0))</f>
        <v>0</v>
      </c>
      <c r="L145" s="172">
        <f>IF('Peak Revenue'!$A$1="BL","-",IF(Peak!R146&gt;Peak!$G146,L$8*$X145,0))</f>
        <v>0</v>
      </c>
      <c r="M145" s="172">
        <f>IF('Peak Revenue'!$A$1="BL","-",IF(Peak!S146&gt;Peak!$G146,M$8*$X145,0))</f>
        <v>0</v>
      </c>
      <c r="N145" s="172">
        <f>IF('Peak Revenue'!$A$1="BL","-",IF(Peak!T146&gt;Peak!$G146,N$8*$X145,0))</f>
        <v>0</v>
      </c>
      <c r="O145" s="172">
        <f>IF('Peak Revenue'!$A$1="BL","-",IF(Peak!U146&gt;Peak!$G146,O$8*$X145,0))</f>
        <v>0</v>
      </c>
      <c r="P145" s="172">
        <f>IF('Peak Revenue'!$A$1="BL","-",IF(Peak!V146&gt;Peak!$G146,P$8*$X145,0))</f>
        <v>0</v>
      </c>
      <c r="Q145" s="172">
        <f>IF('Peak Revenue'!$A$1="BL","-",IF(Peak!W146&gt;Peak!$G146,Q$8*$X145,0))</f>
        <v>0</v>
      </c>
      <c r="R145" s="172">
        <f>IF('Peak Revenue'!$A$1="BL","-",IF(Peak!X146&gt;Peak!$G146,R$8*$X145,0))</f>
        <v>0</v>
      </c>
      <c r="S145" s="172">
        <f>IF('Peak Revenue'!$A$1="BL","-",IF(Peak!Y146&gt;Peak!$G146,S$8*$X145,0))</f>
        <v>0</v>
      </c>
      <c r="T145" s="172">
        <f>IF('Peak Revenue'!$A$1="BL","-",IF(Peak!Z146&gt;Peak!$G146,T$8*$X145,0))</f>
        <v>0</v>
      </c>
      <c r="U145" s="172">
        <f>IF('Peak Revenue'!$A$1="BL","-",IF(Peak!AA146&gt;Peak!$G146,U$8*$X145,0))</f>
        <v>0</v>
      </c>
      <c r="V145" s="175">
        <f t="shared" si="4"/>
        <v>171</v>
      </c>
      <c r="W145" s="164"/>
      <c r="X145" s="473">
        <f>CHOOSE(QUOTIENT(MONTH($A145),3)+1,Peak!$AM$11,Peak!$AN$11,Peak!$AL$11,Peak!$AO$11,Peak!$AM$11)</f>
        <v>0.95</v>
      </c>
      <c r="Y145" s="474">
        <f>CHOOSE(QUOTIENT(MONTH($A145),3)+1,Peak!$AM$17,Peak!$AN$17,Peak!$AL$17,Peak!$AO$17,Peak!$AM$17)</f>
        <v>705</v>
      </c>
    </row>
    <row r="146" spans="1:25" x14ac:dyDescent="0.2">
      <c r="A146" s="1">
        <f t="shared" si="5"/>
        <v>40676.712000000174</v>
      </c>
      <c r="B146" s="172">
        <f>IF('Peak Revenue'!$A$1="BL","-",IF(Peak!H147&gt;Peak!$G147,B$8*$X146,0))</f>
        <v>4.75</v>
      </c>
      <c r="C146" s="172">
        <f>IF('Peak Revenue'!$A$1="BL","-",IF(Peak!I147&gt;Peak!$G147,C$8*$X146,0))</f>
        <v>4.75</v>
      </c>
      <c r="D146" s="172">
        <f>IF('Peak Revenue'!$A$1="BL","-",IF(Peak!J147&gt;Peak!$G147,D$8*$X146,0))</f>
        <v>9.5</v>
      </c>
      <c r="E146" s="172">
        <f>IF('Peak Revenue'!$A$1="BL","-",IF(Peak!K147&gt;Peak!$G147,E$8*$X146,0))</f>
        <v>19</v>
      </c>
      <c r="F146" s="172">
        <f>IF('Peak Revenue'!$A$1="BL","-",IF(Peak!L147&gt;Peak!$G147,F$8*$X146,0))</f>
        <v>19</v>
      </c>
      <c r="G146" s="172">
        <f>IF('Peak Revenue'!$A$1="BL","-",IF(Peak!M147&gt;Peak!$G147,G$8*$X146,0))</f>
        <v>38</v>
      </c>
      <c r="H146" s="172">
        <f>IF('Peak Revenue'!$A$1="BL","-",IF(Peak!N147&gt;Peak!$G147,H$8*$X146,0))</f>
        <v>38</v>
      </c>
      <c r="I146" s="172">
        <f>IF('Peak Revenue'!$A$1="BL","-",IF(Peak!O147&gt;Peak!$G147,I$8*$X146,0))</f>
        <v>38</v>
      </c>
      <c r="J146" s="172">
        <f>IF('Peak Revenue'!$A$1="BL","-",IF(Peak!P147&gt;Peak!$G147,J$8*$X146,0))</f>
        <v>0</v>
      </c>
      <c r="K146" s="172">
        <f>IF('Peak Revenue'!$A$1="BL","-",IF(Peak!Q147&gt;Peak!$G147,K$8*$X146,0))</f>
        <v>0</v>
      </c>
      <c r="L146" s="172">
        <f>IF('Peak Revenue'!$A$1="BL","-",IF(Peak!R147&gt;Peak!$G147,L$8*$X146,0))</f>
        <v>0</v>
      </c>
      <c r="M146" s="172">
        <f>IF('Peak Revenue'!$A$1="BL","-",IF(Peak!S147&gt;Peak!$G147,M$8*$X146,0))</f>
        <v>0</v>
      </c>
      <c r="N146" s="172">
        <f>IF('Peak Revenue'!$A$1="BL","-",IF(Peak!T147&gt;Peak!$G147,N$8*$X146,0))</f>
        <v>0</v>
      </c>
      <c r="O146" s="172">
        <f>IF('Peak Revenue'!$A$1="BL","-",IF(Peak!U147&gt;Peak!$G147,O$8*$X146,0))</f>
        <v>0</v>
      </c>
      <c r="P146" s="172">
        <f>IF('Peak Revenue'!$A$1="BL","-",IF(Peak!V147&gt;Peak!$G147,P$8*$X146,0))</f>
        <v>0</v>
      </c>
      <c r="Q146" s="172">
        <f>IF('Peak Revenue'!$A$1="BL","-",IF(Peak!W147&gt;Peak!$G147,Q$8*$X146,0))</f>
        <v>0</v>
      </c>
      <c r="R146" s="172">
        <f>IF('Peak Revenue'!$A$1="BL","-",IF(Peak!X147&gt;Peak!$G147,R$8*$X146,0))</f>
        <v>0</v>
      </c>
      <c r="S146" s="172">
        <f>IF('Peak Revenue'!$A$1="BL","-",IF(Peak!Y147&gt;Peak!$G147,S$8*$X146,0))</f>
        <v>0</v>
      </c>
      <c r="T146" s="172">
        <f>IF('Peak Revenue'!$A$1="BL","-",IF(Peak!Z147&gt;Peak!$G147,T$8*$X146,0))</f>
        <v>0</v>
      </c>
      <c r="U146" s="172">
        <f>IF('Peak Revenue'!$A$1="BL","-",IF(Peak!AA147&gt;Peak!$G147,U$8*$X146,0))</f>
        <v>0</v>
      </c>
      <c r="V146" s="175">
        <f t="shared" si="4"/>
        <v>171</v>
      </c>
      <c r="W146" s="164"/>
      <c r="X146" s="473">
        <f>CHOOSE(QUOTIENT(MONTH($A146),3)+1,Peak!$AM$11,Peak!$AN$11,Peak!$AL$11,Peak!$AO$11,Peak!$AM$11)</f>
        <v>0.95</v>
      </c>
      <c r="Y146" s="474">
        <f>CHOOSE(QUOTIENT(MONTH($A146),3)+1,Peak!$AM$17,Peak!$AN$17,Peak!$AL$17,Peak!$AO$17,Peak!$AM$17)</f>
        <v>705</v>
      </c>
    </row>
    <row r="147" spans="1:25" x14ac:dyDescent="0.2">
      <c r="A147" s="1">
        <f t="shared" si="5"/>
        <v>40707.129000000175</v>
      </c>
      <c r="B147" s="172">
        <f>IF('Peak Revenue'!$A$1="BL","-",IF(Peak!H148&gt;Peak!$G148,B$8*$X147,0))</f>
        <v>4.8306067954779284</v>
      </c>
      <c r="C147" s="172">
        <f>IF('Peak Revenue'!$A$1="BL","-",IF(Peak!I148&gt;Peak!$G148,C$8*$X147,0))</f>
        <v>4.8306067954779284</v>
      </c>
      <c r="D147" s="172">
        <f>IF('Peak Revenue'!$A$1="BL","-",IF(Peak!J148&gt;Peak!$G148,D$8*$X147,0))</f>
        <v>9.6612135909558567</v>
      </c>
      <c r="E147" s="172">
        <f>IF('Peak Revenue'!$A$1="BL","-",IF(Peak!K148&gt;Peak!$G148,E$8*$X147,0))</f>
        <v>19.322427181911713</v>
      </c>
      <c r="F147" s="172">
        <f>IF('Peak Revenue'!$A$1="BL","-",IF(Peak!L148&gt;Peak!$G148,F$8*$X147,0))</f>
        <v>19.322427181911713</v>
      </c>
      <c r="G147" s="172">
        <f>IF('Peak Revenue'!$A$1="BL","-",IF(Peak!M148&gt;Peak!$G148,G$8*$X147,0))</f>
        <v>38.644854363823427</v>
      </c>
      <c r="H147" s="172">
        <f>IF('Peak Revenue'!$A$1="BL","-",IF(Peak!N148&gt;Peak!$G148,H$8*$X147,0))</f>
        <v>38.644854363823427</v>
      </c>
      <c r="I147" s="172">
        <f>IF('Peak Revenue'!$A$1="BL","-",IF(Peak!O148&gt;Peak!$G148,I$8*$X147,0))</f>
        <v>38.644854363823427</v>
      </c>
      <c r="J147" s="172">
        <f>IF('Peak Revenue'!$A$1="BL","-",IF(Peak!P148&gt;Peak!$G148,J$8*$X147,0))</f>
        <v>38.644854363823427</v>
      </c>
      <c r="K147" s="172">
        <f>IF('Peak Revenue'!$A$1="BL","-",IF(Peak!Q148&gt;Peak!$G148,K$8*$X147,0))</f>
        <v>0</v>
      </c>
      <c r="L147" s="172">
        <f>IF('Peak Revenue'!$A$1="BL","-",IF(Peak!R148&gt;Peak!$G148,L$8*$X147,0))</f>
        <v>0</v>
      </c>
      <c r="M147" s="172">
        <f>IF('Peak Revenue'!$A$1="BL","-",IF(Peak!S148&gt;Peak!$G148,M$8*$X147,0))</f>
        <v>0</v>
      </c>
      <c r="N147" s="172">
        <f>IF('Peak Revenue'!$A$1="BL","-",IF(Peak!T148&gt;Peak!$G148,N$8*$X147,0))</f>
        <v>0</v>
      </c>
      <c r="O147" s="172">
        <f>IF('Peak Revenue'!$A$1="BL","-",IF(Peak!U148&gt;Peak!$G148,O$8*$X147,0))</f>
        <v>0</v>
      </c>
      <c r="P147" s="172">
        <f>IF('Peak Revenue'!$A$1="BL","-",IF(Peak!V148&gt;Peak!$G148,P$8*$X147,0))</f>
        <v>0</v>
      </c>
      <c r="Q147" s="172">
        <f>IF('Peak Revenue'!$A$1="BL","-",IF(Peak!W148&gt;Peak!$G148,Q$8*$X147,0))</f>
        <v>0</v>
      </c>
      <c r="R147" s="172">
        <f>IF('Peak Revenue'!$A$1="BL","-",IF(Peak!X148&gt;Peak!$G148,R$8*$X147,0))</f>
        <v>0</v>
      </c>
      <c r="S147" s="172">
        <f>IF('Peak Revenue'!$A$1="BL","-",IF(Peak!Y148&gt;Peak!$G148,S$8*$X147,0))</f>
        <v>0</v>
      </c>
      <c r="T147" s="172">
        <f>IF('Peak Revenue'!$A$1="BL","-",IF(Peak!Z148&gt;Peak!$G148,T$8*$X147,0))</f>
        <v>0</v>
      </c>
      <c r="U147" s="172">
        <f>IF('Peak Revenue'!$A$1="BL","-",IF(Peak!AA148&gt;Peak!$G148,U$8*$X147,0))</f>
        <v>0</v>
      </c>
      <c r="V147" s="175">
        <f t="shared" si="4"/>
        <v>212.5466990010288</v>
      </c>
      <c r="W147" s="164"/>
      <c r="X147" s="473">
        <f>CHOOSE(QUOTIENT(MONTH($A147),3)+1,Peak!$AM$11,Peak!$AN$11,Peak!$AL$11,Peak!$AO$11,Peak!$AM$11)</f>
        <v>0.96612135909558572</v>
      </c>
      <c r="Y147" s="474">
        <f>CHOOSE(QUOTIENT(MONTH($A147),3)+1,Peak!$AM$17,Peak!$AN$17,Peak!$AL$17,Peak!$AO$17,Peak!$AM$17)</f>
        <v>705</v>
      </c>
    </row>
    <row r="148" spans="1:25" x14ac:dyDescent="0.2">
      <c r="A148" s="1">
        <f t="shared" si="5"/>
        <v>40737.546000000177</v>
      </c>
      <c r="B148" s="172">
        <f>IF('Peak Revenue'!$A$1="BL","-",IF(Peak!H149&gt;Peak!$G149,B$8*$X148,0))</f>
        <v>4.8306067954779284</v>
      </c>
      <c r="C148" s="172">
        <f>IF('Peak Revenue'!$A$1="BL","-",IF(Peak!I149&gt;Peak!$G149,C$8*$X148,0))</f>
        <v>4.8306067954779284</v>
      </c>
      <c r="D148" s="172">
        <f>IF('Peak Revenue'!$A$1="BL","-",IF(Peak!J149&gt;Peak!$G149,D$8*$X148,0))</f>
        <v>9.6612135909558567</v>
      </c>
      <c r="E148" s="172">
        <f>IF('Peak Revenue'!$A$1="BL","-",IF(Peak!K149&gt;Peak!$G149,E$8*$X148,0))</f>
        <v>19.322427181911713</v>
      </c>
      <c r="F148" s="172">
        <f>IF('Peak Revenue'!$A$1="BL","-",IF(Peak!L149&gt;Peak!$G149,F$8*$X148,0))</f>
        <v>19.322427181911713</v>
      </c>
      <c r="G148" s="172">
        <f>IF('Peak Revenue'!$A$1="BL","-",IF(Peak!M149&gt;Peak!$G149,G$8*$X148,0))</f>
        <v>38.644854363823427</v>
      </c>
      <c r="H148" s="172">
        <f>IF('Peak Revenue'!$A$1="BL","-",IF(Peak!N149&gt;Peak!$G149,H$8*$X148,0))</f>
        <v>38.644854363823427</v>
      </c>
      <c r="I148" s="172">
        <f>IF('Peak Revenue'!$A$1="BL","-",IF(Peak!O149&gt;Peak!$G149,I$8*$X148,0))</f>
        <v>38.644854363823427</v>
      </c>
      <c r="J148" s="172">
        <f>IF('Peak Revenue'!$A$1="BL","-",IF(Peak!P149&gt;Peak!$G149,J$8*$X148,0))</f>
        <v>38.644854363823427</v>
      </c>
      <c r="K148" s="172">
        <f>IF('Peak Revenue'!$A$1="BL","-",IF(Peak!Q149&gt;Peak!$G149,K$8*$X148,0))</f>
        <v>38.644854363823427</v>
      </c>
      <c r="L148" s="172">
        <f>IF('Peak Revenue'!$A$1="BL","-",IF(Peak!R149&gt;Peak!$G149,L$8*$X148,0))</f>
        <v>38.644854363823427</v>
      </c>
      <c r="M148" s="172">
        <f>IF('Peak Revenue'!$A$1="BL","-",IF(Peak!S149&gt;Peak!$G149,M$8*$X148,0))</f>
        <v>38.644854363823427</v>
      </c>
      <c r="N148" s="172">
        <f>IF('Peak Revenue'!$A$1="BL","-",IF(Peak!T149&gt;Peak!$G149,N$8*$X148,0))</f>
        <v>38.644854363823427</v>
      </c>
      <c r="O148" s="172">
        <f>IF('Peak Revenue'!$A$1="BL","-",IF(Peak!U149&gt;Peak!$G149,O$8*$X148,0))</f>
        <v>38.644854363823427</v>
      </c>
      <c r="P148" s="172">
        <f>IF('Peak Revenue'!$A$1="BL","-",IF(Peak!V149&gt;Peak!$G149,P$8*$X148,0))</f>
        <v>0</v>
      </c>
      <c r="Q148" s="172">
        <f>IF('Peak Revenue'!$A$1="BL","-",IF(Peak!W149&gt;Peak!$G149,Q$8*$X148,0))</f>
        <v>0</v>
      </c>
      <c r="R148" s="172">
        <f>IF('Peak Revenue'!$A$1="BL","-",IF(Peak!X149&gt;Peak!$G149,R$8*$X148,0))</f>
        <v>0</v>
      </c>
      <c r="S148" s="172">
        <f>IF('Peak Revenue'!$A$1="BL","-",IF(Peak!Y149&gt;Peak!$G149,S$8*$X148,0))</f>
        <v>0</v>
      </c>
      <c r="T148" s="172">
        <f>IF('Peak Revenue'!$A$1="BL","-",IF(Peak!Z149&gt;Peak!$G149,T$8*$X148,0))</f>
        <v>0</v>
      </c>
      <c r="U148" s="172">
        <f>IF('Peak Revenue'!$A$1="BL","-",IF(Peak!AA149&gt;Peak!$G149,U$8*$X148,0))</f>
        <v>0</v>
      </c>
      <c r="V148" s="175">
        <f t="shared" si="4"/>
        <v>405.77097082014586</v>
      </c>
      <c r="W148" s="164"/>
      <c r="X148" s="473">
        <f>CHOOSE(QUOTIENT(MONTH($A148),3)+1,Peak!$AM$11,Peak!$AN$11,Peak!$AL$11,Peak!$AO$11,Peak!$AM$11)</f>
        <v>0.96612135909558572</v>
      </c>
      <c r="Y148" s="474">
        <f>CHOOSE(QUOTIENT(MONTH($A148),3)+1,Peak!$AM$17,Peak!$AN$17,Peak!$AL$17,Peak!$AO$17,Peak!$AM$17)</f>
        <v>705</v>
      </c>
    </row>
    <row r="149" spans="1:25" x14ac:dyDescent="0.2">
      <c r="A149" s="1">
        <f t="shared" si="5"/>
        <v>40767.963000000178</v>
      </c>
      <c r="B149" s="172">
        <f>IF('Peak Revenue'!$A$1="BL","-",IF(Peak!H150&gt;Peak!$G150,B$8*$X149,0))</f>
        <v>4.8306067954779284</v>
      </c>
      <c r="C149" s="172">
        <f>IF('Peak Revenue'!$A$1="BL","-",IF(Peak!I150&gt;Peak!$G150,C$8*$X149,0))</f>
        <v>4.8306067954779284</v>
      </c>
      <c r="D149" s="172">
        <f>IF('Peak Revenue'!$A$1="BL","-",IF(Peak!J150&gt;Peak!$G150,D$8*$X149,0))</f>
        <v>9.6612135909558567</v>
      </c>
      <c r="E149" s="172">
        <f>IF('Peak Revenue'!$A$1="BL","-",IF(Peak!K150&gt;Peak!$G150,E$8*$X149,0))</f>
        <v>19.322427181911713</v>
      </c>
      <c r="F149" s="172">
        <f>IF('Peak Revenue'!$A$1="BL","-",IF(Peak!L150&gt;Peak!$G150,F$8*$X149,0))</f>
        <v>19.322427181911713</v>
      </c>
      <c r="G149" s="172">
        <f>IF('Peak Revenue'!$A$1="BL","-",IF(Peak!M150&gt;Peak!$G150,G$8*$X149,0))</f>
        <v>38.644854363823427</v>
      </c>
      <c r="H149" s="172">
        <f>IF('Peak Revenue'!$A$1="BL","-",IF(Peak!N150&gt;Peak!$G150,H$8*$X149,0))</f>
        <v>38.644854363823427</v>
      </c>
      <c r="I149" s="172">
        <f>IF('Peak Revenue'!$A$1="BL","-",IF(Peak!O150&gt;Peak!$G150,I$8*$X149,0))</f>
        <v>38.644854363823427</v>
      </c>
      <c r="J149" s="172">
        <f>IF('Peak Revenue'!$A$1="BL","-",IF(Peak!P150&gt;Peak!$G150,J$8*$X149,0))</f>
        <v>38.644854363823427</v>
      </c>
      <c r="K149" s="172">
        <f>IF('Peak Revenue'!$A$1="BL","-",IF(Peak!Q150&gt;Peak!$G150,K$8*$X149,0))</f>
        <v>38.644854363823427</v>
      </c>
      <c r="L149" s="172">
        <f>IF('Peak Revenue'!$A$1="BL","-",IF(Peak!R150&gt;Peak!$G150,L$8*$X149,0))</f>
        <v>38.644854363823427</v>
      </c>
      <c r="M149" s="172">
        <f>IF('Peak Revenue'!$A$1="BL","-",IF(Peak!S150&gt;Peak!$G150,M$8*$X149,0))</f>
        <v>38.644854363823427</v>
      </c>
      <c r="N149" s="172">
        <f>IF('Peak Revenue'!$A$1="BL","-",IF(Peak!T150&gt;Peak!$G150,N$8*$X149,0))</f>
        <v>38.644854363823427</v>
      </c>
      <c r="O149" s="172">
        <f>IF('Peak Revenue'!$A$1="BL","-",IF(Peak!U150&gt;Peak!$G150,O$8*$X149,0))</f>
        <v>38.644854363823427</v>
      </c>
      <c r="P149" s="172">
        <f>IF('Peak Revenue'!$A$1="BL","-",IF(Peak!V150&gt;Peak!$G150,P$8*$X149,0))</f>
        <v>38.644854363823427</v>
      </c>
      <c r="Q149" s="172">
        <f>IF('Peak Revenue'!$A$1="BL","-",IF(Peak!W150&gt;Peak!$G150,Q$8*$X149,0))</f>
        <v>38.644854363823427</v>
      </c>
      <c r="R149" s="172">
        <f>IF('Peak Revenue'!$A$1="BL","-",IF(Peak!X150&gt;Peak!$G150,R$8*$X149,0))</f>
        <v>38.644854363823427</v>
      </c>
      <c r="S149" s="172">
        <f>IF('Peak Revenue'!$A$1="BL","-",IF(Peak!Y150&gt;Peak!$G150,S$8*$X149,0))</f>
        <v>0</v>
      </c>
      <c r="T149" s="172">
        <f>IF('Peak Revenue'!$A$1="BL","-",IF(Peak!Z150&gt;Peak!$G150,T$8*$X149,0))</f>
        <v>0</v>
      </c>
      <c r="U149" s="172">
        <f>IF('Peak Revenue'!$A$1="BL","-",IF(Peak!AA150&gt;Peak!$G150,U$8*$X149,0))</f>
        <v>0</v>
      </c>
      <c r="V149" s="175">
        <f t="shared" si="4"/>
        <v>521.70553391161616</v>
      </c>
      <c r="W149" s="164"/>
      <c r="X149" s="473">
        <f>CHOOSE(QUOTIENT(MONTH($A149),3)+1,Peak!$AM$11,Peak!$AN$11,Peak!$AL$11,Peak!$AO$11,Peak!$AM$11)</f>
        <v>0.96612135909558572</v>
      </c>
      <c r="Y149" s="474">
        <f>CHOOSE(QUOTIENT(MONTH($A149),3)+1,Peak!$AM$17,Peak!$AN$17,Peak!$AL$17,Peak!$AO$17,Peak!$AM$17)</f>
        <v>705</v>
      </c>
    </row>
    <row r="150" spans="1:25" x14ac:dyDescent="0.2">
      <c r="A150" s="1">
        <f t="shared" si="5"/>
        <v>40798.380000000179</v>
      </c>
      <c r="B150" s="172">
        <f>IF('Peak Revenue'!$A$1="BL","-",IF(Peak!H151&gt;Peak!$G151,B$8*$X150,0))</f>
        <v>4.75</v>
      </c>
      <c r="C150" s="172">
        <f>IF('Peak Revenue'!$A$1="BL","-",IF(Peak!I151&gt;Peak!$G151,C$8*$X150,0))</f>
        <v>4.75</v>
      </c>
      <c r="D150" s="172">
        <f>IF('Peak Revenue'!$A$1="BL","-",IF(Peak!J151&gt;Peak!$G151,D$8*$X150,0))</f>
        <v>9.5</v>
      </c>
      <c r="E150" s="172">
        <f>IF('Peak Revenue'!$A$1="BL","-",IF(Peak!K151&gt;Peak!$G151,E$8*$X150,0))</f>
        <v>19</v>
      </c>
      <c r="F150" s="172">
        <f>IF('Peak Revenue'!$A$1="BL","-",IF(Peak!L151&gt;Peak!$G151,F$8*$X150,0))</f>
        <v>19</v>
      </c>
      <c r="G150" s="172">
        <f>IF('Peak Revenue'!$A$1="BL","-",IF(Peak!M151&gt;Peak!$G151,G$8*$X150,0))</f>
        <v>38</v>
      </c>
      <c r="H150" s="172">
        <f>IF('Peak Revenue'!$A$1="BL","-",IF(Peak!N151&gt;Peak!$G151,H$8*$X150,0))</f>
        <v>38</v>
      </c>
      <c r="I150" s="172">
        <f>IF('Peak Revenue'!$A$1="BL","-",IF(Peak!O151&gt;Peak!$G151,I$8*$X150,0))</f>
        <v>38</v>
      </c>
      <c r="J150" s="172">
        <f>IF('Peak Revenue'!$A$1="BL","-",IF(Peak!P151&gt;Peak!$G151,J$8*$X150,0))</f>
        <v>38</v>
      </c>
      <c r="K150" s="172">
        <f>IF('Peak Revenue'!$A$1="BL","-",IF(Peak!Q151&gt;Peak!$G151,K$8*$X150,0))</f>
        <v>38</v>
      </c>
      <c r="L150" s="172">
        <f>IF('Peak Revenue'!$A$1="BL","-",IF(Peak!R151&gt;Peak!$G151,L$8*$X150,0))</f>
        <v>38</v>
      </c>
      <c r="M150" s="172">
        <f>IF('Peak Revenue'!$A$1="BL","-",IF(Peak!S151&gt;Peak!$G151,M$8*$X150,0))</f>
        <v>38</v>
      </c>
      <c r="N150" s="172">
        <f>IF('Peak Revenue'!$A$1="BL","-",IF(Peak!T151&gt;Peak!$G151,N$8*$X150,0))</f>
        <v>0</v>
      </c>
      <c r="O150" s="172">
        <f>IF('Peak Revenue'!$A$1="BL","-",IF(Peak!U151&gt;Peak!$G151,O$8*$X150,0))</f>
        <v>0</v>
      </c>
      <c r="P150" s="172">
        <f>IF('Peak Revenue'!$A$1="BL","-",IF(Peak!V151&gt;Peak!$G151,P$8*$X150,0))</f>
        <v>0</v>
      </c>
      <c r="Q150" s="172">
        <f>IF('Peak Revenue'!$A$1="BL","-",IF(Peak!W151&gt;Peak!$G151,Q$8*$X150,0))</f>
        <v>0</v>
      </c>
      <c r="R150" s="172">
        <f>IF('Peak Revenue'!$A$1="BL","-",IF(Peak!X151&gt;Peak!$G151,R$8*$X150,0))</f>
        <v>0</v>
      </c>
      <c r="S150" s="172">
        <f>IF('Peak Revenue'!$A$1="BL","-",IF(Peak!Y151&gt;Peak!$G151,S$8*$X150,0))</f>
        <v>0</v>
      </c>
      <c r="T150" s="172">
        <f>IF('Peak Revenue'!$A$1="BL","-",IF(Peak!Z151&gt;Peak!$G151,T$8*$X150,0))</f>
        <v>0</v>
      </c>
      <c r="U150" s="172">
        <f>IF('Peak Revenue'!$A$1="BL","-",IF(Peak!AA151&gt;Peak!$G151,U$8*$X150,0))</f>
        <v>0</v>
      </c>
      <c r="V150" s="175">
        <f t="shared" si="4"/>
        <v>323</v>
      </c>
      <c r="W150" s="164"/>
      <c r="X150" s="473">
        <f>CHOOSE(QUOTIENT(MONTH($A150),3)+1,Peak!$AM$11,Peak!$AN$11,Peak!$AL$11,Peak!$AO$11,Peak!$AM$11)</f>
        <v>0.95</v>
      </c>
      <c r="Y150" s="474">
        <f>CHOOSE(QUOTIENT(MONTH($A150),3)+1,Peak!$AM$17,Peak!$AN$17,Peak!$AL$17,Peak!$AO$17,Peak!$AM$17)</f>
        <v>705</v>
      </c>
    </row>
    <row r="151" spans="1:25" x14ac:dyDescent="0.2">
      <c r="A151" s="1">
        <f t="shared" si="5"/>
        <v>40828.797000000181</v>
      </c>
      <c r="B151" s="172">
        <f>IF('Peak Revenue'!$A$1="BL","-",IF(Peak!H152&gt;Peak!$G152,B$8*$X151,0))</f>
        <v>4.75</v>
      </c>
      <c r="C151" s="172">
        <f>IF('Peak Revenue'!$A$1="BL","-",IF(Peak!I152&gt;Peak!$G152,C$8*$X151,0))</f>
        <v>4.75</v>
      </c>
      <c r="D151" s="172">
        <f>IF('Peak Revenue'!$A$1="BL","-",IF(Peak!J152&gt;Peak!$G152,D$8*$X151,0))</f>
        <v>9.5</v>
      </c>
      <c r="E151" s="172">
        <f>IF('Peak Revenue'!$A$1="BL","-",IF(Peak!K152&gt;Peak!$G152,E$8*$X151,0))</f>
        <v>19</v>
      </c>
      <c r="F151" s="172">
        <f>IF('Peak Revenue'!$A$1="BL","-",IF(Peak!L152&gt;Peak!$G152,F$8*$X151,0))</f>
        <v>19</v>
      </c>
      <c r="G151" s="172">
        <f>IF('Peak Revenue'!$A$1="BL","-",IF(Peak!M152&gt;Peak!$G152,G$8*$X151,0))</f>
        <v>38</v>
      </c>
      <c r="H151" s="172">
        <f>IF('Peak Revenue'!$A$1="BL","-",IF(Peak!N152&gt;Peak!$G152,H$8*$X151,0))</f>
        <v>38</v>
      </c>
      <c r="I151" s="172">
        <f>IF('Peak Revenue'!$A$1="BL","-",IF(Peak!O152&gt;Peak!$G152,I$8*$X151,0))</f>
        <v>38</v>
      </c>
      <c r="J151" s="172">
        <f>IF('Peak Revenue'!$A$1="BL","-",IF(Peak!P152&gt;Peak!$G152,J$8*$X151,0))</f>
        <v>38</v>
      </c>
      <c r="K151" s="172">
        <f>IF('Peak Revenue'!$A$1="BL","-",IF(Peak!Q152&gt;Peak!$G152,K$8*$X151,0))</f>
        <v>0</v>
      </c>
      <c r="L151" s="172">
        <f>IF('Peak Revenue'!$A$1="BL","-",IF(Peak!R152&gt;Peak!$G152,L$8*$X151,0))</f>
        <v>0</v>
      </c>
      <c r="M151" s="172">
        <f>IF('Peak Revenue'!$A$1="BL","-",IF(Peak!S152&gt;Peak!$G152,M$8*$X151,0))</f>
        <v>0</v>
      </c>
      <c r="N151" s="172">
        <f>IF('Peak Revenue'!$A$1="BL","-",IF(Peak!T152&gt;Peak!$G152,N$8*$X151,0))</f>
        <v>0</v>
      </c>
      <c r="O151" s="172">
        <f>IF('Peak Revenue'!$A$1="BL","-",IF(Peak!U152&gt;Peak!$G152,O$8*$X151,0))</f>
        <v>0</v>
      </c>
      <c r="P151" s="172">
        <f>IF('Peak Revenue'!$A$1="BL","-",IF(Peak!V152&gt;Peak!$G152,P$8*$X151,0))</f>
        <v>0</v>
      </c>
      <c r="Q151" s="172">
        <f>IF('Peak Revenue'!$A$1="BL","-",IF(Peak!W152&gt;Peak!$G152,Q$8*$X151,0))</f>
        <v>0</v>
      </c>
      <c r="R151" s="172">
        <f>IF('Peak Revenue'!$A$1="BL","-",IF(Peak!X152&gt;Peak!$G152,R$8*$X151,0))</f>
        <v>0</v>
      </c>
      <c r="S151" s="172">
        <f>IF('Peak Revenue'!$A$1="BL","-",IF(Peak!Y152&gt;Peak!$G152,S$8*$X151,0))</f>
        <v>0</v>
      </c>
      <c r="T151" s="172">
        <f>IF('Peak Revenue'!$A$1="BL","-",IF(Peak!Z152&gt;Peak!$G152,T$8*$X151,0))</f>
        <v>0</v>
      </c>
      <c r="U151" s="172">
        <f>IF('Peak Revenue'!$A$1="BL","-",IF(Peak!AA152&gt;Peak!$G152,U$8*$X151,0))</f>
        <v>0</v>
      </c>
      <c r="V151" s="175">
        <f t="shared" si="4"/>
        <v>209</v>
      </c>
      <c r="W151" s="164"/>
      <c r="X151" s="473">
        <f>CHOOSE(QUOTIENT(MONTH($A151),3)+1,Peak!$AM$11,Peak!$AN$11,Peak!$AL$11,Peak!$AO$11,Peak!$AM$11)</f>
        <v>0.95</v>
      </c>
      <c r="Y151" s="474">
        <f>CHOOSE(QUOTIENT(MONTH($A151),3)+1,Peak!$AM$17,Peak!$AN$17,Peak!$AL$17,Peak!$AO$17,Peak!$AM$17)</f>
        <v>705</v>
      </c>
    </row>
    <row r="152" spans="1:25" x14ac:dyDescent="0.2">
      <c r="A152" s="1">
        <f t="shared" si="5"/>
        <v>40859.214000000182</v>
      </c>
      <c r="B152" s="172">
        <f>IF('Peak Revenue'!$A$1="BL","-",IF(Peak!H153&gt;Peak!$G153,B$8*$X152,0))</f>
        <v>4.75</v>
      </c>
      <c r="C152" s="172">
        <f>IF('Peak Revenue'!$A$1="BL","-",IF(Peak!I153&gt;Peak!$G153,C$8*$X152,0))</f>
        <v>4.75</v>
      </c>
      <c r="D152" s="172">
        <f>IF('Peak Revenue'!$A$1="BL","-",IF(Peak!J153&gt;Peak!$G153,D$8*$X152,0))</f>
        <v>9.5</v>
      </c>
      <c r="E152" s="172">
        <f>IF('Peak Revenue'!$A$1="BL","-",IF(Peak!K153&gt;Peak!$G153,E$8*$X152,0))</f>
        <v>19</v>
      </c>
      <c r="F152" s="172">
        <f>IF('Peak Revenue'!$A$1="BL","-",IF(Peak!L153&gt;Peak!$G153,F$8*$X152,0))</f>
        <v>19</v>
      </c>
      <c r="G152" s="172">
        <f>IF('Peak Revenue'!$A$1="BL","-",IF(Peak!M153&gt;Peak!$G153,G$8*$X152,0))</f>
        <v>38</v>
      </c>
      <c r="H152" s="172">
        <f>IF('Peak Revenue'!$A$1="BL","-",IF(Peak!N153&gt;Peak!$G153,H$8*$X152,0))</f>
        <v>38</v>
      </c>
      <c r="I152" s="172">
        <f>IF('Peak Revenue'!$A$1="BL","-",IF(Peak!O153&gt;Peak!$G153,I$8*$X152,0))</f>
        <v>38</v>
      </c>
      <c r="J152" s="172">
        <f>IF('Peak Revenue'!$A$1="BL","-",IF(Peak!P153&gt;Peak!$G153,J$8*$X152,0))</f>
        <v>38</v>
      </c>
      <c r="K152" s="172">
        <f>IF('Peak Revenue'!$A$1="BL","-",IF(Peak!Q153&gt;Peak!$G153,K$8*$X152,0))</f>
        <v>38</v>
      </c>
      <c r="L152" s="172">
        <f>IF('Peak Revenue'!$A$1="BL","-",IF(Peak!R153&gt;Peak!$G153,L$8*$X152,0))</f>
        <v>0</v>
      </c>
      <c r="M152" s="172">
        <f>IF('Peak Revenue'!$A$1="BL","-",IF(Peak!S153&gt;Peak!$G153,M$8*$X152,0))</f>
        <v>0</v>
      </c>
      <c r="N152" s="172">
        <f>IF('Peak Revenue'!$A$1="BL","-",IF(Peak!T153&gt;Peak!$G153,N$8*$X152,0))</f>
        <v>0</v>
      </c>
      <c r="O152" s="172">
        <f>IF('Peak Revenue'!$A$1="BL","-",IF(Peak!U153&gt;Peak!$G153,O$8*$X152,0))</f>
        <v>0</v>
      </c>
      <c r="P152" s="172">
        <f>IF('Peak Revenue'!$A$1="BL","-",IF(Peak!V153&gt;Peak!$G153,P$8*$X152,0))</f>
        <v>0</v>
      </c>
      <c r="Q152" s="172">
        <f>IF('Peak Revenue'!$A$1="BL","-",IF(Peak!W153&gt;Peak!$G153,Q$8*$X152,0))</f>
        <v>0</v>
      </c>
      <c r="R152" s="172">
        <f>IF('Peak Revenue'!$A$1="BL","-",IF(Peak!X153&gt;Peak!$G153,R$8*$X152,0))</f>
        <v>0</v>
      </c>
      <c r="S152" s="172">
        <f>IF('Peak Revenue'!$A$1="BL","-",IF(Peak!Y153&gt;Peak!$G153,S$8*$X152,0))</f>
        <v>0</v>
      </c>
      <c r="T152" s="172">
        <f>IF('Peak Revenue'!$A$1="BL","-",IF(Peak!Z153&gt;Peak!$G153,T$8*$X152,0))</f>
        <v>0</v>
      </c>
      <c r="U152" s="172">
        <f>IF('Peak Revenue'!$A$1="BL","-",IF(Peak!AA153&gt;Peak!$G153,U$8*$X152,0))</f>
        <v>0</v>
      </c>
      <c r="V152" s="175">
        <f t="shared" si="4"/>
        <v>247</v>
      </c>
      <c r="W152" s="164"/>
      <c r="X152" s="473">
        <f>CHOOSE(QUOTIENT(MONTH($A152),3)+1,Peak!$AM$11,Peak!$AN$11,Peak!$AL$11,Peak!$AO$11,Peak!$AM$11)</f>
        <v>0.95</v>
      </c>
      <c r="Y152" s="474">
        <f>CHOOSE(QUOTIENT(MONTH($A152),3)+1,Peak!$AM$17,Peak!$AN$17,Peak!$AL$17,Peak!$AO$17,Peak!$AM$17)</f>
        <v>705</v>
      </c>
    </row>
    <row r="153" spans="1:25" x14ac:dyDescent="0.2">
      <c r="A153" s="1">
        <f t="shared" si="5"/>
        <v>40889.631000000183</v>
      </c>
      <c r="B153" s="172">
        <f>IF('Peak Revenue'!$A$1="BL","-",IF(Peak!H154&gt;Peak!$G154,B$8*$X153,0))</f>
        <v>4.6213830939305875</v>
      </c>
      <c r="C153" s="172">
        <f>IF('Peak Revenue'!$A$1="BL","-",IF(Peak!I154&gt;Peak!$G154,C$8*$X153,0))</f>
        <v>4.6213830939305875</v>
      </c>
      <c r="D153" s="172">
        <f>IF('Peak Revenue'!$A$1="BL","-",IF(Peak!J154&gt;Peak!$G154,D$8*$X153,0))</f>
        <v>9.2427661878611751</v>
      </c>
      <c r="E153" s="172">
        <f>IF('Peak Revenue'!$A$1="BL","-",IF(Peak!K154&gt;Peak!$G154,E$8*$X153,0))</f>
        <v>18.48553237572235</v>
      </c>
      <c r="F153" s="172">
        <f>IF('Peak Revenue'!$A$1="BL","-",IF(Peak!L154&gt;Peak!$G154,F$8*$X153,0))</f>
        <v>18.48553237572235</v>
      </c>
      <c r="G153" s="172">
        <f>IF('Peak Revenue'!$A$1="BL","-",IF(Peak!M154&gt;Peak!$G154,G$8*$X153,0))</f>
        <v>36.9710647514447</v>
      </c>
      <c r="H153" s="172">
        <f>IF('Peak Revenue'!$A$1="BL","-",IF(Peak!N154&gt;Peak!$G154,H$8*$X153,0))</f>
        <v>36.9710647514447</v>
      </c>
      <c r="I153" s="172">
        <f>IF('Peak Revenue'!$A$1="BL","-",IF(Peak!O154&gt;Peak!$G154,I$8*$X153,0))</f>
        <v>36.9710647514447</v>
      </c>
      <c r="J153" s="172">
        <f>IF('Peak Revenue'!$A$1="BL","-",IF(Peak!P154&gt;Peak!$G154,J$8*$X153,0))</f>
        <v>0</v>
      </c>
      <c r="K153" s="172">
        <f>IF('Peak Revenue'!$A$1="BL","-",IF(Peak!Q154&gt;Peak!$G154,K$8*$X153,0))</f>
        <v>0</v>
      </c>
      <c r="L153" s="172">
        <f>IF('Peak Revenue'!$A$1="BL","-",IF(Peak!R154&gt;Peak!$G154,L$8*$X153,0))</f>
        <v>0</v>
      </c>
      <c r="M153" s="172">
        <f>IF('Peak Revenue'!$A$1="BL","-",IF(Peak!S154&gt;Peak!$G154,M$8*$X153,0))</f>
        <v>0</v>
      </c>
      <c r="N153" s="172">
        <f>IF('Peak Revenue'!$A$1="BL","-",IF(Peak!T154&gt;Peak!$G154,N$8*$X153,0))</f>
        <v>0</v>
      </c>
      <c r="O153" s="172">
        <f>IF('Peak Revenue'!$A$1="BL","-",IF(Peak!U154&gt;Peak!$G154,O$8*$X153,0))</f>
        <v>0</v>
      </c>
      <c r="P153" s="172">
        <f>IF('Peak Revenue'!$A$1="BL","-",IF(Peak!V154&gt;Peak!$G154,P$8*$X153,0))</f>
        <v>0</v>
      </c>
      <c r="Q153" s="172">
        <f>IF('Peak Revenue'!$A$1="BL","-",IF(Peak!W154&gt;Peak!$G154,Q$8*$X153,0))</f>
        <v>0</v>
      </c>
      <c r="R153" s="172">
        <f>IF('Peak Revenue'!$A$1="BL","-",IF(Peak!X154&gt;Peak!$G154,R$8*$X153,0))</f>
        <v>0</v>
      </c>
      <c r="S153" s="172">
        <f>IF('Peak Revenue'!$A$1="BL","-",IF(Peak!Y154&gt;Peak!$G154,S$8*$X153,0))</f>
        <v>0</v>
      </c>
      <c r="T153" s="172">
        <f>IF('Peak Revenue'!$A$1="BL","-",IF(Peak!Z154&gt;Peak!$G154,T$8*$X153,0))</f>
        <v>0</v>
      </c>
      <c r="U153" s="172">
        <f>IF('Peak Revenue'!$A$1="BL","-",IF(Peak!AA154&gt;Peak!$G154,U$8*$X153,0))</f>
        <v>0</v>
      </c>
      <c r="V153" s="175">
        <f t="shared" si="4"/>
        <v>166.36979138150116</v>
      </c>
      <c r="W153" s="163">
        <f>SUM(V142:V153)</f>
        <v>3266.9589663859624</v>
      </c>
      <c r="X153" s="473">
        <f>CHOOSE(QUOTIENT(MONTH($A153),3)+1,Peak!$AM$11,Peak!$AN$11,Peak!$AL$11,Peak!$AO$11,Peak!$AM$11)</f>
        <v>0.92427661878611755</v>
      </c>
      <c r="Y153" s="474">
        <f>CHOOSE(QUOTIENT(MONTH($A153),3)+1,Peak!$AM$17,Peak!$AN$17,Peak!$AL$17,Peak!$AO$17,Peak!$AM$17)</f>
        <v>705</v>
      </c>
    </row>
    <row r="154" spans="1:25" x14ac:dyDescent="0.2">
      <c r="A154" s="1">
        <f t="shared" si="5"/>
        <v>40920.048000000184</v>
      </c>
      <c r="B154" s="172">
        <f>IF('Peak Revenue'!$A$1="BL","-",IF(Peak!H155&gt;Peak!$G155,B$8*$X154,0))</f>
        <v>4.6213830939305875</v>
      </c>
      <c r="C154" s="172">
        <f>IF('Peak Revenue'!$A$1="BL","-",IF(Peak!I155&gt;Peak!$G155,C$8*$X154,0))</f>
        <v>4.6213830939305875</v>
      </c>
      <c r="D154" s="172">
        <f>IF('Peak Revenue'!$A$1="BL","-",IF(Peak!J155&gt;Peak!$G155,D$8*$X154,0))</f>
        <v>9.2427661878611751</v>
      </c>
      <c r="E154" s="172">
        <f>IF('Peak Revenue'!$A$1="BL","-",IF(Peak!K155&gt;Peak!$G155,E$8*$X154,0))</f>
        <v>18.48553237572235</v>
      </c>
      <c r="F154" s="172">
        <f>IF('Peak Revenue'!$A$1="BL","-",IF(Peak!L155&gt;Peak!$G155,F$8*$X154,0))</f>
        <v>18.48553237572235</v>
      </c>
      <c r="G154" s="172">
        <f>IF('Peak Revenue'!$A$1="BL","-",IF(Peak!M155&gt;Peak!$G155,G$8*$X154,0))</f>
        <v>36.9710647514447</v>
      </c>
      <c r="H154" s="172">
        <f>IF('Peak Revenue'!$A$1="BL","-",IF(Peak!N155&gt;Peak!$G155,H$8*$X154,0))</f>
        <v>36.9710647514447</v>
      </c>
      <c r="I154" s="172">
        <f>IF('Peak Revenue'!$A$1="BL","-",IF(Peak!O155&gt;Peak!$G155,I$8*$X154,0))</f>
        <v>36.9710647514447</v>
      </c>
      <c r="J154" s="172">
        <f>IF('Peak Revenue'!$A$1="BL","-",IF(Peak!P155&gt;Peak!$G155,J$8*$X154,0))</f>
        <v>0</v>
      </c>
      <c r="K154" s="172">
        <f>IF('Peak Revenue'!$A$1="BL","-",IF(Peak!Q155&gt;Peak!$G155,K$8*$X154,0))</f>
        <v>0</v>
      </c>
      <c r="L154" s="172">
        <f>IF('Peak Revenue'!$A$1="BL","-",IF(Peak!R155&gt;Peak!$G155,L$8*$X154,0))</f>
        <v>0</v>
      </c>
      <c r="M154" s="172">
        <f>IF('Peak Revenue'!$A$1="BL","-",IF(Peak!S155&gt;Peak!$G155,M$8*$X154,0))</f>
        <v>0</v>
      </c>
      <c r="N154" s="172">
        <f>IF('Peak Revenue'!$A$1="BL","-",IF(Peak!T155&gt;Peak!$G155,N$8*$X154,0))</f>
        <v>0</v>
      </c>
      <c r="O154" s="172">
        <f>IF('Peak Revenue'!$A$1="BL","-",IF(Peak!U155&gt;Peak!$G155,O$8*$X154,0))</f>
        <v>0</v>
      </c>
      <c r="P154" s="172">
        <f>IF('Peak Revenue'!$A$1="BL","-",IF(Peak!V155&gt;Peak!$G155,P$8*$X154,0))</f>
        <v>0</v>
      </c>
      <c r="Q154" s="172">
        <f>IF('Peak Revenue'!$A$1="BL","-",IF(Peak!W155&gt;Peak!$G155,Q$8*$X154,0))</f>
        <v>0</v>
      </c>
      <c r="R154" s="172">
        <f>IF('Peak Revenue'!$A$1="BL","-",IF(Peak!X155&gt;Peak!$G155,R$8*$X154,0))</f>
        <v>0</v>
      </c>
      <c r="S154" s="172">
        <f>IF('Peak Revenue'!$A$1="BL","-",IF(Peak!Y155&gt;Peak!$G155,S$8*$X154,0))</f>
        <v>0</v>
      </c>
      <c r="T154" s="172">
        <f>IF('Peak Revenue'!$A$1="BL","-",IF(Peak!Z155&gt;Peak!$G155,T$8*$X154,0))</f>
        <v>0</v>
      </c>
      <c r="U154" s="172">
        <f>IF('Peak Revenue'!$A$1="BL","-",IF(Peak!AA155&gt;Peak!$G155,U$8*$X154,0))</f>
        <v>0</v>
      </c>
      <c r="V154" s="175">
        <f t="shared" si="4"/>
        <v>166.36979138150116</v>
      </c>
      <c r="W154" s="164"/>
      <c r="X154" s="473">
        <f>CHOOSE(QUOTIENT(MONTH($A154),3)+1,Peak!$AM$11,Peak!$AN$11,Peak!$AL$11,Peak!$AO$11,Peak!$AM$11)</f>
        <v>0.92427661878611755</v>
      </c>
      <c r="Y154" s="474">
        <f>CHOOSE(QUOTIENT(MONTH($A154),3)+1,Peak!$AM$17,Peak!$AN$17,Peak!$AL$17,Peak!$AO$17,Peak!$AM$17)</f>
        <v>705</v>
      </c>
    </row>
    <row r="155" spans="1:25" x14ac:dyDescent="0.2">
      <c r="A155" s="1">
        <f t="shared" si="5"/>
        <v>40950.465000000186</v>
      </c>
      <c r="B155" s="172">
        <f>IF('Peak Revenue'!$A$1="BL","-",IF(Peak!H156&gt;Peak!$G156,B$8*$X155,0))</f>
        <v>4.6213830939305875</v>
      </c>
      <c r="C155" s="172">
        <f>IF('Peak Revenue'!$A$1="BL","-",IF(Peak!I156&gt;Peak!$G156,C$8*$X155,0))</f>
        <v>4.6213830939305875</v>
      </c>
      <c r="D155" s="172">
        <f>IF('Peak Revenue'!$A$1="BL","-",IF(Peak!J156&gt;Peak!$G156,D$8*$X155,0))</f>
        <v>9.2427661878611751</v>
      </c>
      <c r="E155" s="172">
        <f>IF('Peak Revenue'!$A$1="BL","-",IF(Peak!K156&gt;Peak!$G156,E$8*$X155,0))</f>
        <v>18.48553237572235</v>
      </c>
      <c r="F155" s="172">
        <f>IF('Peak Revenue'!$A$1="BL","-",IF(Peak!L156&gt;Peak!$G156,F$8*$X155,0))</f>
        <v>18.48553237572235</v>
      </c>
      <c r="G155" s="172">
        <f>IF('Peak Revenue'!$A$1="BL","-",IF(Peak!M156&gt;Peak!$G156,G$8*$X155,0))</f>
        <v>36.9710647514447</v>
      </c>
      <c r="H155" s="172">
        <f>IF('Peak Revenue'!$A$1="BL","-",IF(Peak!N156&gt;Peak!$G156,H$8*$X155,0))</f>
        <v>36.9710647514447</v>
      </c>
      <c r="I155" s="172">
        <f>IF('Peak Revenue'!$A$1="BL","-",IF(Peak!O156&gt;Peak!$G156,I$8*$X155,0))</f>
        <v>36.9710647514447</v>
      </c>
      <c r="J155" s="172">
        <f>IF('Peak Revenue'!$A$1="BL","-",IF(Peak!P156&gt;Peak!$G156,J$8*$X155,0))</f>
        <v>36.9710647514447</v>
      </c>
      <c r="K155" s="172">
        <f>IF('Peak Revenue'!$A$1="BL","-",IF(Peak!Q156&gt;Peak!$G156,K$8*$X155,0))</f>
        <v>36.9710647514447</v>
      </c>
      <c r="L155" s="172">
        <f>IF('Peak Revenue'!$A$1="BL","-",IF(Peak!R156&gt;Peak!$G156,L$8*$X155,0))</f>
        <v>0</v>
      </c>
      <c r="M155" s="172">
        <f>IF('Peak Revenue'!$A$1="BL","-",IF(Peak!S156&gt;Peak!$G156,M$8*$X155,0))</f>
        <v>0</v>
      </c>
      <c r="N155" s="172">
        <f>IF('Peak Revenue'!$A$1="BL","-",IF(Peak!T156&gt;Peak!$G156,N$8*$X155,0))</f>
        <v>0</v>
      </c>
      <c r="O155" s="172">
        <f>IF('Peak Revenue'!$A$1="BL","-",IF(Peak!U156&gt;Peak!$G156,O$8*$X155,0))</f>
        <v>0</v>
      </c>
      <c r="P155" s="172">
        <f>IF('Peak Revenue'!$A$1="BL","-",IF(Peak!V156&gt;Peak!$G156,P$8*$X155,0))</f>
        <v>0</v>
      </c>
      <c r="Q155" s="172">
        <f>IF('Peak Revenue'!$A$1="BL","-",IF(Peak!W156&gt;Peak!$G156,Q$8*$X155,0))</f>
        <v>0</v>
      </c>
      <c r="R155" s="172">
        <f>IF('Peak Revenue'!$A$1="BL","-",IF(Peak!X156&gt;Peak!$G156,R$8*$X155,0))</f>
        <v>0</v>
      </c>
      <c r="S155" s="172">
        <f>IF('Peak Revenue'!$A$1="BL","-",IF(Peak!Y156&gt;Peak!$G156,S$8*$X155,0))</f>
        <v>0</v>
      </c>
      <c r="T155" s="172">
        <f>IF('Peak Revenue'!$A$1="BL","-",IF(Peak!Z156&gt;Peak!$G156,T$8*$X155,0))</f>
        <v>0</v>
      </c>
      <c r="U155" s="172">
        <f>IF('Peak Revenue'!$A$1="BL","-",IF(Peak!AA156&gt;Peak!$G156,U$8*$X155,0))</f>
        <v>0</v>
      </c>
      <c r="V155" s="175">
        <f t="shared" si="4"/>
        <v>240.31192088439059</v>
      </c>
      <c r="W155" s="164"/>
      <c r="X155" s="473">
        <f>CHOOSE(QUOTIENT(MONTH($A155),3)+1,Peak!$AM$11,Peak!$AN$11,Peak!$AL$11,Peak!$AO$11,Peak!$AM$11)</f>
        <v>0.92427661878611755</v>
      </c>
      <c r="Y155" s="474">
        <f>CHOOSE(QUOTIENT(MONTH($A155),3)+1,Peak!$AM$17,Peak!$AN$17,Peak!$AL$17,Peak!$AO$17,Peak!$AM$17)</f>
        <v>705</v>
      </c>
    </row>
    <row r="156" spans="1:25" x14ac:dyDescent="0.2">
      <c r="A156" s="1">
        <f t="shared" si="5"/>
        <v>40980.882000000187</v>
      </c>
      <c r="B156" s="172">
        <f>IF('Peak Revenue'!$A$1="BL","-",IF(Peak!H157&gt;Peak!$G157,B$8*$X156,0))</f>
        <v>4.75</v>
      </c>
      <c r="C156" s="172">
        <f>IF('Peak Revenue'!$A$1="BL","-",IF(Peak!I157&gt;Peak!$G157,C$8*$X156,0))</f>
        <v>4.75</v>
      </c>
      <c r="D156" s="172">
        <f>IF('Peak Revenue'!$A$1="BL","-",IF(Peak!J157&gt;Peak!$G157,D$8*$X156,0))</f>
        <v>9.5</v>
      </c>
      <c r="E156" s="172">
        <f>IF('Peak Revenue'!$A$1="BL","-",IF(Peak!K157&gt;Peak!$G157,E$8*$X156,0))</f>
        <v>19</v>
      </c>
      <c r="F156" s="172">
        <f>IF('Peak Revenue'!$A$1="BL","-",IF(Peak!L157&gt;Peak!$G157,F$8*$X156,0))</f>
        <v>19</v>
      </c>
      <c r="G156" s="172">
        <f>IF('Peak Revenue'!$A$1="BL","-",IF(Peak!M157&gt;Peak!$G157,G$8*$X156,0))</f>
        <v>38</v>
      </c>
      <c r="H156" s="172">
        <f>IF('Peak Revenue'!$A$1="BL","-",IF(Peak!N157&gt;Peak!$G157,H$8*$X156,0))</f>
        <v>38</v>
      </c>
      <c r="I156" s="172">
        <f>IF('Peak Revenue'!$A$1="BL","-",IF(Peak!O157&gt;Peak!$G157,I$8*$X156,0))</f>
        <v>38</v>
      </c>
      <c r="J156" s="172">
        <f>IF('Peak Revenue'!$A$1="BL","-",IF(Peak!P157&gt;Peak!$G157,J$8*$X156,0))</f>
        <v>38</v>
      </c>
      <c r="K156" s="172">
        <f>IF('Peak Revenue'!$A$1="BL","-",IF(Peak!Q157&gt;Peak!$G157,K$8*$X156,0))</f>
        <v>38</v>
      </c>
      <c r="L156" s="172">
        <f>IF('Peak Revenue'!$A$1="BL","-",IF(Peak!R157&gt;Peak!$G157,L$8*$X156,0))</f>
        <v>0</v>
      </c>
      <c r="M156" s="172">
        <f>IF('Peak Revenue'!$A$1="BL","-",IF(Peak!S157&gt;Peak!$G157,M$8*$X156,0))</f>
        <v>0</v>
      </c>
      <c r="N156" s="172">
        <f>IF('Peak Revenue'!$A$1="BL","-",IF(Peak!T157&gt;Peak!$G157,N$8*$X156,0))</f>
        <v>0</v>
      </c>
      <c r="O156" s="172">
        <f>IF('Peak Revenue'!$A$1="BL","-",IF(Peak!U157&gt;Peak!$G157,O$8*$X156,0))</f>
        <v>0</v>
      </c>
      <c r="P156" s="172">
        <f>IF('Peak Revenue'!$A$1="BL","-",IF(Peak!V157&gt;Peak!$G157,P$8*$X156,0))</f>
        <v>0</v>
      </c>
      <c r="Q156" s="172">
        <f>IF('Peak Revenue'!$A$1="BL","-",IF(Peak!W157&gt;Peak!$G157,Q$8*$X156,0))</f>
        <v>0</v>
      </c>
      <c r="R156" s="172">
        <f>IF('Peak Revenue'!$A$1="BL","-",IF(Peak!X157&gt;Peak!$G157,R$8*$X156,0))</f>
        <v>0</v>
      </c>
      <c r="S156" s="172">
        <f>IF('Peak Revenue'!$A$1="BL","-",IF(Peak!Y157&gt;Peak!$G157,S$8*$X156,0))</f>
        <v>0</v>
      </c>
      <c r="T156" s="172">
        <f>IF('Peak Revenue'!$A$1="BL","-",IF(Peak!Z157&gt;Peak!$G157,T$8*$X156,0))</f>
        <v>0</v>
      </c>
      <c r="U156" s="172">
        <f>IF('Peak Revenue'!$A$1="BL","-",IF(Peak!AA157&gt;Peak!$G157,U$8*$X156,0))</f>
        <v>0</v>
      </c>
      <c r="V156" s="175">
        <f t="shared" si="4"/>
        <v>247</v>
      </c>
      <c r="W156" s="164"/>
      <c r="X156" s="473">
        <f>CHOOSE(QUOTIENT(MONTH($A156),3)+1,Peak!$AM$11,Peak!$AN$11,Peak!$AL$11,Peak!$AO$11,Peak!$AM$11)</f>
        <v>0.95</v>
      </c>
      <c r="Y156" s="474">
        <f>CHOOSE(QUOTIENT(MONTH($A156),3)+1,Peak!$AM$17,Peak!$AN$17,Peak!$AL$17,Peak!$AO$17,Peak!$AM$17)</f>
        <v>705</v>
      </c>
    </row>
    <row r="157" spans="1:25" x14ac:dyDescent="0.2">
      <c r="A157" s="1">
        <f t="shared" si="5"/>
        <v>41011.299000000188</v>
      </c>
      <c r="B157" s="172">
        <f>IF('Peak Revenue'!$A$1="BL","-",IF(Peak!H158&gt;Peak!$G158,B$8*$X157,0))</f>
        <v>4.75</v>
      </c>
      <c r="C157" s="172">
        <f>IF('Peak Revenue'!$A$1="BL","-",IF(Peak!I158&gt;Peak!$G158,C$8*$X157,0))</f>
        <v>4.75</v>
      </c>
      <c r="D157" s="172">
        <f>IF('Peak Revenue'!$A$1="BL","-",IF(Peak!J158&gt;Peak!$G158,D$8*$X157,0))</f>
        <v>9.5</v>
      </c>
      <c r="E157" s="172">
        <f>IF('Peak Revenue'!$A$1="BL","-",IF(Peak!K158&gt;Peak!$G158,E$8*$X157,0))</f>
        <v>19</v>
      </c>
      <c r="F157" s="172">
        <f>IF('Peak Revenue'!$A$1="BL","-",IF(Peak!L158&gt;Peak!$G158,F$8*$X157,0))</f>
        <v>19</v>
      </c>
      <c r="G157" s="172">
        <f>IF('Peak Revenue'!$A$1="BL","-",IF(Peak!M158&gt;Peak!$G158,G$8*$X157,0))</f>
        <v>38</v>
      </c>
      <c r="H157" s="172">
        <f>IF('Peak Revenue'!$A$1="BL","-",IF(Peak!N158&gt;Peak!$G158,H$8*$X157,0))</f>
        <v>38</v>
      </c>
      <c r="I157" s="172">
        <f>IF('Peak Revenue'!$A$1="BL","-",IF(Peak!O158&gt;Peak!$G158,I$8*$X157,0))</f>
        <v>38</v>
      </c>
      <c r="J157" s="172">
        <f>IF('Peak Revenue'!$A$1="BL","-",IF(Peak!P158&gt;Peak!$G158,J$8*$X157,0))</f>
        <v>0</v>
      </c>
      <c r="K157" s="172">
        <f>IF('Peak Revenue'!$A$1="BL","-",IF(Peak!Q158&gt;Peak!$G158,K$8*$X157,0))</f>
        <v>0</v>
      </c>
      <c r="L157" s="172">
        <f>IF('Peak Revenue'!$A$1="BL","-",IF(Peak!R158&gt;Peak!$G158,L$8*$X157,0))</f>
        <v>0</v>
      </c>
      <c r="M157" s="172">
        <f>IF('Peak Revenue'!$A$1="BL","-",IF(Peak!S158&gt;Peak!$G158,M$8*$X157,0))</f>
        <v>0</v>
      </c>
      <c r="N157" s="172">
        <f>IF('Peak Revenue'!$A$1="BL","-",IF(Peak!T158&gt;Peak!$G158,N$8*$X157,0))</f>
        <v>0</v>
      </c>
      <c r="O157" s="172">
        <f>IF('Peak Revenue'!$A$1="BL","-",IF(Peak!U158&gt;Peak!$G158,O$8*$X157,0))</f>
        <v>0</v>
      </c>
      <c r="P157" s="172">
        <f>IF('Peak Revenue'!$A$1="BL","-",IF(Peak!V158&gt;Peak!$G158,P$8*$X157,0))</f>
        <v>0</v>
      </c>
      <c r="Q157" s="172">
        <f>IF('Peak Revenue'!$A$1="BL","-",IF(Peak!W158&gt;Peak!$G158,Q$8*$X157,0))</f>
        <v>0</v>
      </c>
      <c r="R157" s="172">
        <f>IF('Peak Revenue'!$A$1="BL","-",IF(Peak!X158&gt;Peak!$G158,R$8*$X157,0))</f>
        <v>0</v>
      </c>
      <c r="S157" s="172">
        <f>IF('Peak Revenue'!$A$1="BL","-",IF(Peak!Y158&gt;Peak!$G158,S$8*$X157,0))</f>
        <v>0</v>
      </c>
      <c r="T157" s="172">
        <f>IF('Peak Revenue'!$A$1="BL","-",IF(Peak!Z158&gt;Peak!$G158,T$8*$X157,0))</f>
        <v>0</v>
      </c>
      <c r="U157" s="172">
        <f>IF('Peak Revenue'!$A$1="BL","-",IF(Peak!AA158&gt;Peak!$G158,U$8*$X157,0))</f>
        <v>0</v>
      </c>
      <c r="V157" s="175">
        <f t="shared" si="4"/>
        <v>171</v>
      </c>
      <c r="W157" s="164"/>
      <c r="X157" s="473">
        <f>CHOOSE(QUOTIENT(MONTH($A157),3)+1,Peak!$AM$11,Peak!$AN$11,Peak!$AL$11,Peak!$AO$11,Peak!$AM$11)</f>
        <v>0.95</v>
      </c>
      <c r="Y157" s="474">
        <f>CHOOSE(QUOTIENT(MONTH($A157),3)+1,Peak!$AM$17,Peak!$AN$17,Peak!$AL$17,Peak!$AO$17,Peak!$AM$17)</f>
        <v>705</v>
      </c>
    </row>
    <row r="158" spans="1:25" x14ac:dyDescent="0.2">
      <c r="A158" s="1">
        <f t="shared" si="5"/>
        <v>41041.71600000019</v>
      </c>
      <c r="B158" s="172">
        <f>IF('Peak Revenue'!$A$1="BL","-",IF(Peak!H159&gt;Peak!$G159,B$8*$X158,0))</f>
        <v>4.75</v>
      </c>
      <c r="C158" s="172">
        <f>IF('Peak Revenue'!$A$1="BL","-",IF(Peak!I159&gt;Peak!$G159,C$8*$X158,0))</f>
        <v>4.75</v>
      </c>
      <c r="D158" s="172">
        <f>IF('Peak Revenue'!$A$1="BL","-",IF(Peak!J159&gt;Peak!$G159,D$8*$X158,0))</f>
        <v>9.5</v>
      </c>
      <c r="E158" s="172">
        <f>IF('Peak Revenue'!$A$1="BL","-",IF(Peak!K159&gt;Peak!$G159,E$8*$X158,0))</f>
        <v>19</v>
      </c>
      <c r="F158" s="172">
        <f>IF('Peak Revenue'!$A$1="BL","-",IF(Peak!L159&gt;Peak!$G159,F$8*$X158,0))</f>
        <v>19</v>
      </c>
      <c r="G158" s="172">
        <f>IF('Peak Revenue'!$A$1="BL","-",IF(Peak!M159&gt;Peak!$G159,G$8*$X158,0))</f>
        <v>38</v>
      </c>
      <c r="H158" s="172">
        <f>IF('Peak Revenue'!$A$1="BL","-",IF(Peak!N159&gt;Peak!$G159,H$8*$X158,0))</f>
        <v>38</v>
      </c>
      <c r="I158" s="172">
        <f>IF('Peak Revenue'!$A$1="BL","-",IF(Peak!O159&gt;Peak!$G159,I$8*$X158,0))</f>
        <v>38</v>
      </c>
      <c r="J158" s="172">
        <f>IF('Peak Revenue'!$A$1="BL","-",IF(Peak!P159&gt;Peak!$G159,J$8*$X158,0))</f>
        <v>38</v>
      </c>
      <c r="K158" s="172">
        <f>IF('Peak Revenue'!$A$1="BL","-",IF(Peak!Q159&gt;Peak!$G159,K$8*$X158,0))</f>
        <v>0</v>
      </c>
      <c r="L158" s="172">
        <f>IF('Peak Revenue'!$A$1="BL","-",IF(Peak!R159&gt;Peak!$G159,L$8*$X158,0))</f>
        <v>0</v>
      </c>
      <c r="M158" s="172">
        <f>IF('Peak Revenue'!$A$1="BL","-",IF(Peak!S159&gt;Peak!$G159,M$8*$X158,0))</f>
        <v>0</v>
      </c>
      <c r="N158" s="172">
        <f>IF('Peak Revenue'!$A$1="BL","-",IF(Peak!T159&gt;Peak!$G159,N$8*$X158,0))</f>
        <v>0</v>
      </c>
      <c r="O158" s="172">
        <f>IF('Peak Revenue'!$A$1="BL","-",IF(Peak!U159&gt;Peak!$G159,O$8*$X158,0))</f>
        <v>0</v>
      </c>
      <c r="P158" s="172">
        <f>IF('Peak Revenue'!$A$1="BL","-",IF(Peak!V159&gt;Peak!$G159,P$8*$X158,0))</f>
        <v>0</v>
      </c>
      <c r="Q158" s="172">
        <f>IF('Peak Revenue'!$A$1="BL","-",IF(Peak!W159&gt;Peak!$G159,Q$8*$X158,0))</f>
        <v>0</v>
      </c>
      <c r="R158" s="172">
        <f>IF('Peak Revenue'!$A$1="BL","-",IF(Peak!X159&gt;Peak!$G159,R$8*$X158,0))</f>
        <v>0</v>
      </c>
      <c r="S158" s="172">
        <f>IF('Peak Revenue'!$A$1="BL","-",IF(Peak!Y159&gt;Peak!$G159,S$8*$X158,0))</f>
        <v>0</v>
      </c>
      <c r="T158" s="172">
        <f>IF('Peak Revenue'!$A$1="BL","-",IF(Peak!Z159&gt;Peak!$G159,T$8*$X158,0))</f>
        <v>0</v>
      </c>
      <c r="U158" s="172">
        <f>IF('Peak Revenue'!$A$1="BL","-",IF(Peak!AA159&gt;Peak!$G159,U$8*$X158,0))</f>
        <v>0</v>
      </c>
      <c r="V158" s="175">
        <f t="shared" si="4"/>
        <v>209</v>
      </c>
      <c r="W158" s="164"/>
      <c r="X158" s="473">
        <f>CHOOSE(QUOTIENT(MONTH($A158),3)+1,Peak!$AM$11,Peak!$AN$11,Peak!$AL$11,Peak!$AO$11,Peak!$AM$11)</f>
        <v>0.95</v>
      </c>
      <c r="Y158" s="474">
        <f>CHOOSE(QUOTIENT(MONTH($A158),3)+1,Peak!$AM$17,Peak!$AN$17,Peak!$AL$17,Peak!$AO$17,Peak!$AM$17)</f>
        <v>705</v>
      </c>
    </row>
    <row r="159" spans="1:25" x14ac:dyDescent="0.2">
      <c r="A159" s="1">
        <f t="shared" si="5"/>
        <v>41072.133000000191</v>
      </c>
      <c r="B159" s="172">
        <f>IF('Peak Revenue'!$A$1="BL","-",IF(Peak!H160&gt;Peak!$G160,B$8*$X159,0))</f>
        <v>4.8306067954779284</v>
      </c>
      <c r="C159" s="172">
        <f>IF('Peak Revenue'!$A$1="BL","-",IF(Peak!I160&gt;Peak!$G160,C$8*$X159,0))</f>
        <v>4.8306067954779284</v>
      </c>
      <c r="D159" s="172">
        <f>IF('Peak Revenue'!$A$1="BL","-",IF(Peak!J160&gt;Peak!$G160,D$8*$X159,0))</f>
        <v>9.6612135909558567</v>
      </c>
      <c r="E159" s="172">
        <f>IF('Peak Revenue'!$A$1="BL","-",IF(Peak!K160&gt;Peak!$G160,E$8*$X159,0))</f>
        <v>19.322427181911713</v>
      </c>
      <c r="F159" s="172">
        <f>IF('Peak Revenue'!$A$1="BL","-",IF(Peak!L160&gt;Peak!$G160,F$8*$X159,0))</f>
        <v>19.322427181911713</v>
      </c>
      <c r="G159" s="172">
        <f>IF('Peak Revenue'!$A$1="BL","-",IF(Peak!M160&gt;Peak!$G160,G$8*$X159,0))</f>
        <v>38.644854363823427</v>
      </c>
      <c r="H159" s="172">
        <f>IF('Peak Revenue'!$A$1="BL","-",IF(Peak!N160&gt;Peak!$G160,H$8*$X159,0))</f>
        <v>38.644854363823427</v>
      </c>
      <c r="I159" s="172">
        <f>IF('Peak Revenue'!$A$1="BL","-",IF(Peak!O160&gt;Peak!$G160,I$8*$X159,0))</f>
        <v>38.644854363823427</v>
      </c>
      <c r="J159" s="172">
        <f>IF('Peak Revenue'!$A$1="BL","-",IF(Peak!P160&gt;Peak!$G160,J$8*$X159,0))</f>
        <v>38.644854363823427</v>
      </c>
      <c r="K159" s="172">
        <f>IF('Peak Revenue'!$A$1="BL","-",IF(Peak!Q160&gt;Peak!$G160,K$8*$X159,0))</f>
        <v>38.644854363823427</v>
      </c>
      <c r="L159" s="172">
        <f>IF('Peak Revenue'!$A$1="BL","-",IF(Peak!R160&gt;Peak!$G160,L$8*$X159,0))</f>
        <v>0</v>
      </c>
      <c r="M159" s="172">
        <f>IF('Peak Revenue'!$A$1="BL","-",IF(Peak!S160&gt;Peak!$G160,M$8*$X159,0))</f>
        <v>0</v>
      </c>
      <c r="N159" s="172">
        <f>IF('Peak Revenue'!$A$1="BL","-",IF(Peak!T160&gt;Peak!$G160,N$8*$X159,0))</f>
        <v>0</v>
      </c>
      <c r="O159" s="172">
        <f>IF('Peak Revenue'!$A$1="BL","-",IF(Peak!U160&gt;Peak!$G160,O$8*$X159,0))</f>
        <v>0</v>
      </c>
      <c r="P159" s="172">
        <f>IF('Peak Revenue'!$A$1="BL","-",IF(Peak!V160&gt;Peak!$G160,P$8*$X159,0))</f>
        <v>0</v>
      </c>
      <c r="Q159" s="172">
        <f>IF('Peak Revenue'!$A$1="BL","-",IF(Peak!W160&gt;Peak!$G160,Q$8*$X159,0))</f>
        <v>0</v>
      </c>
      <c r="R159" s="172">
        <f>IF('Peak Revenue'!$A$1="BL","-",IF(Peak!X160&gt;Peak!$G160,R$8*$X159,0))</f>
        <v>0</v>
      </c>
      <c r="S159" s="172">
        <f>IF('Peak Revenue'!$A$1="BL","-",IF(Peak!Y160&gt;Peak!$G160,S$8*$X159,0))</f>
        <v>0</v>
      </c>
      <c r="T159" s="172">
        <f>IF('Peak Revenue'!$A$1="BL","-",IF(Peak!Z160&gt;Peak!$G160,T$8*$X159,0))</f>
        <v>0</v>
      </c>
      <c r="U159" s="172">
        <f>IF('Peak Revenue'!$A$1="BL","-",IF(Peak!AA160&gt;Peak!$G160,U$8*$X159,0))</f>
        <v>0</v>
      </c>
      <c r="V159" s="175">
        <f t="shared" si="4"/>
        <v>251.19155336485221</v>
      </c>
      <c r="W159" s="164"/>
      <c r="X159" s="473">
        <f>CHOOSE(QUOTIENT(MONTH($A159),3)+1,Peak!$AM$11,Peak!$AN$11,Peak!$AL$11,Peak!$AO$11,Peak!$AM$11)</f>
        <v>0.96612135909558572</v>
      </c>
      <c r="Y159" s="474">
        <f>CHOOSE(QUOTIENT(MONTH($A159),3)+1,Peak!$AM$17,Peak!$AN$17,Peak!$AL$17,Peak!$AO$17,Peak!$AM$17)</f>
        <v>705</v>
      </c>
    </row>
    <row r="160" spans="1:25" x14ac:dyDescent="0.2">
      <c r="A160" s="1">
        <f t="shared" si="5"/>
        <v>41102.550000000192</v>
      </c>
      <c r="B160" s="172">
        <f>IF('Peak Revenue'!$A$1="BL","-",IF(Peak!H161&gt;Peak!$G161,B$8*$X160,0))</f>
        <v>4.8306067954779284</v>
      </c>
      <c r="C160" s="172">
        <f>IF('Peak Revenue'!$A$1="BL","-",IF(Peak!I161&gt;Peak!$G161,C$8*$X160,0))</f>
        <v>4.8306067954779284</v>
      </c>
      <c r="D160" s="172">
        <f>IF('Peak Revenue'!$A$1="BL","-",IF(Peak!J161&gt;Peak!$G161,D$8*$X160,0))</f>
        <v>9.6612135909558567</v>
      </c>
      <c r="E160" s="172">
        <f>IF('Peak Revenue'!$A$1="BL","-",IF(Peak!K161&gt;Peak!$G161,E$8*$X160,0))</f>
        <v>19.322427181911713</v>
      </c>
      <c r="F160" s="172">
        <f>IF('Peak Revenue'!$A$1="BL","-",IF(Peak!L161&gt;Peak!$G161,F$8*$X160,0))</f>
        <v>19.322427181911713</v>
      </c>
      <c r="G160" s="172">
        <f>IF('Peak Revenue'!$A$1="BL","-",IF(Peak!M161&gt;Peak!$G161,G$8*$X160,0))</f>
        <v>38.644854363823427</v>
      </c>
      <c r="H160" s="172">
        <f>IF('Peak Revenue'!$A$1="BL","-",IF(Peak!N161&gt;Peak!$G161,H$8*$X160,0))</f>
        <v>38.644854363823427</v>
      </c>
      <c r="I160" s="172">
        <f>IF('Peak Revenue'!$A$1="BL","-",IF(Peak!O161&gt;Peak!$G161,I$8*$X160,0))</f>
        <v>38.644854363823427</v>
      </c>
      <c r="J160" s="172">
        <f>IF('Peak Revenue'!$A$1="BL","-",IF(Peak!P161&gt;Peak!$G161,J$8*$X160,0))</f>
        <v>38.644854363823427</v>
      </c>
      <c r="K160" s="172">
        <f>IF('Peak Revenue'!$A$1="BL","-",IF(Peak!Q161&gt;Peak!$G161,K$8*$X160,0))</f>
        <v>38.644854363823427</v>
      </c>
      <c r="L160" s="172">
        <f>IF('Peak Revenue'!$A$1="BL","-",IF(Peak!R161&gt;Peak!$G161,L$8*$X160,0))</f>
        <v>38.644854363823427</v>
      </c>
      <c r="M160" s="172">
        <f>IF('Peak Revenue'!$A$1="BL","-",IF(Peak!S161&gt;Peak!$G161,M$8*$X160,0))</f>
        <v>38.644854363823427</v>
      </c>
      <c r="N160" s="172">
        <f>IF('Peak Revenue'!$A$1="BL","-",IF(Peak!T161&gt;Peak!$G161,N$8*$X160,0))</f>
        <v>0</v>
      </c>
      <c r="O160" s="172">
        <f>IF('Peak Revenue'!$A$1="BL","-",IF(Peak!U161&gt;Peak!$G161,O$8*$X160,0))</f>
        <v>0</v>
      </c>
      <c r="P160" s="172">
        <f>IF('Peak Revenue'!$A$1="BL","-",IF(Peak!V161&gt;Peak!$G161,P$8*$X160,0))</f>
        <v>0</v>
      </c>
      <c r="Q160" s="172">
        <f>IF('Peak Revenue'!$A$1="BL","-",IF(Peak!W161&gt;Peak!$G161,Q$8*$X160,0))</f>
        <v>0</v>
      </c>
      <c r="R160" s="172">
        <f>IF('Peak Revenue'!$A$1="BL","-",IF(Peak!X161&gt;Peak!$G161,R$8*$X160,0))</f>
        <v>0</v>
      </c>
      <c r="S160" s="172">
        <f>IF('Peak Revenue'!$A$1="BL","-",IF(Peak!Y161&gt;Peak!$G161,S$8*$X160,0))</f>
        <v>0</v>
      </c>
      <c r="T160" s="172">
        <f>IF('Peak Revenue'!$A$1="BL","-",IF(Peak!Z161&gt;Peak!$G161,T$8*$X160,0))</f>
        <v>0</v>
      </c>
      <c r="U160" s="172">
        <f>IF('Peak Revenue'!$A$1="BL","-",IF(Peak!AA161&gt;Peak!$G161,U$8*$X160,0))</f>
        <v>0</v>
      </c>
      <c r="V160" s="175">
        <f t="shared" si="4"/>
        <v>328.48126209249904</v>
      </c>
      <c r="W160" s="164"/>
      <c r="X160" s="473">
        <f>CHOOSE(QUOTIENT(MONTH($A160),3)+1,Peak!$AM$11,Peak!$AN$11,Peak!$AL$11,Peak!$AO$11,Peak!$AM$11)</f>
        <v>0.96612135909558572</v>
      </c>
      <c r="Y160" s="474">
        <f>CHOOSE(QUOTIENT(MONTH($A160),3)+1,Peak!$AM$17,Peak!$AN$17,Peak!$AL$17,Peak!$AO$17,Peak!$AM$17)</f>
        <v>705</v>
      </c>
    </row>
    <row r="161" spans="1:25" x14ac:dyDescent="0.2">
      <c r="A161" s="1">
        <f t="shared" si="5"/>
        <v>41132.967000000193</v>
      </c>
      <c r="B161" s="172">
        <f>IF('Peak Revenue'!$A$1="BL","-",IF(Peak!H162&gt;Peak!$G162,B$8*$X161,0))</f>
        <v>4.8306067954779284</v>
      </c>
      <c r="C161" s="172">
        <f>IF('Peak Revenue'!$A$1="BL","-",IF(Peak!I162&gt;Peak!$G162,C$8*$X161,0))</f>
        <v>4.8306067954779284</v>
      </c>
      <c r="D161" s="172">
        <f>IF('Peak Revenue'!$A$1="BL","-",IF(Peak!J162&gt;Peak!$G162,D$8*$X161,0))</f>
        <v>9.6612135909558567</v>
      </c>
      <c r="E161" s="172">
        <f>IF('Peak Revenue'!$A$1="BL","-",IF(Peak!K162&gt;Peak!$G162,E$8*$X161,0))</f>
        <v>19.322427181911713</v>
      </c>
      <c r="F161" s="172">
        <f>IF('Peak Revenue'!$A$1="BL","-",IF(Peak!L162&gt;Peak!$G162,F$8*$X161,0))</f>
        <v>19.322427181911713</v>
      </c>
      <c r="G161" s="172">
        <f>IF('Peak Revenue'!$A$1="BL","-",IF(Peak!M162&gt;Peak!$G162,G$8*$X161,0))</f>
        <v>38.644854363823427</v>
      </c>
      <c r="H161" s="172">
        <f>IF('Peak Revenue'!$A$1="BL","-",IF(Peak!N162&gt;Peak!$G162,H$8*$X161,0))</f>
        <v>38.644854363823427</v>
      </c>
      <c r="I161" s="172">
        <f>IF('Peak Revenue'!$A$1="BL","-",IF(Peak!O162&gt;Peak!$G162,I$8*$X161,0))</f>
        <v>38.644854363823427</v>
      </c>
      <c r="J161" s="172">
        <f>IF('Peak Revenue'!$A$1="BL","-",IF(Peak!P162&gt;Peak!$G162,J$8*$X161,0))</f>
        <v>38.644854363823427</v>
      </c>
      <c r="K161" s="172">
        <f>IF('Peak Revenue'!$A$1="BL","-",IF(Peak!Q162&gt;Peak!$G162,K$8*$X161,0))</f>
        <v>38.644854363823427</v>
      </c>
      <c r="L161" s="172">
        <f>IF('Peak Revenue'!$A$1="BL","-",IF(Peak!R162&gt;Peak!$G162,L$8*$X161,0))</f>
        <v>38.644854363823427</v>
      </c>
      <c r="M161" s="172">
        <f>IF('Peak Revenue'!$A$1="BL","-",IF(Peak!S162&gt;Peak!$G162,M$8*$X161,0))</f>
        <v>38.644854363823427</v>
      </c>
      <c r="N161" s="172">
        <f>IF('Peak Revenue'!$A$1="BL","-",IF(Peak!T162&gt;Peak!$G162,N$8*$X161,0))</f>
        <v>0</v>
      </c>
      <c r="O161" s="172">
        <f>IF('Peak Revenue'!$A$1="BL","-",IF(Peak!U162&gt;Peak!$G162,O$8*$X161,0))</f>
        <v>0</v>
      </c>
      <c r="P161" s="172">
        <f>IF('Peak Revenue'!$A$1="BL","-",IF(Peak!V162&gt;Peak!$G162,P$8*$X161,0))</f>
        <v>0</v>
      </c>
      <c r="Q161" s="172">
        <f>IF('Peak Revenue'!$A$1="BL","-",IF(Peak!W162&gt;Peak!$G162,Q$8*$X161,0))</f>
        <v>0</v>
      </c>
      <c r="R161" s="172">
        <f>IF('Peak Revenue'!$A$1="BL","-",IF(Peak!X162&gt;Peak!$G162,R$8*$X161,0))</f>
        <v>0</v>
      </c>
      <c r="S161" s="172">
        <f>IF('Peak Revenue'!$A$1="BL","-",IF(Peak!Y162&gt;Peak!$G162,S$8*$X161,0))</f>
        <v>0</v>
      </c>
      <c r="T161" s="172">
        <f>IF('Peak Revenue'!$A$1="BL","-",IF(Peak!Z162&gt;Peak!$G162,T$8*$X161,0))</f>
        <v>0</v>
      </c>
      <c r="U161" s="172">
        <f>IF('Peak Revenue'!$A$1="BL","-",IF(Peak!AA162&gt;Peak!$G162,U$8*$X161,0))</f>
        <v>0</v>
      </c>
      <c r="V161" s="175">
        <f t="shared" si="4"/>
        <v>328.48126209249904</v>
      </c>
      <c r="W161" s="164"/>
      <c r="X161" s="473">
        <f>CHOOSE(QUOTIENT(MONTH($A161),3)+1,Peak!$AM$11,Peak!$AN$11,Peak!$AL$11,Peak!$AO$11,Peak!$AM$11)</f>
        <v>0.96612135909558572</v>
      </c>
      <c r="Y161" s="474">
        <f>CHOOSE(QUOTIENT(MONTH($A161),3)+1,Peak!$AM$17,Peak!$AN$17,Peak!$AL$17,Peak!$AO$17,Peak!$AM$17)</f>
        <v>705</v>
      </c>
    </row>
    <row r="162" spans="1:25" x14ac:dyDescent="0.2">
      <c r="A162" s="1">
        <f t="shared" si="5"/>
        <v>41163.384000000195</v>
      </c>
      <c r="B162" s="172">
        <f>IF('Peak Revenue'!$A$1="BL","-",IF(Peak!H163&gt;Peak!$G163,B$8*$X162,0))</f>
        <v>4.75</v>
      </c>
      <c r="C162" s="172">
        <f>IF('Peak Revenue'!$A$1="BL","-",IF(Peak!I163&gt;Peak!$G163,C$8*$X162,0))</f>
        <v>4.75</v>
      </c>
      <c r="D162" s="172">
        <f>IF('Peak Revenue'!$A$1="BL","-",IF(Peak!J163&gt;Peak!$G163,D$8*$X162,0))</f>
        <v>9.5</v>
      </c>
      <c r="E162" s="172">
        <f>IF('Peak Revenue'!$A$1="BL","-",IF(Peak!K163&gt;Peak!$G163,E$8*$X162,0))</f>
        <v>19</v>
      </c>
      <c r="F162" s="172">
        <f>IF('Peak Revenue'!$A$1="BL","-",IF(Peak!L163&gt;Peak!$G163,F$8*$X162,0))</f>
        <v>19</v>
      </c>
      <c r="G162" s="172">
        <f>IF('Peak Revenue'!$A$1="BL","-",IF(Peak!M163&gt;Peak!$G163,G$8*$X162,0))</f>
        <v>38</v>
      </c>
      <c r="H162" s="172">
        <f>IF('Peak Revenue'!$A$1="BL","-",IF(Peak!N163&gt;Peak!$G163,H$8*$X162,0))</f>
        <v>38</v>
      </c>
      <c r="I162" s="172">
        <f>IF('Peak Revenue'!$A$1="BL","-",IF(Peak!O163&gt;Peak!$G163,I$8*$X162,0))</f>
        <v>38</v>
      </c>
      <c r="J162" s="172">
        <f>IF('Peak Revenue'!$A$1="BL","-",IF(Peak!P163&gt;Peak!$G163,J$8*$X162,0))</f>
        <v>38</v>
      </c>
      <c r="K162" s="172">
        <f>IF('Peak Revenue'!$A$1="BL","-",IF(Peak!Q163&gt;Peak!$G163,K$8*$X162,0))</f>
        <v>38</v>
      </c>
      <c r="L162" s="172">
        <f>IF('Peak Revenue'!$A$1="BL","-",IF(Peak!R163&gt;Peak!$G163,L$8*$X162,0))</f>
        <v>38</v>
      </c>
      <c r="M162" s="172">
        <f>IF('Peak Revenue'!$A$1="BL","-",IF(Peak!S163&gt;Peak!$G163,M$8*$X162,0))</f>
        <v>38</v>
      </c>
      <c r="N162" s="172">
        <f>IF('Peak Revenue'!$A$1="BL","-",IF(Peak!T163&gt;Peak!$G163,N$8*$X162,0))</f>
        <v>0</v>
      </c>
      <c r="O162" s="172">
        <f>IF('Peak Revenue'!$A$1="BL","-",IF(Peak!U163&gt;Peak!$G163,O$8*$X162,0))</f>
        <v>0</v>
      </c>
      <c r="P162" s="172">
        <f>IF('Peak Revenue'!$A$1="BL","-",IF(Peak!V163&gt;Peak!$G163,P$8*$X162,0))</f>
        <v>0</v>
      </c>
      <c r="Q162" s="172">
        <f>IF('Peak Revenue'!$A$1="BL","-",IF(Peak!W163&gt;Peak!$G163,Q$8*$X162,0))</f>
        <v>0</v>
      </c>
      <c r="R162" s="172">
        <f>IF('Peak Revenue'!$A$1="BL","-",IF(Peak!X163&gt;Peak!$G163,R$8*$X162,0))</f>
        <v>0</v>
      </c>
      <c r="S162" s="172">
        <f>IF('Peak Revenue'!$A$1="BL","-",IF(Peak!Y163&gt;Peak!$G163,S$8*$X162,0))</f>
        <v>0</v>
      </c>
      <c r="T162" s="172">
        <f>IF('Peak Revenue'!$A$1="BL","-",IF(Peak!Z163&gt;Peak!$G163,T$8*$X162,0))</f>
        <v>0</v>
      </c>
      <c r="U162" s="172">
        <f>IF('Peak Revenue'!$A$1="BL","-",IF(Peak!AA163&gt;Peak!$G163,U$8*$X162,0))</f>
        <v>0</v>
      </c>
      <c r="V162" s="175">
        <f t="shared" si="4"/>
        <v>323</v>
      </c>
      <c r="W162" s="164"/>
      <c r="X162" s="473">
        <f>CHOOSE(QUOTIENT(MONTH($A162),3)+1,Peak!$AM$11,Peak!$AN$11,Peak!$AL$11,Peak!$AO$11,Peak!$AM$11)</f>
        <v>0.95</v>
      </c>
      <c r="Y162" s="474">
        <f>CHOOSE(QUOTIENT(MONTH($A162),3)+1,Peak!$AM$17,Peak!$AN$17,Peak!$AL$17,Peak!$AO$17,Peak!$AM$17)</f>
        <v>705</v>
      </c>
    </row>
    <row r="163" spans="1:25" x14ac:dyDescent="0.2">
      <c r="A163" s="1">
        <f t="shared" si="5"/>
        <v>41193.801000000196</v>
      </c>
      <c r="B163" s="172">
        <f>IF('Peak Revenue'!$A$1="BL","-",IF(Peak!H164&gt;Peak!$G164,B$8*$X163,0))</f>
        <v>4.75</v>
      </c>
      <c r="C163" s="172">
        <f>IF('Peak Revenue'!$A$1="BL","-",IF(Peak!I164&gt;Peak!$G164,C$8*$X163,0))</f>
        <v>4.75</v>
      </c>
      <c r="D163" s="172">
        <f>IF('Peak Revenue'!$A$1="BL","-",IF(Peak!J164&gt;Peak!$G164,D$8*$X163,0))</f>
        <v>9.5</v>
      </c>
      <c r="E163" s="172">
        <f>IF('Peak Revenue'!$A$1="BL","-",IF(Peak!K164&gt;Peak!$G164,E$8*$X163,0))</f>
        <v>19</v>
      </c>
      <c r="F163" s="172">
        <f>IF('Peak Revenue'!$A$1="BL","-",IF(Peak!L164&gt;Peak!$G164,F$8*$X163,0))</f>
        <v>19</v>
      </c>
      <c r="G163" s="172">
        <f>IF('Peak Revenue'!$A$1="BL","-",IF(Peak!M164&gt;Peak!$G164,G$8*$X163,0))</f>
        <v>38</v>
      </c>
      <c r="H163" s="172">
        <f>IF('Peak Revenue'!$A$1="BL","-",IF(Peak!N164&gt;Peak!$G164,H$8*$X163,0))</f>
        <v>38</v>
      </c>
      <c r="I163" s="172">
        <f>IF('Peak Revenue'!$A$1="BL","-",IF(Peak!O164&gt;Peak!$G164,I$8*$X163,0))</f>
        <v>38</v>
      </c>
      <c r="J163" s="172">
        <f>IF('Peak Revenue'!$A$1="BL","-",IF(Peak!P164&gt;Peak!$G164,J$8*$X163,0))</f>
        <v>38</v>
      </c>
      <c r="K163" s="172">
        <f>IF('Peak Revenue'!$A$1="BL","-",IF(Peak!Q164&gt;Peak!$G164,K$8*$X163,0))</f>
        <v>38</v>
      </c>
      <c r="L163" s="172">
        <f>IF('Peak Revenue'!$A$1="BL","-",IF(Peak!R164&gt;Peak!$G164,L$8*$X163,0))</f>
        <v>0</v>
      </c>
      <c r="M163" s="172">
        <f>IF('Peak Revenue'!$A$1="BL","-",IF(Peak!S164&gt;Peak!$G164,M$8*$X163,0))</f>
        <v>0</v>
      </c>
      <c r="N163" s="172">
        <f>IF('Peak Revenue'!$A$1="BL","-",IF(Peak!T164&gt;Peak!$G164,N$8*$X163,0))</f>
        <v>0</v>
      </c>
      <c r="O163" s="172">
        <f>IF('Peak Revenue'!$A$1="BL","-",IF(Peak!U164&gt;Peak!$G164,O$8*$X163,0))</f>
        <v>0</v>
      </c>
      <c r="P163" s="172">
        <f>IF('Peak Revenue'!$A$1="BL","-",IF(Peak!V164&gt;Peak!$G164,P$8*$X163,0))</f>
        <v>0</v>
      </c>
      <c r="Q163" s="172">
        <f>IF('Peak Revenue'!$A$1="BL","-",IF(Peak!W164&gt;Peak!$G164,Q$8*$X163,0))</f>
        <v>0</v>
      </c>
      <c r="R163" s="172">
        <f>IF('Peak Revenue'!$A$1="BL","-",IF(Peak!X164&gt;Peak!$G164,R$8*$X163,0))</f>
        <v>0</v>
      </c>
      <c r="S163" s="172">
        <f>IF('Peak Revenue'!$A$1="BL","-",IF(Peak!Y164&gt;Peak!$G164,S$8*$X163,0))</f>
        <v>0</v>
      </c>
      <c r="T163" s="172">
        <f>IF('Peak Revenue'!$A$1="BL","-",IF(Peak!Z164&gt;Peak!$G164,T$8*$X163,0))</f>
        <v>0</v>
      </c>
      <c r="U163" s="172">
        <f>IF('Peak Revenue'!$A$1="BL","-",IF(Peak!AA164&gt;Peak!$G164,U$8*$X163,0))</f>
        <v>0</v>
      </c>
      <c r="V163" s="175">
        <f t="shared" si="4"/>
        <v>247</v>
      </c>
      <c r="W163" s="164"/>
      <c r="X163" s="473">
        <f>CHOOSE(QUOTIENT(MONTH($A163),3)+1,Peak!$AM$11,Peak!$AN$11,Peak!$AL$11,Peak!$AO$11,Peak!$AM$11)</f>
        <v>0.95</v>
      </c>
      <c r="Y163" s="474">
        <f>CHOOSE(QUOTIENT(MONTH($A163),3)+1,Peak!$AM$17,Peak!$AN$17,Peak!$AL$17,Peak!$AO$17,Peak!$AM$17)</f>
        <v>705</v>
      </c>
    </row>
    <row r="164" spans="1:25" x14ac:dyDescent="0.2">
      <c r="A164" s="1">
        <f t="shared" si="5"/>
        <v>41224.218000000197</v>
      </c>
      <c r="B164" s="172">
        <f>IF('Peak Revenue'!$A$1="BL","-",IF(Peak!H165&gt;Peak!$G165,B$8*$X164,0))</f>
        <v>4.75</v>
      </c>
      <c r="C164" s="172">
        <f>IF('Peak Revenue'!$A$1="BL","-",IF(Peak!I165&gt;Peak!$G165,C$8*$X164,0))</f>
        <v>4.75</v>
      </c>
      <c r="D164" s="172">
        <f>IF('Peak Revenue'!$A$1="BL","-",IF(Peak!J165&gt;Peak!$G165,D$8*$X164,0))</f>
        <v>9.5</v>
      </c>
      <c r="E164" s="172">
        <f>IF('Peak Revenue'!$A$1="BL","-",IF(Peak!K165&gt;Peak!$G165,E$8*$X164,0))</f>
        <v>19</v>
      </c>
      <c r="F164" s="172">
        <f>IF('Peak Revenue'!$A$1="BL","-",IF(Peak!L165&gt;Peak!$G165,F$8*$X164,0))</f>
        <v>19</v>
      </c>
      <c r="G164" s="172">
        <f>IF('Peak Revenue'!$A$1="BL","-",IF(Peak!M165&gt;Peak!$G165,G$8*$X164,0))</f>
        <v>38</v>
      </c>
      <c r="H164" s="172">
        <f>IF('Peak Revenue'!$A$1="BL","-",IF(Peak!N165&gt;Peak!$G165,H$8*$X164,0))</f>
        <v>38</v>
      </c>
      <c r="I164" s="172">
        <f>IF('Peak Revenue'!$A$1="BL","-",IF(Peak!O165&gt;Peak!$G165,I$8*$X164,0))</f>
        <v>38</v>
      </c>
      <c r="J164" s="172">
        <f>IF('Peak Revenue'!$A$1="BL","-",IF(Peak!P165&gt;Peak!$G165,J$8*$X164,0))</f>
        <v>38</v>
      </c>
      <c r="K164" s="172">
        <f>IF('Peak Revenue'!$A$1="BL","-",IF(Peak!Q165&gt;Peak!$G165,K$8*$X164,0))</f>
        <v>38</v>
      </c>
      <c r="L164" s="172">
        <f>IF('Peak Revenue'!$A$1="BL","-",IF(Peak!R165&gt;Peak!$G165,L$8*$X164,0))</f>
        <v>0</v>
      </c>
      <c r="M164" s="172">
        <f>IF('Peak Revenue'!$A$1="BL","-",IF(Peak!S165&gt;Peak!$G165,M$8*$X164,0))</f>
        <v>0</v>
      </c>
      <c r="N164" s="172">
        <f>IF('Peak Revenue'!$A$1="BL","-",IF(Peak!T165&gt;Peak!$G165,N$8*$X164,0))</f>
        <v>0</v>
      </c>
      <c r="O164" s="172">
        <f>IF('Peak Revenue'!$A$1="BL","-",IF(Peak!U165&gt;Peak!$G165,O$8*$X164,0))</f>
        <v>0</v>
      </c>
      <c r="P164" s="172">
        <f>IF('Peak Revenue'!$A$1="BL","-",IF(Peak!V165&gt;Peak!$G165,P$8*$X164,0))</f>
        <v>0</v>
      </c>
      <c r="Q164" s="172">
        <f>IF('Peak Revenue'!$A$1="BL","-",IF(Peak!W165&gt;Peak!$G165,Q$8*$X164,0))</f>
        <v>0</v>
      </c>
      <c r="R164" s="172">
        <f>IF('Peak Revenue'!$A$1="BL","-",IF(Peak!X165&gt;Peak!$G165,R$8*$X164,0))</f>
        <v>0</v>
      </c>
      <c r="S164" s="172">
        <f>IF('Peak Revenue'!$A$1="BL","-",IF(Peak!Y165&gt;Peak!$G165,S$8*$X164,0))</f>
        <v>0</v>
      </c>
      <c r="T164" s="172">
        <f>IF('Peak Revenue'!$A$1="BL","-",IF(Peak!Z165&gt;Peak!$G165,T$8*$X164,0))</f>
        <v>0</v>
      </c>
      <c r="U164" s="172">
        <f>IF('Peak Revenue'!$A$1="BL","-",IF(Peak!AA165&gt;Peak!$G165,U$8*$X164,0))</f>
        <v>0</v>
      </c>
      <c r="V164" s="175">
        <f t="shared" si="4"/>
        <v>247</v>
      </c>
      <c r="W164" s="164"/>
      <c r="X164" s="473">
        <f>CHOOSE(QUOTIENT(MONTH($A164),3)+1,Peak!$AM$11,Peak!$AN$11,Peak!$AL$11,Peak!$AO$11,Peak!$AM$11)</f>
        <v>0.95</v>
      </c>
      <c r="Y164" s="474">
        <f>CHOOSE(QUOTIENT(MONTH($A164),3)+1,Peak!$AM$17,Peak!$AN$17,Peak!$AL$17,Peak!$AO$17,Peak!$AM$17)</f>
        <v>705</v>
      </c>
    </row>
    <row r="165" spans="1:25" x14ac:dyDescent="0.2">
      <c r="A165" s="1">
        <f t="shared" si="5"/>
        <v>41254.635000000198</v>
      </c>
      <c r="B165" s="172">
        <f>IF('Peak Revenue'!$A$1="BL","-",IF(Peak!H166&gt;Peak!$G166,B$8*$X165,0))</f>
        <v>4.6213830939305875</v>
      </c>
      <c r="C165" s="172">
        <f>IF('Peak Revenue'!$A$1="BL","-",IF(Peak!I166&gt;Peak!$G166,C$8*$X165,0))</f>
        <v>4.6213830939305875</v>
      </c>
      <c r="D165" s="172">
        <f>IF('Peak Revenue'!$A$1="BL","-",IF(Peak!J166&gt;Peak!$G166,D$8*$X165,0))</f>
        <v>9.2427661878611751</v>
      </c>
      <c r="E165" s="172">
        <f>IF('Peak Revenue'!$A$1="BL","-",IF(Peak!K166&gt;Peak!$G166,E$8*$X165,0))</f>
        <v>18.48553237572235</v>
      </c>
      <c r="F165" s="172">
        <f>IF('Peak Revenue'!$A$1="BL","-",IF(Peak!L166&gt;Peak!$G166,F$8*$X165,0))</f>
        <v>18.48553237572235</v>
      </c>
      <c r="G165" s="172">
        <f>IF('Peak Revenue'!$A$1="BL","-",IF(Peak!M166&gt;Peak!$G166,G$8*$X165,0))</f>
        <v>36.9710647514447</v>
      </c>
      <c r="H165" s="172">
        <f>IF('Peak Revenue'!$A$1="BL","-",IF(Peak!N166&gt;Peak!$G166,H$8*$X165,0))</f>
        <v>36.9710647514447</v>
      </c>
      <c r="I165" s="172">
        <f>IF('Peak Revenue'!$A$1="BL","-",IF(Peak!O166&gt;Peak!$G166,I$8*$X165,0))</f>
        <v>36.9710647514447</v>
      </c>
      <c r="J165" s="172">
        <f>IF('Peak Revenue'!$A$1="BL","-",IF(Peak!P166&gt;Peak!$G166,J$8*$X165,0))</f>
        <v>36.9710647514447</v>
      </c>
      <c r="K165" s="172">
        <f>IF('Peak Revenue'!$A$1="BL","-",IF(Peak!Q166&gt;Peak!$G166,K$8*$X165,0))</f>
        <v>0</v>
      </c>
      <c r="L165" s="172">
        <f>IF('Peak Revenue'!$A$1="BL","-",IF(Peak!R166&gt;Peak!$G166,L$8*$X165,0))</f>
        <v>0</v>
      </c>
      <c r="M165" s="172">
        <f>IF('Peak Revenue'!$A$1="BL","-",IF(Peak!S166&gt;Peak!$G166,M$8*$X165,0))</f>
        <v>0</v>
      </c>
      <c r="N165" s="172">
        <f>IF('Peak Revenue'!$A$1="BL","-",IF(Peak!T166&gt;Peak!$G166,N$8*$X165,0))</f>
        <v>0</v>
      </c>
      <c r="O165" s="172">
        <f>IF('Peak Revenue'!$A$1="BL","-",IF(Peak!U166&gt;Peak!$G166,O$8*$X165,0))</f>
        <v>0</v>
      </c>
      <c r="P165" s="172">
        <f>IF('Peak Revenue'!$A$1="BL","-",IF(Peak!V166&gt;Peak!$G166,P$8*$X165,0))</f>
        <v>0</v>
      </c>
      <c r="Q165" s="172">
        <f>IF('Peak Revenue'!$A$1="BL","-",IF(Peak!W166&gt;Peak!$G166,Q$8*$X165,0))</f>
        <v>0</v>
      </c>
      <c r="R165" s="172">
        <f>IF('Peak Revenue'!$A$1="BL","-",IF(Peak!X166&gt;Peak!$G166,R$8*$X165,0))</f>
        <v>0</v>
      </c>
      <c r="S165" s="172">
        <f>IF('Peak Revenue'!$A$1="BL","-",IF(Peak!Y166&gt;Peak!$G166,S$8*$X165,0))</f>
        <v>0</v>
      </c>
      <c r="T165" s="172">
        <f>IF('Peak Revenue'!$A$1="BL","-",IF(Peak!Z166&gt;Peak!$G166,T$8*$X165,0))</f>
        <v>0</v>
      </c>
      <c r="U165" s="172">
        <f>IF('Peak Revenue'!$A$1="BL","-",IF(Peak!AA166&gt;Peak!$G166,U$8*$X165,0))</f>
        <v>0</v>
      </c>
      <c r="V165" s="175">
        <f t="shared" si="4"/>
        <v>203.34085613294587</v>
      </c>
      <c r="W165" s="163">
        <f>SUM(V154:V165)</f>
        <v>2962.176645948688</v>
      </c>
      <c r="X165" s="473">
        <f>CHOOSE(QUOTIENT(MONTH($A165),3)+1,Peak!$AM$11,Peak!$AN$11,Peak!$AL$11,Peak!$AO$11,Peak!$AM$11)</f>
        <v>0.92427661878611755</v>
      </c>
      <c r="Y165" s="474">
        <f>CHOOSE(QUOTIENT(MONTH($A165),3)+1,Peak!$AM$17,Peak!$AN$17,Peak!$AL$17,Peak!$AO$17,Peak!$AM$17)</f>
        <v>705</v>
      </c>
    </row>
    <row r="166" spans="1:25" x14ac:dyDescent="0.2">
      <c r="A166" s="1">
        <f t="shared" si="5"/>
        <v>41285.0520000002</v>
      </c>
      <c r="B166" s="172">
        <f>IF('Peak Revenue'!$A$1="BL","-",IF(Peak!H167&gt;Peak!$G167,B$8*$X166,0))</f>
        <v>4.6213830939305875</v>
      </c>
      <c r="C166" s="172">
        <f>IF('Peak Revenue'!$A$1="BL","-",IF(Peak!I167&gt;Peak!$G167,C$8*$X166,0))</f>
        <v>4.6213830939305875</v>
      </c>
      <c r="D166" s="172">
        <f>IF('Peak Revenue'!$A$1="BL","-",IF(Peak!J167&gt;Peak!$G167,D$8*$X166,0))</f>
        <v>9.2427661878611751</v>
      </c>
      <c r="E166" s="172">
        <f>IF('Peak Revenue'!$A$1="BL","-",IF(Peak!K167&gt;Peak!$G167,E$8*$X166,0))</f>
        <v>18.48553237572235</v>
      </c>
      <c r="F166" s="172">
        <f>IF('Peak Revenue'!$A$1="BL","-",IF(Peak!L167&gt;Peak!$G167,F$8*$X166,0))</f>
        <v>18.48553237572235</v>
      </c>
      <c r="G166" s="172">
        <f>IF('Peak Revenue'!$A$1="BL","-",IF(Peak!M167&gt;Peak!$G167,G$8*$X166,0))</f>
        <v>36.9710647514447</v>
      </c>
      <c r="H166" s="172">
        <f>IF('Peak Revenue'!$A$1="BL","-",IF(Peak!N167&gt;Peak!$G167,H$8*$X166,0))</f>
        <v>36.9710647514447</v>
      </c>
      <c r="I166" s="172">
        <f>IF('Peak Revenue'!$A$1="BL","-",IF(Peak!O167&gt;Peak!$G167,I$8*$X166,0))</f>
        <v>36.9710647514447</v>
      </c>
      <c r="J166" s="172">
        <f>IF('Peak Revenue'!$A$1="BL","-",IF(Peak!P167&gt;Peak!$G167,J$8*$X166,0))</f>
        <v>36.9710647514447</v>
      </c>
      <c r="K166" s="172">
        <f>IF('Peak Revenue'!$A$1="BL","-",IF(Peak!Q167&gt;Peak!$G167,K$8*$X166,0))</f>
        <v>0</v>
      </c>
      <c r="L166" s="172">
        <f>IF('Peak Revenue'!$A$1="BL","-",IF(Peak!R167&gt;Peak!$G167,L$8*$X166,0))</f>
        <v>0</v>
      </c>
      <c r="M166" s="172">
        <f>IF('Peak Revenue'!$A$1="BL","-",IF(Peak!S167&gt;Peak!$G167,M$8*$X166,0))</f>
        <v>0</v>
      </c>
      <c r="N166" s="172">
        <f>IF('Peak Revenue'!$A$1="BL","-",IF(Peak!T167&gt;Peak!$G167,N$8*$X166,0))</f>
        <v>0</v>
      </c>
      <c r="O166" s="172">
        <f>IF('Peak Revenue'!$A$1="BL","-",IF(Peak!U167&gt;Peak!$G167,O$8*$X166,0))</f>
        <v>0</v>
      </c>
      <c r="P166" s="172">
        <f>IF('Peak Revenue'!$A$1="BL","-",IF(Peak!V167&gt;Peak!$G167,P$8*$X166,0))</f>
        <v>0</v>
      </c>
      <c r="Q166" s="172">
        <f>IF('Peak Revenue'!$A$1="BL","-",IF(Peak!W167&gt;Peak!$G167,Q$8*$X166,0))</f>
        <v>0</v>
      </c>
      <c r="R166" s="172">
        <f>IF('Peak Revenue'!$A$1="BL","-",IF(Peak!X167&gt;Peak!$G167,R$8*$X166,0))</f>
        <v>0</v>
      </c>
      <c r="S166" s="172">
        <f>IF('Peak Revenue'!$A$1="BL","-",IF(Peak!Y167&gt;Peak!$G167,S$8*$X166,0))</f>
        <v>0</v>
      </c>
      <c r="T166" s="172">
        <f>IF('Peak Revenue'!$A$1="BL","-",IF(Peak!Z167&gt;Peak!$G167,T$8*$X166,0))</f>
        <v>0</v>
      </c>
      <c r="U166" s="172">
        <f>IF('Peak Revenue'!$A$1="BL","-",IF(Peak!AA167&gt;Peak!$G167,U$8*$X166,0))</f>
        <v>0</v>
      </c>
      <c r="V166" s="175">
        <f t="shared" si="4"/>
        <v>203.34085613294587</v>
      </c>
      <c r="W166" s="164"/>
      <c r="X166" s="473">
        <f>CHOOSE(QUOTIENT(MONTH($A166),3)+1,Peak!$AM$11,Peak!$AN$11,Peak!$AL$11,Peak!$AO$11,Peak!$AM$11)</f>
        <v>0.92427661878611755</v>
      </c>
      <c r="Y166" s="474">
        <f>CHOOSE(QUOTIENT(MONTH($A166),3)+1,Peak!$AM$17,Peak!$AN$17,Peak!$AL$17,Peak!$AO$17,Peak!$AM$17)</f>
        <v>705</v>
      </c>
    </row>
    <row r="167" spans="1:25" x14ac:dyDescent="0.2">
      <c r="A167" s="1">
        <f t="shared" si="5"/>
        <v>41315.469000000201</v>
      </c>
      <c r="B167" s="172">
        <f>IF('Peak Revenue'!$A$1="BL","-",IF(Peak!H168&gt;Peak!$G168,B$8*$X167,0))</f>
        <v>4.6213830939305875</v>
      </c>
      <c r="C167" s="172">
        <f>IF('Peak Revenue'!$A$1="BL","-",IF(Peak!I168&gt;Peak!$G168,C$8*$X167,0))</f>
        <v>4.6213830939305875</v>
      </c>
      <c r="D167" s="172">
        <f>IF('Peak Revenue'!$A$1="BL","-",IF(Peak!J168&gt;Peak!$G168,D$8*$X167,0))</f>
        <v>9.2427661878611751</v>
      </c>
      <c r="E167" s="172">
        <f>IF('Peak Revenue'!$A$1="BL","-",IF(Peak!K168&gt;Peak!$G168,E$8*$X167,0))</f>
        <v>18.48553237572235</v>
      </c>
      <c r="F167" s="172">
        <f>IF('Peak Revenue'!$A$1="BL","-",IF(Peak!L168&gt;Peak!$G168,F$8*$X167,0))</f>
        <v>18.48553237572235</v>
      </c>
      <c r="G167" s="172">
        <f>IF('Peak Revenue'!$A$1="BL","-",IF(Peak!M168&gt;Peak!$G168,G$8*$X167,0))</f>
        <v>36.9710647514447</v>
      </c>
      <c r="H167" s="172">
        <f>IF('Peak Revenue'!$A$1="BL","-",IF(Peak!N168&gt;Peak!$G168,H$8*$X167,0))</f>
        <v>36.9710647514447</v>
      </c>
      <c r="I167" s="172">
        <f>IF('Peak Revenue'!$A$1="BL","-",IF(Peak!O168&gt;Peak!$G168,I$8*$X167,0))</f>
        <v>36.9710647514447</v>
      </c>
      <c r="J167" s="172">
        <f>IF('Peak Revenue'!$A$1="BL","-",IF(Peak!P168&gt;Peak!$G168,J$8*$X167,0))</f>
        <v>36.9710647514447</v>
      </c>
      <c r="K167" s="172">
        <f>IF('Peak Revenue'!$A$1="BL","-",IF(Peak!Q168&gt;Peak!$G168,K$8*$X167,0))</f>
        <v>36.9710647514447</v>
      </c>
      <c r="L167" s="172">
        <f>IF('Peak Revenue'!$A$1="BL","-",IF(Peak!R168&gt;Peak!$G168,L$8*$X167,0))</f>
        <v>0</v>
      </c>
      <c r="M167" s="172">
        <f>IF('Peak Revenue'!$A$1="BL","-",IF(Peak!S168&gt;Peak!$G168,M$8*$X167,0))</f>
        <v>0</v>
      </c>
      <c r="N167" s="172">
        <f>IF('Peak Revenue'!$A$1="BL","-",IF(Peak!T168&gt;Peak!$G168,N$8*$X167,0))</f>
        <v>0</v>
      </c>
      <c r="O167" s="172">
        <f>IF('Peak Revenue'!$A$1="BL","-",IF(Peak!U168&gt;Peak!$G168,O$8*$X167,0))</f>
        <v>0</v>
      </c>
      <c r="P167" s="172">
        <f>IF('Peak Revenue'!$A$1="BL","-",IF(Peak!V168&gt;Peak!$G168,P$8*$X167,0))</f>
        <v>0</v>
      </c>
      <c r="Q167" s="172">
        <f>IF('Peak Revenue'!$A$1="BL","-",IF(Peak!W168&gt;Peak!$G168,Q$8*$X167,0))</f>
        <v>0</v>
      </c>
      <c r="R167" s="172">
        <f>IF('Peak Revenue'!$A$1="BL","-",IF(Peak!X168&gt;Peak!$G168,R$8*$X167,0))</f>
        <v>0</v>
      </c>
      <c r="S167" s="172">
        <f>IF('Peak Revenue'!$A$1="BL","-",IF(Peak!Y168&gt;Peak!$G168,S$8*$X167,0))</f>
        <v>0</v>
      </c>
      <c r="T167" s="172">
        <f>IF('Peak Revenue'!$A$1="BL","-",IF(Peak!Z168&gt;Peak!$G168,T$8*$X167,0))</f>
        <v>0</v>
      </c>
      <c r="U167" s="172">
        <f>IF('Peak Revenue'!$A$1="BL","-",IF(Peak!AA168&gt;Peak!$G168,U$8*$X167,0))</f>
        <v>0</v>
      </c>
      <c r="V167" s="175">
        <f t="shared" si="4"/>
        <v>240.31192088439059</v>
      </c>
      <c r="W167" s="164"/>
      <c r="X167" s="473">
        <f>CHOOSE(QUOTIENT(MONTH($A167),3)+1,Peak!$AM$11,Peak!$AN$11,Peak!$AL$11,Peak!$AO$11,Peak!$AM$11)</f>
        <v>0.92427661878611755</v>
      </c>
      <c r="Y167" s="474">
        <f>CHOOSE(QUOTIENT(MONTH($A167),3)+1,Peak!$AM$17,Peak!$AN$17,Peak!$AL$17,Peak!$AO$17,Peak!$AM$17)</f>
        <v>705</v>
      </c>
    </row>
    <row r="168" spans="1:25" x14ac:dyDescent="0.2">
      <c r="A168" s="1">
        <f t="shared" si="5"/>
        <v>41345.886000000202</v>
      </c>
      <c r="B168" s="172">
        <f>IF('Peak Revenue'!$A$1="BL","-",IF(Peak!H169&gt;Peak!$G169,B$8*$X168,0))</f>
        <v>4.75</v>
      </c>
      <c r="C168" s="172">
        <f>IF('Peak Revenue'!$A$1="BL","-",IF(Peak!I169&gt;Peak!$G169,C$8*$X168,0))</f>
        <v>4.75</v>
      </c>
      <c r="D168" s="172">
        <f>IF('Peak Revenue'!$A$1="BL","-",IF(Peak!J169&gt;Peak!$G169,D$8*$X168,0))</f>
        <v>9.5</v>
      </c>
      <c r="E168" s="172">
        <f>IF('Peak Revenue'!$A$1="BL","-",IF(Peak!K169&gt;Peak!$G169,E$8*$X168,0))</f>
        <v>19</v>
      </c>
      <c r="F168" s="172">
        <f>IF('Peak Revenue'!$A$1="BL","-",IF(Peak!L169&gt;Peak!$G169,F$8*$X168,0))</f>
        <v>19</v>
      </c>
      <c r="G168" s="172">
        <f>IF('Peak Revenue'!$A$1="BL","-",IF(Peak!M169&gt;Peak!$G169,G$8*$X168,0))</f>
        <v>38</v>
      </c>
      <c r="H168" s="172">
        <f>IF('Peak Revenue'!$A$1="BL","-",IF(Peak!N169&gt;Peak!$G169,H$8*$X168,0))</f>
        <v>38</v>
      </c>
      <c r="I168" s="172">
        <f>IF('Peak Revenue'!$A$1="BL","-",IF(Peak!O169&gt;Peak!$G169,I$8*$X168,0))</f>
        <v>38</v>
      </c>
      <c r="J168" s="172">
        <f>IF('Peak Revenue'!$A$1="BL","-",IF(Peak!P169&gt;Peak!$G169,J$8*$X168,0))</f>
        <v>38</v>
      </c>
      <c r="K168" s="172">
        <f>IF('Peak Revenue'!$A$1="BL","-",IF(Peak!Q169&gt;Peak!$G169,K$8*$X168,0))</f>
        <v>38</v>
      </c>
      <c r="L168" s="172">
        <f>IF('Peak Revenue'!$A$1="BL","-",IF(Peak!R169&gt;Peak!$G169,L$8*$X168,0))</f>
        <v>0</v>
      </c>
      <c r="M168" s="172">
        <f>IF('Peak Revenue'!$A$1="BL","-",IF(Peak!S169&gt;Peak!$G169,M$8*$X168,0))</f>
        <v>0</v>
      </c>
      <c r="N168" s="172">
        <f>IF('Peak Revenue'!$A$1="BL","-",IF(Peak!T169&gt;Peak!$G169,N$8*$X168,0))</f>
        <v>0</v>
      </c>
      <c r="O168" s="172">
        <f>IF('Peak Revenue'!$A$1="BL","-",IF(Peak!U169&gt;Peak!$G169,O$8*$X168,0))</f>
        <v>0</v>
      </c>
      <c r="P168" s="172">
        <f>IF('Peak Revenue'!$A$1="BL","-",IF(Peak!V169&gt;Peak!$G169,P$8*$X168,0))</f>
        <v>0</v>
      </c>
      <c r="Q168" s="172">
        <f>IF('Peak Revenue'!$A$1="BL","-",IF(Peak!W169&gt;Peak!$G169,Q$8*$X168,0))</f>
        <v>0</v>
      </c>
      <c r="R168" s="172">
        <f>IF('Peak Revenue'!$A$1="BL","-",IF(Peak!X169&gt;Peak!$G169,R$8*$X168,0))</f>
        <v>0</v>
      </c>
      <c r="S168" s="172">
        <f>IF('Peak Revenue'!$A$1="BL","-",IF(Peak!Y169&gt;Peak!$G169,S$8*$X168,0))</f>
        <v>0</v>
      </c>
      <c r="T168" s="172">
        <f>IF('Peak Revenue'!$A$1="BL","-",IF(Peak!Z169&gt;Peak!$G169,T$8*$X168,0))</f>
        <v>0</v>
      </c>
      <c r="U168" s="172">
        <f>IF('Peak Revenue'!$A$1="BL","-",IF(Peak!AA169&gt;Peak!$G169,U$8*$X168,0))</f>
        <v>0</v>
      </c>
      <c r="V168" s="175">
        <f t="shared" si="4"/>
        <v>247</v>
      </c>
      <c r="W168" s="164"/>
      <c r="X168" s="473">
        <f>CHOOSE(QUOTIENT(MONTH($A168),3)+1,Peak!$AM$11,Peak!$AN$11,Peak!$AL$11,Peak!$AO$11,Peak!$AM$11)</f>
        <v>0.95</v>
      </c>
      <c r="Y168" s="474">
        <f>CHOOSE(QUOTIENT(MONTH($A168),3)+1,Peak!$AM$17,Peak!$AN$17,Peak!$AL$17,Peak!$AO$17,Peak!$AM$17)</f>
        <v>705</v>
      </c>
    </row>
    <row r="169" spans="1:25" x14ac:dyDescent="0.2">
      <c r="A169" s="1">
        <f t="shared" si="5"/>
        <v>41376.303000000204</v>
      </c>
      <c r="B169" s="172">
        <f>IF('Peak Revenue'!$A$1="BL","-",IF(Peak!H170&gt;Peak!$G170,B$8*$X169,0))</f>
        <v>4.75</v>
      </c>
      <c r="C169" s="172">
        <f>IF('Peak Revenue'!$A$1="BL","-",IF(Peak!I170&gt;Peak!$G170,C$8*$X169,0))</f>
        <v>4.75</v>
      </c>
      <c r="D169" s="172">
        <f>IF('Peak Revenue'!$A$1="BL","-",IF(Peak!J170&gt;Peak!$G170,D$8*$X169,0))</f>
        <v>9.5</v>
      </c>
      <c r="E169" s="172">
        <f>IF('Peak Revenue'!$A$1="BL","-",IF(Peak!K170&gt;Peak!$G170,E$8*$X169,0))</f>
        <v>19</v>
      </c>
      <c r="F169" s="172">
        <f>IF('Peak Revenue'!$A$1="BL","-",IF(Peak!L170&gt;Peak!$G170,F$8*$X169,0))</f>
        <v>19</v>
      </c>
      <c r="G169" s="172">
        <f>IF('Peak Revenue'!$A$1="BL","-",IF(Peak!M170&gt;Peak!$G170,G$8*$X169,0))</f>
        <v>38</v>
      </c>
      <c r="H169" s="172">
        <f>IF('Peak Revenue'!$A$1="BL","-",IF(Peak!N170&gt;Peak!$G170,H$8*$X169,0))</f>
        <v>38</v>
      </c>
      <c r="I169" s="172">
        <f>IF('Peak Revenue'!$A$1="BL","-",IF(Peak!O170&gt;Peak!$G170,I$8*$X169,0))</f>
        <v>38</v>
      </c>
      <c r="J169" s="172">
        <f>IF('Peak Revenue'!$A$1="BL","-",IF(Peak!P170&gt;Peak!$G170,J$8*$X169,0))</f>
        <v>38</v>
      </c>
      <c r="K169" s="172">
        <f>IF('Peak Revenue'!$A$1="BL","-",IF(Peak!Q170&gt;Peak!$G170,K$8*$X169,0))</f>
        <v>0</v>
      </c>
      <c r="L169" s="172">
        <f>IF('Peak Revenue'!$A$1="BL","-",IF(Peak!R170&gt;Peak!$G170,L$8*$X169,0))</f>
        <v>0</v>
      </c>
      <c r="M169" s="172">
        <f>IF('Peak Revenue'!$A$1="BL","-",IF(Peak!S170&gt;Peak!$G170,M$8*$X169,0))</f>
        <v>0</v>
      </c>
      <c r="N169" s="172">
        <f>IF('Peak Revenue'!$A$1="BL","-",IF(Peak!T170&gt;Peak!$G170,N$8*$X169,0))</f>
        <v>0</v>
      </c>
      <c r="O169" s="172">
        <f>IF('Peak Revenue'!$A$1="BL","-",IF(Peak!U170&gt;Peak!$G170,O$8*$X169,0))</f>
        <v>0</v>
      </c>
      <c r="P169" s="172">
        <f>IF('Peak Revenue'!$A$1="BL","-",IF(Peak!V170&gt;Peak!$G170,P$8*$X169,0))</f>
        <v>0</v>
      </c>
      <c r="Q169" s="172">
        <f>IF('Peak Revenue'!$A$1="BL","-",IF(Peak!W170&gt;Peak!$G170,Q$8*$X169,0))</f>
        <v>0</v>
      </c>
      <c r="R169" s="172">
        <f>IF('Peak Revenue'!$A$1="BL","-",IF(Peak!X170&gt;Peak!$G170,R$8*$X169,0))</f>
        <v>0</v>
      </c>
      <c r="S169" s="172">
        <f>IF('Peak Revenue'!$A$1="BL","-",IF(Peak!Y170&gt;Peak!$G170,S$8*$X169,0))</f>
        <v>0</v>
      </c>
      <c r="T169" s="172">
        <f>IF('Peak Revenue'!$A$1="BL","-",IF(Peak!Z170&gt;Peak!$G170,T$8*$X169,0))</f>
        <v>0</v>
      </c>
      <c r="U169" s="172">
        <f>IF('Peak Revenue'!$A$1="BL","-",IF(Peak!AA170&gt;Peak!$G170,U$8*$X169,0))</f>
        <v>0</v>
      </c>
      <c r="V169" s="175">
        <f t="shared" si="4"/>
        <v>209</v>
      </c>
      <c r="W169" s="164"/>
      <c r="X169" s="473">
        <f>CHOOSE(QUOTIENT(MONTH($A169),3)+1,Peak!$AM$11,Peak!$AN$11,Peak!$AL$11,Peak!$AO$11,Peak!$AM$11)</f>
        <v>0.95</v>
      </c>
      <c r="Y169" s="474">
        <f>CHOOSE(QUOTIENT(MONTH($A169),3)+1,Peak!$AM$17,Peak!$AN$17,Peak!$AL$17,Peak!$AO$17,Peak!$AM$17)</f>
        <v>705</v>
      </c>
    </row>
    <row r="170" spans="1:25" x14ac:dyDescent="0.2">
      <c r="A170" s="1">
        <f t="shared" si="5"/>
        <v>41406.720000000205</v>
      </c>
      <c r="B170" s="172">
        <f>IF('Peak Revenue'!$A$1="BL","-",IF(Peak!H171&gt;Peak!$G171,B$8*$X170,0))</f>
        <v>4.75</v>
      </c>
      <c r="C170" s="172">
        <f>IF('Peak Revenue'!$A$1="BL","-",IF(Peak!I171&gt;Peak!$G171,C$8*$X170,0))</f>
        <v>4.75</v>
      </c>
      <c r="D170" s="172">
        <f>IF('Peak Revenue'!$A$1="BL","-",IF(Peak!J171&gt;Peak!$G171,D$8*$X170,0))</f>
        <v>9.5</v>
      </c>
      <c r="E170" s="172">
        <f>IF('Peak Revenue'!$A$1="BL","-",IF(Peak!K171&gt;Peak!$G171,E$8*$X170,0))</f>
        <v>19</v>
      </c>
      <c r="F170" s="172">
        <f>IF('Peak Revenue'!$A$1="BL","-",IF(Peak!L171&gt;Peak!$G171,F$8*$X170,0))</f>
        <v>19</v>
      </c>
      <c r="G170" s="172">
        <f>IF('Peak Revenue'!$A$1="BL","-",IF(Peak!M171&gt;Peak!$G171,G$8*$X170,0))</f>
        <v>38</v>
      </c>
      <c r="H170" s="172">
        <f>IF('Peak Revenue'!$A$1="BL","-",IF(Peak!N171&gt;Peak!$G171,H$8*$X170,0))</f>
        <v>38</v>
      </c>
      <c r="I170" s="172">
        <f>IF('Peak Revenue'!$A$1="BL","-",IF(Peak!O171&gt;Peak!$G171,I$8*$X170,0))</f>
        <v>38</v>
      </c>
      <c r="J170" s="172">
        <f>IF('Peak Revenue'!$A$1="BL","-",IF(Peak!P171&gt;Peak!$G171,J$8*$X170,0))</f>
        <v>38</v>
      </c>
      <c r="K170" s="172">
        <f>IF('Peak Revenue'!$A$1="BL","-",IF(Peak!Q171&gt;Peak!$G171,K$8*$X170,0))</f>
        <v>0</v>
      </c>
      <c r="L170" s="172">
        <f>IF('Peak Revenue'!$A$1="BL","-",IF(Peak!R171&gt;Peak!$G171,L$8*$X170,0))</f>
        <v>0</v>
      </c>
      <c r="M170" s="172">
        <f>IF('Peak Revenue'!$A$1="BL","-",IF(Peak!S171&gt;Peak!$G171,M$8*$X170,0))</f>
        <v>0</v>
      </c>
      <c r="N170" s="172">
        <f>IF('Peak Revenue'!$A$1="BL","-",IF(Peak!T171&gt;Peak!$G171,N$8*$X170,0))</f>
        <v>0</v>
      </c>
      <c r="O170" s="172">
        <f>IF('Peak Revenue'!$A$1="BL","-",IF(Peak!U171&gt;Peak!$G171,O$8*$X170,0))</f>
        <v>0</v>
      </c>
      <c r="P170" s="172">
        <f>IF('Peak Revenue'!$A$1="BL","-",IF(Peak!V171&gt;Peak!$G171,P$8*$X170,0))</f>
        <v>0</v>
      </c>
      <c r="Q170" s="172">
        <f>IF('Peak Revenue'!$A$1="BL","-",IF(Peak!W171&gt;Peak!$G171,Q$8*$X170,0))</f>
        <v>0</v>
      </c>
      <c r="R170" s="172">
        <f>IF('Peak Revenue'!$A$1="BL","-",IF(Peak!X171&gt;Peak!$G171,R$8*$X170,0))</f>
        <v>0</v>
      </c>
      <c r="S170" s="172">
        <f>IF('Peak Revenue'!$A$1="BL","-",IF(Peak!Y171&gt;Peak!$G171,S$8*$X170,0))</f>
        <v>0</v>
      </c>
      <c r="T170" s="172">
        <f>IF('Peak Revenue'!$A$1="BL","-",IF(Peak!Z171&gt;Peak!$G171,T$8*$X170,0))</f>
        <v>0</v>
      </c>
      <c r="U170" s="172">
        <f>IF('Peak Revenue'!$A$1="BL","-",IF(Peak!AA171&gt;Peak!$G171,U$8*$X170,0))</f>
        <v>0</v>
      </c>
      <c r="V170" s="175">
        <f t="shared" si="4"/>
        <v>209</v>
      </c>
      <c r="W170" s="164"/>
      <c r="X170" s="473">
        <f>CHOOSE(QUOTIENT(MONTH($A170),3)+1,Peak!$AM$11,Peak!$AN$11,Peak!$AL$11,Peak!$AO$11,Peak!$AM$11)</f>
        <v>0.95</v>
      </c>
      <c r="Y170" s="474">
        <f>CHOOSE(QUOTIENT(MONTH($A170),3)+1,Peak!$AM$17,Peak!$AN$17,Peak!$AL$17,Peak!$AO$17,Peak!$AM$17)</f>
        <v>705</v>
      </c>
    </row>
    <row r="171" spans="1:25" x14ac:dyDescent="0.2">
      <c r="A171" s="1">
        <f t="shared" si="5"/>
        <v>41437.137000000206</v>
      </c>
      <c r="B171" s="172">
        <f>IF('Peak Revenue'!$A$1="BL","-",IF(Peak!H172&gt;Peak!$G172,B$8*$X171,0))</f>
        <v>4.8306067954779284</v>
      </c>
      <c r="C171" s="172">
        <f>IF('Peak Revenue'!$A$1="BL","-",IF(Peak!I172&gt;Peak!$G172,C$8*$X171,0))</f>
        <v>4.8306067954779284</v>
      </c>
      <c r="D171" s="172">
        <f>IF('Peak Revenue'!$A$1="BL","-",IF(Peak!J172&gt;Peak!$G172,D$8*$X171,0))</f>
        <v>9.6612135909558567</v>
      </c>
      <c r="E171" s="172">
        <f>IF('Peak Revenue'!$A$1="BL","-",IF(Peak!K172&gt;Peak!$G172,E$8*$X171,0))</f>
        <v>19.322427181911713</v>
      </c>
      <c r="F171" s="172">
        <f>IF('Peak Revenue'!$A$1="BL","-",IF(Peak!L172&gt;Peak!$G172,F$8*$X171,0))</f>
        <v>19.322427181911713</v>
      </c>
      <c r="G171" s="172">
        <f>IF('Peak Revenue'!$A$1="BL","-",IF(Peak!M172&gt;Peak!$G172,G$8*$X171,0))</f>
        <v>38.644854363823427</v>
      </c>
      <c r="H171" s="172">
        <f>IF('Peak Revenue'!$A$1="BL","-",IF(Peak!N172&gt;Peak!$G172,H$8*$X171,0))</f>
        <v>38.644854363823427</v>
      </c>
      <c r="I171" s="172">
        <f>IF('Peak Revenue'!$A$1="BL","-",IF(Peak!O172&gt;Peak!$G172,I$8*$X171,0))</f>
        <v>38.644854363823427</v>
      </c>
      <c r="J171" s="172">
        <f>IF('Peak Revenue'!$A$1="BL","-",IF(Peak!P172&gt;Peak!$G172,J$8*$X171,0))</f>
        <v>38.644854363823427</v>
      </c>
      <c r="K171" s="172">
        <f>IF('Peak Revenue'!$A$1="BL","-",IF(Peak!Q172&gt;Peak!$G172,K$8*$X171,0))</f>
        <v>0</v>
      </c>
      <c r="L171" s="172">
        <f>IF('Peak Revenue'!$A$1="BL","-",IF(Peak!R172&gt;Peak!$G172,L$8*$X171,0))</f>
        <v>0</v>
      </c>
      <c r="M171" s="172">
        <f>IF('Peak Revenue'!$A$1="BL","-",IF(Peak!S172&gt;Peak!$G172,M$8*$X171,0))</f>
        <v>0</v>
      </c>
      <c r="N171" s="172">
        <f>IF('Peak Revenue'!$A$1="BL","-",IF(Peak!T172&gt;Peak!$G172,N$8*$X171,0))</f>
        <v>0</v>
      </c>
      <c r="O171" s="172">
        <f>IF('Peak Revenue'!$A$1="BL","-",IF(Peak!U172&gt;Peak!$G172,O$8*$X171,0))</f>
        <v>0</v>
      </c>
      <c r="P171" s="172">
        <f>IF('Peak Revenue'!$A$1="BL","-",IF(Peak!V172&gt;Peak!$G172,P$8*$X171,0))</f>
        <v>0</v>
      </c>
      <c r="Q171" s="172">
        <f>IF('Peak Revenue'!$A$1="BL","-",IF(Peak!W172&gt;Peak!$G172,Q$8*$X171,0))</f>
        <v>0</v>
      </c>
      <c r="R171" s="172">
        <f>IF('Peak Revenue'!$A$1="BL","-",IF(Peak!X172&gt;Peak!$G172,R$8*$X171,0))</f>
        <v>0</v>
      </c>
      <c r="S171" s="172">
        <f>IF('Peak Revenue'!$A$1="BL","-",IF(Peak!Y172&gt;Peak!$G172,S$8*$X171,0))</f>
        <v>0</v>
      </c>
      <c r="T171" s="172">
        <f>IF('Peak Revenue'!$A$1="BL","-",IF(Peak!Z172&gt;Peak!$G172,T$8*$X171,0))</f>
        <v>0</v>
      </c>
      <c r="U171" s="172">
        <f>IF('Peak Revenue'!$A$1="BL","-",IF(Peak!AA172&gt;Peak!$G172,U$8*$X171,0))</f>
        <v>0</v>
      </c>
      <c r="V171" s="175">
        <f t="shared" si="4"/>
        <v>212.5466990010288</v>
      </c>
      <c r="W171" s="164"/>
      <c r="X171" s="473">
        <f>CHOOSE(QUOTIENT(MONTH($A171),3)+1,Peak!$AM$11,Peak!$AN$11,Peak!$AL$11,Peak!$AO$11,Peak!$AM$11)</f>
        <v>0.96612135909558572</v>
      </c>
      <c r="Y171" s="474">
        <f>CHOOSE(QUOTIENT(MONTH($A171),3)+1,Peak!$AM$17,Peak!$AN$17,Peak!$AL$17,Peak!$AO$17,Peak!$AM$17)</f>
        <v>705</v>
      </c>
    </row>
    <row r="172" spans="1:25" x14ac:dyDescent="0.2">
      <c r="A172" s="1">
        <f t="shared" si="5"/>
        <v>41467.554000000207</v>
      </c>
      <c r="B172" s="172">
        <f>IF('Peak Revenue'!$A$1="BL","-",IF(Peak!H173&gt;Peak!$G173,B$8*$X172,0))</f>
        <v>4.8306067954779284</v>
      </c>
      <c r="C172" s="172">
        <f>IF('Peak Revenue'!$A$1="BL","-",IF(Peak!I173&gt;Peak!$G173,C$8*$X172,0))</f>
        <v>4.8306067954779284</v>
      </c>
      <c r="D172" s="172">
        <f>IF('Peak Revenue'!$A$1="BL","-",IF(Peak!J173&gt;Peak!$G173,D$8*$X172,0))</f>
        <v>9.6612135909558567</v>
      </c>
      <c r="E172" s="172">
        <f>IF('Peak Revenue'!$A$1="BL","-",IF(Peak!K173&gt;Peak!$G173,E$8*$X172,0))</f>
        <v>19.322427181911713</v>
      </c>
      <c r="F172" s="172">
        <f>IF('Peak Revenue'!$A$1="BL","-",IF(Peak!L173&gt;Peak!$G173,F$8*$X172,0))</f>
        <v>19.322427181911713</v>
      </c>
      <c r="G172" s="172">
        <f>IF('Peak Revenue'!$A$1="BL","-",IF(Peak!M173&gt;Peak!$G173,G$8*$X172,0))</f>
        <v>38.644854363823427</v>
      </c>
      <c r="H172" s="172">
        <f>IF('Peak Revenue'!$A$1="BL","-",IF(Peak!N173&gt;Peak!$G173,H$8*$X172,0))</f>
        <v>38.644854363823427</v>
      </c>
      <c r="I172" s="172">
        <f>IF('Peak Revenue'!$A$1="BL","-",IF(Peak!O173&gt;Peak!$G173,I$8*$X172,0))</f>
        <v>38.644854363823427</v>
      </c>
      <c r="J172" s="172">
        <f>IF('Peak Revenue'!$A$1="BL","-",IF(Peak!P173&gt;Peak!$G173,J$8*$X172,0))</f>
        <v>38.644854363823427</v>
      </c>
      <c r="K172" s="172">
        <f>IF('Peak Revenue'!$A$1="BL","-",IF(Peak!Q173&gt;Peak!$G173,K$8*$X172,0))</f>
        <v>38.644854363823427</v>
      </c>
      <c r="L172" s="172">
        <f>IF('Peak Revenue'!$A$1="BL","-",IF(Peak!R173&gt;Peak!$G173,L$8*$X172,0))</f>
        <v>38.644854363823427</v>
      </c>
      <c r="M172" s="172">
        <f>IF('Peak Revenue'!$A$1="BL","-",IF(Peak!S173&gt;Peak!$G173,M$8*$X172,0))</f>
        <v>0</v>
      </c>
      <c r="N172" s="172">
        <f>IF('Peak Revenue'!$A$1="BL","-",IF(Peak!T173&gt;Peak!$G173,N$8*$X172,0))</f>
        <v>0</v>
      </c>
      <c r="O172" s="172">
        <f>IF('Peak Revenue'!$A$1="BL","-",IF(Peak!U173&gt;Peak!$G173,O$8*$X172,0))</f>
        <v>0</v>
      </c>
      <c r="P172" s="172">
        <f>IF('Peak Revenue'!$A$1="BL","-",IF(Peak!V173&gt;Peak!$G173,P$8*$X172,0))</f>
        <v>0</v>
      </c>
      <c r="Q172" s="172">
        <f>IF('Peak Revenue'!$A$1="BL","-",IF(Peak!W173&gt;Peak!$G173,Q$8*$X172,0))</f>
        <v>0</v>
      </c>
      <c r="R172" s="172">
        <f>IF('Peak Revenue'!$A$1="BL","-",IF(Peak!X173&gt;Peak!$G173,R$8*$X172,0))</f>
        <v>0</v>
      </c>
      <c r="S172" s="172">
        <f>IF('Peak Revenue'!$A$1="BL","-",IF(Peak!Y173&gt;Peak!$G173,S$8*$X172,0))</f>
        <v>0</v>
      </c>
      <c r="T172" s="172">
        <f>IF('Peak Revenue'!$A$1="BL","-",IF(Peak!Z173&gt;Peak!$G173,T$8*$X172,0))</f>
        <v>0</v>
      </c>
      <c r="U172" s="172">
        <f>IF('Peak Revenue'!$A$1="BL","-",IF(Peak!AA173&gt;Peak!$G173,U$8*$X172,0))</f>
        <v>0</v>
      </c>
      <c r="V172" s="175">
        <f t="shared" si="4"/>
        <v>289.83640772867562</v>
      </c>
      <c r="W172" s="164"/>
      <c r="X172" s="473">
        <f>CHOOSE(QUOTIENT(MONTH($A172),3)+1,Peak!$AM$11,Peak!$AN$11,Peak!$AL$11,Peak!$AO$11,Peak!$AM$11)</f>
        <v>0.96612135909558572</v>
      </c>
      <c r="Y172" s="474">
        <f>CHOOSE(QUOTIENT(MONTH($A172),3)+1,Peak!$AM$17,Peak!$AN$17,Peak!$AL$17,Peak!$AO$17,Peak!$AM$17)</f>
        <v>705</v>
      </c>
    </row>
    <row r="173" spans="1:25" x14ac:dyDescent="0.2">
      <c r="A173" s="1">
        <f t="shared" si="5"/>
        <v>41497.971000000209</v>
      </c>
      <c r="B173" s="172">
        <f>IF('Peak Revenue'!$A$1="BL","-",IF(Peak!H174&gt;Peak!$G174,B$8*$X173,0))</f>
        <v>4.8306067954779284</v>
      </c>
      <c r="C173" s="172">
        <f>IF('Peak Revenue'!$A$1="BL","-",IF(Peak!I174&gt;Peak!$G174,C$8*$X173,0))</f>
        <v>4.8306067954779284</v>
      </c>
      <c r="D173" s="172">
        <f>IF('Peak Revenue'!$A$1="BL","-",IF(Peak!J174&gt;Peak!$G174,D$8*$X173,0))</f>
        <v>9.6612135909558567</v>
      </c>
      <c r="E173" s="172">
        <f>IF('Peak Revenue'!$A$1="BL","-",IF(Peak!K174&gt;Peak!$G174,E$8*$X173,0))</f>
        <v>19.322427181911713</v>
      </c>
      <c r="F173" s="172">
        <f>IF('Peak Revenue'!$A$1="BL","-",IF(Peak!L174&gt;Peak!$G174,F$8*$X173,0))</f>
        <v>19.322427181911713</v>
      </c>
      <c r="G173" s="172">
        <f>IF('Peak Revenue'!$A$1="BL","-",IF(Peak!M174&gt;Peak!$G174,G$8*$X173,0))</f>
        <v>38.644854363823427</v>
      </c>
      <c r="H173" s="172">
        <f>IF('Peak Revenue'!$A$1="BL","-",IF(Peak!N174&gt;Peak!$G174,H$8*$X173,0))</f>
        <v>38.644854363823427</v>
      </c>
      <c r="I173" s="172">
        <f>IF('Peak Revenue'!$A$1="BL","-",IF(Peak!O174&gt;Peak!$G174,I$8*$X173,0))</f>
        <v>38.644854363823427</v>
      </c>
      <c r="J173" s="172">
        <f>IF('Peak Revenue'!$A$1="BL","-",IF(Peak!P174&gt;Peak!$G174,J$8*$X173,0))</f>
        <v>38.644854363823427</v>
      </c>
      <c r="K173" s="172">
        <f>IF('Peak Revenue'!$A$1="BL","-",IF(Peak!Q174&gt;Peak!$G174,K$8*$X173,0))</f>
        <v>38.644854363823427</v>
      </c>
      <c r="L173" s="172">
        <f>IF('Peak Revenue'!$A$1="BL","-",IF(Peak!R174&gt;Peak!$G174,L$8*$X173,0))</f>
        <v>38.644854363823427</v>
      </c>
      <c r="M173" s="172">
        <f>IF('Peak Revenue'!$A$1="BL","-",IF(Peak!S174&gt;Peak!$G174,M$8*$X173,0))</f>
        <v>0</v>
      </c>
      <c r="N173" s="172">
        <f>IF('Peak Revenue'!$A$1="BL","-",IF(Peak!T174&gt;Peak!$G174,N$8*$X173,0))</f>
        <v>0</v>
      </c>
      <c r="O173" s="172">
        <f>IF('Peak Revenue'!$A$1="BL","-",IF(Peak!U174&gt;Peak!$G174,O$8*$X173,0))</f>
        <v>0</v>
      </c>
      <c r="P173" s="172">
        <f>IF('Peak Revenue'!$A$1="BL","-",IF(Peak!V174&gt;Peak!$G174,P$8*$X173,0))</f>
        <v>0</v>
      </c>
      <c r="Q173" s="172">
        <f>IF('Peak Revenue'!$A$1="BL","-",IF(Peak!W174&gt;Peak!$G174,Q$8*$X173,0))</f>
        <v>0</v>
      </c>
      <c r="R173" s="172">
        <f>IF('Peak Revenue'!$A$1="BL","-",IF(Peak!X174&gt;Peak!$G174,R$8*$X173,0))</f>
        <v>0</v>
      </c>
      <c r="S173" s="172">
        <f>IF('Peak Revenue'!$A$1="BL","-",IF(Peak!Y174&gt;Peak!$G174,S$8*$X173,0))</f>
        <v>0</v>
      </c>
      <c r="T173" s="172">
        <f>IF('Peak Revenue'!$A$1="BL","-",IF(Peak!Z174&gt;Peak!$G174,T$8*$X173,0))</f>
        <v>0</v>
      </c>
      <c r="U173" s="172">
        <f>IF('Peak Revenue'!$A$1="BL","-",IF(Peak!AA174&gt;Peak!$G174,U$8*$X173,0))</f>
        <v>0</v>
      </c>
      <c r="V173" s="175">
        <f t="shared" si="4"/>
        <v>289.83640772867562</v>
      </c>
      <c r="W173" s="164"/>
      <c r="X173" s="473">
        <f>CHOOSE(QUOTIENT(MONTH($A173),3)+1,Peak!$AM$11,Peak!$AN$11,Peak!$AL$11,Peak!$AO$11,Peak!$AM$11)</f>
        <v>0.96612135909558572</v>
      </c>
      <c r="Y173" s="474">
        <f>CHOOSE(QUOTIENT(MONTH($A173),3)+1,Peak!$AM$17,Peak!$AN$17,Peak!$AL$17,Peak!$AO$17,Peak!$AM$17)</f>
        <v>705</v>
      </c>
    </row>
    <row r="174" spans="1:25" x14ac:dyDescent="0.2">
      <c r="A174" s="1">
        <f t="shared" si="5"/>
        <v>41528.38800000021</v>
      </c>
      <c r="B174" s="172">
        <f>IF('Peak Revenue'!$A$1="BL","-",IF(Peak!H175&gt;Peak!$G175,B$8*$X174,0))</f>
        <v>4.75</v>
      </c>
      <c r="C174" s="172">
        <f>IF('Peak Revenue'!$A$1="BL","-",IF(Peak!I175&gt;Peak!$G175,C$8*$X174,0))</f>
        <v>4.75</v>
      </c>
      <c r="D174" s="172">
        <f>IF('Peak Revenue'!$A$1="BL","-",IF(Peak!J175&gt;Peak!$G175,D$8*$X174,0))</f>
        <v>9.5</v>
      </c>
      <c r="E174" s="172">
        <f>IF('Peak Revenue'!$A$1="BL","-",IF(Peak!K175&gt;Peak!$G175,E$8*$X174,0))</f>
        <v>19</v>
      </c>
      <c r="F174" s="172">
        <f>IF('Peak Revenue'!$A$1="BL","-",IF(Peak!L175&gt;Peak!$G175,F$8*$X174,0))</f>
        <v>19</v>
      </c>
      <c r="G174" s="172">
        <f>IF('Peak Revenue'!$A$1="BL","-",IF(Peak!M175&gt;Peak!$G175,G$8*$X174,0))</f>
        <v>38</v>
      </c>
      <c r="H174" s="172">
        <f>IF('Peak Revenue'!$A$1="BL","-",IF(Peak!N175&gt;Peak!$G175,H$8*$X174,0))</f>
        <v>38</v>
      </c>
      <c r="I174" s="172">
        <f>IF('Peak Revenue'!$A$1="BL","-",IF(Peak!O175&gt;Peak!$G175,I$8*$X174,0))</f>
        <v>38</v>
      </c>
      <c r="J174" s="172">
        <f>IF('Peak Revenue'!$A$1="BL","-",IF(Peak!P175&gt;Peak!$G175,J$8*$X174,0))</f>
        <v>38</v>
      </c>
      <c r="K174" s="172">
        <f>IF('Peak Revenue'!$A$1="BL","-",IF(Peak!Q175&gt;Peak!$G175,K$8*$X174,0))</f>
        <v>38</v>
      </c>
      <c r="L174" s="172">
        <f>IF('Peak Revenue'!$A$1="BL","-",IF(Peak!R175&gt;Peak!$G175,L$8*$X174,0))</f>
        <v>0</v>
      </c>
      <c r="M174" s="172">
        <f>IF('Peak Revenue'!$A$1="BL","-",IF(Peak!S175&gt;Peak!$G175,M$8*$X174,0))</f>
        <v>0</v>
      </c>
      <c r="N174" s="172">
        <f>IF('Peak Revenue'!$A$1="BL","-",IF(Peak!T175&gt;Peak!$G175,N$8*$X174,0))</f>
        <v>0</v>
      </c>
      <c r="O174" s="172">
        <f>IF('Peak Revenue'!$A$1="BL","-",IF(Peak!U175&gt;Peak!$G175,O$8*$X174,0))</f>
        <v>0</v>
      </c>
      <c r="P174" s="172">
        <f>IF('Peak Revenue'!$A$1="BL","-",IF(Peak!V175&gt;Peak!$G175,P$8*$X174,0))</f>
        <v>0</v>
      </c>
      <c r="Q174" s="172">
        <f>IF('Peak Revenue'!$A$1="BL","-",IF(Peak!W175&gt;Peak!$G175,Q$8*$X174,0))</f>
        <v>0</v>
      </c>
      <c r="R174" s="172">
        <f>IF('Peak Revenue'!$A$1="BL","-",IF(Peak!X175&gt;Peak!$G175,R$8*$X174,0))</f>
        <v>0</v>
      </c>
      <c r="S174" s="172">
        <f>IF('Peak Revenue'!$A$1="BL","-",IF(Peak!Y175&gt;Peak!$G175,S$8*$X174,0))</f>
        <v>0</v>
      </c>
      <c r="T174" s="172">
        <f>IF('Peak Revenue'!$A$1="BL","-",IF(Peak!Z175&gt;Peak!$G175,T$8*$X174,0))</f>
        <v>0</v>
      </c>
      <c r="U174" s="172">
        <f>IF('Peak Revenue'!$A$1="BL","-",IF(Peak!AA175&gt;Peak!$G175,U$8*$X174,0))</f>
        <v>0</v>
      </c>
      <c r="V174" s="175">
        <f t="shared" si="4"/>
        <v>247</v>
      </c>
      <c r="W174" s="164"/>
      <c r="X174" s="473">
        <f>CHOOSE(QUOTIENT(MONTH($A174),3)+1,Peak!$AM$11,Peak!$AN$11,Peak!$AL$11,Peak!$AO$11,Peak!$AM$11)</f>
        <v>0.95</v>
      </c>
      <c r="Y174" s="474">
        <f>CHOOSE(QUOTIENT(MONTH($A174),3)+1,Peak!$AM$17,Peak!$AN$17,Peak!$AL$17,Peak!$AO$17,Peak!$AM$17)</f>
        <v>705</v>
      </c>
    </row>
    <row r="175" spans="1:25" x14ac:dyDescent="0.2">
      <c r="A175" s="1">
        <f t="shared" si="5"/>
        <v>41558.805000000211</v>
      </c>
      <c r="B175" s="172">
        <f>IF('Peak Revenue'!$A$1="BL","-",IF(Peak!H176&gt;Peak!$G176,B$8*$X175,0))</f>
        <v>4.75</v>
      </c>
      <c r="C175" s="172">
        <f>IF('Peak Revenue'!$A$1="BL","-",IF(Peak!I176&gt;Peak!$G176,C$8*$X175,0))</f>
        <v>4.75</v>
      </c>
      <c r="D175" s="172">
        <f>IF('Peak Revenue'!$A$1="BL","-",IF(Peak!J176&gt;Peak!$G176,D$8*$X175,0))</f>
        <v>9.5</v>
      </c>
      <c r="E175" s="172">
        <f>IF('Peak Revenue'!$A$1="BL","-",IF(Peak!K176&gt;Peak!$G176,E$8*$X175,0))</f>
        <v>19</v>
      </c>
      <c r="F175" s="172">
        <f>IF('Peak Revenue'!$A$1="BL","-",IF(Peak!L176&gt;Peak!$G176,F$8*$X175,0))</f>
        <v>19</v>
      </c>
      <c r="G175" s="172">
        <f>IF('Peak Revenue'!$A$1="BL","-",IF(Peak!M176&gt;Peak!$G176,G$8*$X175,0))</f>
        <v>38</v>
      </c>
      <c r="H175" s="172">
        <f>IF('Peak Revenue'!$A$1="BL","-",IF(Peak!N176&gt;Peak!$G176,H$8*$X175,0))</f>
        <v>38</v>
      </c>
      <c r="I175" s="172">
        <f>IF('Peak Revenue'!$A$1="BL","-",IF(Peak!O176&gt;Peak!$G176,I$8*$X175,0))</f>
        <v>38</v>
      </c>
      <c r="J175" s="172">
        <f>IF('Peak Revenue'!$A$1="BL","-",IF(Peak!P176&gt;Peak!$G176,J$8*$X175,0))</f>
        <v>38</v>
      </c>
      <c r="K175" s="172">
        <f>IF('Peak Revenue'!$A$1="BL","-",IF(Peak!Q176&gt;Peak!$G176,K$8*$X175,0))</f>
        <v>0</v>
      </c>
      <c r="L175" s="172">
        <f>IF('Peak Revenue'!$A$1="BL","-",IF(Peak!R176&gt;Peak!$G176,L$8*$X175,0))</f>
        <v>0</v>
      </c>
      <c r="M175" s="172">
        <f>IF('Peak Revenue'!$A$1="BL","-",IF(Peak!S176&gt;Peak!$G176,M$8*$X175,0))</f>
        <v>0</v>
      </c>
      <c r="N175" s="172">
        <f>IF('Peak Revenue'!$A$1="BL","-",IF(Peak!T176&gt;Peak!$G176,N$8*$X175,0))</f>
        <v>0</v>
      </c>
      <c r="O175" s="172">
        <f>IF('Peak Revenue'!$A$1="BL","-",IF(Peak!U176&gt;Peak!$G176,O$8*$X175,0))</f>
        <v>0</v>
      </c>
      <c r="P175" s="172">
        <f>IF('Peak Revenue'!$A$1="BL","-",IF(Peak!V176&gt;Peak!$G176,P$8*$X175,0))</f>
        <v>0</v>
      </c>
      <c r="Q175" s="172">
        <f>IF('Peak Revenue'!$A$1="BL","-",IF(Peak!W176&gt;Peak!$G176,Q$8*$X175,0))</f>
        <v>0</v>
      </c>
      <c r="R175" s="172">
        <f>IF('Peak Revenue'!$A$1="BL","-",IF(Peak!X176&gt;Peak!$G176,R$8*$X175,0))</f>
        <v>0</v>
      </c>
      <c r="S175" s="172">
        <f>IF('Peak Revenue'!$A$1="BL","-",IF(Peak!Y176&gt;Peak!$G176,S$8*$X175,0))</f>
        <v>0</v>
      </c>
      <c r="T175" s="172">
        <f>IF('Peak Revenue'!$A$1="BL","-",IF(Peak!Z176&gt;Peak!$G176,T$8*$X175,0))</f>
        <v>0</v>
      </c>
      <c r="U175" s="172">
        <f>IF('Peak Revenue'!$A$1="BL","-",IF(Peak!AA176&gt;Peak!$G176,U$8*$X175,0))</f>
        <v>0</v>
      </c>
      <c r="V175" s="175">
        <f t="shared" si="4"/>
        <v>209</v>
      </c>
      <c r="W175" s="164"/>
      <c r="X175" s="473">
        <f>CHOOSE(QUOTIENT(MONTH($A175),3)+1,Peak!$AM$11,Peak!$AN$11,Peak!$AL$11,Peak!$AO$11,Peak!$AM$11)</f>
        <v>0.95</v>
      </c>
      <c r="Y175" s="474">
        <f>CHOOSE(QUOTIENT(MONTH($A175),3)+1,Peak!$AM$17,Peak!$AN$17,Peak!$AL$17,Peak!$AO$17,Peak!$AM$17)</f>
        <v>705</v>
      </c>
    </row>
    <row r="176" spans="1:25" x14ac:dyDescent="0.2">
      <c r="A176" s="1">
        <f t="shared" si="5"/>
        <v>41589.222000000213</v>
      </c>
      <c r="B176" s="172">
        <f>IF('Peak Revenue'!$A$1="BL","-",IF(Peak!H177&gt;Peak!$G177,B$8*$X176,0))</f>
        <v>4.75</v>
      </c>
      <c r="C176" s="172">
        <f>IF('Peak Revenue'!$A$1="BL","-",IF(Peak!I177&gt;Peak!$G177,C$8*$X176,0))</f>
        <v>4.75</v>
      </c>
      <c r="D176" s="172">
        <f>IF('Peak Revenue'!$A$1="BL","-",IF(Peak!J177&gt;Peak!$G177,D$8*$X176,0))</f>
        <v>9.5</v>
      </c>
      <c r="E176" s="172">
        <f>IF('Peak Revenue'!$A$1="BL","-",IF(Peak!K177&gt;Peak!$G177,E$8*$X176,0))</f>
        <v>19</v>
      </c>
      <c r="F176" s="172">
        <f>IF('Peak Revenue'!$A$1="BL","-",IF(Peak!L177&gt;Peak!$G177,F$8*$X176,0))</f>
        <v>19</v>
      </c>
      <c r="G176" s="172">
        <f>IF('Peak Revenue'!$A$1="BL","-",IF(Peak!M177&gt;Peak!$G177,G$8*$X176,0))</f>
        <v>38</v>
      </c>
      <c r="H176" s="172">
        <f>IF('Peak Revenue'!$A$1="BL","-",IF(Peak!N177&gt;Peak!$G177,H$8*$X176,0))</f>
        <v>38</v>
      </c>
      <c r="I176" s="172">
        <f>IF('Peak Revenue'!$A$1="BL","-",IF(Peak!O177&gt;Peak!$G177,I$8*$X176,0))</f>
        <v>38</v>
      </c>
      <c r="J176" s="172">
        <f>IF('Peak Revenue'!$A$1="BL","-",IF(Peak!P177&gt;Peak!$G177,J$8*$X176,0))</f>
        <v>38</v>
      </c>
      <c r="K176" s="172">
        <f>IF('Peak Revenue'!$A$1="BL","-",IF(Peak!Q177&gt;Peak!$G177,K$8*$X176,0))</f>
        <v>38</v>
      </c>
      <c r="L176" s="172">
        <f>IF('Peak Revenue'!$A$1="BL","-",IF(Peak!R177&gt;Peak!$G177,L$8*$X176,0))</f>
        <v>0</v>
      </c>
      <c r="M176" s="172">
        <f>IF('Peak Revenue'!$A$1="BL","-",IF(Peak!S177&gt;Peak!$G177,M$8*$X176,0))</f>
        <v>0</v>
      </c>
      <c r="N176" s="172">
        <f>IF('Peak Revenue'!$A$1="BL","-",IF(Peak!T177&gt;Peak!$G177,N$8*$X176,0))</f>
        <v>0</v>
      </c>
      <c r="O176" s="172">
        <f>IF('Peak Revenue'!$A$1="BL","-",IF(Peak!U177&gt;Peak!$G177,O$8*$X176,0))</f>
        <v>0</v>
      </c>
      <c r="P176" s="172">
        <f>IF('Peak Revenue'!$A$1="BL","-",IF(Peak!V177&gt;Peak!$G177,P$8*$X176,0))</f>
        <v>0</v>
      </c>
      <c r="Q176" s="172">
        <f>IF('Peak Revenue'!$A$1="BL","-",IF(Peak!W177&gt;Peak!$G177,Q$8*$X176,0))</f>
        <v>0</v>
      </c>
      <c r="R176" s="172">
        <f>IF('Peak Revenue'!$A$1="BL","-",IF(Peak!X177&gt;Peak!$G177,R$8*$X176,0))</f>
        <v>0</v>
      </c>
      <c r="S176" s="172">
        <f>IF('Peak Revenue'!$A$1="BL","-",IF(Peak!Y177&gt;Peak!$G177,S$8*$X176,0))</f>
        <v>0</v>
      </c>
      <c r="T176" s="172">
        <f>IF('Peak Revenue'!$A$1="BL","-",IF(Peak!Z177&gt;Peak!$G177,T$8*$X176,0))</f>
        <v>0</v>
      </c>
      <c r="U176" s="172">
        <f>IF('Peak Revenue'!$A$1="BL","-",IF(Peak!AA177&gt;Peak!$G177,U$8*$X176,0))</f>
        <v>0</v>
      </c>
      <c r="V176" s="175">
        <f t="shared" si="4"/>
        <v>247</v>
      </c>
      <c r="W176" s="164"/>
      <c r="X176" s="473">
        <f>CHOOSE(QUOTIENT(MONTH($A176),3)+1,Peak!$AM$11,Peak!$AN$11,Peak!$AL$11,Peak!$AO$11,Peak!$AM$11)</f>
        <v>0.95</v>
      </c>
      <c r="Y176" s="474">
        <f>CHOOSE(QUOTIENT(MONTH($A176),3)+1,Peak!$AM$17,Peak!$AN$17,Peak!$AL$17,Peak!$AO$17,Peak!$AM$17)</f>
        <v>705</v>
      </c>
    </row>
    <row r="177" spans="1:25" x14ac:dyDescent="0.2">
      <c r="A177" s="1">
        <f t="shared" si="5"/>
        <v>41619.639000000214</v>
      </c>
      <c r="B177" s="172">
        <f>IF('Peak Revenue'!$A$1="BL","-",IF(Peak!H178&gt;Peak!$G178,B$8*$X177,0))</f>
        <v>4.6213830939305875</v>
      </c>
      <c r="C177" s="172">
        <f>IF('Peak Revenue'!$A$1="BL","-",IF(Peak!I178&gt;Peak!$G178,C$8*$X177,0))</f>
        <v>4.6213830939305875</v>
      </c>
      <c r="D177" s="172">
        <f>IF('Peak Revenue'!$A$1="BL","-",IF(Peak!J178&gt;Peak!$G178,D$8*$X177,0))</f>
        <v>9.2427661878611751</v>
      </c>
      <c r="E177" s="172">
        <f>IF('Peak Revenue'!$A$1="BL","-",IF(Peak!K178&gt;Peak!$G178,E$8*$X177,0))</f>
        <v>18.48553237572235</v>
      </c>
      <c r="F177" s="172">
        <f>IF('Peak Revenue'!$A$1="BL","-",IF(Peak!L178&gt;Peak!$G178,F$8*$X177,0))</f>
        <v>18.48553237572235</v>
      </c>
      <c r="G177" s="172">
        <f>IF('Peak Revenue'!$A$1="BL","-",IF(Peak!M178&gt;Peak!$G178,G$8*$X177,0))</f>
        <v>36.9710647514447</v>
      </c>
      <c r="H177" s="172">
        <f>IF('Peak Revenue'!$A$1="BL","-",IF(Peak!N178&gt;Peak!$G178,H$8*$X177,0))</f>
        <v>36.9710647514447</v>
      </c>
      <c r="I177" s="172">
        <f>IF('Peak Revenue'!$A$1="BL","-",IF(Peak!O178&gt;Peak!$G178,I$8*$X177,0))</f>
        <v>36.9710647514447</v>
      </c>
      <c r="J177" s="172">
        <f>IF('Peak Revenue'!$A$1="BL","-",IF(Peak!P178&gt;Peak!$G178,J$8*$X177,0))</f>
        <v>36.9710647514447</v>
      </c>
      <c r="K177" s="172">
        <f>IF('Peak Revenue'!$A$1="BL","-",IF(Peak!Q178&gt;Peak!$G178,K$8*$X177,0))</f>
        <v>36.9710647514447</v>
      </c>
      <c r="L177" s="172">
        <f>IF('Peak Revenue'!$A$1="BL","-",IF(Peak!R178&gt;Peak!$G178,L$8*$X177,0))</f>
        <v>36.9710647514447</v>
      </c>
      <c r="M177" s="172">
        <f>IF('Peak Revenue'!$A$1="BL","-",IF(Peak!S178&gt;Peak!$G178,M$8*$X177,0))</f>
        <v>0</v>
      </c>
      <c r="N177" s="172">
        <f>IF('Peak Revenue'!$A$1="BL","-",IF(Peak!T178&gt;Peak!$G178,N$8*$X177,0))</f>
        <v>0</v>
      </c>
      <c r="O177" s="172">
        <f>IF('Peak Revenue'!$A$1="BL","-",IF(Peak!U178&gt;Peak!$G178,O$8*$X177,0))</f>
        <v>0</v>
      </c>
      <c r="P177" s="172">
        <f>IF('Peak Revenue'!$A$1="BL","-",IF(Peak!V178&gt;Peak!$G178,P$8*$X177,0))</f>
        <v>0</v>
      </c>
      <c r="Q177" s="172">
        <f>IF('Peak Revenue'!$A$1="BL","-",IF(Peak!W178&gt;Peak!$G178,Q$8*$X177,0))</f>
        <v>0</v>
      </c>
      <c r="R177" s="172">
        <f>IF('Peak Revenue'!$A$1="BL","-",IF(Peak!X178&gt;Peak!$G178,R$8*$X177,0))</f>
        <v>0</v>
      </c>
      <c r="S177" s="172">
        <f>IF('Peak Revenue'!$A$1="BL","-",IF(Peak!Y178&gt;Peak!$G178,S$8*$X177,0))</f>
        <v>0</v>
      </c>
      <c r="T177" s="172">
        <f>IF('Peak Revenue'!$A$1="BL","-",IF(Peak!Z178&gt;Peak!$G178,T$8*$X177,0))</f>
        <v>0</v>
      </c>
      <c r="U177" s="172">
        <f>IF('Peak Revenue'!$A$1="BL","-",IF(Peak!AA178&gt;Peak!$G178,U$8*$X177,0))</f>
        <v>0</v>
      </c>
      <c r="V177" s="175">
        <f t="shared" si="4"/>
        <v>277.2829856358353</v>
      </c>
      <c r="W177" s="163">
        <f>SUM(V166:V177)</f>
        <v>2881.1552771115516</v>
      </c>
      <c r="X177" s="473">
        <f>CHOOSE(QUOTIENT(MONTH($A177),3)+1,Peak!$AM$11,Peak!$AN$11,Peak!$AL$11,Peak!$AO$11,Peak!$AM$11)</f>
        <v>0.92427661878611755</v>
      </c>
      <c r="Y177" s="474">
        <f>CHOOSE(QUOTIENT(MONTH($A177),3)+1,Peak!$AM$17,Peak!$AN$17,Peak!$AL$17,Peak!$AO$17,Peak!$AM$17)</f>
        <v>705</v>
      </c>
    </row>
    <row r="178" spans="1:25" x14ac:dyDescent="0.2">
      <c r="A178" s="1">
        <f t="shared" si="5"/>
        <v>41650.056000000215</v>
      </c>
      <c r="B178" s="172">
        <f>IF('Peak Revenue'!$A$1="BL","-",IF(Peak!H179&gt;Peak!$G179,B$8*$X178,0))</f>
        <v>4.6213830939305875</v>
      </c>
      <c r="C178" s="172">
        <f>IF('Peak Revenue'!$A$1="BL","-",IF(Peak!I179&gt;Peak!$G179,C$8*$X178,0))</f>
        <v>4.6213830939305875</v>
      </c>
      <c r="D178" s="172">
        <f>IF('Peak Revenue'!$A$1="BL","-",IF(Peak!J179&gt;Peak!$G179,D$8*$X178,0))</f>
        <v>9.2427661878611751</v>
      </c>
      <c r="E178" s="172">
        <f>IF('Peak Revenue'!$A$1="BL","-",IF(Peak!K179&gt;Peak!$G179,E$8*$X178,0))</f>
        <v>18.48553237572235</v>
      </c>
      <c r="F178" s="172">
        <f>IF('Peak Revenue'!$A$1="BL","-",IF(Peak!L179&gt;Peak!$G179,F$8*$X178,0))</f>
        <v>18.48553237572235</v>
      </c>
      <c r="G178" s="172">
        <f>IF('Peak Revenue'!$A$1="BL","-",IF(Peak!M179&gt;Peak!$G179,G$8*$X178,0))</f>
        <v>36.9710647514447</v>
      </c>
      <c r="H178" s="172">
        <f>IF('Peak Revenue'!$A$1="BL","-",IF(Peak!N179&gt;Peak!$G179,H$8*$X178,0))</f>
        <v>36.9710647514447</v>
      </c>
      <c r="I178" s="172">
        <f>IF('Peak Revenue'!$A$1="BL","-",IF(Peak!O179&gt;Peak!$G179,I$8*$X178,0))</f>
        <v>36.9710647514447</v>
      </c>
      <c r="J178" s="172">
        <f>IF('Peak Revenue'!$A$1="BL","-",IF(Peak!P179&gt;Peak!$G179,J$8*$X178,0))</f>
        <v>36.9710647514447</v>
      </c>
      <c r="K178" s="172">
        <f>IF('Peak Revenue'!$A$1="BL","-",IF(Peak!Q179&gt;Peak!$G179,K$8*$X178,0))</f>
        <v>0</v>
      </c>
      <c r="L178" s="172">
        <f>IF('Peak Revenue'!$A$1="BL","-",IF(Peak!R179&gt;Peak!$G179,L$8*$X178,0))</f>
        <v>0</v>
      </c>
      <c r="M178" s="172">
        <f>IF('Peak Revenue'!$A$1="BL","-",IF(Peak!S179&gt;Peak!$G179,M$8*$X178,0))</f>
        <v>0</v>
      </c>
      <c r="N178" s="172">
        <f>IF('Peak Revenue'!$A$1="BL","-",IF(Peak!T179&gt;Peak!$G179,N$8*$X178,0))</f>
        <v>0</v>
      </c>
      <c r="O178" s="172">
        <f>IF('Peak Revenue'!$A$1="BL","-",IF(Peak!U179&gt;Peak!$G179,O$8*$X178,0))</f>
        <v>0</v>
      </c>
      <c r="P178" s="172">
        <f>IF('Peak Revenue'!$A$1="BL","-",IF(Peak!V179&gt;Peak!$G179,P$8*$X178,0))</f>
        <v>0</v>
      </c>
      <c r="Q178" s="172">
        <f>IF('Peak Revenue'!$A$1="BL","-",IF(Peak!W179&gt;Peak!$G179,Q$8*$X178,0))</f>
        <v>0</v>
      </c>
      <c r="R178" s="172">
        <f>IF('Peak Revenue'!$A$1="BL","-",IF(Peak!X179&gt;Peak!$G179,R$8*$X178,0))</f>
        <v>0</v>
      </c>
      <c r="S178" s="172">
        <f>IF('Peak Revenue'!$A$1="BL","-",IF(Peak!Y179&gt;Peak!$G179,S$8*$X178,0))</f>
        <v>0</v>
      </c>
      <c r="T178" s="172">
        <f>IF('Peak Revenue'!$A$1="BL","-",IF(Peak!Z179&gt;Peak!$G179,T$8*$X178,0))</f>
        <v>0</v>
      </c>
      <c r="U178" s="172">
        <f>IF('Peak Revenue'!$A$1="BL","-",IF(Peak!AA179&gt;Peak!$G179,U$8*$X178,0))</f>
        <v>0</v>
      </c>
      <c r="V178" s="175">
        <f t="shared" si="4"/>
        <v>203.34085613294587</v>
      </c>
      <c r="W178" s="164"/>
      <c r="X178" s="473">
        <f>CHOOSE(QUOTIENT(MONTH($A178),3)+1,Peak!$AM$11,Peak!$AN$11,Peak!$AL$11,Peak!$AO$11,Peak!$AM$11)</f>
        <v>0.92427661878611755</v>
      </c>
      <c r="Y178" s="474">
        <f>CHOOSE(QUOTIENT(MONTH($A178),3)+1,Peak!$AM$17,Peak!$AN$17,Peak!$AL$17,Peak!$AO$17,Peak!$AM$17)</f>
        <v>705</v>
      </c>
    </row>
    <row r="179" spans="1:25" x14ac:dyDescent="0.2">
      <c r="A179" s="1">
        <f t="shared" si="5"/>
        <v>41680.473000000216</v>
      </c>
      <c r="B179" s="172">
        <f>IF('Peak Revenue'!$A$1="BL","-",IF(Peak!H180&gt;Peak!$G180,B$8*$X179,0))</f>
        <v>4.6213830939305875</v>
      </c>
      <c r="C179" s="172">
        <f>IF('Peak Revenue'!$A$1="BL","-",IF(Peak!I180&gt;Peak!$G180,C$8*$X179,0))</f>
        <v>4.6213830939305875</v>
      </c>
      <c r="D179" s="172">
        <f>IF('Peak Revenue'!$A$1="BL","-",IF(Peak!J180&gt;Peak!$G180,D$8*$X179,0))</f>
        <v>9.2427661878611751</v>
      </c>
      <c r="E179" s="172">
        <f>IF('Peak Revenue'!$A$1="BL","-",IF(Peak!K180&gt;Peak!$G180,E$8*$X179,0))</f>
        <v>18.48553237572235</v>
      </c>
      <c r="F179" s="172">
        <f>IF('Peak Revenue'!$A$1="BL","-",IF(Peak!L180&gt;Peak!$G180,F$8*$X179,0))</f>
        <v>18.48553237572235</v>
      </c>
      <c r="G179" s="172">
        <f>IF('Peak Revenue'!$A$1="BL","-",IF(Peak!M180&gt;Peak!$G180,G$8*$X179,0))</f>
        <v>36.9710647514447</v>
      </c>
      <c r="H179" s="172">
        <f>IF('Peak Revenue'!$A$1="BL","-",IF(Peak!N180&gt;Peak!$G180,H$8*$X179,0))</f>
        <v>36.9710647514447</v>
      </c>
      <c r="I179" s="172">
        <f>IF('Peak Revenue'!$A$1="BL","-",IF(Peak!O180&gt;Peak!$G180,I$8*$X179,0))</f>
        <v>36.9710647514447</v>
      </c>
      <c r="J179" s="172">
        <f>IF('Peak Revenue'!$A$1="BL","-",IF(Peak!P180&gt;Peak!$G180,J$8*$X179,0))</f>
        <v>36.9710647514447</v>
      </c>
      <c r="K179" s="172">
        <f>IF('Peak Revenue'!$A$1="BL","-",IF(Peak!Q180&gt;Peak!$G180,K$8*$X179,0))</f>
        <v>36.9710647514447</v>
      </c>
      <c r="L179" s="172">
        <f>IF('Peak Revenue'!$A$1="BL","-",IF(Peak!R180&gt;Peak!$G180,L$8*$X179,0))</f>
        <v>36.9710647514447</v>
      </c>
      <c r="M179" s="172">
        <f>IF('Peak Revenue'!$A$1="BL","-",IF(Peak!S180&gt;Peak!$G180,M$8*$X179,0))</f>
        <v>0</v>
      </c>
      <c r="N179" s="172">
        <f>IF('Peak Revenue'!$A$1="BL","-",IF(Peak!T180&gt;Peak!$G180,N$8*$X179,0))</f>
        <v>0</v>
      </c>
      <c r="O179" s="172">
        <f>IF('Peak Revenue'!$A$1="BL","-",IF(Peak!U180&gt;Peak!$G180,O$8*$X179,0))</f>
        <v>0</v>
      </c>
      <c r="P179" s="172">
        <f>IF('Peak Revenue'!$A$1="BL","-",IF(Peak!V180&gt;Peak!$G180,P$8*$X179,0))</f>
        <v>0</v>
      </c>
      <c r="Q179" s="172">
        <f>IF('Peak Revenue'!$A$1="BL","-",IF(Peak!W180&gt;Peak!$G180,Q$8*$X179,0))</f>
        <v>0</v>
      </c>
      <c r="R179" s="172">
        <f>IF('Peak Revenue'!$A$1="BL","-",IF(Peak!X180&gt;Peak!$G180,R$8*$X179,0))</f>
        <v>0</v>
      </c>
      <c r="S179" s="172">
        <f>IF('Peak Revenue'!$A$1="BL","-",IF(Peak!Y180&gt;Peak!$G180,S$8*$X179,0))</f>
        <v>0</v>
      </c>
      <c r="T179" s="172">
        <f>IF('Peak Revenue'!$A$1="BL","-",IF(Peak!Z180&gt;Peak!$G180,T$8*$X179,0))</f>
        <v>0</v>
      </c>
      <c r="U179" s="172">
        <f>IF('Peak Revenue'!$A$1="BL","-",IF(Peak!AA180&gt;Peak!$G180,U$8*$X179,0))</f>
        <v>0</v>
      </c>
      <c r="V179" s="175">
        <f t="shared" si="4"/>
        <v>277.2829856358353</v>
      </c>
      <c r="W179" s="164"/>
      <c r="X179" s="473">
        <f>CHOOSE(QUOTIENT(MONTH($A179),3)+1,Peak!$AM$11,Peak!$AN$11,Peak!$AL$11,Peak!$AO$11,Peak!$AM$11)</f>
        <v>0.92427661878611755</v>
      </c>
      <c r="Y179" s="474">
        <f>CHOOSE(QUOTIENT(MONTH($A179),3)+1,Peak!$AM$17,Peak!$AN$17,Peak!$AL$17,Peak!$AO$17,Peak!$AM$17)</f>
        <v>705</v>
      </c>
    </row>
    <row r="180" spans="1:25" x14ac:dyDescent="0.2">
      <c r="A180" s="1">
        <f t="shared" si="5"/>
        <v>41710.890000000218</v>
      </c>
      <c r="B180" s="172">
        <f>IF('Peak Revenue'!$A$1="BL","-",IF(Peak!H181&gt;Peak!$G181,B$8*$X180,0))</f>
        <v>4.75</v>
      </c>
      <c r="C180" s="172">
        <f>IF('Peak Revenue'!$A$1="BL","-",IF(Peak!I181&gt;Peak!$G181,C$8*$X180,0))</f>
        <v>4.75</v>
      </c>
      <c r="D180" s="172">
        <f>IF('Peak Revenue'!$A$1="BL","-",IF(Peak!J181&gt;Peak!$G181,D$8*$X180,0))</f>
        <v>9.5</v>
      </c>
      <c r="E180" s="172">
        <f>IF('Peak Revenue'!$A$1="BL","-",IF(Peak!K181&gt;Peak!$G181,E$8*$X180,0))</f>
        <v>19</v>
      </c>
      <c r="F180" s="172">
        <f>IF('Peak Revenue'!$A$1="BL","-",IF(Peak!L181&gt;Peak!$G181,F$8*$X180,0))</f>
        <v>19</v>
      </c>
      <c r="G180" s="172">
        <f>IF('Peak Revenue'!$A$1="BL","-",IF(Peak!M181&gt;Peak!$G181,G$8*$X180,0))</f>
        <v>38</v>
      </c>
      <c r="H180" s="172">
        <f>IF('Peak Revenue'!$A$1="BL","-",IF(Peak!N181&gt;Peak!$G181,H$8*$X180,0))</f>
        <v>38</v>
      </c>
      <c r="I180" s="172">
        <f>IF('Peak Revenue'!$A$1="BL","-",IF(Peak!O181&gt;Peak!$G181,I$8*$X180,0))</f>
        <v>38</v>
      </c>
      <c r="J180" s="172">
        <f>IF('Peak Revenue'!$A$1="BL","-",IF(Peak!P181&gt;Peak!$G181,J$8*$X180,0))</f>
        <v>38</v>
      </c>
      <c r="K180" s="172">
        <f>IF('Peak Revenue'!$A$1="BL","-",IF(Peak!Q181&gt;Peak!$G181,K$8*$X180,0))</f>
        <v>38</v>
      </c>
      <c r="L180" s="172">
        <f>IF('Peak Revenue'!$A$1="BL","-",IF(Peak!R181&gt;Peak!$G181,L$8*$X180,0))</f>
        <v>38</v>
      </c>
      <c r="M180" s="172">
        <f>IF('Peak Revenue'!$A$1="BL","-",IF(Peak!S181&gt;Peak!$G181,M$8*$X180,0))</f>
        <v>0</v>
      </c>
      <c r="N180" s="172">
        <f>IF('Peak Revenue'!$A$1="BL","-",IF(Peak!T181&gt;Peak!$G181,N$8*$X180,0))</f>
        <v>0</v>
      </c>
      <c r="O180" s="172">
        <f>IF('Peak Revenue'!$A$1="BL","-",IF(Peak!U181&gt;Peak!$G181,O$8*$X180,0))</f>
        <v>0</v>
      </c>
      <c r="P180" s="172">
        <f>IF('Peak Revenue'!$A$1="BL","-",IF(Peak!V181&gt;Peak!$G181,P$8*$X180,0))</f>
        <v>0</v>
      </c>
      <c r="Q180" s="172">
        <f>IF('Peak Revenue'!$A$1="BL","-",IF(Peak!W181&gt;Peak!$G181,Q$8*$X180,0))</f>
        <v>0</v>
      </c>
      <c r="R180" s="172">
        <f>IF('Peak Revenue'!$A$1="BL","-",IF(Peak!X181&gt;Peak!$G181,R$8*$X180,0))</f>
        <v>0</v>
      </c>
      <c r="S180" s="172">
        <f>IF('Peak Revenue'!$A$1="BL","-",IF(Peak!Y181&gt;Peak!$G181,S$8*$X180,0))</f>
        <v>0</v>
      </c>
      <c r="T180" s="172">
        <f>IF('Peak Revenue'!$A$1="BL","-",IF(Peak!Z181&gt;Peak!$G181,T$8*$X180,0))</f>
        <v>0</v>
      </c>
      <c r="U180" s="172">
        <f>IF('Peak Revenue'!$A$1="BL","-",IF(Peak!AA181&gt;Peak!$G181,U$8*$X180,0))</f>
        <v>0</v>
      </c>
      <c r="V180" s="175">
        <f t="shared" si="4"/>
        <v>285</v>
      </c>
      <c r="W180" s="164"/>
      <c r="X180" s="473">
        <f>CHOOSE(QUOTIENT(MONTH($A180),3)+1,Peak!$AM$11,Peak!$AN$11,Peak!$AL$11,Peak!$AO$11,Peak!$AM$11)</f>
        <v>0.95</v>
      </c>
      <c r="Y180" s="474">
        <f>CHOOSE(QUOTIENT(MONTH($A180),3)+1,Peak!$AM$17,Peak!$AN$17,Peak!$AL$17,Peak!$AO$17,Peak!$AM$17)</f>
        <v>705</v>
      </c>
    </row>
    <row r="181" spans="1:25" x14ac:dyDescent="0.2">
      <c r="A181" s="1">
        <f t="shared" si="5"/>
        <v>41741.307000000219</v>
      </c>
      <c r="B181" s="172">
        <f>IF('Peak Revenue'!$A$1="BL","-",IF(Peak!H182&gt;Peak!$G182,B$8*$X181,0))</f>
        <v>4.75</v>
      </c>
      <c r="C181" s="172">
        <f>IF('Peak Revenue'!$A$1="BL","-",IF(Peak!I182&gt;Peak!$G182,C$8*$X181,0))</f>
        <v>4.75</v>
      </c>
      <c r="D181" s="172">
        <f>IF('Peak Revenue'!$A$1="BL","-",IF(Peak!J182&gt;Peak!$G182,D$8*$X181,0))</f>
        <v>9.5</v>
      </c>
      <c r="E181" s="172">
        <f>IF('Peak Revenue'!$A$1="BL","-",IF(Peak!K182&gt;Peak!$G182,E$8*$X181,0))</f>
        <v>19</v>
      </c>
      <c r="F181" s="172">
        <f>IF('Peak Revenue'!$A$1="BL","-",IF(Peak!L182&gt;Peak!$G182,F$8*$X181,0))</f>
        <v>19</v>
      </c>
      <c r="G181" s="172">
        <f>IF('Peak Revenue'!$A$1="BL","-",IF(Peak!M182&gt;Peak!$G182,G$8*$X181,0))</f>
        <v>38</v>
      </c>
      <c r="H181" s="172">
        <f>IF('Peak Revenue'!$A$1="BL","-",IF(Peak!N182&gt;Peak!$G182,H$8*$X181,0))</f>
        <v>38</v>
      </c>
      <c r="I181" s="172">
        <f>IF('Peak Revenue'!$A$1="BL","-",IF(Peak!O182&gt;Peak!$G182,I$8*$X181,0))</f>
        <v>38</v>
      </c>
      <c r="J181" s="172">
        <f>IF('Peak Revenue'!$A$1="BL","-",IF(Peak!P182&gt;Peak!$G182,J$8*$X181,0))</f>
        <v>38</v>
      </c>
      <c r="K181" s="172">
        <f>IF('Peak Revenue'!$A$1="BL","-",IF(Peak!Q182&gt;Peak!$G182,K$8*$X181,0))</f>
        <v>0</v>
      </c>
      <c r="L181" s="172">
        <f>IF('Peak Revenue'!$A$1="BL","-",IF(Peak!R182&gt;Peak!$G182,L$8*$X181,0))</f>
        <v>0</v>
      </c>
      <c r="M181" s="172">
        <f>IF('Peak Revenue'!$A$1="BL","-",IF(Peak!S182&gt;Peak!$G182,M$8*$X181,0))</f>
        <v>0</v>
      </c>
      <c r="N181" s="172">
        <f>IF('Peak Revenue'!$A$1="BL","-",IF(Peak!T182&gt;Peak!$G182,N$8*$X181,0))</f>
        <v>0</v>
      </c>
      <c r="O181" s="172">
        <f>IF('Peak Revenue'!$A$1="BL","-",IF(Peak!U182&gt;Peak!$G182,O$8*$X181,0))</f>
        <v>0</v>
      </c>
      <c r="P181" s="172">
        <f>IF('Peak Revenue'!$A$1="BL","-",IF(Peak!V182&gt;Peak!$G182,P$8*$X181,0))</f>
        <v>0</v>
      </c>
      <c r="Q181" s="172">
        <f>IF('Peak Revenue'!$A$1="BL","-",IF(Peak!W182&gt;Peak!$G182,Q$8*$X181,0))</f>
        <v>0</v>
      </c>
      <c r="R181" s="172">
        <f>IF('Peak Revenue'!$A$1="BL","-",IF(Peak!X182&gt;Peak!$G182,R$8*$X181,0))</f>
        <v>0</v>
      </c>
      <c r="S181" s="172">
        <f>IF('Peak Revenue'!$A$1="BL","-",IF(Peak!Y182&gt;Peak!$G182,S$8*$X181,0))</f>
        <v>0</v>
      </c>
      <c r="T181" s="172">
        <f>IF('Peak Revenue'!$A$1="BL","-",IF(Peak!Z182&gt;Peak!$G182,T$8*$X181,0))</f>
        <v>0</v>
      </c>
      <c r="U181" s="172">
        <f>IF('Peak Revenue'!$A$1="BL","-",IF(Peak!AA182&gt;Peak!$G182,U$8*$X181,0))</f>
        <v>0</v>
      </c>
      <c r="V181" s="175">
        <f t="shared" si="4"/>
        <v>209</v>
      </c>
      <c r="W181" s="164"/>
      <c r="X181" s="473">
        <f>CHOOSE(QUOTIENT(MONTH($A181),3)+1,Peak!$AM$11,Peak!$AN$11,Peak!$AL$11,Peak!$AO$11,Peak!$AM$11)</f>
        <v>0.95</v>
      </c>
      <c r="Y181" s="474">
        <f>CHOOSE(QUOTIENT(MONTH($A181),3)+1,Peak!$AM$17,Peak!$AN$17,Peak!$AL$17,Peak!$AO$17,Peak!$AM$17)</f>
        <v>705</v>
      </c>
    </row>
    <row r="182" spans="1:25" x14ac:dyDescent="0.2">
      <c r="A182" s="1">
        <f t="shared" si="5"/>
        <v>41771.72400000022</v>
      </c>
      <c r="B182" s="172">
        <f>IF('Peak Revenue'!$A$1="BL","-",IF(Peak!H183&gt;Peak!$G183,B$8*$X182,0))</f>
        <v>4.75</v>
      </c>
      <c r="C182" s="172">
        <f>IF('Peak Revenue'!$A$1="BL","-",IF(Peak!I183&gt;Peak!$G183,C$8*$X182,0))</f>
        <v>4.75</v>
      </c>
      <c r="D182" s="172">
        <f>IF('Peak Revenue'!$A$1="BL","-",IF(Peak!J183&gt;Peak!$G183,D$8*$X182,0))</f>
        <v>9.5</v>
      </c>
      <c r="E182" s="172">
        <f>IF('Peak Revenue'!$A$1="BL","-",IF(Peak!K183&gt;Peak!$G183,E$8*$X182,0))</f>
        <v>19</v>
      </c>
      <c r="F182" s="172">
        <f>IF('Peak Revenue'!$A$1="BL","-",IF(Peak!L183&gt;Peak!$G183,F$8*$X182,0))</f>
        <v>19</v>
      </c>
      <c r="G182" s="172">
        <f>IF('Peak Revenue'!$A$1="BL","-",IF(Peak!M183&gt;Peak!$G183,G$8*$X182,0))</f>
        <v>38</v>
      </c>
      <c r="H182" s="172">
        <f>IF('Peak Revenue'!$A$1="BL","-",IF(Peak!N183&gt;Peak!$G183,H$8*$X182,0))</f>
        <v>38</v>
      </c>
      <c r="I182" s="172">
        <f>IF('Peak Revenue'!$A$1="BL","-",IF(Peak!O183&gt;Peak!$G183,I$8*$X182,0))</f>
        <v>38</v>
      </c>
      <c r="J182" s="172">
        <f>IF('Peak Revenue'!$A$1="BL","-",IF(Peak!P183&gt;Peak!$G183,J$8*$X182,0))</f>
        <v>0</v>
      </c>
      <c r="K182" s="172">
        <f>IF('Peak Revenue'!$A$1="BL","-",IF(Peak!Q183&gt;Peak!$G183,K$8*$X182,0))</f>
        <v>0</v>
      </c>
      <c r="L182" s="172">
        <f>IF('Peak Revenue'!$A$1="BL","-",IF(Peak!R183&gt;Peak!$G183,L$8*$X182,0))</f>
        <v>0</v>
      </c>
      <c r="M182" s="172">
        <f>IF('Peak Revenue'!$A$1="BL","-",IF(Peak!S183&gt;Peak!$G183,M$8*$X182,0))</f>
        <v>0</v>
      </c>
      <c r="N182" s="172">
        <f>IF('Peak Revenue'!$A$1="BL","-",IF(Peak!T183&gt;Peak!$G183,N$8*$X182,0))</f>
        <v>0</v>
      </c>
      <c r="O182" s="172">
        <f>IF('Peak Revenue'!$A$1="BL","-",IF(Peak!U183&gt;Peak!$G183,O$8*$X182,0))</f>
        <v>0</v>
      </c>
      <c r="P182" s="172">
        <f>IF('Peak Revenue'!$A$1="BL","-",IF(Peak!V183&gt;Peak!$G183,P$8*$X182,0))</f>
        <v>0</v>
      </c>
      <c r="Q182" s="172">
        <f>IF('Peak Revenue'!$A$1="BL","-",IF(Peak!W183&gt;Peak!$G183,Q$8*$X182,0))</f>
        <v>0</v>
      </c>
      <c r="R182" s="172">
        <f>IF('Peak Revenue'!$A$1="BL","-",IF(Peak!X183&gt;Peak!$G183,R$8*$X182,0))</f>
        <v>0</v>
      </c>
      <c r="S182" s="172">
        <f>IF('Peak Revenue'!$A$1="BL","-",IF(Peak!Y183&gt;Peak!$G183,S$8*$X182,0))</f>
        <v>0</v>
      </c>
      <c r="T182" s="172">
        <f>IF('Peak Revenue'!$A$1="BL","-",IF(Peak!Z183&gt;Peak!$G183,T$8*$X182,0))</f>
        <v>0</v>
      </c>
      <c r="U182" s="172">
        <f>IF('Peak Revenue'!$A$1="BL","-",IF(Peak!AA183&gt;Peak!$G183,U$8*$X182,0))</f>
        <v>0</v>
      </c>
      <c r="V182" s="175">
        <f t="shared" si="4"/>
        <v>171</v>
      </c>
      <c r="W182" s="164"/>
      <c r="X182" s="473">
        <f>CHOOSE(QUOTIENT(MONTH($A182),3)+1,Peak!$AM$11,Peak!$AN$11,Peak!$AL$11,Peak!$AO$11,Peak!$AM$11)</f>
        <v>0.95</v>
      </c>
      <c r="Y182" s="474">
        <f>CHOOSE(QUOTIENT(MONTH($A182),3)+1,Peak!$AM$17,Peak!$AN$17,Peak!$AL$17,Peak!$AO$17,Peak!$AM$17)</f>
        <v>705</v>
      </c>
    </row>
    <row r="183" spans="1:25" x14ac:dyDescent="0.2">
      <c r="A183" s="1">
        <f t="shared" si="5"/>
        <v>41802.141000000222</v>
      </c>
      <c r="B183" s="172">
        <f>IF('Peak Revenue'!$A$1="BL","-",IF(Peak!H184&gt;Peak!$G184,B$8*$X183,0))</f>
        <v>4.8306067954779284</v>
      </c>
      <c r="C183" s="172">
        <f>IF('Peak Revenue'!$A$1="BL","-",IF(Peak!I184&gt;Peak!$G184,C$8*$X183,0))</f>
        <v>4.8306067954779284</v>
      </c>
      <c r="D183" s="172">
        <f>IF('Peak Revenue'!$A$1="BL","-",IF(Peak!J184&gt;Peak!$G184,D$8*$X183,0))</f>
        <v>9.6612135909558567</v>
      </c>
      <c r="E183" s="172">
        <f>IF('Peak Revenue'!$A$1="BL","-",IF(Peak!K184&gt;Peak!$G184,E$8*$X183,0))</f>
        <v>19.322427181911713</v>
      </c>
      <c r="F183" s="172">
        <f>IF('Peak Revenue'!$A$1="BL","-",IF(Peak!L184&gt;Peak!$G184,F$8*$X183,0))</f>
        <v>19.322427181911713</v>
      </c>
      <c r="G183" s="172">
        <f>IF('Peak Revenue'!$A$1="BL","-",IF(Peak!M184&gt;Peak!$G184,G$8*$X183,0))</f>
        <v>38.644854363823427</v>
      </c>
      <c r="H183" s="172">
        <f>IF('Peak Revenue'!$A$1="BL","-",IF(Peak!N184&gt;Peak!$G184,H$8*$X183,0))</f>
        <v>38.644854363823427</v>
      </c>
      <c r="I183" s="172">
        <f>IF('Peak Revenue'!$A$1="BL","-",IF(Peak!O184&gt;Peak!$G184,I$8*$X183,0))</f>
        <v>38.644854363823427</v>
      </c>
      <c r="J183" s="172">
        <f>IF('Peak Revenue'!$A$1="BL","-",IF(Peak!P184&gt;Peak!$G184,J$8*$X183,0))</f>
        <v>38.644854363823427</v>
      </c>
      <c r="K183" s="172">
        <f>IF('Peak Revenue'!$A$1="BL","-",IF(Peak!Q184&gt;Peak!$G184,K$8*$X183,0))</f>
        <v>0</v>
      </c>
      <c r="L183" s="172">
        <f>IF('Peak Revenue'!$A$1="BL","-",IF(Peak!R184&gt;Peak!$G184,L$8*$X183,0))</f>
        <v>0</v>
      </c>
      <c r="M183" s="172">
        <f>IF('Peak Revenue'!$A$1="BL","-",IF(Peak!S184&gt;Peak!$G184,M$8*$X183,0))</f>
        <v>0</v>
      </c>
      <c r="N183" s="172">
        <f>IF('Peak Revenue'!$A$1="BL","-",IF(Peak!T184&gt;Peak!$G184,N$8*$X183,0))</f>
        <v>0</v>
      </c>
      <c r="O183" s="172">
        <f>IF('Peak Revenue'!$A$1="BL","-",IF(Peak!U184&gt;Peak!$G184,O$8*$X183,0))</f>
        <v>0</v>
      </c>
      <c r="P183" s="172">
        <f>IF('Peak Revenue'!$A$1="BL","-",IF(Peak!V184&gt;Peak!$G184,P$8*$X183,0))</f>
        <v>0</v>
      </c>
      <c r="Q183" s="172">
        <f>IF('Peak Revenue'!$A$1="BL","-",IF(Peak!W184&gt;Peak!$G184,Q$8*$X183,0))</f>
        <v>0</v>
      </c>
      <c r="R183" s="172">
        <f>IF('Peak Revenue'!$A$1="BL","-",IF(Peak!X184&gt;Peak!$G184,R$8*$X183,0))</f>
        <v>0</v>
      </c>
      <c r="S183" s="172">
        <f>IF('Peak Revenue'!$A$1="BL","-",IF(Peak!Y184&gt;Peak!$G184,S$8*$X183,0))</f>
        <v>0</v>
      </c>
      <c r="T183" s="172">
        <f>IF('Peak Revenue'!$A$1="BL","-",IF(Peak!Z184&gt;Peak!$G184,T$8*$X183,0))</f>
        <v>0</v>
      </c>
      <c r="U183" s="172">
        <f>IF('Peak Revenue'!$A$1="BL","-",IF(Peak!AA184&gt;Peak!$G184,U$8*$X183,0))</f>
        <v>0</v>
      </c>
      <c r="V183" s="175">
        <f t="shared" si="4"/>
        <v>212.5466990010288</v>
      </c>
      <c r="W183" s="164"/>
      <c r="X183" s="473">
        <f>CHOOSE(QUOTIENT(MONTH($A183),3)+1,Peak!$AM$11,Peak!$AN$11,Peak!$AL$11,Peak!$AO$11,Peak!$AM$11)</f>
        <v>0.96612135909558572</v>
      </c>
      <c r="Y183" s="474">
        <f>CHOOSE(QUOTIENT(MONTH($A183),3)+1,Peak!$AM$17,Peak!$AN$17,Peak!$AL$17,Peak!$AO$17,Peak!$AM$17)</f>
        <v>705</v>
      </c>
    </row>
    <row r="184" spans="1:25" x14ac:dyDescent="0.2">
      <c r="A184" s="1">
        <f t="shared" si="5"/>
        <v>41832.558000000223</v>
      </c>
      <c r="B184" s="172">
        <f>IF('Peak Revenue'!$A$1="BL","-",IF(Peak!H185&gt;Peak!$G185,B$8*$X184,0))</f>
        <v>4.8306067954779284</v>
      </c>
      <c r="C184" s="172">
        <f>IF('Peak Revenue'!$A$1="BL","-",IF(Peak!I185&gt;Peak!$G185,C$8*$X184,0))</f>
        <v>4.8306067954779284</v>
      </c>
      <c r="D184" s="172">
        <f>IF('Peak Revenue'!$A$1="BL","-",IF(Peak!J185&gt;Peak!$G185,D$8*$X184,0))</f>
        <v>9.6612135909558567</v>
      </c>
      <c r="E184" s="172">
        <f>IF('Peak Revenue'!$A$1="BL","-",IF(Peak!K185&gt;Peak!$G185,E$8*$X184,0))</f>
        <v>19.322427181911713</v>
      </c>
      <c r="F184" s="172">
        <f>IF('Peak Revenue'!$A$1="BL","-",IF(Peak!L185&gt;Peak!$G185,F$8*$X184,0))</f>
        <v>19.322427181911713</v>
      </c>
      <c r="G184" s="172">
        <f>IF('Peak Revenue'!$A$1="BL","-",IF(Peak!M185&gt;Peak!$G185,G$8*$X184,0))</f>
        <v>38.644854363823427</v>
      </c>
      <c r="H184" s="172">
        <f>IF('Peak Revenue'!$A$1="BL","-",IF(Peak!N185&gt;Peak!$G185,H$8*$X184,0))</f>
        <v>38.644854363823427</v>
      </c>
      <c r="I184" s="172">
        <f>IF('Peak Revenue'!$A$1="BL","-",IF(Peak!O185&gt;Peak!$G185,I$8*$X184,0))</f>
        <v>38.644854363823427</v>
      </c>
      <c r="J184" s="172">
        <f>IF('Peak Revenue'!$A$1="BL","-",IF(Peak!P185&gt;Peak!$G185,J$8*$X184,0))</f>
        <v>38.644854363823427</v>
      </c>
      <c r="K184" s="172">
        <f>IF('Peak Revenue'!$A$1="BL","-",IF(Peak!Q185&gt;Peak!$G185,K$8*$X184,0))</f>
        <v>38.644854363823427</v>
      </c>
      <c r="L184" s="172">
        <f>IF('Peak Revenue'!$A$1="BL","-",IF(Peak!R185&gt;Peak!$G185,L$8*$X184,0))</f>
        <v>0</v>
      </c>
      <c r="M184" s="172">
        <f>IF('Peak Revenue'!$A$1="BL","-",IF(Peak!S185&gt;Peak!$G185,M$8*$X184,0))</f>
        <v>0</v>
      </c>
      <c r="N184" s="172">
        <f>IF('Peak Revenue'!$A$1="BL","-",IF(Peak!T185&gt;Peak!$G185,N$8*$X184,0))</f>
        <v>0</v>
      </c>
      <c r="O184" s="172">
        <f>IF('Peak Revenue'!$A$1="BL","-",IF(Peak!U185&gt;Peak!$G185,O$8*$X184,0))</f>
        <v>0</v>
      </c>
      <c r="P184" s="172">
        <f>IF('Peak Revenue'!$A$1="BL","-",IF(Peak!V185&gt;Peak!$G185,P$8*$X184,0))</f>
        <v>0</v>
      </c>
      <c r="Q184" s="172">
        <f>IF('Peak Revenue'!$A$1="BL","-",IF(Peak!W185&gt;Peak!$G185,Q$8*$X184,0))</f>
        <v>0</v>
      </c>
      <c r="R184" s="172">
        <f>IF('Peak Revenue'!$A$1="BL","-",IF(Peak!X185&gt;Peak!$G185,R$8*$X184,0))</f>
        <v>0</v>
      </c>
      <c r="S184" s="172">
        <f>IF('Peak Revenue'!$A$1="BL","-",IF(Peak!Y185&gt;Peak!$G185,S$8*$X184,0))</f>
        <v>0</v>
      </c>
      <c r="T184" s="172">
        <f>IF('Peak Revenue'!$A$1="BL","-",IF(Peak!Z185&gt;Peak!$G185,T$8*$X184,0))</f>
        <v>0</v>
      </c>
      <c r="U184" s="172">
        <f>IF('Peak Revenue'!$A$1="BL","-",IF(Peak!AA185&gt;Peak!$G185,U$8*$X184,0))</f>
        <v>0</v>
      </c>
      <c r="V184" s="175">
        <f t="shared" si="4"/>
        <v>251.19155336485221</v>
      </c>
      <c r="W184" s="164"/>
      <c r="X184" s="473">
        <f>CHOOSE(QUOTIENT(MONTH($A184),3)+1,Peak!$AM$11,Peak!$AN$11,Peak!$AL$11,Peak!$AO$11,Peak!$AM$11)</f>
        <v>0.96612135909558572</v>
      </c>
      <c r="Y184" s="474">
        <f>CHOOSE(QUOTIENT(MONTH($A184),3)+1,Peak!$AM$17,Peak!$AN$17,Peak!$AL$17,Peak!$AO$17,Peak!$AM$17)</f>
        <v>705</v>
      </c>
    </row>
    <row r="185" spans="1:25" x14ac:dyDescent="0.2">
      <c r="A185" s="1">
        <f t="shared" si="5"/>
        <v>41862.975000000224</v>
      </c>
      <c r="B185" s="172">
        <f>IF('Peak Revenue'!$A$1="BL","-",IF(Peak!H186&gt;Peak!$G186,B$8*$X185,0))</f>
        <v>4.8306067954779284</v>
      </c>
      <c r="C185" s="172">
        <f>IF('Peak Revenue'!$A$1="BL","-",IF(Peak!I186&gt;Peak!$G186,C$8*$X185,0))</f>
        <v>4.8306067954779284</v>
      </c>
      <c r="D185" s="172">
        <f>IF('Peak Revenue'!$A$1="BL","-",IF(Peak!J186&gt;Peak!$G186,D$8*$X185,0))</f>
        <v>9.6612135909558567</v>
      </c>
      <c r="E185" s="172">
        <f>IF('Peak Revenue'!$A$1="BL","-",IF(Peak!K186&gt;Peak!$G186,E$8*$X185,0))</f>
        <v>19.322427181911713</v>
      </c>
      <c r="F185" s="172">
        <f>IF('Peak Revenue'!$A$1="BL","-",IF(Peak!L186&gt;Peak!$G186,F$8*$X185,0))</f>
        <v>19.322427181911713</v>
      </c>
      <c r="G185" s="172">
        <f>IF('Peak Revenue'!$A$1="BL","-",IF(Peak!M186&gt;Peak!$G186,G$8*$X185,0))</f>
        <v>38.644854363823427</v>
      </c>
      <c r="H185" s="172">
        <f>IF('Peak Revenue'!$A$1="BL","-",IF(Peak!N186&gt;Peak!$G186,H$8*$X185,0))</f>
        <v>38.644854363823427</v>
      </c>
      <c r="I185" s="172">
        <f>IF('Peak Revenue'!$A$1="BL","-",IF(Peak!O186&gt;Peak!$G186,I$8*$X185,0))</f>
        <v>38.644854363823427</v>
      </c>
      <c r="J185" s="172">
        <f>IF('Peak Revenue'!$A$1="BL","-",IF(Peak!P186&gt;Peak!$G186,J$8*$X185,0))</f>
        <v>38.644854363823427</v>
      </c>
      <c r="K185" s="172">
        <f>IF('Peak Revenue'!$A$1="BL","-",IF(Peak!Q186&gt;Peak!$G186,K$8*$X185,0))</f>
        <v>38.644854363823427</v>
      </c>
      <c r="L185" s="172">
        <f>IF('Peak Revenue'!$A$1="BL","-",IF(Peak!R186&gt;Peak!$G186,L$8*$X185,0))</f>
        <v>38.644854363823427</v>
      </c>
      <c r="M185" s="172">
        <f>IF('Peak Revenue'!$A$1="BL","-",IF(Peak!S186&gt;Peak!$G186,M$8*$X185,0))</f>
        <v>38.644854363823427</v>
      </c>
      <c r="N185" s="172">
        <f>IF('Peak Revenue'!$A$1="BL","-",IF(Peak!T186&gt;Peak!$G186,N$8*$X185,0))</f>
        <v>38.644854363823427</v>
      </c>
      <c r="O185" s="172">
        <f>IF('Peak Revenue'!$A$1="BL","-",IF(Peak!U186&gt;Peak!$G186,O$8*$X185,0))</f>
        <v>38.644854363823427</v>
      </c>
      <c r="P185" s="172">
        <f>IF('Peak Revenue'!$A$1="BL","-",IF(Peak!V186&gt;Peak!$G186,P$8*$X185,0))</f>
        <v>0</v>
      </c>
      <c r="Q185" s="172">
        <f>IF('Peak Revenue'!$A$1="BL","-",IF(Peak!W186&gt;Peak!$G186,Q$8*$X185,0))</f>
        <v>0</v>
      </c>
      <c r="R185" s="172">
        <f>IF('Peak Revenue'!$A$1="BL","-",IF(Peak!X186&gt;Peak!$G186,R$8*$X185,0))</f>
        <v>0</v>
      </c>
      <c r="S185" s="172">
        <f>IF('Peak Revenue'!$A$1="BL","-",IF(Peak!Y186&gt;Peak!$G186,S$8*$X185,0))</f>
        <v>0</v>
      </c>
      <c r="T185" s="172">
        <f>IF('Peak Revenue'!$A$1="BL","-",IF(Peak!Z186&gt;Peak!$G186,T$8*$X185,0))</f>
        <v>0</v>
      </c>
      <c r="U185" s="172">
        <f>IF('Peak Revenue'!$A$1="BL","-",IF(Peak!AA186&gt;Peak!$G186,U$8*$X185,0))</f>
        <v>0</v>
      </c>
      <c r="V185" s="175">
        <f t="shared" si="4"/>
        <v>405.77097082014586</v>
      </c>
      <c r="W185" s="164"/>
      <c r="X185" s="473">
        <f>CHOOSE(QUOTIENT(MONTH($A185),3)+1,Peak!$AM$11,Peak!$AN$11,Peak!$AL$11,Peak!$AO$11,Peak!$AM$11)</f>
        <v>0.96612135909558572</v>
      </c>
      <c r="Y185" s="474">
        <f>CHOOSE(QUOTIENT(MONTH($A185),3)+1,Peak!$AM$17,Peak!$AN$17,Peak!$AL$17,Peak!$AO$17,Peak!$AM$17)</f>
        <v>705</v>
      </c>
    </row>
    <row r="186" spans="1:25" x14ac:dyDescent="0.2">
      <c r="A186" s="1">
        <f t="shared" si="5"/>
        <v>41893.392000000225</v>
      </c>
      <c r="B186" s="172">
        <f>IF('Peak Revenue'!$A$1="BL","-",IF(Peak!H187&gt;Peak!$G187,B$8*$X186,0))</f>
        <v>4.75</v>
      </c>
      <c r="C186" s="172">
        <f>IF('Peak Revenue'!$A$1="BL","-",IF(Peak!I187&gt;Peak!$G187,C$8*$X186,0))</f>
        <v>4.75</v>
      </c>
      <c r="D186" s="172">
        <f>IF('Peak Revenue'!$A$1="BL","-",IF(Peak!J187&gt;Peak!$G187,D$8*$X186,0))</f>
        <v>9.5</v>
      </c>
      <c r="E186" s="172">
        <f>IF('Peak Revenue'!$A$1="BL","-",IF(Peak!K187&gt;Peak!$G187,E$8*$X186,0))</f>
        <v>19</v>
      </c>
      <c r="F186" s="172">
        <f>IF('Peak Revenue'!$A$1="BL","-",IF(Peak!L187&gt;Peak!$G187,F$8*$X186,0))</f>
        <v>19</v>
      </c>
      <c r="G186" s="172">
        <f>IF('Peak Revenue'!$A$1="BL","-",IF(Peak!M187&gt;Peak!$G187,G$8*$X186,0))</f>
        <v>38</v>
      </c>
      <c r="H186" s="172">
        <f>IF('Peak Revenue'!$A$1="BL","-",IF(Peak!N187&gt;Peak!$G187,H$8*$X186,0))</f>
        <v>38</v>
      </c>
      <c r="I186" s="172">
        <f>IF('Peak Revenue'!$A$1="BL","-",IF(Peak!O187&gt;Peak!$G187,I$8*$X186,0))</f>
        <v>38</v>
      </c>
      <c r="J186" s="172">
        <f>IF('Peak Revenue'!$A$1="BL","-",IF(Peak!P187&gt;Peak!$G187,J$8*$X186,0))</f>
        <v>38</v>
      </c>
      <c r="K186" s="172">
        <f>IF('Peak Revenue'!$A$1="BL","-",IF(Peak!Q187&gt;Peak!$G187,K$8*$X186,0))</f>
        <v>38</v>
      </c>
      <c r="L186" s="172">
        <f>IF('Peak Revenue'!$A$1="BL","-",IF(Peak!R187&gt;Peak!$G187,L$8*$X186,0))</f>
        <v>0</v>
      </c>
      <c r="M186" s="172">
        <f>IF('Peak Revenue'!$A$1="BL","-",IF(Peak!S187&gt;Peak!$G187,M$8*$X186,0))</f>
        <v>0</v>
      </c>
      <c r="N186" s="172">
        <f>IF('Peak Revenue'!$A$1="BL","-",IF(Peak!T187&gt;Peak!$G187,N$8*$X186,0))</f>
        <v>0</v>
      </c>
      <c r="O186" s="172">
        <f>IF('Peak Revenue'!$A$1="BL","-",IF(Peak!U187&gt;Peak!$G187,O$8*$X186,0))</f>
        <v>0</v>
      </c>
      <c r="P186" s="172">
        <f>IF('Peak Revenue'!$A$1="BL","-",IF(Peak!V187&gt;Peak!$G187,P$8*$X186,0))</f>
        <v>0</v>
      </c>
      <c r="Q186" s="172">
        <f>IF('Peak Revenue'!$A$1="BL","-",IF(Peak!W187&gt;Peak!$G187,Q$8*$X186,0))</f>
        <v>0</v>
      </c>
      <c r="R186" s="172">
        <f>IF('Peak Revenue'!$A$1="BL","-",IF(Peak!X187&gt;Peak!$G187,R$8*$X186,0))</f>
        <v>0</v>
      </c>
      <c r="S186" s="172">
        <f>IF('Peak Revenue'!$A$1="BL","-",IF(Peak!Y187&gt;Peak!$G187,S$8*$X186,0))</f>
        <v>0</v>
      </c>
      <c r="T186" s="172">
        <f>IF('Peak Revenue'!$A$1="BL","-",IF(Peak!Z187&gt;Peak!$G187,T$8*$X186,0))</f>
        <v>0</v>
      </c>
      <c r="U186" s="172">
        <f>IF('Peak Revenue'!$A$1="BL","-",IF(Peak!AA187&gt;Peak!$G187,U$8*$X186,0))</f>
        <v>0</v>
      </c>
      <c r="V186" s="175">
        <f t="shared" si="4"/>
        <v>247</v>
      </c>
      <c r="W186" s="164"/>
      <c r="X186" s="473">
        <f>CHOOSE(QUOTIENT(MONTH($A186),3)+1,Peak!$AM$11,Peak!$AN$11,Peak!$AL$11,Peak!$AO$11,Peak!$AM$11)</f>
        <v>0.95</v>
      </c>
      <c r="Y186" s="474">
        <f>CHOOSE(QUOTIENT(MONTH($A186),3)+1,Peak!$AM$17,Peak!$AN$17,Peak!$AL$17,Peak!$AO$17,Peak!$AM$17)</f>
        <v>705</v>
      </c>
    </row>
    <row r="187" spans="1:25" x14ac:dyDescent="0.2">
      <c r="A187" s="1">
        <f t="shared" si="5"/>
        <v>41923.809000000227</v>
      </c>
      <c r="B187" s="172">
        <f>IF('Peak Revenue'!$A$1="BL","-",IF(Peak!H188&gt;Peak!$G188,B$8*$X187,0))</f>
        <v>4.75</v>
      </c>
      <c r="C187" s="172">
        <f>IF('Peak Revenue'!$A$1="BL","-",IF(Peak!I188&gt;Peak!$G188,C$8*$X187,0))</f>
        <v>4.75</v>
      </c>
      <c r="D187" s="172">
        <f>IF('Peak Revenue'!$A$1="BL","-",IF(Peak!J188&gt;Peak!$G188,D$8*$X187,0))</f>
        <v>9.5</v>
      </c>
      <c r="E187" s="172">
        <f>IF('Peak Revenue'!$A$1="BL","-",IF(Peak!K188&gt;Peak!$G188,E$8*$X187,0))</f>
        <v>19</v>
      </c>
      <c r="F187" s="172">
        <f>IF('Peak Revenue'!$A$1="BL","-",IF(Peak!L188&gt;Peak!$G188,F$8*$X187,0))</f>
        <v>19</v>
      </c>
      <c r="G187" s="172">
        <f>IF('Peak Revenue'!$A$1="BL","-",IF(Peak!M188&gt;Peak!$G188,G$8*$X187,0))</f>
        <v>38</v>
      </c>
      <c r="H187" s="172">
        <f>IF('Peak Revenue'!$A$1="BL","-",IF(Peak!N188&gt;Peak!$G188,H$8*$X187,0))</f>
        <v>38</v>
      </c>
      <c r="I187" s="172">
        <f>IF('Peak Revenue'!$A$1="BL","-",IF(Peak!O188&gt;Peak!$G188,I$8*$X187,0))</f>
        <v>38</v>
      </c>
      <c r="J187" s="172">
        <f>IF('Peak Revenue'!$A$1="BL","-",IF(Peak!P188&gt;Peak!$G188,J$8*$X187,0))</f>
        <v>38</v>
      </c>
      <c r="K187" s="172">
        <f>IF('Peak Revenue'!$A$1="BL","-",IF(Peak!Q188&gt;Peak!$G188,K$8*$X187,0))</f>
        <v>38</v>
      </c>
      <c r="L187" s="172">
        <f>IF('Peak Revenue'!$A$1="BL","-",IF(Peak!R188&gt;Peak!$G188,L$8*$X187,0))</f>
        <v>38</v>
      </c>
      <c r="M187" s="172">
        <f>IF('Peak Revenue'!$A$1="BL","-",IF(Peak!S188&gt;Peak!$G188,M$8*$X187,0))</f>
        <v>38</v>
      </c>
      <c r="N187" s="172">
        <f>IF('Peak Revenue'!$A$1="BL","-",IF(Peak!T188&gt;Peak!$G188,N$8*$X187,0))</f>
        <v>38</v>
      </c>
      <c r="O187" s="172">
        <f>IF('Peak Revenue'!$A$1="BL","-",IF(Peak!U188&gt;Peak!$G188,O$8*$X187,0))</f>
        <v>38</v>
      </c>
      <c r="P187" s="172">
        <f>IF('Peak Revenue'!$A$1="BL","-",IF(Peak!V188&gt;Peak!$G188,P$8*$X187,0))</f>
        <v>38</v>
      </c>
      <c r="Q187" s="172">
        <f>IF('Peak Revenue'!$A$1="BL","-",IF(Peak!W188&gt;Peak!$G188,Q$8*$X187,0))</f>
        <v>0</v>
      </c>
      <c r="R187" s="172">
        <f>IF('Peak Revenue'!$A$1="BL","-",IF(Peak!X188&gt;Peak!$G188,R$8*$X187,0))</f>
        <v>0</v>
      </c>
      <c r="S187" s="172">
        <f>IF('Peak Revenue'!$A$1="BL","-",IF(Peak!Y188&gt;Peak!$G188,S$8*$X187,0))</f>
        <v>0</v>
      </c>
      <c r="T187" s="172">
        <f>IF('Peak Revenue'!$A$1="BL","-",IF(Peak!Z188&gt;Peak!$G188,T$8*$X187,0))</f>
        <v>0</v>
      </c>
      <c r="U187" s="172">
        <f>IF('Peak Revenue'!$A$1="BL","-",IF(Peak!AA188&gt;Peak!$G188,U$8*$X187,0))</f>
        <v>0</v>
      </c>
      <c r="V187" s="175">
        <f t="shared" si="4"/>
        <v>437</v>
      </c>
      <c r="W187" s="164"/>
      <c r="X187" s="473">
        <f>CHOOSE(QUOTIENT(MONTH($A187),3)+1,Peak!$AM$11,Peak!$AN$11,Peak!$AL$11,Peak!$AO$11,Peak!$AM$11)</f>
        <v>0.95</v>
      </c>
      <c r="Y187" s="474">
        <f>CHOOSE(QUOTIENT(MONTH($A187),3)+1,Peak!$AM$17,Peak!$AN$17,Peak!$AL$17,Peak!$AO$17,Peak!$AM$17)</f>
        <v>705</v>
      </c>
    </row>
    <row r="188" spans="1:25" x14ac:dyDescent="0.2">
      <c r="A188" s="1">
        <f t="shared" si="5"/>
        <v>41954.226000000228</v>
      </c>
      <c r="B188" s="172">
        <f>IF('Peak Revenue'!$A$1="BL","-",IF(Peak!H189&gt;Peak!$G189,B$8*$X188,0))</f>
        <v>4.75</v>
      </c>
      <c r="C188" s="172">
        <f>IF('Peak Revenue'!$A$1="BL","-",IF(Peak!I189&gt;Peak!$G189,C$8*$X188,0))</f>
        <v>4.75</v>
      </c>
      <c r="D188" s="172">
        <f>IF('Peak Revenue'!$A$1="BL","-",IF(Peak!J189&gt;Peak!$G189,D$8*$X188,0))</f>
        <v>9.5</v>
      </c>
      <c r="E188" s="172">
        <f>IF('Peak Revenue'!$A$1="BL","-",IF(Peak!K189&gt;Peak!$G189,E$8*$X188,0))</f>
        <v>19</v>
      </c>
      <c r="F188" s="172">
        <f>IF('Peak Revenue'!$A$1="BL","-",IF(Peak!L189&gt;Peak!$G189,F$8*$X188,0))</f>
        <v>19</v>
      </c>
      <c r="G188" s="172">
        <f>IF('Peak Revenue'!$A$1="BL","-",IF(Peak!M189&gt;Peak!$G189,G$8*$X188,0))</f>
        <v>38</v>
      </c>
      <c r="H188" s="172">
        <f>IF('Peak Revenue'!$A$1="BL","-",IF(Peak!N189&gt;Peak!$G189,H$8*$X188,0))</f>
        <v>38</v>
      </c>
      <c r="I188" s="172">
        <f>IF('Peak Revenue'!$A$1="BL","-",IF(Peak!O189&gt;Peak!$G189,I$8*$X188,0))</f>
        <v>38</v>
      </c>
      <c r="J188" s="172">
        <f>IF('Peak Revenue'!$A$1="BL","-",IF(Peak!P189&gt;Peak!$G189,J$8*$X188,0))</f>
        <v>38</v>
      </c>
      <c r="K188" s="172">
        <f>IF('Peak Revenue'!$A$1="BL","-",IF(Peak!Q189&gt;Peak!$G189,K$8*$X188,0))</f>
        <v>0</v>
      </c>
      <c r="L188" s="172">
        <f>IF('Peak Revenue'!$A$1="BL","-",IF(Peak!R189&gt;Peak!$G189,L$8*$X188,0))</f>
        <v>0</v>
      </c>
      <c r="M188" s="172">
        <f>IF('Peak Revenue'!$A$1="BL","-",IF(Peak!S189&gt;Peak!$G189,M$8*$X188,0))</f>
        <v>0</v>
      </c>
      <c r="N188" s="172">
        <f>IF('Peak Revenue'!$A$1="BL","-",IF(Peak!T189&gt;Peak!$G189,N$8*$X188,0))</f>
        <v>0</v>
      </c>
      <c r="O188" s="172">
        <f>IF('Peak Revenue'!$A$1="BL","-",IF(Peak!U189&gt;Peak!$G189,O$8*$X188,0))</f>
        <v>0</v>
      </c>
      <c r="P188" s="172">
        <f>IF('Peak Revenue'!$A$1="BL","-",IF(Peak!V189&gt;Peak!$G189,P$8*$X188,0))</f>
        <v>0</v>
      </c>
      <c r="Q188" s="172">
        <f>IF('Peak Revenue'!$A$1="BL","-",IF(Peak!W189&gt;Peak!$G189,Q$8*$X188,0))</f>
        <v>0</v>
      </c>
      <c r="R188" s="172">
        <f>IF('Peak Revenue'!$A$1="BL","-",IF(Peak!X189&gt;Peak!$G189,R$8*$X188,0))</f>
        <v>0</v>
      </c>
      <c r="S188" s="172">
        <f>IF('Peak Revenue'!$A$1="BL","-",IF(Peak!Y189&gt;Peak!$G189,S$8*$X188,0))</f>
        <v>0</v>
      </c>
      <c r="T188" s="172">
        <f>IF('Peak Revenue'!$A$1="BL","-",IF(Peak!Z189&gt;Peak!$G189,T$8*$X188,0))</f>
        <v>0</v>
      </c>
      <c r="U188" s="172">
        <f>IF('Peak Revenue'!$A$1="BL","-",IF(Peak!AA189&gt;Peak!$G189,U$8*$X188,0))</f>
        <v>0</v>
      </c>
      <c r="V188" s="175">
        <f t="shared" si="4"/>
        <v>209</v>
      </c>
      <c r="W188" s="164"/>
      <c r="X188" s="473">
        <f>CHOOSE(QUOTIENT(MONTH($A188),3)+1,Peak!$AM$11,Peak!$AN$11,Peak!$AL$11,Peak!$AO$11,Peak!$AM$11)</f>
        <v>0.95</v>
      </c>
      <c r="Y188" s="474">
        <f>CHOOSE(QUOTIENT(MONTH($A188),3)+1,Peak!$AM$17,Peak!$AN$17,Peak!$AL$17,Peak!$AO$17,Peak!$AM$17)</f>
        <v>705</v>
      </c>
    </row>
    <row r="189" spans="1:25" x14ac:dyDescent="0.2">
      <c r="A189" s="1">
        <f t="shared" si="5"/>
        <v>41984.643000000229</v>
      </c>
      <c r="B189" s="172">
        <f>IF('Peak Revenue'!$A$1="BL","-",IF(Peak!H190&gt;Peak!$G190,B$8*$X189,0))</f>
        <v>4.6213830939305875</v>
      </c>
      <c r="C189" s="172">
        <f>IF('Peak Revenue'!$A$1="BL","-",IF(Peak!I190&gt;Peak!$G190,C$8*$X189,0))</f>
        <v>4.6213830939305875</v>
      </c>
      <c r="D189" s="172">
        <f>IF('Peak Revenue'!$A$1="BL","-",IF(Peak!J190&gt;Peak!$G190,D$8*$X189,0))</f>
        <v>9.2427661878611751</v>
      </c>
      <c r="E189" s="172">
        <f>IF('Peak Revenue'!$A$1="BL","-",IF(Peak!K190&gt;Peak!$G190,E$8*$X189,0))</f>
        <v>18.48553237572235</v>
      </c>
      <c r="F189" s="172">
        <f>IF('Peak Revenue'!$A$1="BL","-",IF(Peak!L190&gt;Peak!$G190,F$8*$X189,0))</f>
        <v>18.48553237572235</v>
      </c>
      <c r="G189" s="172">
        <f>IF('Peak Revenue'!$A$1="BL","-",IF(Peak!M190&gt;Peak!$G190,G$8*$X189,0))</f>
        <v>36.9710647514447</v>
      </c>
      <c r="H189" s="172">
        <f>IF('Peak Revenue'!$A$1="BL","-",IF(Peak!N190&gt;Peak!$G190,H$8*$X189,0))</f>
        <v>36.9710647514447</v>
      </c>
      <c r="I189" s="172">
        <f>IF('Peak Revenue'!$A$1="BL","-",IF(Peak!O190&gt;Peak!$G190,I$8*$X189,0))</f>
        <v>36.9710647514447</v>
      </c>
      <c r="J189" s="172">
        <f>IF('Peak Revenue'!$A$1="BL","-",IF(Peak!P190&gt;Peak!$G190,J$8*$X189,0))</f>
        <v>36.9710647514447</v>
      </c>
      <c r="K189" s="172">
        <f>IF('Peak Revenue'!$A$1="BL","-",IF(Peak!Q190&gt;Peak!$G190,K$8*$X189,0))</f>
        <v>0</v>
      </c>
      <c r="L189" s="172">
        <f>IF('Peak Revenue'!$A$1="BL","-",IF(Peak!R190&gt;Peak!$G190,L$8*$X189,0))</f>
        <v>0</v>
      </c>
      <c r="M189" s="172">
        <f>IF('Peak Revenue'!$A$1="BL","-",IF(Peak!S190&gt;Peak!$G190,M$8*$X189,0))</f>
        <v>0</v>
      </c>
      <c r="N189" s="172">
        <f>IF('Peak Revenue'!$A$1="BL","-",IF(Peak!T190&gt;Peak!$G190,N$8*$X189,0))</f>
        <v>0</v>
      </c>
      <c r="O189" s="172">
        <f>IF('Peak Revenue'!$A$1="BL","-",IF(Peak!U190&gt;Peak!$G190,O$8*$X189,0))</f>
        <v>0</v>
      </c>
      <c r="P189" s="172">
        <f>IF('Peak Revenue'!$A$1="BL","-",IF(Peak!V190&gt;Peak!$G190,P$8*$X189,0))</f>
        <v>0</v>
      </c>
      <c r="Q189" s="172">
        <f>IF('Peak Revenue'!$A$1="BL","-",IF(Peak!W190&gt;Peak!$G190,Q$8*$X189,0))</f>
        <v>0</v>
      </c>
      <c r="R189" s="172">
        <f>IF('Peak Revenue'!$A$1="BL","-",IF(Peak!X190&gt;Peak!$G190,R$8*$X189,0))</f>
        <v>0</v>
      </c>
      <c r="S189" s="172">
        <f>IF('Peak Revenue'!$A$1="BL","-",IF(Peak!Y190&gt;Peak!$G190,S$8*$X189,0))</f>
        <v>0</v>
      </c>
      <c r="T189" s="172">
        <f>IF('Peak Revenue'!$A$1="BL","-",IF(Peak!Z190&gt;Peak!$G190,T$8*$X189,0))</f>
        <v>0</v>
      </c>
      <c r="U189" s="172">
        <f>IF('Peak Revenue'!$A$1="BL","-",IF(Peak!AA190&gt;Peak!$G190,U$8*$X189,0))</f>
        <v>0</v>
      </c>
      <c r="V189" s="175">
        <f t="shared" si="4"/>
        <v>203.34085613294587</v>
      </c>
      <c r="W189" s="163">
        <f>SUM(V178:V189)</f>
        <v>3111.4739210877542</v>
      </c>
      <c r="X189" s="473">
        <f>CHOOSE(QUOTIENT(MONTH($A189),3)+1,Peak!$AM$11,Peak!$AN$11,Peak!$AL$11,Peak!$AO$11,Peak!$AM$11)</f>
        <v>0.92427661878611755</v>
      </c>
      <c r="Y189" s="474">
        <f>CHOOSE(QUOTIENT(MONTH($A189),3)+1,Peak!$AM$17,Peak!$AN$17,Peak!$AL$17,Peak!$AO$17,Peak!$AM$17)</f>
        <v>705</v>
      </c>
    </row>
    <row r="190" spans="1:25" x14ac:dyDescent="0.2">
      <c r="A190" s="1">
        <f t="shared" si="5"/>
        <v>42015.060000000231</v>
      </c>
      <c r="B190" s="172">
        <f>IF('Peak Revenue'!$A$1="BL","-",IF(Peak!H191&gt;Peak!$G191,B$8*$X190,0))</f>
        <v>4.6213830939305875</v>
      </c>
      <c r="C190" s="172">
        <f>IF('Peak Revenue'!$A$1="BL","-",IF(Peak!I191&gt;Peak!$G191,C$8*$X190,0))</f>
        <v>4.6213830939305875</v>
      </c>
      <c r="D190" s="172">
        <f>IF('Peak Revenue'!$A$1="BL","-",IF(Peak!J191&gt;Peak!$G191,D$8*$X190,0))</f>
        <v>9.2427661878611751</v>
      </c>
      <c r="E190" s="172">
        <f>IF('Peak Revenue'!$A$1="BL","-",IF(Peak!K191&gt;Peak!$G191,E$8*$X190,0))</f>
        <v>18.48553237572235</v>
      </c>
      <c r="F190" s="172">
        <f>IF('Peak Revenue'!$A$1="BL","-",IF(Peak!L191&gt;Peak!$G191,F$8*$X190,0))</f>
        <v>18.48553237572235</v>
      </c>
      <c r="G190" s="172">
        <f>IF('Peak Revenue'!$A$1="BL","-",IF(Peak!M191&gt;Peak!$G191,G$8*$X190,0))</f>
        <v>36.9710647514447</v>
      </c>
      <c r="H190" s="172">
        <f>IF('Peak Revenue'!$A$1="BL","-",IF(Peak!N191&gt;Peak!$G191,H$8*$X190,0))</f>
        <v>36.9710647514447</v>
      </c>
      <c r="I190" s="172">
        <f>IF('Peak Revenue'!$A$1="BL","-",IF(Peak!O191&gt;Peak!$G191,I$8*$X190,0))</f>
        <v>36.9710647514447</v>
      </c>
      <c r="J190" s="172">
        <f>IF('Peak Revenue'!$A$1="BL","-",IF(Peak!P191&gt;Peak!$G191,J$8*$X190,0))</f>
        <v>36.9710647514447</v>
      </c>
      <c r="K190" s="172">
        <f>IF('Peak Revenue'!$A$1="BL","-",IF(Peak!Q191&gt;Peak!$G191,K$8*$X190,0))</f>
        <v>36.9710647514447</v>
      </c>
      <c r="L190" s="172">
        <f>IF('Peak Revenue'!$A$1="BL","-",IF(Peak!R191&gt;Peak!$G191,L$8*$X190,0))</f>
        <v>36.9710647514447</v>
      </c>
      <c r="M190" s="172">
        <f>IF('Peak Revenue'!$A$1="BL","-",IF(Peak!S191&gt;Peak!$G191,M$8*$X190,0))</f>
        <v>0</v>
      </c>
      <c r="N190" s="172">
        <f>IF('Peak Revenue'!$A$1="BL","-",IF(Peak!T191&gt;Peak!$G191,N$8*$X190,0))</f>
        <v>0</v>
      </c>
      <c r="O190" s="172">
        <f>IF('Peak Revenue'!$A$1="BL","-",IF(Peak!U191&gt;Peak!$G191,O$8*$X190,0))</f>
        <v>0</v>
      </c>
      <c r="P190" s="172">
        <f>IF('Peak Revenue'!$A$1="BL","-",IF(Peak!V191&gt;Peak!$G191,P$8*$X190,0))</f>
        <v>0</v>
      </c>
      <c r="Q190" s="172">
        <f>IF('Peak Revenue'!$A$1="BL","-",IF(Peak!W191&gt;Peak!$G191,Q$8*$X190,0))</f>
        <v>0</v>
      </c>
      <c r="R190" s="172">
        <f>IF('Peak Revenue'!$A$1="BL","-",IF(Peak!X191&gt;Peak!$G191,R$8*$X190,0))</f>
        <v>0</v>
      </c>
      <c r="S190" s="172">
        <f>IF('Peak Revenue'!$A$1="BL","-",IF(Peak!Y191&gt;Peak!$G191,S$8*$X190,0))</f>
        <v>0</v>
      </c>
      <c r="T190" s="172">
        <f>IF('Peak Revenue'!$A$1="BL","-",IF(Peak!Z191&gt;Peak!$G191,T$8*$X190,0))</f>
        <v>0</v>
      </c>
      <c r="U190" s="172">
        <f>IF('Peak Revenue'!$A$1="BL","-",IF(Peak!AA191&gt;Peak!$G191,U$8*$X190,0))</f>
        <v>0</v>
      </c>
      <c r="V190" s="175">
        <f t="shared" si="4"/>
        <v>277.2829856358353</v>
      </c>
      <c r="W190" s="164"/>
      <c r="X190" s="473">
        <f>CHOOSE(QUOTIENT(MONTH($A190),3)+1,Peak!$AM$11,Peak!$AN$11,Peak!$AL$11,Peak!$AO$11,Peak!$AM$11)</f>
        <v>0.92427661878611755</v>
      </c>
      <c r="Y190" s="474">
        <f>CHOOSE(QUOTIENT(MONTH($A190),3)+1,Peak!$AM$17,Peak!$AN$17,Peak!$AL$17,Peak!$AO$17,Peak!$AM$17)</f>
        <v>705</v>
      </c>
    </row>
    <row r="191" spans="1:25" x14ac:dyDescent="0.2">
      <c r="A191" s="1">
        <f t="shared" si="5"/>
        <v>42045.477000000232</v>
      </c>
      <c r="B191" s="172">
        <f>IF('Peak Revenue'!$A$1="BL","-",IF(Peak!H192&gt;Peak!$G192,B$8*$X191,0))</f>
        <v>4.6213830939305875</v>
      </c>
      <c r="C191" s="172">
        <f>IF('Peak Revenue'!$A$1="BL","-",IF(Peak!I192&gt;Peak!$G192,C$8*$X191,0))</f>
        <v>4.6213830939305875</v>
      </c>
      <c r="D191" s="172">
        <f>IF('Peak Revenue'!$A$1="BL","-",IF(Peak!J192&gt;Peak!$G192,D$8*$X191,0))</f>
        <v>9.2427661878611751</v>
      </c>
      <c r="E191" s="172">
        <f>IF('Peak Revenue'!$A$1="BL","-",IF(Peak!K192&gt;Peak!$G192,E$8*$X191,0))</f>
        <v>18.48553237572235</v>
      </c>
      <c r="F191" s="172">
        <f>IF('Peak Revenue'!$A$1="BL","-",IF(Peak!L192&gt;Peak!$G192,F$8*$X191,0))</f>
        <v>18.48553237572235</v>
      </c>
      <c r="G191" s="172">
        <f>IF('Peak Revenue'!$A$1="BL","-",IF(Peak!M192&gt;Peak!$G192,G$8*$X191,0))</f>
        <v>36.9710647514447</v>
      </c>
      <c r="H191" s="172">
        <f>IF('Peak Revenue'!$A$1="BL","-",IF(Peak!N192&gt;Peak!$G192,H$8*$X191,0))</f>
        <v>36.9710647514447</v>
      </c>
      <c r="I191" s="172">
        <f>IF('Peak Revenue'!$A$1="BL","-",IF(Peak!O192&gt;Peak!$G192,I$8*$X191,0))</f>
        <v>36.9710647514447</v>
      </c>
      <c r="J191" s="172">
        <f>IF('Peak Revenue'!$A$1="BL","-",IF(Peak!P192&gt;Peak!$G192,J$8*$X191,0))</f>
        <v>36.9710647514447</v>
      </c>
      <c r="K191" s="172">
        <f>IF('Peak Revenue'!$A$1="BL","-",IF(Peak!Q192&gt;Peak!$G192,K$8*$X191,0))</f>
        <v>0</v>
      </c>
      <c r="L191" s="172">
        <f>IF('Peak Revenue'!$A$1="BL","-",IF(Peak!R192&gt;Peak!$G192,L$8*$X191,0))</f>
        <v>0</v>
      </c>
      <c r="M191" s="172">
        <f>IF('Peak Revenue'!$A$1="BL","-",IF(Peak!S192&gt;Peak!$G192,M$8*$X191,0))</f>
        <v>0</v>
      </c>
      <c r="N191" s="172">
        <f>IF('Peak Revenue'!$A$1="BL","-",IF(Peak!T192&gt;Peak!$G192,N$8*$X191,0))</f>
        <v>0</v>
      </c>
      <c r="O191" s="172">
        <f>IF('Peak Revenue'!$A$1="BL","-",IF(Peak!U192&gt;Peak!$G192,O$8*$X191,0))</f>
        <v>0</v>
      </c>
      <c r="P191" s="172">
        <f>IF('Peak Revenue'!$A$1="BL","-",IF(Peak!V192&gt;Peak!$G192,P$8*$X191,0))</f>
        <v>0</v>
      </c>
      <c r="Q191" s="172">
        <f>IF('Peak Revenue'!$A$1="BL","-",IF(Peak!W192&gt;Peak!$G192,Q$8*$X191,0))</f>
        <v>0</v>
      </c>
      <c r="R191" s="172">
        <f>IF('Peak Revenue'!$A$1="BL","-",IF(Peak!X192&gt;Peak!$G192,R$8*$X191,0))</f>
        <v>0</v>
      </c>
      <c r="S191" s="172">
        <f>IF('Peak Revenue'!$A$1="BL","-",IF(Peak!Y192&gt;Peak!$G192,S$8*$X191,0))</f>
        <v>0</v>
      </c>
      <c r="T191" s="172">
        <f>IF('Peak Revenue'!$A$1="BL","-",IF(Peak!Z192&gt;Peak!$G192,T$8*$X191,0))</f>
        <v>0</v>
      </c>
      <c r="U191" s="172">
        <f>IF('Peak Revenue'!$A$1="BL","-",IF(Peak!AA192&gt;Peak!$G192,U$8*$X191,0))</f>
        <v>0</v>
      </c>
      <c r="V191" s="175">
        <f t="shared" si="4"/>
        <v>203.34085613294587</v>
      </c>
      <c r="W191" s="164"/>
      <c r="X191" s="473">
        <f>CHOOSE(QUOTIENT(MONTH($A191),3)+1,Peak!$AM$11,Peak!$AN$11,Peak!$AL$11,Peak!$AO$11,Peak!$AM$11)</f>
        <v>0.92427661878611755</v>
      </c>
      <c r="Y191" s="474">
        <f>CHOOSE(QUOTIENT(MONTH($A191),3)+1,Peak!$AM$17,Peak!$AN$17,Peak!$AL$17,Peak!$AO$17,Peak!$AM$17)</f>
        <v>705</v>
      </c>
    </row>
    <row r="192" spans="1:25" x14ac:dyDescent="0.2">
      <c r="A192" s="1">
        <f t="shared" si="5"/>
        <v>42075.894000000233</v>
      </c>
      <c r="B192" s="172">
        <f>IF('Peak Revenue'!$A$1="BL","-",IF(Peak!H193&gt;Peak!$G193,B$8*$X192,0))</f>
        <v>4.75</v>
      </c>
      <c r="C192" s="172">
        <f>IF('Peak Revenue'!$A$1="BL","-",IF(Peak!I193&gt;Peak!$G193,C$8*$X192,0))</f>
        <v>4.75</v>
      </c>
      <c r="D192" s="172">
        <f>IF('Peak Revenue'!$A$1="BL","-",IF(Peak!J193&gt;Peak!$G193,D$8*$X192,0))</f>
        <v>9.5</v>
      </c>
      <c r="E192" s="172">
        <f>IF('Peak Revenue'!$A$1="BL","-",IF(Peak!K193&gt;Peak!$G193,E$8*$X192,0))</f>
        <v>19</v>
      </c>
      <c r="F192" s="172">
        <f>IF('Peak Revenue'!$A$1="BL","-",IF(Peak!L193&gt;Peak!$G193,F$8*$X192,0))</f>
        <v>19</v>
      </c>
      <c r="G192" s="172">
        <f>IF('Peak Revenue'!$A$1="BL","-",IF(Peak!M193&gt;Peak!$G193,G$8*$X192,0))</f>
        <v>38</v>
      </c>
      <c r="H192" s="172">
        <f>IF('Peak Revenue'!$A$1="BL","-",IF(Peak!N193&gt;Peak!$G193,H$8*$X192,0))</f>
        <v>38</v>
      </c>
      <c r="I192" s="172">
        <f>IF('Peak Revenue'!$A$1="BL","-",IF(Peak!O193&gt;Peak!$G193,I$8*$X192,0))</f>
        <v>38</v>
      </c>
      <c r="J192" s="172">
        <f>IF('Peak Revenue'!$A$1="BL","-",IF(Peak!P193&gt;Peak!$G193,J$8*$X192,0))</f>
        <v>38</v>
      </c>
      <c r="K192" s="172">
        <f>IF('Peak Revenue'!$A$1="BL","-",IF(Peak!Q193&gt;Peak!$G193,K$8*$X192,0))</f>
        <v>38</v>
      </c>
      <c r="L192" s="172">
        <f>IF('Peak Revenue'!$A$1="BL","-",IF(Peak!R193&gt;Peak!$G193,L$8*$X192,0))</f>
        <v>0</v>
      </c>
      <c r="M192" s="172">
        <f>IF('Peak Revenue'!$A$1="BL","-",IF(Peak!S193&gt;Peak!$G193,M$8*$X192,0))</f>
        <v>0</v>
      </c>
      <c r="N192" s="172">
        <f>IF('Peak Revenue'!$A$1="BL","-",IF(Peak!T193&gt;Peak!$G193,N$8*$X192,0))</f>
        <v>0</v>
      </c>
      <c r="O192" s="172">
        <f>IF('Peak Revenue'!$A$1="BL","-",IF(Peak!U193&gt;Peak!$G193,O$8*$X192,0))</f>
        <v>0</v>
      </c>
      <c r="P192" s="172">
        <f>IF('Peak Revenue'!$A$1="BL","-",IF(Peak!V193&gt;Peak!$G193,P$8*$X192,0))</f>
        <v>0</v>
      </c>
      <c r="Q192" s="172">
        <f>IF('Peak Revenue'!$A$1="BL","-",IF(Peak!W193&gt;Peak!$G193,Q$8*$X192,0))</f>
        <v>0</v>
      </c>
      <c r="R192" s="172">
        <f>IF('Peak Revenue'!$A$1="BL","-",IF(Peak!X193&gt;Peak!$G193,R$8*$X192,0))</f>
        <v>0</v>
      </c>
      <c r="S192" s="172">
        <f>IF('Peak Revenue'!$A$1="BL","-",IF(Peak!Y193&gt;Peak!$G193,S$8*$X192,0))</f>
        <v>0</v>
      </c>
      <c r="T192" s="172">
        <f>IF('Peak Revenue'!$A$1="BL","-",IF(Peak!Z193&gt;Peak!$G193,T$8*$X192,0))</f>
        <v>0</v>
      </c>
      <c r="U192" s="172">
        <f>IF('Peak Revenue'!$A$1="BL","-",IF(Peak!AA193&gt;Peak!$G193,U$8*$X192,0))</f>
        <v>0</v>
      </c>
      <c r="V192" s="175">
        <f t="shared" si="4"/>
        <v>247</v>
      </c>
      <c r="W192" s="164"/>
      <c r="X192" s="473">
        <f>CHOOSE(QUOTIENT(MONTH($A192),3)+1,Peak!$AM$11,Peak!$AN$11,Peak!$AL$11,Peak!$AO$11,Peak!$AM$11)</f>
        <v>0.95</v>
      </c>
      <c r="Y192" s="474">
        <f>CHOOSE(QUOTIENT(MONTH($A192),3)+1,Peak!$AM$17,Peak!$AN$17,Peak!$AL$17,Peak!$AO$17,Peak!$AM$17)</f>
        <v>705</v>
      </c>
    </row>
    <row r="193" spans="1:25" x14ac:dyDescent="0.2">
      <c r="A193" s="1">
        <f t="shared" si="5"/>
        <v>42106.311000000234</v>
      </c>
      <c r="B193" s="172">
        <f>IF('Peak Revenue'!$A$1="BL","-",IF(Peak!H194&gt;Peak!$G194,B$8*$X193,0))</f>
        <v>4.75</v>
      </c>
      <c r="C193" s="172">
        <f>IF('Peak Revenue'!$A$1="BL","-",IF(Peak!I194&gt;Peak!$G194,C$8*$X193,0))</f>
        <v>4.75</v>
      </c>
      <c r="D193" s="172">
        <f>IF('Peak Revenue'!$A$1="BL","-",IF(Peak!J194&gt;Peak!$G194,D$8*$X193,0))</f>
        <v>9.5</v>
      </c>
      <c r="E193" s="172">
        <f>IF('Peak Revenue'!$A$1="BL","-",IF(Peak!K194&gt;Peak!$G194,E$8*$X193,0))</f>
        <v>19</v>
      </c>
      <c r="F193" s="172">
        <f>IF('Peak Revenue'!$A$1="BL","-",IF(Peak!L194&gt;Peak!$G194,F$8*$X193,0))</f>
        <v>19</v>
      </c>
      <c r="G193" s="172">
        <f>IF('Peak Revenue'!$A$1="BL","-",IF(Peak!M194&gt;Peak!$G194,G$8*$X193,0))</f>
        <v>38</v>
      </c>
      <c r="H193" s="172">
        <f>IF('Peak Revenue'!$A$1="BL","-",IF(Peak!N194&gt;Peak!$G194,H$8*$X193,0))</f>
        <v>38</v>
      </c>
      <c r="I193" s="172">
        <f>IF('Peak Revenue'!$A$1="BL","-",IF(Peak!O194&gt;Peak!$G194,I$8*$X193,0))</f>
        <v>38</v>
      </c>
      <c r="J193" s="172">
        <f>IF('Peak Revenue'!$A$1="BL","-",IF(Peak!P194&gt;Peak!$G194,J$8*$X193,0))</f>
        <v>38</v>
      </c>
      <c r="K193" s="172">
        <f>IF('Peak Revenue'!$A$1="BL","-",IF(Peak!Q194&gt;Peak!$G194,K$8*$X193,0))</f>
        <v>38</v>
      </c>
      <c r="L193" s="172">
        <f>IF('Peak Revenue'!$A$1="BL","-",IF(Peak!R194&gt;Peak!$G194,L$8*$X193,0))</f>
        <v>38</v>
      </c>
      <c r="M193" s="172">
        <f>IF('Peak Revenue'!$A$1="BL","-",IF(Peak!S194&gt;Peak!$G194,M$8*$X193,0))</f>
        <v>0</v>
      </c>
      <c r="N193" s="172">
        <f>IF('Peak Revenue'!$A$1="BL","-",IF(Peak!T194&gt;Peak!$G194,N$8*$X193,0))</f>
        <v>0</v>
      </c>
      <c r="O193" s="172">
        <f>IF('Peak Revenue'!$A$1="BL","-",IF(Peak!U194&gt;Peak!$G194,O$8*$X193,0))</f>
        <v>0</v>
      </c>
      <c r="P193" s="172">
        <f>IF('Peak Revenue'!$A$1="BL","-",IF(Peak!V194&gt;Peak!$G194,P$8*$X193,0))</f>
        <v>0</v>
      </c>
      <c r="Q193" s="172">
        <f>IF('Peak Revenue'!$A$1="BL","-",IF(Peak!W194&gt;Peak!$G194,Q$8*$X193,0))</f>
        <v>0</v>
      </c>
      <c r="R193" s="172">
        <f>IF('Peak Revenue'!$A$1="BL","-",IF(Peak!X194&gt;Peak!$G194,R$8*$X193,0))</f>
        <v>0</v>
      </c>
      <c r="S193" s="172">
        <f>IF('Peak Revenue'!$A$1="BL","-",IF(Peak!Y194&gt;Peak!$G194,S$8*$X193,0))</f>
        <v>0</v>
      </c>
      <c r="T193" s="172">
        <f>IF('Peak Revenue'!$A$1="BL","-",IF(Peak!Z194&gt;Peak!$G194,T$8*$X193,0))</f>
        <v>0</v>
      </c>
      <c r="U193" s="172">
        <f>IF('Peak Revenue'!$A$1="BL","-",IF(Peak!AA194&gt;Peak!$G194,U$8*$X193,0))</f>
        <v>0</v>
      </c>
      <c r="V193" s="175">
        <f t="shared" si="4"/>
        <v>285</v>
      </c>
      <c r="W193" s="164"/>
      <c r="X193" s="473">
        <f>CHOOSE(QUOTIENT(MONTH($A193),3)+1,Peak!$AM$11,Peak!$AN$11,Peak!$AL$11,Peak!$AO$11,Peak!$AM$11)</f>
        <v>0.95</v>
      </c>
      <c r="Y193" s="474">
        <f>CHOOSE(QUOTIENT(MONTH($A193),3)+1,Peak!$AM$17,Peak!$AN$17,Peak!$AL$17,Peak!$AO$17,Peak!$AM$17)</f>
        <v>705</v>
      </c>
    </row>
    <row r="194" spans="1:25" x14ac:dyDescent="0.2">
      <c r="A194" s="1">
        <f t="shared" si="5"/>
        <v>42136.728000000236</v>
      </c>
      <c r="B194" s="172">
        <f>IF('Peak Revenue'!$A$1="BL","-",IF(Peak!H195&gt;Peak!$G195,B$8*$X194,0))</f>
        <v>4.75</v>
      </c>
      <c r="C194" s="172">
        <f>IF('Peak Revenue'!$A$1="BL","-",IF(Peak!I195&gt;Peak!$G195,C$8*$X194,0))</f>
        <v>4.75</v>
      </c>
      <c r="D194" s="172">
        <f>IF('Peak Revenue'!$A$1="BL","-",IF(Peak!J195&gt;Peak!$G195,D$8*$X194,0))</f>
        <v>9.5</v>
      </c>
      <c r="E194" s="172">
        <f>IF('Peak Revenue'!$A$1="BL","-",IF(Peak!K195&gt;Peak!$G195,E$8*$X194,0))</f>
        <v>19</v>
      </c>
      <c r="F194" s="172">
        <f>IF('Peak Revenue'!$A$1="BL","-",IF(Peak!L195&gt;Peak!$G195,F$8*$X194,0))</f>
        <v>19</v>
      </c>
      <c r="G194" s="172">
        <f>IF('Peak Revenue'!$A$1="BL","-",IF(Peak!M195&gt;Peak!$G195,G$8*$X194,0))</f>
        <v>38</v>
      </c>
      <c r="H194" s="172">
        <f>IF('Peak Revenue'!$A$1="BL","-",IF(Peak!N195&gt;Peak!$G195,H$8*$X194,0))</f>
        <v>38</v>
      </c>
      <c r="I194" s="172">
        <f>IF('Peak Revenue'!$A$1="BL","-",IF(Peak!O195&gt;Peak!$G195,I$8*$X194,0))</f>
        <v>38</v>
      </c>
      <c r="J194" s="172">
        <f>IF('Peak Revenue'!$A$1="BL","-",IF(Peak!P195&gt;Peak!$G195,J$8*$X194,0))</f>
        <v>0</v>
      </c>
      <c r="K194" s="172">
        <f>IF('Peak Revenue'!$A$1="BL","-",IF(Peak!Q195&gt;Peak!$G195,K$8*$X194,0))</f>
        <v>0</v>
      </c>
      <c r="L194" s="172">
        <f>IF('Peak Revenue'!$A$1="BL","-",IF(Peak!R195&gt;Peak!$G195,L$8*$X194,0))</f>
        <v>0</v>
      </c>
      <c r="M194" s="172">
        <f>IF('Peak Revenue'!$A$1="BL","-",IF(Peak!S195&gt;Peak!$G195,M$8*$X194,0))</f>
        <v>0</v>
      </c>
      <c r="N194" s="172">
        <f>IF('Peak Revenue'!$A$1="BL","-",IF(Peak!T195&gt;Peak!$G195,N$8*$X194,0))</f>
        <v>0</v>
      </c>
      <c r="O194" s="172">
        <f>IF('Peak Revenue'!$A$1="BL","-",IF(Peak!U195&gt;Peak!$G195,O$8*$X194,0))</f>
        <v>0</v>
      </c>
      <c r="P194" s="172">
        <f>IF('Peak Revenue'!$A$1="BL","-",IF(Peak!V195&gt;Peak!$G195,P$8*$X194,0))</f>
        <v>0</v>
      </c>
      <c r="Q194" s="172">
        <f>IF('Peak Revenue'!$A$1="BL","-",IF(Peak!W195&gt;Peak!$G195,Q$8*$X194,0))</f>
        <v>0</v>
      </c>
      <c r="R194" s="172">
        <f>IF('Peak Revenue'!$A$1="BL","-",IF(Peak!X195&gt;Peak!$G195,R$8*$X194,0))</f>
        <v>0</v>
      </c>
      <c r="S194" s="172">
        <f>IF('Peak Revenue'!$A$1="BL","-",IF(Peak!Y195&gt;Peak!$G195,S$8*$X194,0))</f>
        <v>0</v>
      </c>
      <c r="T194" s="172">
        <f>IF('Peak Revenue'!$A$1="BL","-",IF(Peak!Z195&gt;Peak!$G195,T$8*$X194,0))</f>
        <v>0</v>
      </c>
      <c r="U194" s="172">
        <f>IF('Peak Revenue'!$A$1="BL","-",IF(Peak!AA195&gt;Peak!$G195,U$8*$X194,0))</f>
        <v>0</v>
      </c>
      <c r="V194" s="175">
        <f t="shared" si="4"/>
        <v>171</v>
      </c>
      <c r="W194" s="164"/>
      <c r="X194" s="473">
        <f>CHOOSE(QUOTIENT(MONTH($A194),3)+1,Peak!$AM$11,Peak!$AN$11,Peak!$AL$11,Peak!$AO$11,Peak!$AM$11)</f>
        <v>0.95</v>
      </c>
      <c r="Y194" s="474">
        <f>CHOOSE(QUOTIENT(MONTH($A194),3)+1,Peak!$AM$17,Peak!$AN$17,Peak!$AL$17,Peak!$AO$17,Peak!$AM$17)</f>
        <v>705</v>
      </c>
    </row>
    <row r="195" spans="1:25" x14ac:dyDescent="0.2">
      <c r="A195" s="1">
        <f t="shared" si="5"/>
        <v>42167.145000000237</v>
      </c>
      <c r="B195" s="172">
        <f>IF('Peak Revenue'!$A$1="BL","-",IF(Peak!H196&gt;Peak!$G196,B$8*$X195,0))</f>
        <v>4.8306067954779284</v>
      </c>
      <c r="C195" s="172">
        <f>IF('Peak Revenue'!$A$1="BL","-",IF(Peak!I196&gt;Peak!$G196,C$8*$X195,0))</f>
        <v>4.8306067954779284</v>
      </c>
      <c r="D195" s="172">
        <f>IF('Peak Revenue'!$A$1="BL","-",IF(Peak!J196&gt;Peak!$G196,D$8*$X195,0))</f>
        <v>9.6612135909558567</v>
      </c>
      <c r="E195" s="172">
        <f>IF('Peak Revenue'!$A$1="BL","-",IF(Peak!K196&gt;Peak!$G196,E$8*$X195,0))</f>
        <v>19.322427181911713</v>
      </c>
      <c r="F195" s="172">
        <f>IF('Peak Revenue'!$A$1="BL","-",IF(Peak!L196&gt;Peak!$G196,F$8*$X195,0))</f>
        <v>19.322427181911713</v>
      </c>
      <c r="G195" s="172">
        <f>IF('Peak Revenue'!$A$1="BL","-",IF(Peak!M196&gt;Peak!$G196,G$8*$X195,0))</f>
        <v>38.644854363823427</v>
      </c>
      <c r="H195" s="172">
        <f>IF('Peak Revenue'!$A$1="BL","-",IF(Peak!N196&gt;Peak!$G196,H$8*$X195,0))</f>
        <v>38.644854363823427</v>
      </c>
      <c r="I195" s="172">
        <f>IF('Peak Revenue'!$A$1="BL","-",IF(Peak!O196&gt;Peak!$G196,I$8*$X195,0))</f>
        <v>38.644854363823427</v>
      </c>
      <c r="J195" s="172">
        <f>IF('Peak Revenue'!$A$1="BL","-",IF(Peak!P196&gt;Peak!$G196,J$8*$X195,0))</f>
        <v>38.644854363823427</v>
      </c>
      <c r="K195" s="172">
        <f>IF('Peak Revenue'!$A$1="BL","-",IF(Peak!Q196&gt;Peak!$G196,K$8*$X195,0))</f>
        <v>38.644854363823427</v>
      </c>
      <c r="L195" s="172">
        <f>IF('Peak Revenue'!$A$1="BL","-",IF(Peak!R196&gt;Peak!$G196,L$8*$X195,0))</f>
        <v>38.644854363823427</v>
      </c>
      <c r="M195" s="172">
        <f>IF('Peak Revenue'!$A$1="BL","-",IF(Peak!S196&gt;Peak!$G196,M$8*$X195,0))</f>
        <v>0</v>
      </c>
      <c r="N195" s="172">
        <f>IF('Peak Revenue'!$A$1="BL","-",IF(Peak!T196&gt;Peak!$G196,N$8*$X195,0))</f>
        <v>0</v>
      </c>
      <c r="O195" s="172">
        <f>IF('Peak Revenue'!$A$1="BL","-",IF(Peak!U196&gt;Peak!$G196,O$8*$X195,0))</f>
        <v>0</v>
      </c>
      <c r="P195" s="172">
        <f>IF('Peak Revenue'!$A$1="BL","-",IF(Peak!V196&gt;Peak!$G196,P$8*$X195,0))</f>
        <v>0</v>
      </c>
      <c r="Q195" s="172">
        <f>IF('Peak Revenue'!$A$1="BL","-",IF(Peak!W196&gt;Peak!$G196,Q$8*$X195,0))</f>
        <v>0</v>
      </c>
      <c r="R195" s="172">
        <f>IF('Peak Revenue'!$A$1="BL","-",IF(Peak!X196&gt;Peak!$G196,R$8*$X195,0))</f>
        <v>0</v>
      </c>
      <c r="S195" s="172">
        <f>IF('Peak Revenue'!$A$1="BL","-",IF(Peak!Y196&gt;Peak!$G196,S$8*$X195,0))</f>
        <v>0</v>
      </c>
      <c r="T195" s="172">
        <f>IF('Peak Revenue'!$A$1="BL","-",IF(Peak!Z196&gt;Peak!$G196,T$8*$X195,0))</f>
        <v>0</v>
      </c>
      <c r="U195" s="172">
        <f>IF('Peak Revenue'!$A$1="BL","-",IF(Peak!AA196&gt;Peak!$G196,U$8*$X195,0))</f>
        <v>0</v>
      </c>
      <c r="V195" s="175">
        <f t="shared" si="4"/>
        <v>289.83640772867562</v>
      </c>
      <c r="W195" s="164"/>
      <c r="X195" s="473">
        <f>CHOOSE(QUOTIENT(MONTH($A195),3)+1,Peak!$AM$11,Peak!$AN$11,Peak!$AL$11,Peak!$AO$11,Peak!$AM$11)</f>
        <v>0.96612135909558572</v>
      </c>
      <c r="Y195" s="474">
        <f>CHOOSE(QUOTIENT(MONTH($A195),3)+1,Peak!$AM$17,Peak!$AN$17,Peak!$AL$17,Peak!$AO$17,Peak!$AM$17)</f>
        <v>705</v>
      </c>
    </row>
    <row r="196" spans="1:25" x14ac:dyDescent="0.2">
      <c r="A196" s="1">
        <f t="shared" si="5"/>
        <v>42197.562000000238</v>
      </c>
      <c r="B196" s="172">
        <f>IF('Peak Revenue'!$A$1="BL","-",IF(Peak!H197&gt;Peak!$G197,B$8*$X196,0))</f>
        <v>4.8306067954779284</v>
      </c>
      <c r="C196" s="172">
        <f>IF('Peak Revenue'!$A$1="BL","-",IF(Peak!I197&gt;Peak!$G197,C$8*$X196,0))</f>
        <v>4.8306067954779284</v>
      </c>
      <c r="D196" s="172">
        <f>IF('Peak Revenue'!$A$1="BL","-",IF(Peak!J197&gt;Peak!$G197,D$8*$X196,0))</f>
        <v>9.6612135909558567</v>
      </c>
      <c r="E196" s="172">
        <f>IF('Peak Revenue'!$A$1="BL","-",IF(Peak!K197&gt;Peak!$G197,E$8*$X196,0))</f>
        <v>19.322427181911713</v>
      </c>
      <c r="F196" s="172">
        <f>IF('Peak Revenue'!$A$1="BL","-",IF(Peak!L197&gt;Peak!$G197,F$8*$X196,0))</f>
        <v>19.322427181911713</v>
      </c>
      <c r="G196" s="172">
        <f>IF('Peak Revenue'!$A$1="BL","-",IF(Peak!M197&gt;Peak!$G197,G$8*$X196,0))</f>
        <v>38.644854363823427</v>
      </c>
      <c r="H196" s="172">
        <f>IF('Peak Revenue'!$A$1="BL","-",IF(Peak!N197&gt;Peak!$G197,H$8*$X196,0))</f>
        <v>38.644854363823427</v>
      </c>
      <c r="I196" s="172">
        <f>IF('Peak Revenue'!$A$1="BL","-",IF(Peak!O197&gt;Peak!$G197,I$8*$X196,0))</f>
        <v>38.644854363823427</v>
      </c>
      <c r="J196" s="172">
        <f>IF('Peak Revenue'!$A$1="BL","-",IF(Peak!P197&gt;Peak!$G197,J$8*$X196,0))</f>
        <v>38.644854363823427</v>
      </c>
      <c r="K196" s="172">
        <f>IF('Peak Revenue'!$A$1="BL","-",IF(Peak!Q197&gt;Peak!$G197,K$8*$X196,0))</f>
        <v>38.644854363823427</v>
      </c>
      <c r="L196" s="172">
        <f>IF('Peak Revenue'!$A$1="BL","-",IF(Peak!R197&gt;Peak!$G197,L$8*$X196,0))</f>
        <v>38.644854363823427</v>
      </c>
      <c r="M196" s="172">
        <f>IF('Peak Revenue'!$A$1="BL","-",IF(Peak!S197&gt;Peak!$G197,M$8*$X196,0))</f>
        <v>0</v>
      </c>
      <c r="N196" s="172">
        <f>IF('Peak Revenue'!$A$1="BL","-",IF(Peak!T197&gt;Peak!$G197,N$8*$X196,0))</f>
        <v>0</v>
      </c>
      <c r="O196" s="172">
        <f>IF('Peak Revenue'!$A$1="BL","-",IF(Peak!U197&gt;Peak!$G197,O$8*$X196,0))</f>
        <v>0</v>
      </c>
      <c r="P196" s="172">
        <f>IF('Peak Revenue'!$A$1="BL","-",IF(Peak!V197&gt;Peak!$G197,P$8*$X196,0))</f>
        <v>0</v>
      </c>
      <c r="Q196" s="172">
        <f>IF('Peak Revenue'!$A$1="BL","-",IF(Peak!W197&gt;Peak!$G197,Q$8*$X196,0))</f>
        <v>0</v>
      </c>
      <c r="R196" s="172">
        <f>IF('Peak Revenue'!$A$1="BL","-",IF(Peak!X197&gt;Peak!$G197,R$8*$X196,0))</f>
        <v>0</v>
      </c>
      <c r="S196" s="172">
        <f>IF('Peak Revenue'!$A$1="BL","-",IF(Peak!Y197&gt;Peak!$G197,S$8*$X196,0))</f>
        <v>0</v>
      </c>
      <c r="T196" s="172">
        <f>IF('Peak Revenue'!$A$1="BL","-",IF(Peak!Z197&gt;Peak!$G197,T$8*$X196,0))</f>
        <v>0</v>
      </c>
      <c r="U196" s="172">
        <f>IF('Peak Revenue'!$A$1="BL","-",IF(Peak!AA197&gt;Peak!$G197,U$8*$X196,0))</f>
        <v>0</v>
      </c>
      <c r="V196" s="175">
        <f t="shared" si="4"/>
        <v>289.83640772867562</v>
      </c>
      <c r="W196" s="164"/>
      <c r="X196" s="473">
        <f>CHOOSE(QUOTIENT(MONTH($A196),3)+1,Peak!$AM$11,Peak!$AN$11,Peak!$AL$11,Peak!$AO$11,Peak!$AM$11)</f>
        <v>0.96612135909558572</v>
      </c>
      <c r="Y196" s="474">
        <f>CHOOSE(QUOTIENT(MONTH($A196),3)+1,Peak!$AM$17,Peak!$AN$17,Peak!$AL$17,Peak!$AO$17,Peak!$AM$17)</f>
        <v>705</v>
      </c>
    </row>
    <row r="197" spans="1:25" x14ac:dyDescent="0.2">
      <c r="A197" s="1">
        <f t="shared" si="5"/>
        <v>42227.979000000239</v>
      </c>
      <c r="B197" s="172">
        <f>IF('Peak Revenue'!$A$1="BL","-",IF(Peak!H198&gt;Peak!$G198,B$8*$X197,0))</f>
        <v>4.8306067954779284</v>
      </c>
      <c r="C197" s="172">
        <f>IF('Peak Revenue'!$A$1="BL","-",IF(Peak!I198&gt;Peak!$G198,C$8*$X197,0))</f>
        <v>4.8306067954779284</v>
      </c>
      <c r="D197" s="172">
        <f>IF('Peak Revenue'!$A$1="BL","-",IF(Peak!J198&gt;Peak!$G198,D$8*$X197,0))</f>
        <v>9.6612135909558567</v>
      </c>
      <c r="E197" s="172">
        <f>IF('Peak Revenue'!$A$1="BL","-",IF(Peak!K198&gt;Peak!$G198,E$8*$X197,0))</f>
        <v>19.322427181911713</v>
      </c>
      <c r="F197" s="172">
        <f>IF('Peak Revenue'!$A$1="BL","-",IF(Peak!L198&gt;Peak!$G198,F$8*$X197,0))</f>
        <v>19.322427181911713</v>
      </c>
      <c r="G197" s="172">
        <f>IF('Peak Revenue'!$A$1="BL","-",IF(Peak!M198&gt;Peak!$G198,G$8*$X197,0))</f>
        <v>38.644854363823427</v>
      </c>
      <c r="H197" s="172">
        <f>IF('Peak Revenue'!$A$1="BL","-",IF(Peak!N198&gt;Peak!$G198,H$8*$X197,0))</f>
        <v>38.644854363823427</v>
      </c>
      <c r="I197" s="172">
        <f>IF('Peak Revenue'!$A$1="BL","-",IF(Peak!O198&gt;Peak!$G198,I$8*$X197,0))</f>
        <v>38.644854363823427</v>
      </c>
      <c r="J197" s="172">
        <f>IF('Peak Revenue'!$A$1="BL","-",IF(Peak!P198&gt;Peak!$G198,J$8*$X197,0))</f>
        <v>38.644854363823427</v>
      </c>
      <c r="K197" s="172">
        <f>IF('Peak Revenue'!$A$1="BL","-",IF(Peak!Q198&gt;Peak!$G198,K$8*$X197,0))</f>
        <v>38.644854363823427</v>
      </c>
      <c r="L197" s="172">
        <f>IF('Peak Revenue'!$A$1="BL","-",IF(Peak!R198&gt;Peak!$G198,L$8*$X197,0))</f>
        <v>38.644854363823427</v>
      </c>
      <c r="M197" s="172">
        <f>IF('Peak Revenue'!$A$1="BL","-",IF(Peak!S198&gt;Peak!$G198,M$8*$X197,0))</f>
        <v>0</v>
      </c>
      <c r="N197" s="172">
        <f>IF('Peak Revenue'!$A$1="BL","-",IF(Peak!T198&gt;Peak!$G198,N$8*$X197,0))</f>
        <v>0</v>
      </c>
      <c r="O197" s="172">
        <f>IF('Peak Revenue'!$A$1="BL","-",IF(Peak!U198&gt;Peak!$G198,O$8*$X197,0))</f>
        <v>0</v>
      </c>
      <c r="P197" s="172">
        <f>IF('Peak Revenue'!$A$1="BL","-",IF(Peak!V198&gt;Peak!$G198,P$8*$X197,0))</f>
        <v>0</v>
      </c>
      <c r="Q197" s="172">
        <f>IF('Peak Revenue'!$A$1="BL","-",IF(Peak!W198&gt;Peak!$G198,Q$8*$X197,0))</f>
        <v>0</v>
      </c>
      <c r="R197" s="172">
        <f>IF('Peak Revenue'!$A$1="BL","-",IF(Peak!X198&gt;Peak!$G198,R$8*$X197,0))</f>
        <v>0</v>
      </c>
      <c r="S197" s="172">
        <f>IF('Peak Revenue'!$A$1="BL","-",IF(Peak!Y198&gt;Peak!$G198,S$8*$X197,0))</f>
        <v>0</v>
      </c>
      <c r="T197" s="172">
        <f>IF('Peak Revenue'!$A$1="BL","-",IF(Peak!Z198&gt;Peak!$G198,T$8*$X197,0))</f>
        <v>0</v>
      </c>
      <c r="U197" s="172">
        <f>IF('Peak Revenue'!$A$1="BL","-",IF(Peak!AA198&gt;Peak!$G198,U$8*$X197,0))</f>
        <v>0</v>
      </c>
      <c r="V197" s="175">
        <f t="shared" si="4"/>
        <v>289.83640772867562</v>
      </c>
      <c r="W197" s="164"/>
      <c r="X197" s="473">
        <f>CHOOSE(QUOTIENT(MONTH($A197),3)+1,Peak!$AM$11,Peak!$AN$11,Peak!$AL$11,Peak!$AO$11,Peak!$AM$11)</f>
        <v>0.96612135909558572</v>
      </c>
      <c r="Y197" s="474">
        <f>CHOOSE(QUOTIENT(MONTH($A197),3)+1,Peak!$AM$17,Peak!$AN$17,Peak!$AL$17,Peak!$AO$17,Peak!$AM$17)</f>
        <v>705</v>
      </c>
    </row>
    <row r="198" spans="1:25" x14ac:dyDescent="0.2">
      <c r="A198" s="1">
        <f t="shared" si="5"/>
        <v>42258.396000000241</v>
      </c>
      <c r="B198" s="172">
        <f>IF('Peak Revenue'!$A$1="BL","-",IF(Peak!H199&gt;Peak!$G199,B$8*$X198,0))</f>
        <v>4.75</v>
      </c>
      <c r="C198" s="172">
        <f>IF('Peak Revenue'!$A$1="BL","-",IF(Peak!I199&gt;Peak!$G199,C$8*$X198,0))</f>
        <v>4.75</v>
      </c>
      <c r="D198" s="172">
        <f>IF('Peak Revenue'!$A$1="BL","-",IF(Peak!J199&gt;Peak!$G199,D$8*$X198,0))</f>
        <v>9.5</v>
      </c>
      <c r="E198" s="172">
        <f>IF('Peak Revenue'!$A$1="BL","-",IF(Peak!K199&gt;Peak!$G199,E$8*$X198,0))</f>
        <v>19</v>
      </c>
      <c r="F198" s="172">
        <f>IF('Peak Revenue'!$A$1="BL","-",IF(Peak!L199&gt;Peak!$G199,F$8*$X198,0))</f>
        <v>19</v>
      </c>
      <c r="G198" s="172">
        <f>IF('Peak Revenue'!$A$1="BL","-",IF(Peak!M199&gt;Peak!$G199,G$8*$X198,0))</f>
        <v>38</v>
      </c>
      <c r="H198" s="172">
        <f>IF('Peak Revenue'!$A$1="BL","-",IF(Peak!N199&gt;Peak!$G199,H$8*$X198,0))</f>
        <v>38</v>
      </c>
      <c r="I198" s="172">
        <f>IF('Peak Revenue'!$A$1="BL","-",IF(Peak!O199&gt;Peak!$G199,I$8*$X198,0))</f>
        <v>38</v>
      </c>
      <c r="J198" s="172">
        <f>IF('Peak Revenue'!$A$1="BL","-",IF(Peak!P199&gt;Peak!$G199,J$8*$X198,0))</f>
        <v>38</v>
      </c>
      <c r="K198" s="172">
        <f>IF('Peak Revenue'!$A$1="BL","-",IF(Peak!Q199&gt;Peak!$G199,K$8*$X198,0))</f>
        <v>38</v>
      </c>
      <c r="L198" s="172">
        <f>IF('Peak Revenue'!$A$1="BL","-",IF(Peak!R199&gt;Peak!$G199,L$8*$X198,0))</f>
        <v>38</v>
      </c>
      <c r="M198" s="172">
        <f>IF('Peak Revenue'!$A$1="BL","-",IF(Peak!S199&gt;Peak!$G199,M$8*$X198,0))</f>
        <v>38</v>
      </c>
      <c r="N198" s="172">
        <f>IF('Peak Revenue'!$A$1="BL","-",IF(Peak!T199&gt;Peak!$G199,N$8*$X198,0))</f>
        <v>38</v>
      </c>
      <c r="O198" s="172">
        <f>IF('Peak Revenue'!$A$1="BL","-",IF(Peak!U199&gt;Peak!$G199,O$8*$X198,0))</f>
        <v>38</v>
      </c>
      <c r="P198" s="172">
        <f>IF('Peak Revenue'!$A$1="BL","-",IF(Peak!V199&gt;Peak!$G199,P$8*$X198,0))</f>
        <v>38</v>
      </c>
      <c r="Q198" s="172">
        <f>IF('Peak Revenue'!$A$1="BL","-",IF(Peak!W199&gt;Peak!$G199,Q$8*$X198,0))</f>
        <v>38</v>
      </c>
      <c r="R198" s="172">
        <f>IF('Peak Revenue'!$A$1="BL","-",IF(Peak!X199&gt;Peak!$G199,R$8*$X198,0))</f>
        <v>38</v>
      </c>
      <c r="S198" s="172">
        <f>IF('Peak Revenue'!$A$1="BL","-",IF(Peak!Y199&gt;Peak!$G199,S$8*$X198,0))</f>
        <v>38</v>
      </c>
      <c r="T198" s="172">
        <f>IF('Peak Revenue'!$A$1="BL","-",IF(Peak!Z199&gt;Peak!$G199,T$8*$X198,0))</f>
        <v>38</v>
      </c>
      <c r="U198" s="172">
        <f>IF('Peak Revenue'!$A$1="BL","-",IF(Peak!AA199&gt;Peak!$G199,U$8*$X198,0))</f>
        <v>0</v>
      </c>
      <c r="V198" s="175">
        <f t="shared" si="4"/>
        <v>589</v>
      </c>
      <c r="W198" s="164"/>
      <c r="X198" s="473">
        <f>CHOOSE(QUOTIENT(MONTH($A198),3)+1,Peak!$AM$11,Peak!$AN$11,Peak!$AL$11,Peak!$AO$11,Peak!$AM$11)</f>
        <v>0.95</v>
      </c>
      <c r="Y198" s="474">
        <f>CHOOSE(QUOTIENT(MONTH($A198),3)+1,Peak!$AM$17,Peak!$AN$17,Peak!$AL$17,Peak!$AO$17,Peak!$AM$17)</f>
        <v>705</v>
      </c>
    </row>
    <row r="199" spans="1:25" x14ac:dyDescent="0.2">
      <c r="A199" s="1">
        <f t="shared" si="5"/>
        <v>42288.813000000242</v>
      </c>
      <c r="B199" s="172">
        <f>IF('Peak Revenue'!$A$1="BL","-",IF(Peak!H200&gt;Peak!$G200,B$8*$X199,0))</f>
        <v>4.75</v>
      </c>
      <c r="C199" s="172">
        <f>IF('Peak Revenue'!$A$1="BL","-",IF(Peak!I200&gt;Peak!$G200,C$8*$X199,0))</f>
        <v>4.75</v>
      </c>
      <c r="D199" s="172">
        <f>IF('Peak Revenue'!$A$1="BL","-",IF(Peak!J200&gt;Peak!$G200,D$8*$X199,0))</f>
        <v>9.5</v>
      </c>
      <c r="E199" s="172">
        <f>IF('Peak Revenue'!$A$1="BL","-",IF(Peak!K200&gt;Peak!$G200,E$8*$X199,0))</f>
        <v>19</v>
      </c>
      <c r="F199" s="172">
        <f>IF('Peak Revenue'!$A$1="BL","-",IF(Peak!L200&gt;Peak!$G200,F$8*$X199,0))</f>
        <v>19</v>
      </c>
      <c r="G199" s="172">
        <f>IF('Peak Revenue'!$A$1="BL","-",IF(Peak!M200&gt;Peak!$G200,G$8*$X199,0))</f>
        <v>38</v>
      </c>
      <c r="H199" s="172">
        <f>IF('Peak Revenue'!$A$1="BL","-",IF(Peak!N200&gt;Peak!$G200,H$8*$X199,0))</f>
        <v>38</v>
      </c>
      <c r="I199" s="172">
        <f>IF('Peak Revenue'!$A$1="BL","-",IF(Peak!O200&gt;Peak!$G200,I$8*$X199,0))</f>
        <v>38</v>
      </c>
      <c r="J199" s="172">
        <f>IF('Peak Revenue'!$A$1="BL","-",IF(Peak!P200&gt;Peak!$G200,J$8*$X199,0))</f>
        <v>0</v>
      </c>
      <c r="K199" s="172">
        <f>IF('Peak Revenue'!$A$1="BL","-",IF(Peak!Q200&gt;Peak!$G200,K$8*$X199,0))</f>
        <v>0</v>
      </c>
      <c r="L199" s="172">
        <f>IF('Peak Revenue'!$A$1="BL","-",IF(Peak!R200&gt;Peak!$G200,L$8*$X199,0))</f>
        <v>0</v>
      </c>
      <c r="M199" s="172">
        <f>IF('Peak Revenue'!$A$1="BL","-",IF(Peak!S200&gt;Peak!$G200,M$8*$X199,0))</f>
        <v>0</v>
      </c>
      <c r="N199" s="172">
        <f>IF('Peak Revenue'!$A$1="BL","-",IF(Peak!T200&gt;Peak!$G200,N$8*$X199,0))</f>
        <v>0</v>
      </c>
      <c r="O199" s="172">
        <f>IF('Peak Revenue'!$A$1="BL","-",IF(Peak!U200&gt;Peak!$G200,O$8*$X199,0))</f>
        <v>0</v>
      </c>
      <c r="P199" s="172">
        <f>IF('Peak Revenue'!$A$1="BL","-",IF(Peak!V200&gt;Peak!$G200,P$8*$X199,0))</f>
        <v>0</v>
      </c>
      <c r="Q199" s="172">
        <f>IF('Peak Revenue'!$A$1="BL","-",IF(Peak!W200&gt;Peak!$G200,Q$8*$X199,0))</f>
        <v>0</v>
      </c>
      <c r="R199" s="172">
        <f>IF('Peak Revenue'!$A$1="BL","-",IF(Peak!X200&gt;Peak!$G200,R$8*$X199,0))</f>
        <v>0</v>
      </c>
      <c r="S199" s="172">
        <f>IF('Peak Revenue'!$A$1="BL","-",IF(Peak!Y200&gt;Peak!$G200,S$8*$X199,0))</f>
        <v>0</v>
      </c>
      <c r="T199" s="172">
        <f>IF('Peak Revenue'!$A$1="BL","-",IF(Peak!Z200&gt;Peak!$G200,T$8*$X199,0))</f>
        <v>0</v>
      </c>
      <c r="U199" s="172">
        <f>IF('Peak Revenue'!$A$1="BL","-",IF(Peak!AA200&gt;Peak!$G200,U$8*$X199,0))</f>
        <v>0</v>
      </c>
      <c r="V199" s="175">
        <f t="shared" si="4"/>
        <v>171</v>
      </c>
      <c r="W199" s="164"/>
      <c r="X199" s="473">
        <f>CHOOSE(QUOTIENT(MONTH($A199),3)+1,Peak!$AM$11,Peak!$AN$11,Peak!$AL$11,Peak!$AO$11,Peak!$AM$11)</f>
        <v>0.95</v>
      </c>
      <c r="Y199" s="474">
        <f>CHOOSE(QUOTIENT(MONTH($A199),3)+1,Peak!$AM$17,Peak!$AN$17,Peak!$AL$17,Peak!$AO$17,Peak!$AM$17)</f>
        <v>705</v>
      </c>
    </row>
    <row r="200" spans="1:25" x14ac:dyDescent="0.2">
      <c r="A200" s="1">
        <f t="shared" si="5"/>
        <v>42319.230000000243</v>
      </c>
      <c r="B200" s="172">
        <f>IF('Peak Revenue'!$A$1="BL","-",IF(Peak!H201&gt;Peak!$G201,B$8*$X200,0))</f>
        <v>4.75</v>
      </c>
      <c r="C200" s="172">
        <f>IF('Peak Revenue'!$A$1="BL","-",IF(Peak!I201&gt;Peak!$G201,C$8*$X200,0))</f>
        <v>4.75</v>
      </c>
      <c r="D200" s="172">
        <f>IF('Peak Revenue'!$A$1="BL","-",IF(Peak!J201&gt;Peak!$G201,D$8*$X200,0))</f>
        <v>9.5</v>
      </c>
      <c r="E200" s="172">
        <f>IF('Peak Revenue'!$A$1="BL","-",IF(Peak!K201&gt;Peak!$G201,E$8*$X200,0))</f>
        <v>19</v>
      </c>
      <c r="F200" s="172">
        <f>IF('Peak Revenue'!$A$1="BL","-",IF(Peak!L201&gt;Peak!$G201,F$8*$X200,0))</f>
        <v>19</v>
      </c>
      <c r="G200" s="172">
        <f>IF('Peak Revenue'!$A$1="BL","-",IF(Peak!M201&gt;Peak!$G201,G$8*$X200,0))</f>
        <v>38</v>
      </c>
      <c r="H200" s="172">
        <f>IF('Peak Revenue'!$A$1="BL","-",IF(Peak!N201&gt;Peak!$G201,H$8*$X200,0))</f>
        <v>38</v>
      </c>
      <c r="I200" s="172">
        <f>IF('Peak Revenue'!$A$1="BL","-",IF(Peak!O201&gt;Peak!$G201,I$8*$X200,0))</f>
        <v>38</v>
      </c>
      <c r="J200" s="172">
        <f>IF('Peak Revenue'!$A$1="BL","-",IF(Peak!P201&gt;Peak!$G201,J$8*$X200,0))</f>
        <v>38</v>
      </c>
      <c r="K200" s="172">
        <f>IF('Peak Revenue'!$A$1="BL","-",IF(Peak!Q201&gt;Peak!$G201,K$8*$X200,0))</f>
        <v>38</v>
      </c>
      <c r="L200" s="172">
        <f>IF('Peak Revenue'!$A$1="BL","-",IF(Peak!R201&gt;Peak!$G201,L$8*$X200,0))</f>
        <v>0</v>
      </c>
      <c r="M200" s="172">
        <f>IF('Peak Revenue'!$A$1="BL","-",IF(Peak!S201&gt;Peak!$G201,M$8*$X200,0))</f>
        <v>0</v>
      </c>
      <c r="N200" s="172">
        <f>IF('Peak Revenue'!$A$1="BL","-",IF(Peak!T201&gt;Peak!$G201,N$8*$X200,0))</f>
        <v>0</v>
      </c>
      <c r="O200" s="172">
        <f>IF('Peak Revenue'!$A$1="BL","-",IF(Peak!U201&gt;Peak!$G201,O$8*$X200,0))</f>
        <v>0</v>
      </c>
      <c r="P200" s="172">
        <f>IF('Peak Revenue'!$A$1="BL","-",IF(Peak!V201&gt;Peak!$G201,P$8*$X200,0))</f>
        <v>0</v>
      </c>
      <c r="Q200" s="172">
        <f>IF('Peak Revenue'!$A$1="BL","-",IF(Peak!W201&gt;Peak!$G201,Q$8*$X200,0))</f>
        <v>0</v>
      </c>
      <c r="R200" s="172">
        <f>IF('Peak Revenue'!$A$1="BL","-",IF(Peak!X201&gt;Peak!$G201,R$8*$X200,0))</f>
        <v>0</v>
      </c>
      <c r="S200" s="172">
        <f>IF('Peak Revenue'!$A$1="BL","-",IF(Peak!Y201&gt;Peak!$G201,S$8*$X200,0))</f>
        <v>0</v>
      </c>
      <c r="T200" s="172">
        <f>IF('Peak Revenue'!$A$1="BL","-",IF(Peak!Z201&gt;Peak!$G201,T$8*$X200,0))</f>
        <v>0</v>
      </c>
      <c r="U200" s="172">
        <f>IF('Peak Revenue'!$A$1="BL","-",IF(Peak!AA201&gt;Peak!$G201,U$8*$X200,0))</f>
        <v>0</v>
      </c>
      <c r="V200" s="175">
        <f t="shared" si="4"/>
        <v>247</v>
      </c>
      <c r="W200" s="164"/>
      <c r="X200" s="473">
        <f>CHOOSE(QUOTIENT(MONTH($A200),3)+1,Peak!$AM$11,Peak!$AN$11,Peak!$AL$11,Peak!$AO$11,Peak!$AM$11)</f>
        <v>0.95</v>
      </c>
      <c r="Y200" s="474">
        <f>CHOOSE(QUOTIENT(MONTH($A200),3)+1,Peak!$AM$17,Peak!$AN$17,Peak!$AL$17,Peak!$AO$17,Peak!$AM$17)</f>
        <v>705</v>
      </c>
    </row>
    <row r="201" spans="1:25" x14ac:dyDescent="0.2">
      <c r="A201" s="1">
        <f t="shared" si="5"/>
        <v>42349.647000000245</v>
      </c>
      <c r="B201" s="172">
        <f>IF('Peak Revenue'!$A$1="BL","-",IF(Peak!H202&gt;Peak!$G202,B$8*$X201,0))</f>
        <v>4.6213830939305875</v>
      </c>
      <c r="C201" s="172">
        <f>IF('Peak Revenue'!$A$1="BL","-",IF(Peak!I202&gt;Peak!$G202,C$8*$X201,0))</f>
        <v>4.6213830939305875</v>
      </c>
      <c r="D201" s="172">
        <f>IF('Peak Revenue'!$A$1="BL","-",IF(Peak!J202&gt;Peak!$G202,D$8*$X201,0))</f>
        <v>9.2427661878611751</v>
      </c>
      <c r="E201" s="172">
        <f>IF('Peak Revenue'!$A$1="BL","-",IF(Peak!K202&gt;Peak!$G202,E$8*$X201,0))</f>
        <v>18.48553237572235</v>
      </c>
      <c r="F201" s="172">
        <f>IF('Peak Revenue'!$A$1="BL","-",IF(Peak!L202&gt;Peak!$G202,F$8*$X201,0))</f>
        <v>18.48553237572235</v>
      </c>
      <c r="G201" s="172">
        <f>IF('Peak Revenue'!$A$1="BL","-",IF(Peak!M202&gt;Peak!$G202,G$8*$X201,0))</f>
        <v>36.9710647514447</v>
      </c>
      <c r="H201" s="172">
        <f>IF('Peak Revenue'!$A$1="BL","-",IF(Peak!N202&gt;Peak!$G202,H$8*$X201,0))</f>
        <v>36.9710647514447</v>
      </c>
      <c r="I201" s="172">
        <f>IF('Peak Revenue'!$A$1="BL","-",IF(Peak!O202&gt;Peak!$G202,I$8*$X201,0))</f>
        <v>36.9710647514447</v>
      </c>
      <c r="J201" s="172">
        <f>IF('Peak Revenue'!$A$1="BL","-",IF(Peak!P202&gt;Peak!$G202,J$8*$X201,0))</f>
        <v>36.9710647514447</v>
      </c>
      <c r="K201" s="172">
        <f>IF('Peak Revenue'!$A$1="BL","-",IF(Peak!Q202&gt;Peak!$G202,K$8*$X201,0))</f>
        <v>36.9710647514447</v>
      </c>
      <c r="L201" s="172">
        <f>IF('Peak Revenue'!$A$1="BL","-",IF(Peak!R202&gt;Peak!$G202,L$8*$X201,0))</f>
        <v>0</v>
      </c>
      <c r="M201" s="172">
        <f>IF('Peak Revenue'!$A$1="BL","-",IF(Peak!S202&gt;Peak!$G202,M$8*$X201,0))</f>
        <v>0</v>
      </c>
      <c r="N201" s="172">
        <f>IF('Peak Revenue'!$A$1="BL","-",IF(Peak!T202&gt;Peak!$G202,N$8*$X201,0))</f>
        <v>0</v>
      </c>
      <c r="O201" s="172">
        <f>IF('Peak Revenue'!$A$1="BL","-",IF(Peak!U202&gt;Peak!$G202,O$8*$X201,0))</f>
        <v>0</v>
      </c>
      <c r="P201" s="172">
        <f>IF('Peak Revenue'!$A$1="BL","-",IF(Peak!V202&gt;Peak!$G202,P$8*$X201,0))</f>
        <v>0</v>
      </c>
      <c r="Q201" s="172">
        <f>IF('Peak Revenue'!$A$1="BL","-",IF(Peak!W202&gt;Peak!$G202,Q$8*$X201,0))</f>
        <v>0</v>
      </c>
      <c r="R201" s="172">
        <f>IF('Peak Revenue'!$A$1="BL","-",IF(Peak!X202&gt;Peak!$G202,R$8*$X201,0))</f>
        <v>0</v>
      </c>
      <c r="S201" s="172">
        <f>IF('Peak Revenue'!$A$1="BL","-",IF(Peak!Y202&gt;Peak!$G202,S$8*$X201,0))</f>
        <v>0</v>
      </c>
      <c r="T201" s="172">
        <f>IF('Peak Revenue'!$A$1="BL","-",IF(Peak!Z202&gt;Peak!$G202,T$8*$X201,0))</f>
        <v>0</v>
      </c>
      <c r="U201" s="172">
        <f>IF('Peak Revenue'!$A$1="BL","-",IF(Peak!AA202&gt;Peak!$G202,U$8*$X201,0))</f>
        <v>0</v>
      </c>
      <c r="V201" s="175">
        <f t="shared" si="4"/>
        <v>240.31192088439059</v>
      </c>
      <c r="W201" s="163">
        <f>SUM(V190:V201)</f>
        <v>3300.4449858391986</v>
      </c>
      <c r="X201" s="473">
        <f>CHOOSE(QUOTIENT(MONTH($A201),3)+1,Peak!$AM$11,Peak!$AN$11,Peak!$AL$11,Peak!$AO$11,Peak!$AM$11)</f>
        <v>0.92427661878611755</v>
      </c>
      <c r="Y201" s="474">
        <f>CHOOSE(QUOTIENT(MONTH($A201),3)+1,Peak!$AM$17,Peak!$AN$17,Peak!$AL$17,Peak!$AO$17,Peak!$AM$17)</f>
        <v>705</v>
      </c>
    </row>
    <row r="202" spans="1:25" x14ac:dyDescent="0.2">
      <c r="A202" s="1">
        <f t="shared" si="5"/>
        <v>42380.064000000246</v>
      </c>
      <c r="B202" s="172">
        <f>IF('Peak Revenue'!$A$1="BL","-",IF(Peak!H203&gt;Peak!$G203,B$8*$X202,0))</f>
        <v>4.6213830939305875</v>
      </c>
      <c r="C202" s="172">
        <f>IF('Peak Revenue'!$A$1="BL","-",IF(Peak!I203&gt;Peak!$G203,C$8*$X202,0))</f>
        <v>4.6213830939305875</v>
      </c>
      <c r="D202" s="172">
        <f>IF('Peak Revenue'!$A$1="BL","-",IF(Peak!J203&gt;Peak!$G203,D$8*$X202,0))</f>
        <v>9.2427661878611751</v>
      </c>
      <c r="E202" s="172">
        <f>IF('Peak Revenue'!$A$1="BL","-",IF(Peak!K203&gt;Peak!$G203,E$8*$X202,0))</f>
        <v>18.48553237572235</v>
      </c>
      <c r="F202" s="172">
        <f>IF('Peak Revenue'!$A$1="BL","-",IF(Peak!L203&gt;Peak!$G203,F$8*$X202,0))</f>
        <v>18.48553237572235</v>
      </c>
      <c r="G202" s="172">
        <f>IF('Peak Revenue'!$A$1="BL","-",IF(Peak!M203&gt;Peak!$G203,G$8*$X202,0))</f>
        <v>36.9710647514447</v>
      </c>
      <c r="H202" s="172">
        <f>IF('Peak Revenue'!$A$1="BL","-",IF(Peak!N203&gt;Peak!$G203,H$8*$X202,0))</f>
        <v>36.9710647514447</v>
      </c>
      <c r="I202" s="172">
        <f>IF('Peak Revenue'!$A$1="BL","-",IF(Peak!O203&gt;Peak!$G203,I$8*$X202,0))</f>
        <v>36.9710647514447</v>
      </c>
      <c r="J202" s="172">
        <f>IF('Peak Revenue'!$A$1="BL","-",IF(Peak!P203&gt;Peak!$G203,J$8*$X202,0))</f>
        <v>0</v>
      </c>
      <c r="K202" s="172">
        <f>IF('Peak Revenue'!$A$1="BL","-",IF(Peak!Q203&gt;Peak!$G203,K$8*$X202,0))</f>
        <v>0</v>
      </c>
      <c r="L202" s="172">
        <f>IF('Peak Revenue'!$A$1="BL","-",IF(Peak!R203&gt;Peak!$G203,L$8*$X202,0))</f>
        <v>0</v>
      </c>
      <c r="M202" s="172">
        <f>IF('Peak Revenue'!$A$1="BL","-",IF(Peak!S203&gt;Peak!$G203,M$8*$X202,0))</f>
        <v>0</v>
      </c>
      <c r="N202" s="172">
        <f>IF('Peak Revenue'!$A$1="BL","-",IF(Peak!T203&gt;Peak!$G203,N$8*$X202,0))</f>
        <v>0</v>
      </c>
      <c r="O202" s="172">
        <f>IF('Peak Revenue'!$A$1="BL","-",IF(Peak!U203&gt;Peak!$G203,O$8*$X202,0))</f>
        <v>0</v>
      </c>
      <c r="P202" s="172">
        <f>IF('Peak Revenue'!$A$1="BL","-",IF(Peak!V203&gt;Peak!$G203,P$8*$X202,0))</f>
        <v>0</v>
      </c>
      <c r="Q202" s="172">
        <f>IF('Peak Revenue'!$A$1="BL","-",IF(Peak!W203&gt;Peak!$G203,Q$8*$X202,0))</f>
        <v>0</v>
      </c>
      <c r="R202" s="172">
        <f>IF('Peak Revenue'!$A$1="BL","-",IF(Peak!X203&gt;Peak!$G203,R$8*$X202,0))</f>
        <v>0</v>
      </c>
      <c r="S202" s="172">
        <f>IF('Peak Revenue'!$A$1="BL","-",IF(Peak!Y203&gt;Peak!$G203,S$8*$X202,0))</f>
        <v>0</v>
      </c>
      <c r="T202" s="172">
        <f>IF('Peak Revenue'!$A$1="BL","-",IF(Peak!Z203&gt;Peak!$G203,T$8*$X202,0))</f>
        <v>0</v>
      </c>
      <c r="U202" s="172">
        <f>IF('Peak Revenue'!$A$1="BL","-",IF(Peak!AA203&gt;Peak!$G203,U$8*$X202,0))</f>
        <v>0</v>
      </c>
      <c r="V202" s="175">
        <f t="shared" si="4"/>
        <v>166.36979138150116</v>
      </c>
      <c r="W202" s="164"/>
      <c r="X202" s="473">
        <f>CHOOSE(QUOTIENT(MONTH($A202),3)+1,Peak!$AM$11,Peak!$AN$11,Peak!$AL$11,Peak!$AO$11,Peak!$AM$11)</f>
        <v>0.92427661878611755</v>
      </c>
      <c r="Y202" s="474">
        <f>CHOOSE(QUOTIENT(MONTH($A202),3)+1,Peak!$AM$17,Peak!$AN$17,Peak!$AL$17,Peak!$AO$17,Peak!$AM$17)</f>
        <v>705</v>
      </c>
    </row>
    <row r="203" spans="1:25" x14ac:dyDescent="0.2">
      <c r="A203" s="1">
        <f t="shared" si="5"/>
        <v>42410.481000000247</v>
      </c>
      <c r="B203" s="172">
        <f>IF('Peak Revenue'!$A$1="BL","-",IF(Peak!H204&gt;Peak!$G204,B$8*$X203,0))</f>
        <v>4.6213830939305875</v>
      </c>
      <c r="C203" s="172">
        <f>IF('Peak Revenue'!$A$1="BL","-",IF(Peak!I204&gt;Peak!$G204,C$8*$X203,0))</f>
        <v>4.6213830939305875</v>
      </c>
      <c r="D203" s="172">
        <f>IF('Peak Revenue'!$A$1="BL","-",IF(Peak!J204&gt;Peak!$G204,D$8*$X203,0))</f>
        <v>9.2427661878611751</v>
      </c>
      <c r="E203" s="172">
        <f>IF('Peak Revenue'!$A$1="BL","-",IF(Peak!K204&gt;Peak!$G204,E$8*$X203,0))</f>
        <v>18.48553237572235</v>
      </c>
      <c r="F203" s="172">
        <f>IF('Peak Revenue'!$A$1="BL","-",IF(Peak!L204&gt;Peak!$G204,F$8*$X203,0))</f>
        <v>18.48553237572235</v>
      </c>
      <c r="G203" s="172">
        <f>IF('Peak Revenue'!$A$1="BL","-",IF(Peak!M204&gt;Peak!$G204,G$8*$X203,0))</f>
        <v>36.9710647514447</v>
      </c>
      <c r="H203" s="172">
        <f>IF('Peak Revenue'!$A$1="BL","-",IF(Peak!N204&gt;Peak!$G204,H$8*$X203,0))</f>
        <v>36.9710647514447</v>
      </c>
      <c r="I203" s="172">
        <f>IF('Peak Revenue'!$A$1="BL","-",IF(Peak!O204&gt;Peak!$G204,I$8*$X203,0))</f>
        <v>36.9710647514447</v>
      </c>
      <c r="J203" s="172">
        <f>IF('Peak Revenue'!$A$1="BL","-",IF(Peak!P204&gt;Peak!$G204,J$8*$X203,0))</f>
        <v>36.9710647514447</v>
      </c>
      <c r="K203" s="172">
        <f>IF('Peak Revenue'!$A$1="BL","-",IF(Peak!Q204&gt;Peak!$G204,K$8*$X203,0))</f>
        <v>36.9710647514447</v>
      </c>
      <c r="L203" s="172">
        <f>IF('Peak Revenue'!$A$1="BL","-",IF(Peak!R204&gt;Peak!$G204,L$8*$X203,0))</f>
        <v>0</v>
      </c>
      <c r="M203" s="172">
        <f>IF('Peak Revenue'!$A$1="BL","-",IF(Peak!S204&gt;Peak!$G204,M$8*$X203,0))</f>
        <v>0</v>
      </c>
      <c r="N203" s="172">
        <f>IF('Peak Revenue'!$A$1="BL","-",IF(Peak!T204&gt;Peak!$G204,N$8*$X203,0))</f>
        <v>0</v>
      </c>
      <c r="O203" s="172">
        <f>IF('Peak Revenue'!$A$1="BL","-",IF(Peak!U204&gt;Peak!$G204,O$8*$X203,0))</f>
        <v>0</v>
      </c>
      <c r="P203" s="172">
        <f>IF('Peak Revenue'!$A$1="BL","-",IF(Peak!V204&gt;Peak!$G204,P$8*$X203,0))</f>
        <v>0</v>
      </c>
      <c r="Q203" s="172">
        <f>IF('Peak Revenue'!$A$1="BL","-",IF(Peak!W204&gt;Peak!$G204,Q$8*$X203,0))</f>
        <v>0</v>
      </c>
      <c r="R203" s="172">
        <f>IF('Peak Revenue'!$A$1="BL","-",IF(Peak!X204&gt;Peak!$G204,R$8*$X203,0))</f>
        <v>0</v>
      </c>
      <c r="S203" s="172">
        <f>IF('Peak Revenue'!$A$1="BL","-",IF(Peak!Y204&gt;Peak!$G204,S$8*$X203,0))</f>
        <v>0</v>
      </c>
      <c r="T203" s="172">
        <f>IF('Peak Revenue'!$A$1="BL","-",IF(Peak!Z204&gt;Peak!$G204,T$8*$X203,0))</f>
        <v>0</v>
      </c>
      <c r="U203" s="172">
        <f>IF('Peak Revenue'!$A$1="BL","-",IF(Peak!AA204&gt;Peak!$G204,U$8*$X203,0))</f>
        <v>0</v>
      </c>
      <c r="V203" s="175">
        <f t="shared" ref="V203:V249" si="6">SUM(B203:U203)</f>
        <v>240.31192088439059</v>
      </c>
      <c r="W203" s="164"/>
      <c r="X203" s="473">
        <f>CHOOSE(QUOTIENT(MONTH($A203),3)+1,Peak!$AM$11,Peak!$AN$11,Peak!$AL$11,Peak!$AO$11,Peak!$AM$11)</f>
        <v>0.92427661878611755</v>
      </c>
      <c r="Y203" s="474">
        <f>CHOOSE(QUOTIENT(MONTH($A203),3)+1,Peak!$AM$17,Peak!$AN$17,Peak!$AL$17,Peak!$AO$17,Peak!$AM$17)</f>
        <v>705</v>
      </c>
    </row>
    <row r="204" spans="1:25" x14ac:dyDescent="0.2">
      <c r="A204" s="1">
        <f t="shared" ref="A204:A249" si="7">A203+30.417</f>
        <v>42440.898000000248</v>
      </c>
      <c r="B204" s="172">
        <f>IF('Peak Revenue'!$A$1="BL","-",IF(Peak!H205&gt;Peak!$G205,B$8*$X204,0))</f>
        <v>4.75</v>
      </c>
      <c r="C204" s="172">
        <f>IF('Peak Revenue'!$A$1="BL","-",IF(Peak!I205&gt;Peak!$G205,C$8*$X204,0))</f>
        <v>4.75</v>
      </c>
      <c r="D204" s="172">
        <f>IF('Peak Revenue'!$A$1="BL","-",IF(Peak!J205&gt;Peak!$G205,D$8*$X204,0))</f>
        <v>9.5</v>
      </c>
      <c r="E204" s="172">
        <f>IF('Peak Revenue'!$A$1="BL","-",IF(Peak!K205&gt;Peak!$G205,E$8*$X204,0))</f>
        <v>19</v>
      </c>
      <c r="F204" s="172">
        <f>IF('Peak Revenue'!$A$1="BL","-",IF(Peak!L205&gt;Peak!$G205,F$8*$X204,0))</f>
        <v>19</v>
      </c>
      <c r="G204" s="172">
        <f>IF('Peak Revenue'!$A$1="BL","-",IF(Peak!M205&gt;Peak!$G205,G$8*$X204,0))</f>
        <v>38</v>
      </c>
      <c r="H204" s="172">
        <f>IF('Peak Revenue'!$A$1="BL","-",IF(Peak!N205&gt;Peak!$G205,H$8*$X204,0))</f>
        <v>38</v>
      </c>
      <c r="I204" s="172">
        <f>IF('Peak Revenue'!$A$1="BL","-",IF(Peak!O205&gt;Peak!$G205,I$8*$X204,0))</f>
        <v>38</v>
      </c>
      <c r="J204" s="172">
        <f>IF('Peak Revenue'!$A$1="BL","-",IF(Peak!P205&gt;Peak!$G205,J$8*$X204,0))</f>
        <v>38</v>
      </c>
      <c r="K204" s="172">
        <f>IF('Peak Revenue'!$A$1="BL","-",IF(Peak!Q205&gt;Peak!$G205,K$8*$X204,0))</f>
        <v>38</v>
      </c>
      <c r="L204" s="172">
        <f>IF('Peak Revenue'!$A$1="BL","-",IF(Peak!R205&gt;Peak!$G205,L$8*$X204,0))</f>
        <v>0</v>
      </c>
      <c r="M204" s="172">
        <f>IF('Peak Revenue'!$A$1="BL","-",IF(Peak!S205&gt;Peak!$G205,M$8*$X204,0))</f>
        <v>0</v>
      </c>
      <c r="N204" s="172">
        <f>IF('Peak Revenue'!$A$1="BL","-",IF(Peak!T205&gt;Peak!$G205,N$8*$X204,0))</f>
        <v>0</v>
      </c>
      <c r="O204" s="172">
        <f>IF('Peak Revenue'!$A$1="BL","-",IF(Peak!U205&gt;Peak!$G205,O$8*$X204,0))</f>
        <v>0</v>
      </c>
      <c r="P204" s="172">
        <f>IF('Peak Revenue'!$A$1="BL","-",IF(Peak!V205&gt;Peak!$G205,P$8*$X204,0))</f>
        <v>0</v>
      </c>
      <c r="Q204" s="172">
        <f>IF('Peak Revenue'!$A$1="BL","-",IF(Peak!W205&gt;Peak!$G205,Q$8*$X204,0))</f>
        <v>0</v>
      </c>
      <c r="R204" s="172">
        <f>IF('Peak Revenue'!$A$1="BL","-",IF(Peak!X205&gt;Peak!$G205,R$8*$X204,0))</f>
        <v>0</v>
      </c>
      <c r="S204" s="172">
        <f>IF('Peak Revenue'!$A$1="BL","-",IF(Peak!Y205&gt;Peak!$G205,S$8*$X204,0))</f>
        <v>0</v>
      </c>
      <c r="T204" s="172">
        <f>IF('Peak Revenue'!$A$1="BL","-",IF(Peak!Z205&gt;Peak!$G205,T$8*$X204,0))</f>
        <v>0</v>
      </c>
      <c r="U204" s="172">
        <f>IF('Peak Revenue'!$A$1="BL","-",IF(Peak!AA205&gt;Peak!$G205,U$8*$X204,0))</f>
        <v>0</v>
      </c>
      <c r="V204" s="175">
        <f t="shared" si="6"/>
        <v>247</v>
      </c>
      <c r="W204" s="164"/>
      <c r="X204" s="473">
        <f>CHOOSE(QUOTIENT(MONTH($A204),3)+1,Peak!$AM$11,Peak!$AN$11,Peak!$AL$11,Peak!$AO$11,Peak!$AM$11)</f>
        <v>0.95</v>
      </c>
      <c r="Y204" s="474">
        <f>CHOOSE(QUOTIENT(MONTH($A204),3)+1,Peak!$AM$17,Peak!$AN$17,Peak!$AL$17,Peak!$AO$17,Peak!$AM$17)</f>
        <v>705</v>
      </c>
    </row>
    <row r="205" spans="1:25" x14ac:dyDescent="0.2">
      <c r="A205" s="1">
        <f t="shared" si="7"/>
        <v>42471.31500000025</v>
      </c>
      <c r="B205" s="172">
        <f>IF('Peak Revenue'!$A$1="BL","-",IF(Peak!H206&gt;Peak!$G206,B$8*$X205,0))</f>
        <v>4.75</v>
      </c>
      <c r="C205" s="172">
        <f>IF('Peak Revenue'!$A$1="BL","-",IF(Peak!I206&gt;Peak!$G206,C$8*$X205,0))</f>
        <v>4.75</v>
      </c>
      <c r="D205" s="172">
        <f>IF('Peak Revenue'!$A$1="BL","-",IF(Peak!J206&gt;Peak!$G206,D$8*$X205,0))</f>
        <v>9.5</v>
      </c>
      <c r="E205" s="172">
        <f>IF('Peak Revenue'!$A$1="BL","-",IF(Peak!K206&gt;Peak!$G206,E$8*$X205,0))</f>
        <v>19</v>
      </c>
      <c r="F205" s="172">
        <f>IF('Peak Revenue'!$A$1="BL","-",IF(Peak!L206&gt;Peak!$G206,F$8*$X205,0))</f>
        <v>19</v>
      </c>
      <c r="G205" s="172">
        <f>IF('Peak Revenue'!$A$1="BL","-",IF(Peak!M206&gt;Peak!$G206,G$8*$X205,0))</f>
        <v>38</v>
      </c>
      <c r="H205" s="172">
        <f>IF('Peak Revenue'!$A$1="BL","-",IF(Peak!N206&gt;Peak!$G206,H$8*$X205,0))</f>
        <v>38</v>
      </c>
      <c r="I205" s="172">
        <f>IF('Peak Revenue'!$A$1="BL","-",IF(Peak!O206&gt;Peak!$G206,I$8*$X205,0))</f>
        <v>0</v>
      </c>
      <c r="J205" s="172">
        <f>IF('Peak Revenue'!$A$1="BL","-",IF(Peak!P206&gt;Peak!$G206,J$8*$X205,0))</f>
        <v>0</v>
      </c>
      <c r="K205" s="172">
        <f>IF('Peak Revenue'!$A$1="BL","-",IF(Peak!Q206&gt;Peak!$G206,K$8*$X205,0))</f>
        <v>0</v>
      </c>
      <c r="L205" s="172">
        <f>IF('Peak Revenue'!$A$1="BL","-",IF(Peak!R206&gt;Peak!$G206,L$8*$X205,0))</f>
        <v>0</v>
      </c>
      <c r="M205" s="172">
        <f>IF('Peak Revenue'!$A$1="BL","-",IF(Peak!S206&gt;Peak!$G206,M$8*$X205,0))</f>
        <v>0</v>
      </c>
      <c r="N205" s="172">
        <f>IF('Peak Revenue'!$A$1="BL","-",IF(Peak!T206&gt;Peak!$G206,N$8*$X205,0))</f>
        <v>0</v>
      </c>
      <c r="O205" s="172">
        <f>IF('Peak Revenue'!$A$1="BL","-",IF(Peak!U206&gt;Peak!$G206,O$8*$X205,0))</f>
        <v>0</v>
      </c>
      <c r="P205" s="172">
        <f>IF('Peak Revenue'!$A$1="BL","-",IF(Peak!V206&gt;Peak!$G206,P$8*$X205,0))</f>
        <v>0</v>
      </c>
      <c r="Q205" s="172">
        <f>IF('Peak Revenue'!$A$1="BL","-",IF(Peak!W206&gt;Peak!$G206,Q$8*$X205,0))</f>
        <v>0</v>
      </c>
      <c r="R205" s="172">
        <f>IF('Peak Revenue'!$A$1="BL","-",IF(Peak!X206&gt;Peak!$G206,R$8*$X205,0))</f>
        <v>0</v>
      </c>
      <c r="S205" s="172">
        <f>IF('Peak Revenue'!$A$1="BL","-",IF(Peak!Y206&gt;Peak!$G206,S$8*$X205,0))</f>
        <v>0</v>
      </c>
      <c r="T205" s="172">
        <f>IF('Peak Revenue'!$A$1="BL","-",IF(Peak!Z206&gt;Peak!$G206,T$8*$X205,0))</f>
        <v>0</v>
      </c>
      <c r="U205" s="172">
        <f>IF('Peak Revenue'!$A$1="BL","-",IF(Peak!AA206&gt;Peak!$G206,U$8*$X205,0))</f>
        <v>0</v>
      </c>
      <c r="V205" s="175">
        <f t="shared" si="6"/>
        <v>133</v>
      </c>
      <c r="W205" s="164"/>
      <c r="X205" s="473">
        <f>CHOOSE(QUOTIENT(MONTH($A205),3)+1,Peak!$AM$11,Peak!$AN$11,Peak!$AL$11,Peak!$AO$11,Peak!$AM$11)</f>
        <v>0.95</v>
      </c>
      <c r="Y205" s="474">
        <f>CHOOSE(QUOTIENT(MONTH($A205),3)+1,Peak!$AM$17,Peak!$AN$17,Peak!$AL$17,Peak!$AO$17,Peak!$AM$17)</f>
        <v>705</v>
      </c>
    </row>
    <row r="206" spans="1:25" x14ac:dyDescent="0.2">
      <c r="A206" s="1">
        <f t="shared" si="7"/>
        <v>42501.732000000251</v>
      </c>
      <c r="B206" s="172">
        <f>IF('Peak Revenue'!$A$1="BL","-",IF(Peak!H207&gt;Peak!$G207,B$8*$X206,0))</f>
        <v>4.75</v>
      </c>
      <c r="C206" s="172">
        <f>IF('Peak Revenue'!$A$1="BL","-",IF(Peak!I207&gt;Peak!$G207,C$8*$X206,0))</f>
        <v>4.75</v>
      </c>
      <c r="D206" s="172">
        <f>IF('Peak Revenue'!$A$1="BL","-",IF(Peak!J207&gt;Peak!$G207,D$8*$X206,0))</f>
        <v>9.5</v>
      </c>
      <c r="E206" s="172">
        <f>IF('Peak Revenue'!$A$1="BL","-",IF(Peak!K207&gt;Peak!$G207,E$8*$X206,0))</f>
        <v>19</v>
      </c>
      <c r="F206" s="172">
        <f>IF('Peak Revenue'!$A$1="BL","-",IF(Peak!L207&gt;Peak!$G207,F$8*$X206,0))</f>
        <v>19</v>
      </c>
      <c r="G206" s="172">
        <f>IF('Peak Revenue'!$A$1="BL","-",IF(Peak!M207&gt;Peak!$G207,G$8*$X206,0))</f>
        <v>38</v>
      </c>
      <c r="H206" s="172">
        <f>IF('Peak Revenue'!$A$1="BL","-",IF(Peak!N207&gt;Peak!$G207,H$8*$X206,0))</f>
        <v>38</v>
      </c>
      <c r="I206" s="172">
        <f>IF('Peak Revenue'!$A$1="BL","-",IF(Peak!O207&gt;Peak!$G207,I$8*$X206,0))</f>
        <v>38</v>
      </c>
      <c r="J206" s="172">
        <f>IF('Peak Revenue'!$A$1="BL","-",IF(Peak!P207&gt;Peak!$G207,J$8*$X206,0))</f>
        <v>38</v>
      </c>
      <c r="K206" s="172">
        <f>IF('Peak Revenue'!$A$1="BL","-",IF(Peak!Q207&gt;Peak!$G207,K$8*$X206,0))</f>
        <v>38</v>
      </c>
      <c r="L206" s="172">
        <f>IF('Peak Revenue'!$A$1="BL","-",IF(Peak!R207&gt;Peak!$G207,L$8*$X206,0))</f>
        <v>0</v>
      </c>
      <c r="M206" s="172">
        <f>IF('Peak Revenue'!$A$1="BL","-",IF(Peak!S207&gt;Peak!$G207,M$8*$X206,0))</f>
        <v>0</v>
      </c>
      <c r="N206" s="172">
        <f>IF('Peak Revenue'!$A$1="BL","-",IF(Peak!T207&gt;Peak!$G207,N$8*$X206,0))</f>
        <v>0</v>
      </c>
      <c r="O206" s="172">
        <f>IF('Peak Revenue'!$A$1="BL","-",IF(Peak!U207&gt;Peak!$G207,O$8*$X206,0))</f>
        <v>0</v>
      </c>
      <c r="P206" s="172">
        <f>IF('Peak Revenue'!$A$1="BL","-",IF(Peak!V207&gt;Peak!$G207,P$8*$X206,0))</f>
        <v>0</v>
      </c>
      <c r="Q206" s="172">
        <f>IF('Peak Revenue'!$A$1="BL","-",IF(Peak!W207&gt;Peak!$G207,Q$8*$X206,0))</f>
        <v>0</v>
      </c>
      <c r="R206" s="172">
        <f>IF('Peak Revenue'!$A$1="BL","-",IF(Peak!X207&gt;Peak!$G207,R$8*$X206,0))</f>
        <v>0</v>
      </c>
      <c r="S206" s="172">
        <f>IF('Peak Revenue'!$A$1="BL","-",IF(Peak!Y207&gt;Peak!$G207,S$8*$X206,0))</f>
        <v>0</v>
      </c>
      <c r="T206" s="172">
        <f>IF('Peak Revenue'!$A$1="BL","-",IF(Peak!Z207&gt;Peak!$G207,T$8*$X206,0))</f>
        <v>0</v>
      </c>
      <c r="U206" s="172">
        <f>IF('Peak Revenue'!$A$1="BL","-",IF(Peak!AA207&gt;Peak!$G207,U$8*$X206,0))</f>
        <v>0</v>
      </c>
      <c r="V206" s="175">
        <f t="shared" si="6"/>
        <v>247</v>
      </c>
      <c r="W206" s="164"/>
      <c r="X206" s="473">
        <f>CHOOSE(QUOTIENT(MONTH($A206),3)+1,Peak!$AM$11,Peak!$AN$11,Peak!$AL$11,Peak!$AO$11,Peak!$AM$11)</f>
        <v>0.95</v>
      </c>
      <c r="Y206" s="474">
        <f>CHOOSE(QUOTIENT(MONTH($A206),3)+1,Peak!$AM$17,Peak!$AN$17,Peak!$AL$17,Peak!$AO$17,Peak!$AM$17)</f>
        <v>705</v>
      </c>
    </row>
    <row r="207" spans="1:25" x14ac:dyDescent="0.2">
      <c r="A207" s="1">
        <f t="shared" si="7"/>
        <v>42532.149000000252</v>
      </c>
      <c r="B207" s="172">
        <f>IF('Peak Revenue'!$A$1="BL","-",IF(Peak!H208&gt;Peak!$G208,B$8*$X207,0))</f>
        <v>4.8306067954779284</v>
      </c>
      <c r="C207" s="172">
        <f>IF('Peak Revenue'!$A$1="BL","-",IF(Peak!I208&gt;Peak!$G208,C$8*$X207,0))</f>
        <v>4.8306067954779284</v>
      </c>
      <c r="D207" s="172">
        <f>IF('Peak Revenue'!$A$1="BL","-",IF(Peak!J208&gt;Peak!$G208,D$8*$X207,0))</f>
        <v>9.6612135909558567</v>
      </c>
      <c r="E207" s="172">
        <f>IF('Peak Revenue'!$A$1="BL","-",IF(Peak!K208&gt;Peak!$G208,E$8*$X207,0))</f>
        <v>19.322427181911713</v>
      </c>
      <c r="F207" s="172">
        <f>IF('Peak Revenue'!$A$1="BL","-",IF(Peak!L208&gt;Peak!$G208,F$8*$X207,0))</f>
        <v>19.322427181911713</v>
      </c>
      <c r="G207" s="172">
        <f>IF('Peak Revenue'!$A$1="BL","-",IF(Peak!M208&gt;Peak!$G208,G$8*$X207,0))</f>
        <v>38.644854363823427</v>
      </c>
      <c r="H207" s="172">
        <f>IF('Peak Revenue'!$A$1="BL","-",IF(Peak!N208&gt;Peak!$G208,H$8*$X207,0))</f>
        <v>38.644854363823427</v>
      </c>
      <c r="I207" s="172">
        <f>IF('Peak Revenue'!$A$1="BL","-",IF(Peak!O208&gt;Peak!$G208,I$8*$X207,0))</f>
        <v>38.644854363823427</v>
      </c>
      <c r="J207" s="172">
        <f>IF('Peak Revenue'!$A$1="BL","-",IF(Peak!P208&gt;Peak!$G208,J$8*$X207,0))</f>
        <v>0</v>
      </c>
      <c r="K207" s="172">
        <f>IF('Peak Revenue'!$A$1="BL","-",IF(Peak!Q208&gt;Peak!$G208,K$8*$X207,0))</f>
        <v>0</v>
      </c>
      <c r="L207" s="172">
        <f>IF('Peak Revenue'!$A$1="BL","-",IF(Peak!R208&gt;Peak!$G208,L$8*$X207,0))</f>
        <v>0</v>
      </c>
      <c r="M207" s="172">
        <f>IF('Peak Revenue'!$A$1="BL","-",IF(Peak!S208&gt;Peak!$G208,M$8*$X207,0))</f>
        <v>0</v>
      </c>
      <c r="N207" s="172">
        <f>IF('Peak Revenue'!$A$1="BL","-",IF(Peak!T208&gt;Peak!$G208,N$8*$X207,0))</f>
        <v>0</v>
      </c>
      <c r="O207" s="172">
        <f>IF('Peak Revenue'!$A$1="BL","-",IF(Peak!U208&gt;Peak!$G208,O$8*$X207,0))</f>
        <v>0</v>
      </c>
      <c r="P207" s="172">
        <f>IF('Peak Revenue'!$A$1="BL","-",IF(Peak!V208&gt;Peak!$G208,P$8*$X207,0))</f>
        <v>0</v>
      </c>
      <c r="Q207" s="172">
        <f>IF('Peak Revenue'!$A$1="BL","-",IF(Peak!W208&gt;Peak!$G208,Q$8*$X207,0))</f>
        <v>0</v>
      </c>
      <c r="R207" s="172">
        <f>IF('Peak Revenue'!$A$1="BL","-",IF(Peak!X208&gt;Peak!$G208,R$8*$X207,0))</f>
        <v>0</v>
      </c>
      <c r="S207" s="172">
        <f>IF('Peak Revenue'!$A$1="BL","-",IF(Peak!Y208&gt;Peak!$G208,S$8*$X207,0))</f>
        <v>0</v>
      </c>
      <c r="T207" s="172">
        <f>IF('Peak Revenue'!$A$1="BL","-",IF(Peak!Z208&gt;Peak!$G208,T$8*$X207,0))</f>
        <v>0</v>
      </c>
      <c r="U207" s="172">
        <f>IF('Peak Revenue'!$A$1="BL","-",IF(Peak!AA208&gt;Peak!$G208,U$8*$X207,0))</f>
        <v>0</v>
      </c>
      <c r="V207" s="175">
        <f t="shared" si="6"/>
        <v>173.90184463720539</v>
      </c>
      <c r="W207" s="164"/>
      <c r="X207" s="473">
        <f>CHOOSE(QUOTIENT(MONTH($A207),3)+1,Peak!$AM$11,Peak!$AN$11,Peak!$AL$11,Peak!$AO$11,Peak!$AM$11)</f>
        <v>0.96612135909558572</v>
      </c>
      <c r="Y207" s="474">
        <f>CHOOSE(QUOTIENT(MONTH($A207),3)+1,Peak!$AM$17,Peak!$AN$17,Peak!$AL$17,Peak!$AO$17,Peak!$AM$17)</f>
        <v>705</v>
      </c>
    </row>
    <row r="208" spans="1:25" x14ac:dyDescent="0.2">
      <c r="A208" s="1">
        <f t="shared" si="7"/>
        <v>42562.566000000254</v>
      </c>
      <c r="B208" s="172">
        <f>IF('Peak Revenue'!$A$1="BL","-",IF(Peak!H209&gt;Peak!$G209,B$8*$X208,0))</f>
        <v>4.8306067954779284</v>
      </c>
      <c r="C208" s="172">
        <f>IF('Peak Revenue'!$A$1="BL","-",IF(Peak!I209&gt;Peak!$G209,C$8*$X208,0))</f>
        <v>4.8306067954779284</v>
      </c>
      <c r="D208" s="172">
        <f>IF('Peak Revenue'!$A$1="BL","-",IF(Peak!J209&gt;Peak!$G209,D$8*$X208,0))</f>
        <v>9.6612135909558567</v>
      </c>
      <c r="E208" s="172">
        <f>IF('Peak Revenue'!$A$1="BL","-",IF(Peak!K209&gt;Peak!$G209,E$8*$X208,0))</f>
        <v>19.322427181911713</v>
      </c>
      <c r="F208" s="172">
        <f>IF('Peak Revenue'!$A$1="BL","-",IF(Peak!L209&gt;Peak!$G209,F$8*$X208,0))</f>
        <v>19.322427181911713</v>
      </c>
      <c r="G208" s="172">
        <f>IF('Peak Revenue'!$A$1="BL","-",IF(Peak!M209&gt;Peak!$G209,G$8*$X208,0))</f>
        <v>38.644854363823427</v>
      </c>
      <c r="H208" s="172">
        <f>IF('Peak Revenue'!$A$1="BL","-",IF(Peak!N209&gt;Peak!$G209,H$8*$X208,0))</f>
        <v>38.644854363823427</v>
      </c>
      <c r="I208" s="172">
        <f>IF('Peak Revenue'!$A$1="BL","-",IF(Peak!O209&gt;Peak!$G209,I$8*$X208,0))</f>
        <v>38.644854363823427</v>
      </c>
      <c r="J208" s="172">
        <f>IF('Peak Revenue'!$A$1="BL","-",IF(Peak!P209&gt;Peak!$G209,J$8*$X208,0))</f>
        <v>38.644854363823427</v>
      </c>
      <c r="K208" s="172">
        <f>IF('Peak Revenue'!$A$1="BL","-",IF(Peak!Q209&gt;Peak!$G209,K$8*$X208,0))</f>
        <v>38.644854363823427</v>
      </c>
      <c r="L208" s="172">
        <f>IF('Peak Revenue'!$A$1="BL","-",IF(Peak!R209&gt;Peak!$G209,L$8*$X208,0))</f>
        <v>38.644854363823427</v>
      </c>
      <c r="M208" s="172">
        <f>IF('Peak Revenue'!$A$1="BL","-",IF(Peak!S209&gt;Peak!$G209,M$8*$X208,0))</f>
        <v>38.644854363823427</v>
      </c>
      <c r="N208" s="172">
        <f>IF('Peak Revenue'!$A$1="BL","-",IF(Peak!T209&gt;Peak!$G209,N$8*$X208,0))</f>
        <v>38.644854363823427</v>
      </c>
      <c r="O208" s="172">
        <f>IF('Peak Revenue'!$A$1="BL","-",IF(Peak!U209&gt;Peak!$G209,O$8*$X208,0))</f>
        <v>38.644854363823427</v>
      </c>
      <c r="P208" s="172">
        <f>IF('Peak Revenue'!$A$1="BL","-",IF(Peak!V209&gt;Peak!$G209,P$8*$X208,0))</f>
        <v>38.644854363823427</v>
      </c>
      <c r="Q208" s="172">
        <f>IF('Peak Revenue'!$A$1="BL","-",IF(Peak!W209&gt;Peak!$G209,Q$8*$X208,0))</f>
        <v>38.644854363823427</v>
      </c>
      <c r="R208" s="172">
        <f>IF('Peak Revenue'!$A$1="BL","-",IF(Peak!X209&gt;Peak!$G209,R$8*$X208,0))</f>
        <v>0</v>
      </c>
      <c r="S208" s="172">
        <f>IF('Peak Revenue'!$A$1="BL","-",IF(Peak!Y209&gt;Peak!$G209,S$8*$X208,0))</f>
        <v>0</v>
      </c>
      <c r="T208" s="172">
        <f>IF('Peak Revenue'!$A$1="BL","-",IF(Peak!Z209&gt;Peak!$G209,T$8*$X208,0))</f>
        <v>0</v>
      </c>
      <c r="U208" s="172">
        <f>IF('Peak Revenue'!$A$1="BL","-",IF(Peak!AA209&gt;Peak!$G209,U$8*$X208,0))</f>
        <v>0</v>
      </c>
      <c r="V208" s="175">
        <f t="shared" si="6"/>
        <v>483.06067954779269</v>
      </c>
      <c r="W208" s="164"/>
      <c r="X208" s="473">
        <f>CHOOSE(QUOTIENT(MONTH($A208),3)+1,Peak!$AM$11,Peak!$AN$11,Peak!$AL$11,Peak!$AO$11,Peak!$AM$11)</f>
        <v>0.96612135909558572</v>
      </c>
      <c r="Y208" s="474">
        <f>CHOOSE(QUOTIENT(MONTH($A208),3)+1,Peak!$AM$17,Peak!$AN$17,Peak!$AL$17,Peak!$AO$17,Peak!$AM$17)</f>
        <v>705</v>
      </c>
    </row>
    <row r="209" spans="1:25" x14ac:dyDescent="0.2">
      <c r="A209" s="1">
        <f t="shared" si="7"/>
        <v>42592.983000000255</v>
      </c>
      <c r="B209" s="172">
        <f>IF('Peak Revenue'!$A$1="BL","-",IF(Peak!H210&gt;Peak!$G210,B$8*$X209,0))</f>
        <v>4.8306067954779284</v>
      </c>
      <c r="C209" s="172">
        <f>IF('Peak Revenue'!$A$1="BL","-",IF(Peak!I210&gt;Peak!$G210,C$8*$X209,0))</f>
        <v>4.8306067954779284</v>
      </c>
      <c r="D209" s="172">
        <f>IF('Peak Revenue'!$A$1="BL","-",IF(Peak!J210&gt;Peak!$G210,D$8*$X209,0))</f>
        <v>9.6612135909558567</v>
      </c>
      <c r="E209" s="172">
        <f>IF('Peak Revenue'!$A$1="BL","-",IF(Peak!K210&gt;Peak!$G210,E$8*$X209,0))</f>
        <v>19.322427181911713</v>
      </c>
      <c r="F209" s="172">
        <f>IF('Peak Revenue'!$A$1="BL","-",IF(Peak!L210&gt;Peak!$G210,F$8*$X209,0))</f>
        <v>19.322427181911713</v>
      </c>
      <c r="G209" s="172">
        <f>IF('Peak Revenue'!$A$1="BL","-",IF(Peak!M210&gt;Peak!$G210,G$8*$X209,0))</f>
        <v>38.644854363823427</v>
      </c>
      <c r="H209" s="172">
        <f>IF('Peak Revenue'!$A$1="BL","-",IF(Peak!N210&gt;Peak!$G210,H$8*$X209,0))</f>
        <v>38.644854363823427</v>
      </c>
      <c r="I209" s="172">
        <f>IF('Peak Revenue'!$A$1="BL","-",IF(Peak!O210&gt;Peak!$G210,I$8*$X209,0))</f>
        <v>38.644854363823427</v>
      </c>
      <c r="J209" s="172">
        <f>IF('Peak Revenue'!$A$1="BL","-",IF(Peak!P210&gt;Peak!$G210,J$8*$X209,0))</f>
        <v>38.644854363823427</v>
      </c>
      <c r="K209" s="172">
        <f>IF('Peak Revenue'!$A$1="BL","-",IF(Peak!Q210&gt;Peak!$G210,K$8*$X209,0))</f>
        <v>38.644854363823427</v>
      </c>
      <c r="L209" s="172">
        <f>IF('Peak Revenue'!$A$1="BL","-",IF(Peak!R210&gt;Peak!$G210,L$8*$X209,0))</f>
        <v>0</v>
      </c>
      <c r="M209" s="172">
        <f>IF('Peak Revenue'!$A$1="BL","-",IF(Peak!S210&gt;Peak!$G210,M$8*$X209,0))</f>
        <v>0</v>
      </c>
      <c r="N209" s="172">
        <f>IF('Peak Revenue'!$A$1="BL","-",IF(Peak!T210&gt;Peak!$G210,N$8*$X209,0))</f>
        <v>0</v>
      </c>
      <c r="O209" s="172">
        <f>IF('Peak Revenue'!$A$1="BL","-",IF(Peak!U210&gt;Peak!$G210,O$8*$X209,0))</f>
        <v>0</v>
      </c>
      <c r="P209" s="172">
        <f>IF('Peak Revenue'!$A$1="BL","-",IF(Peak!V210&gt;Peak!$G210,P$8*$X209,0))</f>
        <v>0</v>
      </c>
      <c r="Q209" s="172">
        <f>IF('Peak Revenue'!$A$1="BL","-",IF(Peak!W210&gt;Peak!$G210,Q$8*$X209,0))</f>
        <v>0</v>
      </c>
      <c r="R209" s="172">
        <f>IF('Peak Revenue'!$A$1="BL","-",IF(Peak!X210&gt;Peak!$G210,R$8*$X209,0))</f>
        <v>0</v>
      </c>
      <c r="S209" s="172">
        <f>IF('Peak Revenue'!$A$1="BL","-",IF(Peak!Y210&gt;Peak!$G210,S$8*$X209,0))</f>
        <v>0</v>
      </c>
      <c r="T209" s="172">
        <f>IF('Peak Revenue'!$A$1="BL","-",IF(Peak!Z210&gt;Peak!$G210,T$8*$X209,0))</f>
        <v>0</v>
      </c>
      <c r="U209" s="172">
        <f>IF('Peak Revenue'!$A$1="BL","-",IF(Peak!AA210&gt;Peak!$G210,U$8*$X209,0))</f>
        <v>0</v>
      </c>
      <c r="V209" s="175">
        <f t="shared" si="6"/>
        <v>251.19155336485221</v>
      </c>
      <c r="W209" s="164"/>
      <c r="X209" s="473">
        <f>CHOOSE(QUOTIENT(MONTH($A209),3)+1,Peak!$AM$11,Peak!$AN$11,Peak!$AL$11,Peak!$AO$11,Peak!$AM$11)</f>
        <v>0.96612135909558572</v>
      </c>
      <c r="Y209" s="474">
        <f>CHOOSE(QUOTIENT(MONTH($A209),3)+1,Peak!$AM$17,Peak!$AN$17,Peak!$AL$17,Peak!$AO$17,Peak!$AM$17)</f>
        <v>705</v>
      </c>
    </row>
    <row r="210" spans="1:25" x14ac:dyDescent="0.2">
      <c r="A210" s="1">
        <f t="shared" si="7"/>
        <v>42623.400000000256</v>
      </c>
      <c r="B210" s="172">
        <f>IF('Peak Revenue'!$A$1="BL","-",IF(Peak!H211&gt;Peak!$G211,B$8*$X210,0))</f>
        <v>4.75</v>
      </c>
      <c r="C210" s="172">
        <f>IF('Peak Revenue'!$A$1="BL","-",IF(Peak!I211&gt;Peak!$G211,C$8*$X210,0))</f>
        <v>4.75</v>
      </c>
      <c r="D210" s="172">
        <f>IF('Peak Revenue'!$A$1="BL","-",IF(Peak!J211&gt;Peak!$G211,D$8*$X210,0))</f>
        <v>9.5</v>
      </c>
      <c r="E210" s="172">
        <f>IF('Peak Revenue'!$A$1="BL","-",IF(Peak!K211&gt;Peak!$G211,E$8*$X210,0))</f>
        <v>19</v>
      </c>
      <c r="F210" s="172">
        <f>IF('Peak Revenue'!$A$1="BL","-",IF(Peak!L211&gt;Peak!$G211,F$8*$X210,0))</f>
        <v>19</v>
      </c>
      <c r="G210" s="172">
        <f>IF('Peak Revenue'!$A$1="BL","-",IF(Peak!M211&gt;Peak!$G211,G$8*$X210,0))</f>
        <v>38</v>
      </c>
      <c r="H210" s="172">
        <f>IF('Peak Revenue'!$A$1="BL","-",IF(Peak!N211&gt;Peak!$G211,H$8*$X210,0))</f>
        <v>38</v>
      </c>
      <c r="I210" s="172">
        <f>IF('Peak Revenue'!$A$1="BL","-",IF(Peak!O211&gt;Peak!$G211,I$8*$X210,0))</f>
        <v>38</v>
      </c>
      <c r="J210" s="172">
        <f>IF('Peak Revenue'!$A$1="BL","-",IF(Peak!P211&gt;Peak!$G211,J$8*$X210,0))</f>
        <v>38</v>
      </c>
      <c r="K210" s="172">
        <f>IF('Peak Revenue'!$A$1="BL","-",IF(Peak!Q211&gt;Peak!$G211,K$8*$X210,0))</f>
        <v>0</v>
      </c>
      <c r="L210" s="172">
        <f>IF('Peak Revenue'!$A$1="BL","-",IF(Peak!R211&gt;Peak!$G211,L$8*$X210,0))</f>
        <v>0</v>
      </c>
      <c r="M210" s="172">
        <f>IF('Peak Revenue'!$A$1="BL","-",IF(Peak!S211&gt;Peak!$G211,M$8*$X210,0))</f>
        <v>0</v>
      </c>
      <c r="N210" s="172">
        <f>IF('Peak Revenue'!$A$1="BL","-",IF(Peak!T211&gt;Peak!$G211,N$8*$X210,0))</f>
        <v>0</v>
      </c>
      <c r="O210" s="172">
        <f>IF('Peak Revenue'!$A$1="BL","-",IF(Peak!U211&gt;Peak!$G211,O$8*$X210,0))</f>
        <v>0</v>
      </c>
      <c r="P210" s="172">
        <f>IF('Peak Revenue'!$A$1="BL","-",IF(Peak!V211&gt;Peak!$G211,P$8*$X210,0))</f>
        <v>0</v>
      </c>
      <c r="Q210" s="172">
        <f>IF('Peak Revenue'!$A$1="BL","-",IF(Peak!W211&gt;Peak!$G211,Q$8*$X210,0))</f>
        <v>0</v>
      </c>
      <c r="R210" s="172">
        <f>IF('Peak Revenue'!$A$1="BL","-",IF(Peak!X211&gt;Peak!$G211,R$8*$X210,0))</f>
        <v>0</v>
      </c>
      <c r="S210" s="172">
        <f>IF('Peak Revenue'!$A$1="BL","-",IF(Peak!Y211&gt;Peak!$G211,S$8*$X210,0))</f>
        <v>0</v>
      </c>
      <c r="T210" s="172">
        <f>IF('Peak Revenue'!$A$1="BL","-",IF(Peak!Z211&gt;Peak!$G211,T$8*$X210,0))</f>
        <v>0</v>
      </c>
      <c r="U210" s="172">
        <f>IF('Peak Revenue'!$A$1="BL","-",IF(Peak!AA211&gt;Peak!$G211,U$8*$X210,0))</f>
        <v>0</v>
      </c>
      <c r="V210" s="175">
        <f t="shared" si="6"/>
        <v>209</v>
      </c>
      <c r="W210" s="164"/>
      <c r="X210" s="473">
        <f>CHOOSE(QUOTIENT(MONTH($A210),3)+1,Peak!$AM$11,Peak!$AN$11,Peak!$AL$11,Peak!$AO$11,Peak!$AM$11)</f>
        <v>0.95</v>
      </c>
      <c r="Y210" s="474">
        <f>CHOOSE(QUOTIENT(MONTH($A210),3)+1,Peak!$AM$17,Peak!$AN$17,Peak!$AL$17,Peak!$AO$17,Peak!$AM$17)</f>
        <v>705</v>
      </c>
    </row>
    <row r="211" spans="1:25" x14ac:dyDescent="0.2">
      <c r="A211" s="1">
        <f t="shared" si="7"/>
        <v>42653.817000000257</v>
      </c>
      <c r="B211" s="172">
        <f>IF('Peak Revenue'!$A$1="BL","-",IF(Peak!H212&gt;Peak!$G212,B$8*$X211,0))</f>
        <v>4.75</v>
      </c>
      <c r="C211" s="172">
        <f>IF('Peak Revenue'!$A$1="BL","-",IF(Peak!I212&gt;Peak!$G212,C$8*$X211,0))</f>
        <v>4.75</v>
      </c>
      <c r="D211" s="172">
        <f>IF('Peak Revenue'!$A$1="BL","-",IF(Peak!J212&gt;Peak!$G212,D$8*$X211,0))</f>
        <v>9.5</v>
      </c>
      <c r="E211" s="172">
        <f>IF('Peak Revenue'!$A$1="BL","-",IF(Peak!K212&gt;Peak!$G212,E$8*$X211,0))</f>
        <v>19</v>
      </c>
      <c r="F211" s="172">
        <f>IF('Peak Revenue'!$A$1="BL","-",IF(Peak!L212&gt;Peak!$G212,F$8*$X211,0))</f>
        <v>19</v>
      </c>
      <c r="G211" s="172">
        <f>IF('Peak Revenue'!$A$1="BL","-",IF(Peak!M212&gt;Peak!$G212,G$8*$X211,0))</f>
        <v>38</v>
      </c>
      <c r="H211" s="172">
        <f>IF('Peak Revenue'!$A$1="BL","-",IF(Peak!N212&gt;Peak!$G212,H$8*$X211,0))</f>
        <v>38</v>
      </c>
      <c r="I211" s="172">
        <f>IF('Peak Revenue'!$A$1="BL","-",IF(Peak!O212&gt;Peak!$G212,I$8*$X211,0))</f>
        <v>38</v>
      </c>
      <c r="J211" s="172">
        <f>IF('Peak Revenue'!$A$1="BL","-",IF(Peak!P212&gt;Peak!$G212,J$8*$X211,0))</f>
        <v>0</v>
      </c>
      <c r="K211" s="172">
        <f>IF('Peak Revenue'!$A$1="BL","-",IF(Peak!Q212&gt;Peak!$G212,K$8*$X211,0))</f>
        <v>0</v>
      </c>
      <c r="L211" s="172">
        <f>IF('Peak Revenue'!$A$1="BL","-",IF(Peak!R212&gt;Peak!$G212,L$8*$X211,0))</f>
        <v>0</v>
      </c>
      <c r="M211" s="172">
        <f>IF('Peak Revenue'!$A$1="BL","-",IF(Peak!S212&gt;Peak!$G212,M$8*$X211,0))</f>
        <v>0</v>
      </c>
      <c r="N211" s="172">
        <f>IF('Peak Revenue'!$A$1="BL","-",IF(Peak!T212&gt;Peak!$G212,N$8*$X211,0))</f>
        <v>0</v>
      </c>
      <c r="O211" s="172">
        <f>IF('Peak Revenue'!$A$1="BL","-",IF(Peak!U212&gt;Peak!$G212,O$8*$X211,0))</f>
        <v>0</v>
      </c>
      <c r="P211" s="172">
        <f>IF('Peak Revenue'!$A$1="BL","-",IF(Peak!V212&gt;Peak!$G212,P$8*$X211,0))</f>
        <v>0</v>
      </c>
      <c r="Q211" s="172">
        <f>IF('Peak Revenue'!$A$1="BL","-",IF(Peak!W212&gt;Peak!$G212,Q$8*$X211,0))</f>
        <v>0</v>
      </c>
      <c r="R211" s="172">
        <f>IF('Peak Revenue'!$A$1="BL","-",IF(Peak!X212&gt;Peak!$G212,R$8*$X211,0))</f>
        <v>0</v>
      </c>
      <c r="S211" s="172">
        <f>IF('Peak Revenue'!$A$1="BL","-",IF(Peak!Y212&gt;Peak!$G212,S$8*$X211,0))</f>
        <v>0</v>
      </c>
      <c r="T211" s="172">
        <f>IF('Peak Revenue'!$A$1="BL","-",IF(Peak!Z212&gt;Peak!$G212,T$8*$X211,0))</f>
        <v>0</v>
      </c>
      <c r="U211" s="172">
        <f>IF('Peak Revenue'!$A$1="BL","-",IF(Peak!AA212&gt;Peak!$G212,U$8*$X211,0))</f>
        <v>0</v>
      </c>
      <c r="V211" s="175">
        <f t="shared" si="6"/>
        <v>171</v>
      </c>
      <c r="W211" s="164"/>
      <c r="X211" s="473">
        <f>CHOOSE(QUOTIENT(MONTH($A211),3)+1,Peak!$AM$11,Peak!$AN$11,Peak!$AL$11,Peak!$AO$11,Peak!$AM$11)</f>
        <v>0.95</v>
      </c>
      <c r="Y211" s="474">
        <f>CHOOSE(QUOTIENT(MONTH($A211),3)+1,Peak!$AM$17,Peak!$AN$17,Peak!$AL$17,Peak!$AO$17,Peak!$AM$17)</f>
        <v>705</v>
      </c>
    </row>
    <row r="212" spans="1:25" x14ac:dyDescent="0.2">
      <c r="A212" s="1">
        <f t="shared" si="7"/>
        <v>42684.234000000259</v>
      </c>
      <c r="B212" s="172">
        <f>IF('Peak Revenue'!$A$1="BL","-",IF(Peak!H213&gt;Peak!$G213,B$8*$X212,0))</f>
        <v>4.75</v>
      </c>
      <c r="C212" s="172">
        <f>IF('Peak Revenue'!$A$1="BL","-",IF(Peak!I213&gt;Peak!$G213,C$8*$X212,0))</f>
        <v>4.75</v>
      </c>
      <c r="D212" s="172">
        <f>IF('Peak Revenue'!$A$1="BL","-",IF(Peak!J213&gt;Peak!$G213,D$8*$X212,0))</f>
        <v>9.5</v>
      </c>
      <c r="E212" s="172">
        <f>IF('Peak Revenue'!$A$1="BL","-",IF(Peak!K213&gt;Peak!$G213,E$8*$X212,0))</f>
        <v>19</v>
      </c>
      <c r="F212" s="172">
        <f>IF('Peak Revenue'!$A$1="BL","-",IF(Peak!L213&gt;Peak!$G213,F$8*$X212,0))</f>
        <v>19</v>
      </c>
      <c r="G212" s="172">
        <f>IF('Peak Revenue'!$A$1="BL","-",IF(Peak!M213&gt;Peak!$G213,G$8*$X212,0))</f>
        <v>38</v>
      </c>
      <c r="H212" s="172">
        <f>IF('Peak Revenue'!$A$1="BL","-",IF(Peak!N213&gt;Peak!$G213,H$8*$X212,0))</f>
        <v>38</v>
      </c>
      <c r="I212" s="172">
        <f>IF('Peak Revenue'!$A$1="BL","-",IF(Peak!O213&gt;Peak!$G213,I$8*$X212,0))</f>
        <v>38</v>
      </c>
      <c r="J212" s="172">
        <f>IF('Peak Revenue'!$A$1="BL","-",IF(Peak!P213&gt;Peak!$G213,J$8*$X212,0))</f>
        <v>0</v>
      </c>
      <c r="K212" s="172">
        <f>IF('Peak Revenue'!$A$1="BL","-",IF(Peak!Q213&gt;Peak!$G213,K$8*$X212,0))</f>
        <v>0</v>
      </c>
      <c r="L212" s="172">
        <f>IF('Peak Revenue'!$A$1="BL","-",IF(Peak!R213&gt;Peak!$G213,L$8*$X212,0))</f>
        <v>0</v>
      </c>
      <c r="M212" s="172">
        <f>IF('Peak Revenue'!$A$1="BL","-",IF(Peak!S213&gt;Peak!$G213,M$8*$X212,0))</f>
        <v>0</v>
      </c>
      <c r="N212" s="172">
        <f>IF('Peak Revenue'!$A$1="BL","-",IF(Peak!T213&gt;Peak!$G213,N$8*$X212,0))</f>
        <v>0</v>
      </c>
      <c r="O212" s="172">
        <f>IF('Peak Revenue'!$A$1="BL","-",IF(Peak!U213&gt;Peak!$G213,O$8*$X212,0))</f>
        <v>0</v>
      </c>
      <c r="P212" s="172">
        <f>IF('Peak Revenue'!$A$1="BL","-",IF(Peak!V213&gt;Peak!$G213,P$8*$X212,0))</f>
        <v>0</v>
      </c>
      <c r="Q212" s="172">
        <f>IF('Peak Revenue'!$A$1="BL","-",IF(Peak!W213&gt;Peak!$G213,Q$8*$X212,0))</f>
        <v>0</v>
      </c>
      <c r="R212" s="172">
        <f>IF('Peak Revenue'!$A$1="BL","-",IF(Peak!X213&gt;Peak!$G213,R$8*$X212,0))</f>
        <v>0</v>
      </c>
      <c r="S212" s="172">
        <f>IF('Peak Revenue'!$A$1="BL","-",IF(Peak!Y213&gt;Peak!$G213,S$8*$X212,0))</f>
        <v>0</v>
      </c>
      <c r="T212" s="172">
        <f>IF('Peak Revenue'!$A$1="BL","-",IF(Peak!Z213&gt;Peak!$G213,T$8*$X212,0))</f>
        <v>0</v>
      </c>
      <c r="U212" s="172">
        <f>IF('Peak Revenue'!$A$1="BL","-",IF(Peak!AA213&gt;Peak!$G213,U$8*$X212,0))</f>
        <v>0</v>
      </c>
      <c r="V212" s="175">
        <f t="shared" si="6"/>
        <v>171</v>
      </c>
      <c r="W212" s="163"/>
      <c r="X212" s="473">
        <f>CHOOSE(QUOTIENT(MONTH($A212),3)+1,Peak!$AM$11,Peak!$AN$11,Peak!$AL$11,Peak!$AO$11,Peak!$AM$11)</f>
        <v>0.95</v>
      </c>
      <c r="Y212" s="474">
        <f>CHOOSE(QUOTIENT(MONTH($A212),3)+1,Peak!$AM$17,Peak!$AN$17,Peak!$AL$17,Peak!$AO$17,Peak!$AM$17)</f>
        <v>705</v>
      </c>
    </row>
    <row r="213" spans="1:25" x14ac:dyDescent="0.2">
      <c r="A213" s="1">
        <f t="shared" si="7"/>
        <v>42714.65100000026</v>
      </c>
      <c r="B213" s="172">
        <f>IF('Peak Revenue'!$A$1="BL","-",IF(Peak!H214&gt;Peak!$G214,B$8*$X213,0))</f>
        <v>4.6213830939305875</v>
      </c>
      <c r="C213" s="172">
        <f>IF('Peak Revenue'!$A$1="BL","-",IF(Peak!I214&gt;Peak!$G214,C$8*$X213,0))</f>
        <v>4.6213830939305875</v>
      </c>
      <c r="D213" s="172">
        <f>IF('Peak Revenue'!$A$1="BL","-",IF(Peak!J214&gt;Peak!$G214,D$8*$X213,0))</f>
        <v>9.2427661878611751</v>
      </c>
      <c r="E213" s="172">
        <f>IF('Peak Revenue'!$A$1="BL","-",IF(Peak!K214&gt;Peak!$G214,E$8*$X213,0))</f>
        <v>18.48553237572235</v>
      </c>
      <c r="F213" s="172">
        <f>IF('Peak Revenue'!$A$1="BL","-",IF(Peak!L214&gt;Peak!$G214,F$8*$X213,0))</f>
        <v>18.48553237572235</v>
      </c>
      <c r="G213" s="172">
        <f>IF('Peak Revenue'!$A$1="BL","-",IF(Peak!M214&gt;Peak!$G214,G$8*$X213,0))</f>
        <v>36.9710647514447</v>
      </c>
      <c r="H213" s="172">
        <f>IF('Peak Revenue'!$A$1="BL","-",IF(Peak!N214&gt;Peak!$G214,H$8*$X213,0))</f>
        <v>36.9710647514447</v>
      </c>
      <c r="I213" s="172">
        <f>IF('Peak Revenue'!$A$1="BL","-",IF(Peak!O214&gt;Peak!$G214,I$8*$X213,0))</f>
        <v>36.9710647514447</v>
      </c>
      <c r="J213" s="172">
        <f>IF('Peak Revenue'!$A$1="BL","-",IF(Peak!P214&gt;Peak!$G214,J$8*$X213,0))</f>
        <v>36.9710647514447</v>
      </c>
      <c r="K213" s="172">
        <f>IF('Peak Revenue'!$A$1="BL","-",IF(Peak!Q214&gt;Peak!$G214,K$8*$X213,0))</f>
        <v>0</v>
      </c>
      <c r="L213" s="172">
        <f>IF('Peak Revenue'!$A$1="BL","-",IF(Peak!R214&gt;Peak!$G214,L$8*$X213,0))</f>
        <v>0</v>
      </c>
      <c r="M213" s="172">
        <f>IF('Peak Revenue'!$A$1="BL","-",IF(Peak!S214&gt;Peak!$G214,M$8*$X213,0))</f>
        <v>0</v>
      </c>
      <c r="N213" s="172">
        <f>IF('Peak Revenue'!$A$1="BL","-",IF(Peak!T214&gt;Peak!$G214,N$8*$X213,0))</f>
        <v>0</v>
      </c>
      <c r="O213" s="172">
        <f>IF('Peak Revenue'!$A$1="BL","-",IF(Peak!U214&gt;Peak!$G214,O$8*$X213,0))</f>
        <v>0</v>
      </c>
      <c r="P213" s="172">
        <f>IF('Peak Revenue'!$A$1="BL","-",IF(Peak!V214&gt;Peak!$G214,P$8*$X213,0))</f>
        <v>0</v>
      </c>
      <c r="Q213" s="172">
        <f>IF('Peak Revenue'!$A$1="BL","-",IF(Peak!W214&gt;Peak!$G214,Q$8*$X213,0))</f>
        <v>0</v>
      </c>
      <c r="R213" s="172">
        <f>IF('Peak Revenue'!$A$1="BL","-",IF(Peak!X214&gt;Peak!$G214,R$8*$X213,0))</f>
        <v>0</v>
      </c>
      <c r="S213" s="172">
        <f>IF('Peak Revenue'!$A$1="BL","-",IF(Peak!Y214&gt;Peak!$G214,S$8*$X213,0))</f>
        <v>0</v>
      </c>
      <c r="T213" s="172">
        <f>IF('Peak Revenue'!$A$1="BL","-",IF(Peak!Z214&gt;Peak!$G214,T$8*$X213,0))</f>
        <v>0</v>
      </c>
      <c r="U213" s="172">
        <f>IF('Peak Revenue'!$A$1="BL","-",IF(Peak!AA214&gt;Peak!$G214,U$8*$X213,0))</f>
        <v>0</v>
      </c>
      <c r="V213" s="175">
        <f t="shared" si="6"/>
        <v>203.34085613294587</v>
      </c>
      <c r="W213" s="163">
        <f>SUM(V202:V213)</f>
        <v>2696.176645948688</v>
      </c>
      <c r="X213" s="473">
        <f>CHOOSE(QUOTIENT(MONTH($A213),3)+1,Peak!$AM$11,Peak!$AN$11,Peak!$AL$11,Peak!$AO$11,Peak!$AM$11)</f>
        <v>0.92427661878611755</v>
      </c>
      <c r="Y213" s="474">
        <f>CHOOSE(QUOTIENT(MONTH($A213),3)+1,Peak!$AM$17,Peak!$AN$17,Peak!$AL$17,Peak!$AO$17,Peak!$AM$17)</f>
        <v>705</v>
      </c>
    </row>
    <row r="214" spans="1:25" x14ac:dyDescent="0.2">
      <c r="A214" s="1">
        <f t="shared" si="7"/>
        <v>42745.068000000261</v>
      </c>
      <c r="B214" s="172">
        <f>IF('Peak Revenue'!$A$1="BL","-",IF(Peak!H215&gt;Peak!$G215,B$8*$X214,0))</f>
        <v>4.6213830939305875</v>
      </c>
      <c r="C214" s="172">
        <f>IF('Peak Revenue'!$A$1="BL","-",IF(Peak!I215&gt;Peak!$G215,C$8*$X214,0))</f>
        <v>4.6213830939305875</v>
      </c>
      <c r="D214" s="172">
        <f>IF('Peak Revenue'!$A$1="BL","-",IF(Peak!J215&gt;Peak!$G215,D$8*$X214,0))</f>
        <v>9.2427661878611751</v>
      </c>
      <c r="E214" s="172">
        <f>IF('Peak Revenue'!$A$1="BL","-",IF(Peak!K215&gt;Peak!$G215,E$8*$X214,0))</f>
        <v>18.48553237572235</v>
      </c>
      <c r="F214" s="172">
        <f>IF('Peak Revenue'!$A$1="BL","-",IF(Peak!L215&gt;Peak!$G215,F$8*$X214,0))</f>
        <v>18.48553237572235</v>
      </c>
      <c r="G214" s="172">
        <f>IF('Peak Revenue'!$A$1="BL","-",IF(Peak!M215&gt;Peak!$G215,G$8*$X214,0))</f>
        <v>36.9710647514447</v>
      </c>
      <c r="H214" s="172">
        <f>IF('Peak Revenue'!$A$1="BL","-",IF(Peak!N215&gt;Peak!$G215,H$8*$X214,0))</f>
        <v>36.9710647514447</v>
      </c>
      <c r="I214" s="172">
        <f>IF('Peak Revenue'!$A$1="BL","-",IF(Peak!O215&gt;Peak!$G215,I$8*$X214,0))</f>
        <v>0</v>
      </c>
      <c r="J214" s="172">
        <f>IF('Peak Revenue'!$A$1="BL","-",IF(Peak!P215&gt;Peak!$G215,J$8*$X214,0))</f>
        <v>0</v>
      </c>
      <c r="K214" s="172">
        <f>IF('Peak Revenue'!$A$1="BL","-",IF(Peak!Q215&gt;Peak!$G215,K$8*$X214,0))</f>
        <v>0</v>
      </c>
      <c r="L214" s="172">
        <f>IF('Peak Revenue'!$A$1="BL","-",IF(Peak!R215&gt;Peak!$G215,L$8*$X214,0))</f>
        <v>0</v>
      </c>
      <c r="M214" s="172">
        <f>IF('Peak Revenue'!$A$1="BL","-",IF(Peak!S215&gt;Peak!$G215,M$8*$X214,0))</f>
        <v>0</v>
      </c>
      <c r="N214" s="172">
        <f>IF('Peak Revenue'!$A$1="BL","-",IF(Peak!T215&gt;Peak!$G215,N$8*$X214,0))</f>
        <v>0</v>
      </c>
      <c r="O214" s="172">
        <f>IF('Peak Revenue'!$A$1="BL","-",IF(Peak!U215&gt;Peak!$G215,O$8*$X214,0))</f>
        <v>0</v>
      </c>
      <c r="P214" s="172">
        <f>IF('Peak Revenue'!$A$1="BL","-",IF(Peak!V215&gt;Peak!$G215,P$8*$X214,0))</f>
        <v>0</v>
      </c>
      <c r="Q214" s="172">
        <f>IF('Peak Revenue'!$A$1="BL","-",IF(Peak!W215&gt;Peak!$G215,Q$8*$X214,0))</f>
        <v>0</v>
      </c>
      <c r="R214" s="172">
        <f>IF('Peak Revenue'!$A$1="BL","-",IF(Peak!X215&gt;Peak!$G215,R$8*$X214,0))</f>
        <v>0</v>
      </c>
      <c r="S214" s="172">
        <f>IF('Peak Revenue'!$A$1="BL","-",IF(Peak!Y215&gt;Peak!$G215,S$8*$X214,0))</f>
        <v>0</v>
      </c>
      <c r="T214" s="172">
        <f>IF('Peak Revenue'!$A$1="BL","-",IF(Peak!Z215&gt;Peak!$G215,T$8*$X214,0))</f>
        <v>0</v>
      </c>
      <c r="U214" s="172">
        <f>IF('Peak Revenue'!$A$1="BL","-",IF(Peak!AA215&gt;Peak!$G215,U$8*$X214,0))</f>
        <v>0</v>
      </c>
      <c r="V214" s="175">
        <f t="shared" si="6"/>
        <v>129.39872663005644</v>
      </c>
      <c r="W214" s="164"/>
      <c r="X214" s="473">
        <f>CHOOSE(QUOTIENT(MONTH($A214),3)+1,Peak!$AM$11,Peak!$AN$11,Peak!$AL$11,Peak!$AO$11,Peak!$AM$11)</f>
        <v>0.92427661878611755</v>
      </c>
      <c r="Y214" s="474">
        <f>CHOOSE(QUOTIENT(MONTH($A214),3)+1,Peak!$AM$17,Peak!$AN$17,Peak!$AL$17,Peak!$AO$17,Peak!$AM$17)</f>
        <v>705</v>
      </c>
    </row>
    <row r="215" spans="1:25" x14ac:dyDescent="0.2">
      <c r="A215" s="1">
        <f t="shared" si="7"/>
        <v>42775.485000000263</v>
      </c>
      <c r="B215" s="172">
        <f>IF('Peak Revenue'!$A$1="BL","-",IF(Peak!H216&gt;Peak!$G216,B$8*$X215,0))</f>
        <v>4.6213830939305875</v>
      </c>
      <c r="C215" s="172">
        <f>IF('Peak Revenue'!$A$1="BL","-",IF(Peak!I216&gt;Peak!$G216,C$8*$X215,0))</f>
        <v>4.6213830939305875</v>
      </c>
      <c r="D215" s="172">
        <f>IF('Peak Revenue'!$A$1="BL","-",IF(Peak!J216&gt;Peak!$G216,D$8*$X215,0))</f>
        <v>9.2427661878611751</v>
      </c>
      <c r="E215" s="172">
        <f>IF('Peak Revenue'!$A$1="BL","-",IF(Peak!K216&gt;Peak!$G216,E$8*$X215,0))</f>
        <v>18.48553237572235</v>
      </c>
      <c r="F215" s="172">
        <f>IF('Peak Revenue'!$A$1="BL","-",IF(Peak!L216&gt;Peak!$G216,F$8*$X215,0))</f>
        <v>18.48553237572235</v>
      </c>
      <c r="G215" s="172">
        <f>IF('Peak Revenue'!$A$1="BL","-",IF(Peak!M216&gt;Peak!$G216,G$8*$X215,0))</f>
        <v>36.9710647514447</v>
      </c>
      <c r="H215" s="172">
        <f>IF('Peak Revenue'!$A$1="BL","-",IF(Peak!N216&gt;Peak!$G216,H$8*$X215,0))</f>
        <v>36.9710647514447</v>
      </c>
      <c r="I215" s="172">
        <f>IF('Peak Revenue'!$A$1="BL","-",IF(Peak!O216&gt;Peak!$G216,I$8*$X215,0))</f>
        <v>36.9710647514447</v>
      </c>
      <c r="J215" s="172">
        <f>IF('Peak Revenue'!$A$1="BL","-",IF(Peak!P216&gt;Peak!$G216,J$8*$X215,0))</f>
        <v>36.9710647514447</v>
      </c>
      <c r="K215" s="172">
        <f>IF('Peak Revenue'!$A$1="BL","-",IF(Peak!Q216&gt;Peak!$G216,K$8*$X215,0))</f>
        <v>0</v>
      </c>
      <c r="L215" s="172">
        <f>IF('Peak Revenue'!$A$1="BL","-",IF(Peak!R216&gt;Peak!$G216,L$8*$X215,0))</f>
        <v>0</v>
      </c>
      <c r="M215" s="172">
        <f>IF('Peak Revenue'!$A$1="BL","-",IF(Peak!S216&gt;Peak!$G216,M$8*$X215,0))</f>
        <v>0</v>
      </c>
      <c r="N215" s="172">
        <f>IF('Peak Revenue'!$A$1="BL","-",IF(Peak!T216&gt;Peak!$G216,N$8*$X215,0))</f>
        <v>0</v>
      </c>
      <c r="O215" s="172">
        <f>IF('Peak Revenue'!$A$1="BL","-",IF(Peak!U216&gt;Peak!$G216,O$8*$X215,0))</f>
        <v>0</v>
      </c>
      <c r="P215" s="172">
        <f>IF('Peak Revenue'!$A$1="BL","-",IF(Peak!V216&gt;Peak!$G216,P$8*$X215,0))</f>
        <v>0</v>
      </c>
      <c r="Q215" s="172">
        <f>IF('Peak Revenue'!$A$1="BL","-",IF(Peak!W216&gt;Peak!$G216,Q$8*$X215,0))</f>
        <v>0</v>
      </c>
      <c r="R215" s="172">
        <f>IF('Peak Revenue'!$A$1="BL","-",IF(Peak!X216&gt;Peak!$G216,R$8*$X215,0))</f>
        <v>0</v>
      </c>
      <c r="S215" s="172">
        <f>IF('Peak Revenue'!$A$1="BL","-",IF(Peak!Y216&gt;Peak!$G216,S$8*$X215,0))</f>
        <v>0</v>
      </c>
      <c r="T215" s="172">
        <f>IF('Peak Revenue'!$A$1="BL","-",IF(Peak!Z216&gt;Peak!$G216,T$8*$X215,0))</f>
        <v>0</v>
      </c>
      <c r="U215" s="172">
        <f>IF('Peak Revenue'!$A$1="BL","-",IF(Peak!AA216&gt;Peak!$G216,U$8*$X215,0))</f>
        <v>0</v>
      </c>
      <c r="V215" s="175">
        <f t="shared" si="6"/>
        <v>203.34085613294587</v>
      </c>
      <c r="W215" s="164"/>
      <c r="X215" s="473">
        <f>CHOOSE(QUOTIENT(MONTH($A215),3)+1,Peak!$AM$11,Peak!$AN$11,Peak!$AL$11,Peak!$AO$11,Peak!$AM$11)</f>
        <v>0.92427661878611755</v>
      </c>
      <c r="Y215" s="474">
        <f>CHOOSE(QUOTIENT(MONTH($A215),3)+1,Peak!$AM$17,Peak!$AN$17,Peak!$AL$17,Peak!$AO$17,Peak!$AM$17)</f>
        <v>705</v>
      </c>
    </row>
    <row r="216" spans="1:25" x14ac:dyDescent="0.2">
      <c r="A216" s="1">
        <f t="shared" si="7"/>
        <v>42805.902000000264</v>
      </c>
      <c r="B216" s="172">
        <f>IF('Peak Revenue'!$A$1="BL","-",IF(Peak!H217&gt;Peak!$G217,B$8*$X216,0))</f>
        <v>4.75</v>
      </c>
      <c r="C216" s="172">
        <f>IF('Peak Revenue'!$A$1="BL","-",IF(Peak!I217&gt;Peak!$G217,C$8*$X216,0))</f>
        <v>4.75</v>
      </c>
      <c r="D216" s="172">
        <f>IF('Peak Revenue'!$A$1="BL","-",IF(Peak!J217&gt;Peak!$G217,D$8*$X216,0))</f>
        <v>9.5</v>
      </c>
      <c r="E216" s="172">
        <f>IF('Peak Revenue'!$A$1="BL","-",IF(Peak!K217&gt;Peak!$G217,E$8*$X216,0))</f>
        <v>19</v>
      </c>
      <c r="F216" s="172">
        <f>IF('Peak Revenue'!$A$1="BL","-",IF(Peak!L217&gt;Peak!$G217,F$8*$X216,0))</f>
        <v>19</v>
      </c>
      <c r="G216" s="172">
        <f>IF('Peak Revenue'!$A$1="BL","-",IF(Peak!M217&gt;Peak!$G217,G$8*$X216,0))</f>
        <v>38</v>
      </c>
      <c r="H216" s="172">
        <f>IF('Peak Revenue'!$A$1="BL","-",IF(Peak!N217&gt;Peak!$G217,H$8*$X216,0))</f>
        <v>38</v>
      </c>
      <c r="I216" s="172">
        <f>IF('Peak Revenue'!$A$1="BL","-",IF(Peak!O217&gt;Peak!$G217,I$8*$X216,0))</f>
        <v>38</v>
      </c>
      <c r="J216" s="172">
        <f>IF('Peak Revenue'!$A$1="BL","-",IF(Peak!P217&gt;Peak!$G217,J$8*$X216,0))</f>
        <v>0</v>
      </c>
      <c r="K216" s="172">
        <f>IF('Peak Revenue'!$A$1="BL","-",IF(Peak!Q217&gt;Peak!$G217,K$8*$X216,0))</f>
        <v>0</v>
      </c>
      <c r="L216" s="172">
        <f>IF('Peak Revenue'!$A$1="BL","-",IF(Peak!R217&gt;Peak!$G217,L$8*$X216,0))</f>
        <v>0</v>
      </c>
      <c r="M216" s="172">
        <f>IF('Peak Revenue'!$A$1="BL","-",IF(Peak!S217&gt;Peak!$G217,M$8*$X216,0))</f>
        <v>0</v>
      </c>
      <c r="N216" s="172">
        <f>IF('Peak Revenue'!$A$1="BL","-",IF(Peak!T217&gt;Peak!$G217,N$8*$X216,0))</f>
        <v>0</v>
      </c>
      <c r="O216" s="172">
        <f>IF('Peak Revenue'!$A$1="BL","-",IF(Peak!U217&gt;Peak!$G217,O$8*$X216,0))</f>
        <v>0</v>
      </c>
      <c r="P216" s="172">
        <f>IF('Peak Revenue'!$A$1="BL","-",IF(Peak!V217&gt;Peak!$G217,P$8*$X216,0))</f>
        <v>0</v>
      </c>
      <c r="Q216" s="172">
        <f>IF('Peak Revenue'!$A$1="BL","-",IF(Peak!W217&gt;Peak!$G217,Q$8*$X216,0))</f>
        <v>0</v>
      </c>
      <c r="R216" s="172">
        <f>IF('Peak Revenue'!$A$1="BL","-",IF(Peak!X217&gt;Peak!$G217,R$8*$X216,0))</f>
        <v>0</v>
      </c>
      <c r="S216" s="172">
        <f>IF('Peak Revenue'!$A$1="BL","-",IF(Peak!Y217&gt;Peak!$G217,S$8*$X216,0))</f>
        <v>0</v>
      </c>
      <c r="T216" s="172">
        <f>IF('Peak Revenue'!$A$1="BL","-",IF(Peak!Z217&gt;Peak!$G217,T$8*$X216,0))</f>
        <v>0</v>
      </c>
      <c r="U216" s="172">
        <f>IF('Peak Revenue'!$A$1="BL","-",IF(Peak!AA217&gt;Peak!$G217,U$8*$X216,0))</f>
        <v>0</v>
      </c>
      <c r="V216" s="175">
        <f t="shared" si="6"/>
        <v>171</v>
      </c>
      <c r="W216" s="164"/>
      <c r="X216" s="473">
        <f>CHOOSE(QUOTIENT(MONTH($A216),3)+1,Peak!$AM$11,Peak!$AN$11,Peak!$AL$11,Peak!$AO$11,Peak!$AM$11)</f>
        <v>0.95</v>
      </c>
      <c r="Y216" s="474">
        <f>CHOOSE(QUOTIENT(MONTH($A216),3)+1,Peak!$AM$17,Peak!$AN$17,Peak!$AL$17,Peak!$AO$17,Peak!$AM$17)</f>
        <v>705</v>
      </c>
    </row>
    <row r="217" spans="1:25" x14ac:dyDescent="0.2">
      <c r="A217" s="1">
        <f t="shared" si="7"/>
        <v>42836.319000000265</v>
      </c>
      <c r="B217" s="172">
        <f>IF('Peak Revenue'!$A$1="BL","-",IF(Peak!H218&gt;Peak!$G218,B$8*$X217,0))</f>
        <v>4.75</v>
      </c>
      <c r="C217" s="172">
        <f>IF('Peak Revenue'!$A$1="BL","-",IF(Peak!I218&gt;Peak!$G218,C$8*$X217,0))</f>
        <v>4.75</v>
      </c>
      <c r="D217" s="172">
        <f>IF('Peak Revenue'!$A$1="BL","-",IF(Peak!J218&gt;Peak!$G218,D$8*$X217,0))</f>
        <v>9.5</v>
      </c>
      <c r="E217" s="172">
        <f>IF('Peak Revenue'!$A$1="BL","-",IF(Peak!K218&gt;Peak!$G218,E$8*$X217,0))</f>
        <v>19</v>
      </c>
      <c r="F217" s="172">
        <f>IF('Peak Revenue'!$A$1="BL","-",IF(Peak!L218&gt;Peak!$G218,F$8*$X217,0))</f>
        <v>19</v>
      </c>
      <c r="G217" s="172">
        <f>IF('Peak Revenue'!$A$1="BL","-",IF(Peak!M218&gt;Peak!$G218,G$8*$X217,0))</f>
        <v>38</v>
      </c>
      <c r="H217" s="172">
        <f>IF('Peak Revenue'!$A$1="BL","-",IF(Peak!N218&gt;Peak!$G218,H$8*$X217,0))</f>
        <v>38</v>
      </c>
      <c r="I217" s="172">
        <f>IF('Peak Revenue'!$A$1="BL","-",IF(Peak!O218&gt;Peak!$G218,I$8*$X217,0))</f>
        <v>0</v>
      </c>
      <c r="J217" s="172">
        <f>IF('Peak Revenue'!$A$1="BL","-",IF(Peak!P218&gt;Peak!$G218,J$8*$X217,0))</f>
        <v>0</v>
      </c>
      <c r="K217" s="172">
        <f>IF('Peak Revenue'!$A$1="BL","-",IF(Peak!Q218&gt;Peak!$G218,K$8*$X217,0))</f>
        <v>0</v>
      </c>
      <c r="L217" s="172">
        <f>IF('Peak Revenue'!$A$1="BL","-",IF(Peak!R218&gt;Peak!$G218,L$8*$X217,0))</f>
        <v>0</v>
      </c>
      <c r="M217" s="172">
        <f>IF('Peak Revenue'!$A$1="BL","-",IF(Peak!S218&gt;Peak!$G218,M$8*$X217,0))</f>
        <v>0</v>
      </c>
      <c r="N217" s="172">
        <f>IF('Peak Revenue'!$A$1="BL","-",IF(Peak!T218&gt;Peak!$G218,N$8*$X217,0))</f>
        <v>0</v>
      </c>
      <c r="O217" s="172">
        <f>IF('Peak Revenue'!$A$1="BL","-",IF(Peak!U218&gt;Peak!$G218,O$8*$X217,0))</f>
        <v>0</v>
      </c>
      <c r="P217" s="172">
        <f>IF('Peak Revenue'!$A$1="BL","-",IF(Peak!V218&gt;Peak!$G218,P$8*$X217,0))</f>
        <v>0</v>
      </c>
      <c r="Q217" s="172">
        <f>IF('Peak Revenue'!$A$1="BL","-",IF(Peak!W218&gt;Peak!$G218,Q$8*$X217,0))</f>
        <v>0</v>
      </c>
      <c r="R217" s="172">
        <f>IF('Peak Revenue'!$A$1="BL","-",IF(Peak!X218&gt;Peak!$G218,R$8*$X217,0))</f>
        <v>0</v>
      </c>
      <c r="S217" s="172">
        <f>IF('Peak Revenue'!$A$1="BL","-",IF(Peak!Y218&gt;Peak!$G218,S$8*$X217,0))</f>
        <v>0</v>
      </c>
      <c r="T217" s="172">
        <f>IF('Peak Revenue'!$A$1="BL","-",IF(Peak!Z218&gt;Peak!$G218,T$8*$X217,0))</f>
        <v>0</v>
      </c>
      <c r="U217" s="172">
        <f>IF('Peak Revenue'!$A$1="BL","-",IF(Peak!AA218&gt;Peak!$G218,U$8*$X217,0))</f>
        <v>0</v>
      </c>
      <c r="V217" s="175">
        <f t="shared" si="6"/>
        <v>133</v>
      </c>
      <c r="W217" s="164"/>
      <c r="X217" s="473">
        <f>CHOOSE(QUOTIENT(MONTH($A217),3)+1,Peak!$AM$11,Peak!$AN$11,Peak!$AL$11,Peak!$AO$11,Peak!$AM$11)</f>
        <v>0.95</v>
      </c>
      <c r="Y217" s="474">
        <f>CHOOSE(QUOTIENT(MONTH($A217),3)+1,Peak!$AM$17,Peak!$AN$17,Peak!$AL$17,Peak!$AO$17,Peak!$AM$17)</f>
        <v>705</v>
      </c>
    </row>
    <row r="218" spans="1:25" x14ac:dyDescent="0.2">
      <c r="A218" s="1">
        <f t="shared" si="7"/>
        <v>42866.736000000266</v>
      </c>
      <c r="B218" s="172">
        <f>IF('Peak Revenue'!$A$1="BL","-",IF(Peak!H219&gt;Peak!$G219,B$8*$X218,0))</f>
        <v>4.75</v>
      </c>
      <c r="C218" s="172">
        <f>IF('Peak Revenue'!$A$1="BL","-",IF(Peak!I219&gt;Peak!$G219,C$8*$X218,0))</f>
        <v>4.75</v>
      </c>
      <c r="D218" s="172">
        <f>IF('Peak Revenue'!$A$1="BL","-",IF(Peak!J219&gt;Peak!$G219,D$8*$X218,0))</f>
        <v>9.5</v>
      </c>
      <c r="E218" s="172">
        <f>IF('Peak Revenue'!$A$1="BL","-",IF(Peak!K219&gt;Peak!$G219,E$8*$X218,0))</f>
        <v>19</v>
      </c>
      <c r="F218" s="172">
        <f>IF('Peak Revenue'!$A$1="BL","-",IF(Peak!L219&gt;Peak!$G219,F$8*$X218,0))</f>
        <v>19</v>
      </c>
      <c r="G218" s="172">
        <f>IF('Peak Revenue'!$A$1="BL","-",IF(Peak!M219&gt;Peak!$G219,G$8*$X218,0))</f>
        <v>38</v>
      </c>
      <c r="H218" s="172">
        <f>IF('Peak Revenue'!$A$1="BL","-",IF(Peak!N219&gt;Peak!$G219,H$8*$X218,0))</f>
        <v>38</v>
      </c>
      <c r="I218" s="172">
        <f>IF('Peak Revenue'!$A$1="BL","-",IF(Peak!O219&gt;Peak!$G219,I$8*$X218,0))</f>
        <v>0</v>
      </c>
      <c r="J218" s="172">
        <f>IF('Peak Revenue'!$A$1="BL","-",IF(Peak!P219&gt;Peak!$G219,J$8*$X218,0))</f>
        <v>0</v>
      </c>
      <c r="K218" s="172">
        <f>IF('Peak Revenue'!$A$1="BL","-",IF(Peak!Q219&gt;Peak!$G219,K$8*$X218,0))</f>
        <v>0</v>
      </c>
      <c r="L218" s="172">
        <f>IF('Peak Revenue'!$A$1="BL","-",IF(Peak!R219&gt;Peak!$G219,L$8*$X218,0))</f>
        <v>0</v>
      </c>
      <c r="M218" s="172">
        <f>IF('Peak Revenue'!$A$1="BL","-",IF(Peak!S219&gt;Peak!$G219,M$8*$X218,0))</f>
        <v>0</v>
      </c>
      <c r="N218" s="172">
        <f>IF('Peak Revenue'!$A$1="BL","-",IF(Peak!T219&gt;Peak!$G219,N$8*$X218,0))</f>
        <v>0</v>
      </c>
      <c r="O218" s="172">
        <f>IF('Peak Revenue'!$A$1="BL","-",IF(Peak!U219&gt;Peak!$G219,O$8*$X218,0))</f>
        <v>0</v>
      </c>
      <c r="P218" s="172">
        <f>IF('Peak Revenue'!$A$1="BL","-",IF(Peak!V219&gt;Peak!$G219,P$8*$X218,0))</f>
        <v>0</v>
      </c>
      <c r="Q218" s="172">
        <f>IF('Peak Revenue'!$A$1="BL","-",IF(Peak!W219&gt;Peak!$G219,Q$8*$X218,0))</f>
        <v>0</v>
      </c>
      <c r="R218" s="172">
        <f>IF('Peak Revenue'!$A$1="BL","-",IF(Peak!X219&gt;Peak!$G219,R$8*$X218,0))</f>
        <v>0</v>
      </c>
      <c r="S218" s="172">
        <f>IF('Peak Revenue'!$A$1="BL","-",IF(Peak!Y219&gt;Peak!$G219,S$8*$X218,0))</f>
        <v>0</v>
      </c>
      <c r="T218" s="172">
        <f>IF('Peak Revenue'!$A$1="BL","-",IF(Peak!Z219&gt;Peak!$G219,T$8*$X218,0))</f>
        <v>0</v>
      </c>
      <c r="U218" s="172">
        <f>IF('Peak Revenue'!$A$1="BL","-",IF(Peak!AA219&gt;Peak!$G219,U$8*$X218,0))</f>
        <v>0</v>
      </c>
      <c r="V218" s="175">
        <f t="shared" si="6"/>
        <v>133</v>
      </c>
      <c r="W218" s="164"/>
      <c r="X218" s="473">
        <f>CHOOSE(QUOTIENT(MONTH($A218),3)+1,Peak!$AM$11,Peak!$AN$11,Peak!$AL$11,Peak!$AO$11,Peak!$AM$11)</f>
        <v>0.95</v>
      </c>
      <c r="Y218" s="474">
        <f>CHOOSE(QUOTIENT(MONTH($A218),3)+1,Peak!$AM$17,Peak!$AN$17,Peak!$AL$17,Peak!$AO$17,Peak!$AM$17)</f>
        <v>705</v>
      </c>
    </row>
    <row r="219" spans="1:25" x14ac:dyDescent="0.2">
      <c r="A219" s="1">
        <f t="shared" si="7"/>
        <v>42897.153000000268</v>
      </c>
      <c r="B219" s="172">
        <f>IF('Peak Revenue'!$A$1="BL","-",IF(Peak!H220&gt;Peak!$G220,B$8*$X219,0))</f>
        <v>4.8306067954779284</v>
      </c>
      <c r="C219" s="172">
        <f>IF('Peak Revenue'!$A$1="BL","-",IF(Peak!I220&gt;Peak!$G220,C$8*$X219,0))</f>
        <v>4.8306067954779284</v>
      </c>
      <c r="D219" s="172">
        <f>IF('Peak Revenue'!$A$1="BL","-",IF(Peak!J220&gt;Peak!$G220,D$8*$X219,0))</f>
        <v>9.6612135909558567</v>
      </c>
      <c r="E219" s="172">
        <f>IF('Peak Revenue'!$A$1="BL","-",IF(Peak!K220&gt;Peak!$G220,E$8*$X219,0))</f>
        <v>19.322427181911713</v>
      </c>
      <c r="F219" s="172">
        <f>IF('Peak Revenue'!$A$1="BL","-",IF(Peak!L220&gt;Peak!$G220,F$8*$X219,0))</f>
        <v>19.322427181911713</v>
      </c>
      <c r="G219" s="172">
        <f>IF('Peak Revenue'!$A$1="BL","-",IF(Peak!M220&gt;Peak!$G220,G$8*$X219,0))</f>
        <v>38.644854363823427</v>
      </c>
      <c r="H219" s="172">
        <f>IF('Peak Revenue'!$A$1="BL","-",IF(Peak!N220&gt;Peak!$G220,H$8*$X219,0))</f>
        <v>38.644854363823427</v>
      </c>
      <c r="I219" s="172">
        <f>IF('Peak Revenue'!$A$1="BL","-",IF(Peak!O220&gt;Peak!$G220,I$8*$X219,0))</f>
        <v>38.644854363823427</v>
      </c>
      <c r="J219" s="172">
        <f>IF('Peak Revenue'!$A$1="BL","-",IF(Peak!P220&gt;Peak!$G220,J$8*$X219,0))</f>
        <v>38.644854363823427</v>
      </c>
      <c r="K219" s="172">
        <f>IF('Peak Revenue'!$A$1="BL","-",IF(Peak!Q220&gt;Peak!$G220,K$8*$X219,0))</f>
        <v>38.644854363823427</v>
      </c>
      <c r="L219" s="172">
        <f>IF('Peak Revenue'!$A$1="BL","-",IF(Peak!R220&gt;Peak!$G220,L$8*$X219,0))</f>
        <v>38.644854363823427</v>
      </c>
      <c r="M219" s="172">
        <f>IF('Peak Revenue'!$A$1="BL","-",IF(Peak!S220&gt;Peak!$G220,M$8*$X219,0))</f>
        <v>0</v>
      </c>
      <c r="N219" s="172">
        <f>IF('Peak Revenue'!$A$1="BL","-",IF(Peak!T220&gt;Peak!$G220,N$8*$X219,0))</f>
        <v>0</v>
      </c>
      <c r="O219" s="172">
        <f>IF('Peak Revenue'!$A$1="BL","-",IF(Peak!U220&gt;Peak!$G220,O$8*$X219,0))</f>
        <v>0</v>
      </c>
      <c r="P219" s="172">
        <f>IF('Peak Revenue'!$A$1="BL","-",IF(Peak!V220&gt;Peak!$G220,P$8*$X219,0))</f>
        <v>0</v>
      </c>
      <c r="Q219" s="172">
        <f>IF('Peak Revenue'!$A$1="BL","-",IF(Peak!W220&gt;Peak!$G220,Q$8*$X219,0))</f>
        <v>0</v>
      </c>
      <c r="R219" s="172">
        <f>IF('Peak Revenue'!$A$1="BL","-",IF(Peak!X220&gt;Peak!$G220,R$8*$X219,0))</f>
        <v>0</v>
      </c>
      <c r="S219" s="172">
        <f>IF('Peak Revenue'!$A$1="BL","-",IF(Peak!Y220&gt;Peak!$G220,S$8*$X219,0))</f>
        <v>0</v>
      </c>
      <c r="T219" s="172">
        <f>IF('Peak Revenue'!$A$1="BL","-",IF(Peak!Z220&gt;Peak!$G220,T$8*$X219,0))</f>
        <v>0</v>
      </c>
      <c r="U219" s="172">
        <f>IF('Peak Revenue'!$A$1="BL","-",IF(Peak!AA220&gt;Peak!$G220,U$8*$X219,0))</f>
        <v>0</v>
      </c>
      <c r="V219" s="175">
        <f t="shared" si="6"/>
        <v>289.83640772867562</v>
      </c>
      <c r="W219" s="164"/>
      <c r="X219" s="473">
        <f>CHOOSE(QUOTIENT(MONTH($A219),3)+1,Peak!$AM$11,Peak!$AN$11,Peak!$AL$11,Peak!$AO$11,Peak!$AM$11)</f>
        <v>0.96612135909558572</v>
      </c>
      <c r="Y219" s="474">
        <f>CHOOSE(QUOTIENT(MONTH($A219),3)+1,Peak!$AM$17,Peak!$AN$17,Peak!$AL$17,Peak!$AO$17,Peak!$AM$17)</f>
        <v>705</v>
      </c>
    </row>
    <row r="220" spans="1:25" x14ac:dyDescent="0.2">
      <c r="A220" s="1">
        <f t="shared" si="7"/>
        <v>42927.570000000269</v>
      </c>
      <c r="B220" s="172">
        <f>IF('Peak Revenue'!$A$1="BL","-",IF(Peak!H221&gt;Peak!$G221,B$8*$X220,0))</f>
        <v>4.8306067954779284</v>
      </c>
      <c r="C220" s="172">
        <f>IF('Peak Revenue'!$A$1="BL","-",IF(Peak!I221&gt;Peak!$G221,C$8*$X220,0))</f>
        <v>4.8306067954779284</v>
      </c>
      <c r="D220" s="172">
        <f>IF('Peak Revenue'!$A$1="BL","-",IF(Peak!J221&gt;Peak!$G221,D$8*$X220,0))</f>
        <v>9.6612135909558567</v>
      </c>
      <c r="E220" s="172">
        <f>IF('Peak Revenue'!$A$1="BL","-",IF(Peak!K221&gt;Peak!$G221,E$8*$X220,0))</f>
        <v>19.322427181911713</v>
      </c>
      <c r="F220" s="172">
        <f>IF('Peak Revenue'!$A$1="BL","-",IF(Peak!L221&gt;Peak!$G221,F$8*$X220,0))</f>
        <v>19.322427181911713</v>
      </c>
      <c r="G220" s="172">
        <f>IF('Peak Revenue'!$A$1="BL","-",IF(Peak!M221&gt;Peak!$G221,G$8*$X220,0))</f>
        <v>38.644854363823427</v>
      </c>
      <c r="H220" s="172">
        <f>IF('Peak Revenue'!$A$1="BL","-",IF(Peak!N221&gt;Peak!$G221,H$8*$X220,0))</f>
        <v>38.644854363823427</v>
      </c>
      <c r="I220" s="172">
        <f>IF('Peak Revenue'!$A$1="BL","-",IF(Peak!O221&gt;Peak!$G221,I$8*$X220,0))</f>
        <v>38.644854363823427</v>
      </c>
      <c r="J220" s="172">
        <f>IF('Peak Revenue'!$A$1="BL","-",IF(Peak!P221&gt;Peak!$G221,J$8*$X220,0))</f>
        <v>0</v>
      </c>
      <c r="K220" s="172">
        <f>IF('Peak Revenue'!$A$1="BL","-",IF(Peak!Q221&gt;Peak!$G221,K$8*$X220,0))</f>
        <v>0</v>
      </c>
      <c r="L220" s="172">
        <f>IF('Peak Revenue'!$A$1="BL","-",IF(Peak!R221&gt;Peak!$G221,L$8*$X220,0))</f>
        <v>0</v>
      </c>
      <c r="M220" s="172">
        <f>IF('Peak Revenue'!$A$1="BL","-",IF(Peak!S221&gt;Peak!$G221,M$8*$X220,0))</f>
        <v>0</v>
      </c>
      <c r="N220" s="172">
        <f>IF('Peak Revenue'!$A$1="BL","-",IF(Peak!T221&gt;Peak!$G221,N$8*$X220,0))</f>
        <v>0</v>
      </c>
      <c r="O220" s="172">
        <f>IF('Peak Revenue'!$A$1="BL","-",IF(Peak!U221&gt;Peak!$G221,O$8*$X220,0))</f>
        <v>0</v>
      </c>
      <c r="P220" s="172">
        <f>IF('Peak Revenue'!$A$1="BL","-",IF(Peak!V221&gt;Peak!$G221,P$8*$X220,0))</f>
        <v>0</v>
      </c>
      <c r="Q220" s="172">
        <f>IF('Peak Revenue'!$A$1="BL","-",IF(Peak!W221&gt;Peak!$G221,Q$8*$X220,0))</f>
        <v>0</v>
      </c>
      <c r="R220" s="172">
        <f>IF('Peak Revenue'!$A$1="BL","-",IF(Peak!X221&gt;Peak!$G221,R$8*$X220,0))</f>
        <v>0</v>
      </c>
      <c r="S220" s="172">
        <f>IF('Peak Revenue'!$A$1="BL","-",IF(Peak!Y221&gt;Peak!$G221,S$8*$X220,0))</f>
        <v>0</v>
      </c>
      <c r="T220" s="172">
        <f>IF('Peak Revenue'!$A$1="BL","-",IF(Peak!Z221&gt;Peak!$G221,T$8*$X220,0))</f>
        <v>0</v>
      </c>
      <c r="U220" s="172">
        <f>IF('Peak Revenue'!$A$1="BL","-",IF(Peak!AA221&gt;Peak!$G221,U$8*$X220,0))</f>
        <v>0</v>
      </c>
      <c r="V220" s="175">
        <f t="shared" si="6"/>
        <v>173.90184463720539</v>
      </c>
      <c r="W220" s="164"/>
      <c r="X220" s="473">
        <f>CHOOSE(QUOTIENT(MONTH($A220),3)+1,Peak!$AM$11,Peak!$AN$11,Peak!$AL$11,Peak!$AO$11,Peak!$AM$11)</f>
        <v>0.96612135909558572</v>
      </c>
      <c r="Y220" s="474">
        <f>CHOOSE(QUOTIENT(MONTH($A220),3)+1,Peak!$AM$17,Peak!$AN$17,Peak!$AL$17,Peak!$AO$17,Peak!$AM$17)</f>
        <v>705</v>
      </c>
    </row>
    <row r="221" spans="1:25" x14ac:dyDescent="0.2">
      <c r="A221" s="1">
        <f t="shared" si="7"/>
        <v>42957.98700000027</v>
      </c>
      <c r="B221" s="172">
        <f>IF('Peak Revenue'!$A$1="BL","-",IF(Peak!H222&gt;Peak!$G222,B$8*$X221,0))</f>
        <v>4.8306067954779284</v>
      </c>
      <c r="C221" s="172">
        <f>IF('Peak Revenue'!$A$1="BL","-",IF(Peak!I222&gt;Peak!$G222,C$8*$X221,0))</f>
        <v>4.8306067954779284</v>
      </c>
      <c r="D221" s="172">
        <f>IF('Peak Revenue'!$A$1="BL","-",IF(Peak!J222&gt;Peak!$G222,D$8*$X221,0))</f>
        <v>9.6612135909558567</v>
      </c>
      <c r="E221" s="172">
        <f>IF('Peak Revenue'!$A$1="BL","-",IF(Peak!K222&gt;Peak!$G222,E$8*$X221,0))</f>
        <v>19.322427181911713</v>
      </c>
      <c r="F221" s="172">
        <f>IF('Peak Revenue'!$A$1="BL","-",IF(Peak!L222&gt;Peak!$G222,F$8*$X221,0))</f>
        <v>19.322427181911713</v>
      </c>
      <c r="G221" s="172">
        <f>IF('Peak Revenue'!$A$1="BL","-",IF(Peak!M222&gt;Peak!$G222,G$8*$X221,0))</f>
        <v>38.644854363823427</v>
      </c>
      <c r="H221" s="172">
        <f>IF('Peak Revenue'!$A$1="BL","-",IF(Peak!N222&gt;Peak!$G222,H$8*$X221,0))</f>
        <v>38.644854363823427</v>
      </c>
      <c r="I221" s="172">
        <f>IF('Peak Revenue'!$A$1="BL","-",IF(Peak!O222&gt;Peak!$G222,I$8*$X221,0))</f>
        <v>38.644854363823427</v>
      </c>
      <c r="J221" s="172">
        <f>IF('Peak Revenue'!$A$1="BL","-",IF(Peak!P222&gt;Peak!$G222,J$8*$X221,0))</f>
        <v>38.644854363823427</v>
      </c>
      <c r="K221" s="172">
        <f>IF('Peak Revenue'!$A$1="BL","-",IF(Peak!Q222&gt;Peak!$G222,K$8*$X221,0))</f>
        <v>38.644854363823427</v>
      </c>
      <c r="L221" s="172">
        <f>IF('Peak Revenue'!$A$1="BL","-",IF(Peak!R222&gt;Peak!$G222,L$8*$X221,0))</f>
        <v>0</v>
      </c>
      <c r="M221" s="172">
        <f>IF('Peak Revenue'!$A$1="BL","-",IF(Peak!S222&gt;Peak!$G222,M$8*$X221,0))</f>
        <v>0</v>
      </c>
      <c r="N221" s="172">
        <f>IF('Peak Revenue'!$A$1="BL","-",IF(Peak!T222&gt;Peak!$G222,N$8*$X221,0))</f>
        <v>0</v>
      </c>
      <c r="O221" s="172">
        <f>IF('Peak Revenue'!$A$1="BL","-",IF(Peak!U222&gt;Peak!$G222,O$8*$X221,0))</f>
        <v>0</v>
      </c>
      <c r="P221" s="172">
        <f>IF('Peak Revenue'!$A$1="BL","-",IF(Peak!V222&gt;Peak!$G222,P$8*$X221,0))</f>
        <v>0</v>
      </c>
      <c r="Q221" s="172">
        <f>IF('Peak Revenue'!$A$1="BL","-",IF(Peak!W222&gt;Peak!$G222,Q$8*$X221,0))</f>
        <v>0</v>
      </c>
      <c r="R221" s="172">
        <f>IF('Peak Revenue'!$A$1="BL","-",IF(Peak!X222&gt;Peak!$G222,R$8*$X221,0))</f>
        <v>0</v>
      </c>
      <c r="S221" s="172">
        <f>IF('Peak Revenue'!$A$1="BL","-",IF(Peak!Y222&gt;Peak!$G222,S$8*$X221,0))</f>
        <v>0</v>
      </c>
      <c r="T221" s="172">
        <f>IF('Peak Revenue'!$A$1="BL","-",IF(Peak!Z222&gt;Peak!$G222,T$8*$X221,0))</f>
        <v>0</v>
      </c>
      <c r="U221" s="172">
        <f>IF('Peak Revenue'!$A$1="BL","-",IF(Peak!AA222&gt;Peak!$G222,U$8*$X221,0))</f>
        <v>0</v>
      </c>
      <c r="V221" s="175">
        <f t="shared" si="6"/>
        <v>251.19155336485221</v>
      </c>
      <c r="W221" s="164"/>
      <c r="X221" s="473">
        <f>CHOOSE(QUOTIENT(MONTH($A221),3)+1,Peak!$AM$11,Peak!$AN$11,Peak!$AL$11,Peak!$AO$11,Peak!$AM$11)</f>
        <v>0.96612135909558572</v>
      </c>
      <c r="Y221" s="474">
        <f>CHOOSE(QUOTIENT(MONTH($A221),3)+1,Peak!$AM$17,Peak!$AN$17,Peak!$AL$17,Peak!$AO$17,Peak!$AM$17)</f>
        <v>705</v>
      </c>
    </row>
    <row r="222" spans="1:25" x14ac:dyDescent="0.2">
      <c r="A222" s="1">
        <f t="shared" si="7"/>
        <v>42988.404000000271</v>
      </c>
      <c r="B222" s="172">
        <f>IF('Peak Revenue'!$A$1="BL","-",IF(Peak!H223&gt;Peak!$G223,B$8*$X222,0))</f>
        <v>4.75</v>
      </c>
      <c r="C222" s="172">
        <f>IF('Peak Revenue'!$A$1="BL","-",IF(Peak!I223&gt;Peak!$G223,C$8*$X222,0))</f>
        <v>4.75</v>
      </c>
      <c r="D222" s="172">
        <f>IF('Peak Revenue'!$A$1="BL","-",IF(Peak!J223&gt;Peak!$G223,D$8*$X222,0))</f>
        <v>9.5</v>
      </c>
      <c r="E222" s="172">
        <f>IF('Peak Revenue'!$A$1="BL","-",IF(Peak!K223&gt;Peak!$G223,E$8*$X222,0))</f>
        <v>19</v>
      </c>
      <c r="F222" s="172">
        <f>IF('Peak Revenue'!$A$1="BL","-",IF(Peak!L223&gt;Peak!$G223,F$8*$X222,0))</f>
        <v>19</v>
      </c>
      <c r="G222" s="172">
        <f>IF('Peak Revenue'!$A$1="BL","-",IF(Peak!M223&gt;Peak!$G223,G$8*$X222,0))</f>
        <v>38</v>
      </c>
      <c r="H222" s="172">
        <f>IF('Peak Revenue'!$A$1="BL","-",IF(Peak!N223&gt;Peak!$G223,H$8*$X222,0))</f>
        <v>38</v>
      </c>
      <c r="I222" s="172">
        <f>IF('Peak Revenue'!$A$1="BL","-",IF(Peak!O223&gt;Peak!$G223,I$8*$X222,0))</f>
        <v>38</v>
      </c>
      <c r="J222" s="172">
        <f>IF('Peak Revenue'!$A$1="BL","-",IF(Peak!P223&gt;Peak!$G223,J$8*$X222,0))</f>
        <v>0</v>
      </c>
      <c r="K222" s="172">
        <f>IF('Peak Revenue'!$A$1="BL","-",IF(Peak!Q223&gt;Peak!$G223,K$8*$X222,0))</f>
        <v>0</v>
      </c>
      <c r="L222" s="172">
        <f>IF('Peak Revenue'!$A$1="BL","-",IF(Peak!R223&gt;Peak!$G223,L$8*$X222,0))</f>
        <v>0</v>
      </c>
      <c r="M222" s="172">
        <f>IF('Peak Revenue'!$A$1="BL","-",IF(Peak!S223&gt;Peak!$G223,M$8*$X222,0))</f>
        <v>0</v>
      </c>
      <c r="N222" s="172">
        <f>IF('Peak Revenue'!$A$1="BL","-",IF(Peak!T223&gt;Peak!$G223,N$8*$X222,0))</f>
        <v>0</v>
      </c>
      <c r="O222" s="172">
        <f>IF('Peak Revenue'!$A$1="BL","-",IF(Peak!U223&gt;Peak!$G223,O$8*$X222,0))</f>
        <v>0</v>
      </c>
      <c r="P222" s="172">
        <f>IF('Peak Revenue'!$A$1="BL","-",IF(Peak!V223&gt;Peak!$G223,P$8*$X222,0))</f>
        <v>0</v>
      </c>
      <c r="Q222" s="172">
        <f>IF('Peak Revenue'!$A$1="BL","-",IF(Peak!W223&gt;Peak!$G223,Q$8*$X222,0))</f>
        <v>0</v>
      </c>
      <c r="R222" s="172">
        <f>IF('Peak Revenue'!$A$1="BL","-",IF(Peak!X223&gt;Peak!$G223,R$8*$X222,0))</f>
        <v>0</v>
      </c>
      <c r="S222" s="172">
        <f>IF('Peak Revenue'!$A$1="BL","-",IF(Peak!Y223&gt;Peak!$G223,S$8*$X222,0))</f>
        <v>0</v>
      </c>
      <c r="T222" s="172">
        <f>IF('Peak Revenue'!$A$1="BL","-",IF(Peak!Z223&gt;Peak!$G223,T$8*$X222,0))</f>
        <v>0</v>
      </c>
      <c r="U222" s="172">
        <f>IF('Peak Revenue'!$A$1="BL","-",IF(Peak!AA223&gt;Peak!$G223,U$8*$X222,0))</f>
        <v>0</v>
      </c>
      <c r="V222" s="175">
        <f t="shared" si="6"/>
        <v>171</v>
      </c>
      <c r="W222" s="164"/>
      <c r="X222" s="473">
        <f>CHOOSE(QUOTIENT(MONTH($A222),3)+1,Peak!$AM$11,Peak!$AN$11,Peak!$AL$11,Peak!$AO$11,Peak!$AM$11)</f>
        <v>0.95</v>
      </c>
      <c r="Y222" s="474">
        <f>CHOOSE(QUOTIENT(MONTH($A222),3)+1,Peak!$AM$17,Peak!$AN$17,Peak!$AL$17,Peak!$AO$17,Peak!$AM$17)</f>
        <v>705</v>
      </c>
    </row>
    <row r="223" spans="1:25" x14ac:dyDescent="0.2">
      <c r="A223" s="1">
        <f t="shared" si="7"/>
        <v>43018.821000000273</v>
      </c>
      <c r="B223" s="172">
        <f>IF('Peak Revenue'!$A$1="BL","-",IF(Peak!H224&gt;Peak!$G224,B$8*$X223,0))</f>
        <v>4.75</v>
      </c>
      <c r="C223" s="172">
        <f>IF('Peak Revenue'!$A$1="BL","-",IF(Peak!I224&gt;Peak!$G224,C$8*$X223,0))</f>
        <v>4.75</v>
      </c>
      <c r="D223" s="172">
        <f>IF('Peak Revenue'!$A$1="BL","-",IF(Peak!J224&gt;Peak!$G224,D$8*$X223,0))</f>
        <v>9.5</v>
      </c>
      <c r="E223" s="172">
        <f>IF('Peak Revenue'!$A$1="BL","-",IF(Peak!K224&gt;Peak!$G224,E$8*$X223,0))</f>
        <v>19</v>
      </c>
      <c r="F223" s="172">
        <f>IF('Peak Revenue'!$A$1="BL","-",IF(Peak!L224&gt;Peak!$G224,F$8*$X223,0))</f>
        <v>19</v>
      </c>
      <c r="G223" s="172">
        <f>IF('Peak Revenue'!$A$1="BL","-",IF(Peak!M224&gt;Peak!$G224,G$8*$X223,0))</f>
        <v>38</v>
      </c>
      <c r="H223" s="172">
        <f>IF('Peak Revenue'!$A$1="BL","-",IF(Peak!N224&gt;Peak!$G224,H$8*$X223,0))</f>
        <v>38</v>
      </c>
      <c r="I223" s="172">
        <f>IF('Peak Revenue'!$A$1="BL","-",IF(Peak!O224&gt;Peak!$G224,I$8*$X223,0))</f>
        <v>38</v>
      </c>
      <c r="J223" s="172">
        <f>IF('Peak Revenue'!$A$1="BL","-",IF(Peak!P224&gt;Peak!$G224,J$8*$X223,0))</f>
        <v>38</v>
      </c>
      <c r="K223" s="172">
        <f>IF('Peak Revenue'!$A$1="BL","-",IF(Peak!Q224&gt;Peak!$G224,K$8*$X223,0))</f>
        <v>0</v>
      </c>
      <c r="L223" s="172">
        <f>IF('Peak Revenue'!$A$1="BL","-",IF(Peak!R224&gt;Peak!$G224,L$8*$X223,0))</f>
        <v>0</v>
      </c>
      <c r="M223" s="172">
        <f>IF('Peak Revenue'!$A$1="BL","-",IF(Peak!S224&gt;Peak!$G224,M$8*$X223,0))</f>
        <v>0</v>
      </c>
      <c r="N223" s="172">
        <f>IF('Peak Revenue'!$A$1="BL","-",IF(Peak!T224&gt;Peak!$G224,N$8*$X223,0))</f>
        <v>0</v>
      </c>
      <c r="O223" s="172">
        <f>IF('Peak Revenue'!$A$1="BL","-",IF(Peak!U224&gt;Peak!$G224,O$8*$X223,0))</f>
        <v>0</v>
      </c>
      <c r="P223" s="172">
        <f>IF('Peak Revenue'!$A$1="BL","-",IF(Peak!V224&gt;Peak!$G224,P$8*$X223,0))</f>
        <v>0</v>
      </c>
      <c r="Q223" s="172">
        <f>IF('Peak Revenue'!$A$1="BL","-",IF(Peak!W224&gt;Peak!$G224,Q$8*$X223,0))</f>
        <v>0</v>
      </c>
      <c r="R223" s="172">
        <f>IF('Peak Revenue'!$A$1="BL","-",IF(Peak!X224&gt;Peak!$G224,R$8*$X223,0))</f>
        <v>0</v>
      </c>
      <c r="S223" s="172">
        <f>IF('Peak Revenue'!$A$1="BL","-",IF(Peak!Y224&gt;Peak!$G224,S$8*$X223,0))</f>
        <v>0</v>
      </c>
      <c r="T223" s="172">
        <f>IF('Peak Revenue'!$A$1="BL","-",IF(Peak!Z224&gt;Peak!$G224,T$8*$X223,0))</f>
        <v>0</v>
      </c>
      <c r="U223" s="172">
        <f>IF('Peak Revenue'!$A$1="BL","-",IF(Peak!AA224&gt;Peak!$G224,U$8*$X223,0))</f>
        <v>0</v>
      </c>
      <c r="V223" s="175">
        <f t="shared" si="6"/>
        <v>209</v>
      </c>
      <c r="W223" s="164"/>
      <c r="X223" s="473">
        <f>CHOOSE(QUOTIENT(MONTH($A223),3)+1,Peak!$AM$11,Peak!$AN$11,Peak!$AL$11,Peak!$AO$11,Peak!$AM$11)</f>
        <v>0.95</v>
      </c>
      <c r="Y223" s="474">
        <f>CHOOSE(QUOTIENT(MONTH($A223),3)+1,Peak!$AM$17,Peak!$AN$17,Peak!$AL$17,Peak!$AO$17,Peak!$AM$17)</f>
        <v>705</v>
      </c>
    </row>
    <row r="224" spans="1:25" x14ac:dyDescent="0.2">
      <c r="A224" s="1">
        <f t="shared" si="7"/>
        <v>43049.238000000274</v>
      </c>
      <c r="B224" s="172">
        <f>IF('Peak Revenue'!$A$1="BL","-",IF(Peak!H225&gt;Peak!$G225,B$8*$X224,0))</f>
        <v>4.75</v>
      </c>
      <c r="C224" s="172">
        <f>IF('Peak Revenue'!$A$1="BL","-",IF(Peak!I225&gt;Peak!$G225,C$8*$X224,0))</f>
        <v>4.75</v>
      </c>
      <c r="D224" s="172">
        <f>IF('Peak Revenue'!$A$1="BL","-",IF(Peak!J225&gt;Peak!$G225,D$8*$X224,0))</f>
        <v>9.5</v>
      </c>
      <c r="E224" s="172">
        <f>IF('Peak Revenue'!$A$1="BL","-",IF(Peak!K225&gt;Peak!$G225,E$8*$X224,0))</f>
        <v>19</v>
      </c>
      <c r="F224" s="172">
        <f>IF('Peak Revenue'!$A$1="BL","-",IF(Peak!L225&gt;Peak!$G225,F$8*$X224,0))</f>
        <v>19</v>
      </c>
      <c r="G224" s="172">
        <f>IF('Peak Revenue'!$A$1="BL","-",IF(Peak!M225&gt;Peak!$G225,G$8*$X224,0))</f>
        <v>38</v>
      </c>
      <c r="H224" s="172">
        <f>IF('Peak Revenue'!$A$1="BL","-",IF(Peak!N225&gt;Peak!$G225,H$8*$X224,0))</f>
        <v>38</v>
      </c>
      <c r="I224" s="172">
        <f>IF('Peak Revenue'!$A$1="BL","-",IF(Peak!O225&gt;Peak!$G225,I$8*$X224,0))</f>
        <v>38</v>
      </c>
      <c r="J224" s="172">
        <f>IF('Peak Revenue'!$A$1="BL","-",IF(Peak!P225&gt;Peak!$G225,J$8*$X224,0))</f>
        <v>0</v>
      </c>
      <c r="K224" s="172">
        <f>IF('Peak Revenue'!$A$1="BL","-",IF(Peak!Q225&gt;Peak!$G225,K$8*$X224,0))</f>
        <v>0</v>
      </c>
      <c r="L224" s="172">
        <f>IF('Peak Revenue'!$A$1="BL","-",IF(Peak!R225&gt;Peak!$G225,L$8*$X224,0))</f>
        <v>0</v>
      </c>
      <c r="M224" s="172">
        <f>IF('Peak Revenue'!$A$1="BL","-",IF(Peak!S225&gt;Peak!$G225,M$8*$X224,0))</f>
        <v>0</v>
      </c>
      <c r="N224" s="172">
        <f>IF('Peak Revenue'!$A$1="BL","-",IF(Peak!T225&gt;Peak!$G225,N$8*$X224,0))</f>
        <v>0</v>
      </c>
      <c r="O224" s="172">
        <f>IF('Peak Revenue'!$A$1="BL","-",IF(Peak!U225&gt;Peak!$G225,O$8*$X224,0))</f>
        <v>0</v>
      </c>
      <c r="P224" s="172">
        <f>IF('Peak Revenue'!$A$1="BL","-",IF(Peak!V225&gt;Peak!$G225,P$8*$X224,0))</f>
        <v>0</v>
      </c>
      <c r="Q224" s="172">
        <f>IF('Peak Revenue'!$A$1="BL","-",IF(Peak!W225&gt;Peak!$G225,Q$8*$X224,0))</f>
        <v>0</v>
      </c>
      <c r="R224" s="172">
        <f>IF('Peak Revenue'!$A$1="BL","-",IF(Peak!X225&gt;Peak!$G225,R$8*$X224,0))</f>
        <v>0</v>
      </c>
      <c r="S224" s="172">
        <f>IF('Peak Revenue'!$A$1="BL","-",IF(Peak!Y225&gt;Peak!$G225,S$8*$X224,0))</f>
        <v>0</v>
      </c>
      <c r="T224" s="172">
        <f>IF('Peak Revenue'!$A$1="BL","-",IF(Peak!Z225&gt;Peak!$G225,T$8*$X224,0))</f>
        <v>0</v>
      </c>
      <c r="U224" s="172">
        <f>IF('Peak Revenue'!$A$1="BL","-",IF(Peak!AA225&gt;Peak!$G225,U$8*$X224,0))</f>
        <v>0</v>
      </c>
      <c r="V224" s="175">
        <f t="shared" si="6"/>
        <v>171</v>
      </c>
      <c r="W224" s="164"/>
      <c r="X224" s="473">
        <f>CHOOSE(QUOTIENT(MONTH($A224),3)+1,Peak!$AM$11,Peak!$AN$11,Peak!$AL$11,Peak!$AO$11,Peak!$AM$11)</f>
        <v>0.95</v>
      </c>
      <c r="Y224" s="474">
        <f>CHOOSE(QUOTIENT(MONTH($A224),3)+1,Peak!$AM$17,Peak!$AN$17,Peak!$AL$17,Peak!$AO$17,Peak!$AM$17)</f>
        <v>705</v>
      </c>
    </row>
    <row r="225" spans="1:25" x14ac:dyDescent="0.2">
      <c r="A225" s="1">
        <f t="shared" si="7"/>
        <v>43079.655000000275</v>
      </c>
      <c r="B225" s="172">
        <f>IF('Peak Revenue'!$A$1="BL","-",IF(Peak!H226&gt;Peak!$G226,B$8*$X225,0))</f>
        <v>4.6213830939305875</v>
      </c>
      <c r="C225" s="172">
        <f>IF('Peak Revenue'!$A$1="BL","-",IF(Peak!I226&gt;Peak!$G226,C$8*$X225,0))</f>
        <v>4.6213830939305875</v>
      </c>
      <c r="D225" s="172">
        <f>IF('Peak Revenue'!$A$1="BL","-",IF(Peak!J226&gt;Peak!$G226,D$8*$X225,0))</f>
        <v>9.2427661878611751</v>
      </c>
      <c r="E225" s="172">
        <f>IF('Peak Revenue'!$A$1="BL","-",IF(Peak!K226&gt;Peak!$G226,E$8*$X225,0))</f>
        <v>18.48553237572235</v>
      </c>
      <c r="F225" s="172">
        <f>IF('Peak Revenue'!$A$1="BL","-",IF(Peak!L226&gt;Peak!$G226,F$8*$X225,0))</f>
        <v>18.48553237572235</v>
      </c>
      <c r="G225" s="172">
        <f>IF('Peak Revenue'!$A$1="BL","-",IF(Peak!M226&gt;Peak!$G226,G$8*$X225,0))</f>
        <v>36.9710647514447</v>
      </c>
      <c r="H225" s="172">
        <f>IF('Peak Revenue'!$A$1="BL","-",IF(Peak!N226&gt;Peak!$G226,H$8*$X225,0))</f>
        <v>36.9710647514447</v>
      </c>
      <c r="I225" s="172">
        <f>IF('Peak Revenue'!$A$1="BL","-",IF(Peak!O226&gt;Peak!$G226,I$8*$X225,0))</f>
        <v>36.9710647514447</v>
      </c>
      <c r="J225" s="172">
        <f>IF('Peak Revenue'!$A$1="BL","-",IF(Peak!P226&gt;Peak!$G226,J$8*$X225,0))</f>
        <v>36.9710647514447</v>
      </c>
      <c r="K225" s="172">
        <f>IF('Peak Revenue'!$A$1="BL","-",IF(Peak!Q226&gt;Peak!$G226,K$8*$X225,0))</f>
        <v>36.9710647514447</v>
      </c>
      <c r="L225" s="172">
        <f>IF('Peak Revenue'!$A$1="BL","-",IF(Peak!R226&gt;Peak!$G226,L$8*$X225,0))</f>
        <v>36.9710647514447</v>
      </c>
      <c r="M225" s="172">
        <f>IF('Peak Revenue'!$A$1="BL","-",IF(Peak!S226&gt;Peak!$G226,M$8*$X225,0))</f>
        <v>36.9710647514447</v>
      </c>
      <c r="N225" s="172">
        <f>IF('Peak Revenue'!$A$1="BL","-",IF(Peak!T226&gt;Peak!$G226,N$8*$X225,0))</f>
        <v>36.9710647514447</v>
      </c>
      <c r="O225" s="172">
        <f>IF('Peak Revenue'!$A$1="BL","-",IF(Peak!U226&gt;Peak!$G226,O$8*$X225,0))</f>
        <v>36.9710647514447</v>
      </c>
      <c r="P225" s="172">
        <f>IF('Peak Revenue'!$A$1="BL","-",IF(Peak!V226&gt;Peak!$G226,P$8*$X225,0))</f>
        <v>0</v>
      </c>
      <c r="Q225" s="172">
        <f>IF('Peak Revenue'!$A$1="BL","-",IF(Peak!W226&gt;Peak!$G226,Q$8*$X225,0))</f>
        <v>0</v>
      </c>
      <c r="R225" s="172">
        <f>IF('Peak Revenue'!$A$1="BL","-",IF(Peak!X226&gt;Peak!$G226,R$8*$X225,0))</f>
        <v>0</v>
      </c>
      <c r="S225" s="172">
        <f>IF('Peak Revenue'!$A$1="BL","-",IF(Peak!Y226&gt;Peak!$G226,S$8*$X225,0))</f>
        <v>0</v>
      </c>
      <c r="T225" s="172">
        <f>IF('Peak Revenue'!$A$1="BL","-",IF(Peak!Z226&gt;Peak!$G226,T$8*$X225,0))</f>
        <v>0</v>
      </c>
      <c r="U225" s="172">
        <f>IF('Peak Revenue'!$A$1="BL","-",IF(Peak!AA226&gt;Peak!$G226,U$8*$X225,0))</f>
        <v>0</v>
      </c>
      <c r="V225" s="175">
        <f t="shared" si="6"/>
        <v>388.19617989016945</v>
      </c>
      <c r="W225" s="163">
        <f>SUM(V214:V225)</f>
        <v>2423.8655683839047</v>
      </c>
      <c r="X225" s="473">
        <f>CHOOSE(QUOTIENT(MONTH($A225),3)+1,Peak!$AM$11,Peak!$AN$11,Peak!$AL$11,Peak!$AO$11,Peak!$AM$11)</f>
        <v>0.92427661878611755</v>
      </c>
      <c r="Y225" s="474">
        <f>CHOOSE(QUOTIENT(MONTH($A225),3)+1,Peak!$AM$17,Peak!$AN$17,Peak!$AL$17,Peak!$AO$17,Peak!$AM$17)</f>
        <v>705</v>
      </c>
    </row>
    <row r="226" spans="1:25" x14ac:dyDescent="0.2">
      <c r="A226" s="1">
        <f t="shared" si="7"/>
        <v>43110.072000000277</v>
      </c>
      <c r="B226" s="172">
        <f>IF('Peak Revenue'!$A$1="BL","-",IF(Peak!H227&gt;Peak!$G227,B$8*$X226,0))</f>
        <v>4.6213830939305875</v>
      </c>
      <c r="C226" s="172">
        <f>IF('Peak Revenue'!$A$1="BL","-",IF(Peak!I227&gt;Peak!$G227,C$8*$X226,0))</f>
        <v>4.6213830939305875</v>
      </c>
      <c r="D226" s="172">
        <f>IF('Peak Revenue'!$A$1="BL","-",IF(Peak!J227&gt;Peak!$G227,D$8*$X226,0))</f>
        <v>9.2427661878611751</v>
      </c>
      <c r="E226" s="172">
        <f>IF('Peak Revenue'!$A$1="BL","-",IF(Peak!K227&gt;Peak!$G227,E$8*$X226,0))</f>
        <v>18.48553237572235</v>
      </c>
      <c r="F226" s="172">
        <f>IF('Peak Revenue'!$A$1="BL","-",IF(Peak!L227&gt;Peak!$G227,F$8*$X226,0))</f>
        <v>18.48553237572235</v>
      </c>
      <c r="G226" s="172">
        <f>IF('Peak Revenue'!$A$1="BL","-",IF(Peak!M227&gt;Peak!$G227,G$8*$X226,0))</f>
        <v>36.9710647514447</v>
      </c>
      <c r="H226" s="172">
        <f>IF('Peak Revenue'!$A$1="BL","-",IF(Peak!N227&gt;Peak!$G227,H$8*$X226,0))</f>
        <v>36.9710647514447</v>
      </c>
      <c r="I226" s="172">
        <f>IF('Peak Revenue'!$A$1="BL","-",IF(Peak!O227&gt;Peak!$G227,I$8*$X226,0))</f>
        <v>0</v>
      </c>
      <c r="J226" s="172">
        <f>IF('Peak Revenue'!$A$1="BL","-",IF(Peak!P227&gt;Peak!$G227,J$8*$X226,0))</f>
        <v>0</v>
      </c>
      <c r="K226" s="172">
        <f>IF('Peak Revenue'!$A$1="BL","-",IF(Peak!Q227&gt;Peak!$G227,K$8*$X226,0))</f>
        <v>0</v>
      </c>
      <c r="L226" s="172">
        <f>IF('Peak Revenue'!$A$1="BL","-",IF(Peak!R227&gt;Peak!$G227,L$8*$X226,0))</f>
        <v>0</v>
      </c>
      <c r="M226" s="172">
        <f>IF('Peak Revenue'!$A$1="BL","-",IF(Peak!S227&gt;Peak!$G227,M$8*$X226,0))</f>
        <v>0</v>
      </c>
      <c r="N226" s="172">
        <f>IF('Peak Revenue'!$A$1="BL","-",IF(Peak!T227&gt;Peak!$G227,N$8*$X226,0))</f>
        <v>0</v>
      </c>
      <c r="O226" s="172">
        <f>IF('Peak Revenue'!$A$1="BL","-",IF(Peak!U227&gt;Peak!$G227,O$8*$X226,0))</f>
        <v>0</v>
      </c>
      <c r="P226" s="172">
        <f>IF('Peak Revenue'!$A$1="BL","-",IF(Peak!V227&gt;Peak!$G227,P$8*$X226,0))</f>
        <v>0</v>
      </c>
      <c r="Q226" s="172">
        <f>IF('Peak Revenue'!$A$1="BL","-",IF(Peak!W227&gt;Peak!$G227,Q$8*$X226,0))</f>
        <v>0</v>
      </c>
      <c r="R226" s="172">
        <f>IF('Peak Revenue'!$A$1="BL","-",IF(Peak!X227&gt;Peak!$G227,R$8*$X226,0))</f>
        <v>0</v>
      </c>
      <c r="S226" s="172">
        <f>IF('Peak Revenue'!$A$1="BL","-",IF(Peak!Y227&gt;Peak!$G227,S$8*$X226,0))</f>
        <v>0</v>
      </c>
      <c r="T226" s="172">
        <f>IF('Peak Revenue'!$A$1="BL","-",IF(Peak!Z227&gt;Peak!$G227,T$8*$X226,0))</f>
        <v>0</v>
      </c>
      <c r="U226" s="172">
        <f>IF('Peak Revenue'!$A$1="BL","-",IF(Peak!AA227&gt;Peak!$G227,U$8*$X226,0))</f>
        <v>0</v>
      </c>
      <c r="V226" s="175">
        <f t="shared" si="6"/>
        <v>129.39872663005644</v>
      </c>
      <c r="W226" s="164"/>
      <c r="X226" s="473">
        <f>CHOOSE(QUOTIENT(MONTH($A226),3)+1,Peak!$AM$11,Peak!$AN$11,Peak!$AL$11,Peak!$AO$11,Peak!$AM$11)</f>
        <v>0.92427661878611755</v>
      </c>
      <c r="Y226" s="474">
        <f>CHOOSE(QUOTIENT(MONTH($A226),3)+1,Peak!$AM$17,Peak!$AN$17,Peak!$AL$17,Peak!$AO$17,Peak!$AM$17)</f>
        <v>705</v>
      </c>
    </row>
    <row r="227" spans="1:25" x14ac:dyDescent="0.2">
      <c r="A227" s="1">
        <f t="shared" si="7"/>
        <v>43140.489000000278</v>
      </c>
      <c r="B227" s="172">
        <f>IF('Peak Revenue'!$A$1="BL","-",IF(Peak!H228&gt;Peak!$G228,B$8*$X227,0))</f>
        <v>4.6213830939305875</v>
      </c>
      <c r="C227" s="172">
        <f>IF('Peak Revenue'!$A$1="BL","-",IF(Peak!I228&gt;Peak!$G228,C$8*$X227,0))</f>
        <v>4.6213830939305875</v>
      </c>
      <c r="D227" s="172">
        <f>IF('Peak Revenue'!$A$1="BL","-",IF(Peak!J228&gt;Peak!$G228,D$8*$X227,0))</f>
        <v>9.2427661878611751</v>
      </c>
      <c r="E227" s="172">
        <f>IF('Peak Revenue'!$A$1="BL","-",IF(Peak!K228&gt;Peak!$G228,E$8*$X227,0))</f>
        <v>18.48553237572235</v>
      </c>
      <c r="F227" s="172">
        <f>IF('Peak Revenue'!$A$1="BL","-",IF(Peak!L228&gt;Peak!$G228,F$8*$X227,0))</f>
        <v>18.48553237572235</v>
      </c>
      <c r="G227" s="172">
        <f>IF('Peak Revenue'!$A$1="BL","-",IF(Peak!M228&gt;Peak!$G228,G$8*$X227,0))</f>
        <v>36.9710647514447</v>
      </c>
      <c r="H227" s="172">
        <f>IF('Peak Revenue'!$A$1="BL","-",IF(Peak!N228&gt;Peak!$G228,H$8*$X227,0))</f>
        <v>36.9710647514447</v>
      </c>
      <c r="I227" s="172">
        <f>IF('Peak Revenue'!$A$1="BL","-",IF(Peak!O228&gt;Peak!$G228,I$8*$X227,0))</f>
        <v>36.9710647514447</v>
      </c>
      <c r="J227" s="172">
        <f>IF('Peak Revenue'!$A$1="BL","-",IF(Peak!P228&gt;Peak!$G228,J$8*$X227,0))</f>
        <v>36.9710647514447</v>
      </c>
      <c r="K227" s="172">
        <f>IF('Peak Revenue'!$A$1="BL","-",IF(Peak!Q228&gt;Peak!$G228,K$8*$X227,0))</f>
        <v>36.9710647514447</v>
      </c>
      <c r="L227" s="172">
        <f>IF('Peak Revenue'!$A$1="BL","-",IF(Peak!R228&gt;Peak!$G228,L$8*$X227,0))</f>
        <v>0</v>
      </c>
      <c r="M227" s="172">
        <f>IF('Peak Revenue'!$A$1="BL","-",IF(Peak!S228&gt;Peak!$G228,M$8*$X227,0))</f>
        <v>0</v>
      </c>
      <c r="N227" s="172">
        <f>IF('Peak Revenue'!$A$1="BL","-",IF(Peak!T228&gt;Peak!$G228,N$8*$X227,0))</f>
        <v>0</v>
      </c>
      <c r="O227" s="172">
        <f>IF('Peak Revenue'!$A$1="BL","-",IF(Peak!U228&gt;Peak!$G228,O$8*$X227,0))</f>
        <v>0</v>
      </c>
      <c r="P227" s="172">
        <f>IF('Peak Revenue'!$A$1="BL","-",IF(Peak!V228&gt;Peak!$G228,P$8*$X227,0))</f>
        <v>0</v>
      </c>
      <c r="Q227" s="172">
        <f>IF('Peak Revenue'!$A$1="BL","-",IF(Peak!W228&gt;Peak!$G228,Q$8*$X227,0))</f>
        <v>0</v>
      </c>
      <c r="R227" s="172">
        <f>IF('Peak Revenue'!$A$1="BL","-",IF(Peak!X228&gt;Peak!$G228,R$8*$X227,0))</f>
        <v>0</v>
      </c>
      <c r="S227" s="172">
        <f>IF('Peak Revenue'!$A$1="BL","-",IF(Peak!Y228&gt;Peak!$G228,S$8*$X227,0))</f>
        <v>0</v>
      </c>
      <c r="T227" s="172">
        <f>IF('Peak Revenue'!$A$1="BL","-",IF(Peak!Z228&gt;Peak!$G228,T$8*$X227,0))</f>
        <v>0</v>
      </c>
      <c r="U227" s="172">
        <f>IF('Peak Revenue'!$A$1="BL","-",IF(Peak!AA228&gt;Peak!$G228,U$8*$X227,0))</f>
        <v>0</v>
      </c>
      <c r="V227" s="175">
        <f t="shared" si="6"/>
        <v>240.31192088439059</v>
      </c>
      <c r="W227" s="164"/>
      <c r="X227" s="473">
        <f>CHOOSE(QUOTIENT(MONTH($A227),3)+1,Peak!$AM$11,Peak!$AN$11,Peak!$AL$11,Peak!$AO$11,Peak!$AM$11)</f>
        <v>0.92427661878611755</v>
      </c>
      <c r="Y227" s="474">
        <f>CHOOSE(QUOTIENT(MONTH($A227),3)+1,Peak!$AM$17,Peak!$AN$17,Peak!$AL$17,Peak!$AO$17,Peak!$AM$17)</f>
        <v>705</v>
      </c>
    </row>
    <row r="228" spans="1:25" x14ac:dyDescent="0.2">
      <c r="A228" s="1">
        <f t="shared" si="7"/>
        <v>43170.906000000279</v>
      </c>
      <c r="B228" s="172">
        <f>IF('Peak Revenue'!$A$1="BL","-",IF(Peak!H229&gt;Peak!$G229,B$8*$X228,0))</f>
        <v>4.75</v>
      </c>
      <c r="C228" s="172">
        <f>IF('Peak Revenue'!$A$1="BL","-",IF(Peak!I229&gt;Peak!$G229,C$8*$X228,0))</f>
        <v>4.75</v>
      </c>
      <c r="D228" s="172">
        <f>IF('Peak Revenue'!$A$1="BL","-",IF(Peak!J229&gt;Peak!$G229,D$8*$X228,0))</f>
        <v>9.5</v>
      </c>
      <c r="E228" s="172">
        <f>IF('Peak Revenue'!$A$1="BL","-",IF(Peak!K229&gt;Peak!$G229,E$8*$X228,0))</f>
        <v>19</v>
      </c>
      <c r="F228" s="172">
        <f>IF('Peak Revenue'!$A$1="BL","-",IF(Peak!L229&gt;Peak!$G229,F$8*$X228,0))</f>
        <v>19</v>
      </c>
      <c r="G228" s="172">
        <f>IF('Peak Revenue'!$A$1="BL","-",IF(Peak!M229&gt;Peak!$G229,G$8*$X228,0))</f>
        <v>38</v>
      </c>
      <c r="H228" s="172">
        <f>IF('Peak Revenue'!$A$1="BL","-",IF(Peak!N229&gt;Peak!$G229,H$8*$X228,0))</f>
        <v>38</v>
      </c>
      <c r="I228" s="172">
        <f>IF('Peak Revenue'!$A$1="BL","-",IF(Peak!O229&gt;Peak!$G229,I$8*$X228,0))</f>
        <v>38</v>
      </c>
      <c r="J228" s="172">
        <f>IF('Peak Revenue'!$A$1="BL","-",IF(Peak!P229&gt;Peak!$G229,J$8*$X228,0))</f>
        <v>38</v>
      </c>
      <c r="K228" s="172">
        <f>IF('Peak Revenue'!$A$1="BL","-",IF(Peak!Q229&gt;Peak!$G229,K$8*$X228,0))</f>
        <v>0</v>
      </c>
      <c r="L228" s="172">
        <f>IF('Peak Revenue'!$A$1="BL","-",IF(Peak!R229&gt;Peak!$G229,L$8*$X228,0))</f>
        <v>0</v>
      </c>
      <c r="M228" s="172">
        <f>IF('Peak Revenue'!$A$1="BL","-",IF(Peak!S229&gt;Peak!$G229,M$8*$X228,0))</f>
        <v>0</v>
      </c>
      <c r="N228" s="172">
        <f>IF('Peak Revenue'!$A$1="BL","-",IF(Peak!T229&gt;Peak!$G229,N$8*$X228,0))</f>
        <v>0</v>
      </c>
      <c r="O228" s="172">
        <f>IF('Peak Revenue'!$A$1="BL","-",IF(Peak!U229&gt;Peak!$G229,O$8*$X228,0))</f>
        <v>0</v>
      </c>
      <c r="P228" s="172">
        <f>IF('Peak Revenue'!$A$1="BL","-",IF(Peak!V229&gt;Peak!$G229,P$8*$X228,0))</f>
        <v>0</v>
      </c>
      <c r="Q228" s="172">
        <f>IF('Peak Revenue'!$A$1="BL","-",IF(Peak!W229&gt;Peak!$G229,Q$8*$X228,0))</f>
        <v>0</v>
      </c>
      <c r="R228" s="172">
        <f>IF('Peak Revenue'!$A$1="BL","-",IF(Peak!X229&gt;Peak!$G229,R$8*$X228,0))</f>
        <v>0</v>
      </c>
      <c r="S228" s="172">
        <f>IF('Peak Revenue'!$A$1="BL","-",IF(Peak!Y229&gt;Peak!$G229,S$8*$X228,0))</f>
        <v>0</v>
      </c>
      <c r="T228" s="172">
        <f>IF('Peak Revenue'!$A$1="BL","-",IF(Peak!Z229&gt;Peak!$G229,T$8*$X228,0))</f>
        <v>0</v>
      </c>
      <c r="U228" s="172">
        <f>IF('Peak Revenue'!$A$1="BL","-",IF(Peak!AA229&gt;Peak!$G229,U$8*$X228,0))</f>
        <v>0</v>
      </c>
      <c r="V228" s="175">
        <f t="shared" si="6"/>
        <v>209</v>
      </c>
      <c r="W228" s="164"/>
      <c r="X228" s="473">
        <f>CHOOSE(QUOTIENT(MONTH($A228),3)+1,Peak!$AM$11,Peak!$AN$11,Peak!$AL$11,Peak!$AO$11,Peak!$AM$11)</f>
        <v>0.95</v>
      </c>
      <c r="Y228" s="474">
        <f>CHOOSE(QUOTIENT(MONTH($A228),3)+1,Peak!$AM$17,Peak!$AN$17,Peak!$AL$17,Peak!$AO$17,Peak!$AM$17)</f>
        <v>705</v>
      </c>
    </row>
    <row r="229" spans="1:25" x14ac:dyDescent="0.2">
      <c r="A229" s="1">
        <f t="shared" si="7"/>
        <v>43201.32300000028</v>
      </c>
      <c r="B229" s="172">
        <f>IF('Peak Revenue'!$A$1="BL","-",IF(Peak!H230&gt;Peak!$G230,B$8*$X229,0))</f>
        <v>4.75</v>
      </c>
      <c r="C229" s="172">
        <f>IF('Peak Revenue'!$A$1="BL","-",IF(Peak!I230&gt;Peak!$G230,C$8*$X229,0))</f>
        <v>4.75</v>
      </c>
      <c r="D229" s="172">
        <f>IF('Peak Revenue'!$A$1="BL","-",IF(Peak!J230&gt;Peak!$G230,D$8*$X229,0))</f>
        <v>9.5</v>
      </c>
      <c r="E229" s="172">
        <f>IF('Peak Revenue'!$A$1="BL","-",IF(Peak!K230&gt;Peak!$G230,E$8*$X229,0))</f>
        <v>19</v>
      </c>
      <c r="F229" s="172">
        <f>IF('Peak Revenue'!$A$1="BL","-",IF(Peak!L230&gt;Peak!$G230,F$8*$X229,0))</f>
        <v>19</v>
      </c>
      <c r="G229" s="172">
        <f>IF('Peak Revenue'!$A$1="BL","-",IF(Peak!M230&gt;Peak!$G230,G$8*$X229,0))</f>
        <v>38</v>
      </c>
      <c r="H229" s="172">
        <f>IF('Peak Revenue'!$A$1="BL","-",IF(Peak!N230&gt;Peak!$G230,H$8*$X229,0))</f>
        <v>38</v>
      </c>
      <c r="I229" s="172">
        <f>IF('Peak Revenue'!$A$1="BL","-",IF(Peak!O230&gt;Peak!$G230,I$8*$X229,0))</f>
        <v>0</v>
      </c>
      <c r="J229" s="172">
        <f>IF('Peak Revenue'!$A$1="BL","-",IF(Peak!P230&gt;Peak!$G230,J$8*$X229,0))</f>
        <v>0</v>
      </c>
      <c r="K229" s="172">
        <f>IF('Peak Revenue'!$A$1="BL","-",IF(Peak!Q230&gt;Peak!$G230,K$8*$X229,0))</f>
        <v>0</v>
      </c>
      <c r="L229" s="172">
        <f>IF('Peak Revenue'!$A$1="BL","-",IF(Peak!R230&gt;Peak!$G230,L$8*$X229,0))</f>
        <v>0</v>
      </c>
      <c r="M229" s="172">
        <f>IF('Peak Revenue'!$A$1="BL","-",IF(Peak!S230&gt;Peak!$G230,M$8*$X229,0))</f>
        <v>0</v>
      </c>
      <c r="N229" s="172">
        <f>IF('Peak Revenue'!$A$1="BL","-",IF(Peak!T230&gt;Peak!$G230,N$8*$X229,0))</f>
        <v>0</v>
      </c>
      <c r="O229" s="172">
        <f>IF('Peak Revenue'!$A$1="BL","-",IF(Peak!U230&gt;Peak!$G230,O$8*$X229,0))</f>
        <v>0</v>
      </c>
      <c r="P229" s="172">
        <f>IF('Peak Revenue'!$A$1="BL","-",IF(Peak!V230&gt;Peak!$G230,P$8*$X229,0))</f>
        <v>0</v>
      </c>
      <c r="Q229" s="172">
        <f>IF('Peak Revenue'!$A$1="BL","-",IF(Peak!W230&gt;Peak!$G230,Q$8*$X229,0))</f>
        <v>0</v>
      </c>
      <c r="R229" s="172">
        <f>IF('Peak Revenue'!$A$1="BL","-",IF(Peak!X230&gt;Peak!$G230,R$8*$X229,0))</f>
        <v>0</v>
      </c>
      <c r="S229" s="172">
        <f>IF('Peak Revenue'!$A$1="BL","-",IF(Peak!Y230&gt;Peak!$G230,S$8*$X229,0))</f>
        <v>0</v>
      </c>
      <c r="T229" s="172">
        <f>IF('Peak Revenue'!$A$1="BL","-",IF(Peak!Z230&gt;Peak!$G230,T$8*$X229,0))</f>
        <v>0</v>
      </c>
      <c r="U229" s="172">
        <f>IF('Peak Revenue'!$A$1="BL","-",IF(Peak!AA230&gt;Peak!$G230,U$8*$X229,0))</f>
        <v>0</v>
      </c>
      <c r="V229" s="175">
        <f t="shared" si="6"/>
        <v>133</v>
      </c>
      <c r="W229" s="164"/>
      <c r="X229" s="473">
        <f>CHOOSE(QUOTIENT(MONTH($A229),3)+1,Peak!$AM$11,Peak!$AN$11,Peak!$AL$11,Peak!$AO$11,Peak!$AM$11)</f>
        <v>0.95</v>
      </c>
      <c r="Y229" s="474">
        <f>CHOOSE(QUOTIENT(MONTH($A229),3)+1,Peak!$AM$17,Peak!$AN$17,Peak!$AL$17,Peak!$AO$17,Peak!$AM$17)</f>
        <v>705</v>
      </c>
    </row>
    <row r="230" spans="1:25" x14ac:dyDescent="0.2">
      <c r="A230" s="1">
        <f t="shared" si="7"/>
        <v>43231.740000000282</v>
      </c>
      <c r="B230" s="172">
        <f>IF('Peak Revenue'!$A$1="BL","-",IF(Peak!H231&gt;Peak!$G231,B$8*$X230,0))</f>
        <v>4.75</v>
      </c>
      <c r="C230" s="172">
        <f>IF('Peak Revenue'!$A$1="BL","-",IF(Peak!I231&gt;Peak!$G231,C$8*$X230,0))</f>
        <v>4.75</v>
      </c>
      <c r="D230" s="172">
        <f>IF('Peak Revenue'!$A$1="BL","-",IF(Peak!J231&gt;Peak!$G231,D$8*$X230,0))</f>
        <v>9.5</v>
      </c>
      <c r="E230" s="172">
        <f>IF('Peak Revenue'!$A$1="BL","-",IF(Peak!K231&gt;Peak!$G231,E$8*$X230,0))</f>
        <v>19</v>
      </c>
      <c r="F230" s="172">
        <f>IF('Peak Revenue'!$A$1="BL","-",IF(Peak!L231&gt;Peak!$G231,F$8*$X230,0))</f>
        <v>19</v>
      </c>
      <c r="G230" s="172">
        <f>IF('Peak Revenue'!$A$1="BL","-",IF(Peak!M231&gt;Peak!$G231,G$8*$X230,0))</f>
        <v>38</v>
      </c>
      <c r="H230" s="172">
        <f>IF('Peak Revenue'!$A$1="BL","-",IF(Peak!N231&gt;Peak!$G231,H$8*$X230,0))</f>
        <v>0</v>
      </c>
      <c r="I230" s="172">
        <f>IF('Peak Revenue'!$A$1="BL","-",IF(Peak!O231&gt;Peak!$G231,I$8*$X230,0))</f>
        <v>0</v>
      </c>
      <c r="J230" s="172">
        <f>IF('Peak Revenue'!$A$1="BL","-",IF(Peak!P231&gt;Peak!$G231,J$8*$X230,0))</f>
        <v>0</v>
      </c>
      <c r="K230" s="172">
        <f>IF('Peak Revenue'!$A$1="BL","-",IF(Peak!Q231&gt;Peak!$G231,K$8*$X230,0))</f>
        <v>0</v>
      </c>
      <c r="L230" s="172">
        <f>IF('Peak Revenue'!$A$1="BL","-",IF(Peak!R231&gt;Peak!$G231,L$8*$X230,0))</f>
        <v>0</v>
      </c>
      <c r="M230" s="172">
        <f>IF('Peak Revenue'!$A$1="BL","-",IF(Peak!S231&gt;Peak!$G231,M$8*$X230,0))</f>
        <v>0</v>
      </c>
      <c r="N230" s="172">
        <f>IF('Peak Revenue'!$A$1="BL","-",IF(Peak!T231&gt;Peak!$G231,N$8*$X230,0))</f>
        <v>0</v>
      </c>
      <c r="O230" s="172">
        <f>IF('Peak Revenue'!$A$1="BL","-",IF(Peak!U231&gt;Peak!$G231,O$8*$X230,0))</f>
        <v>0</v>
      </c>
      <c r="P230" s="172">
        <f>IF('Peak Revenue'!$A$1="BL","-",IF(Peak!V231&gt;Peak!$G231,P$8*$X230,0))</f>
        <v>0</v>
      </c>
      <c r="Q230" s="172">
        <f>IF('Peak Revenue'!$A$1="BL","-",IF(Peak!W231&gt;Peak!$G231,Q$8*$X230,0))</f>
        <v>0</v>
      </c>
      <c r="R230" s="172">
        <f>IF('Peak Revenue'!$A$1="BL","-",IF(Peak!X231&gt;Peak!$G231,R$8*$X230,0))</f>
        <v>0</v>
      </c>
      <c r="S230" s="172">
        <f>IF('Peak Revenue'!$A$1="BL","-",IF(Peak!Y231&gt;Peak!$G231,S$8*$X230,0))</f>
        <v>0</v>
      </c>
      <c r="T230" s="172">
        <f>IF('Peak Revenue'!$A$1="BL","-",IF(Peak!Z231&gt;Peak!$G231,T$8*$X230,0))</f>
        <v>0</v>
      </c>
      <c r="U230" s="172">
        <f>IF('Peak Revenue'!$A$1="BL","-",IF(Peak!AA231&gt;Peak!$G231,U$8*$X230,0))</f>
        <v>0</v>
      </c>
      <c r="V230" s="175">
        <f t="shared" si="6"/>
        <v>95</v>
      </c>
      <c r="W230" s="164"/>
      <c r="X230" s="473">
        <f>CHOOSE(QUOTIENT(MONTH($A230),3)+1,Peak!$AM$11,Peak!$AN$11,Peak!$AL$11,Peak!$AO$11,Peak!$AM$11)</f>
        <v>0.95</v>
      </c>
      <c r="Y230" s="474">
        <f>CHOOSE(QUOTIENT(MONTH($A230),3)+1,Peak!$AM$17,Peak!$AN$17,Peak!$AL$17,Peak!$AO$17,Peak!$AM$17)</f>
        <v>705</v>
      </c>
    </row>
    <row r="231" spans="1:25" x14ac:dyDescent="0.2">
      <c r="A231" s="1">
        <f t="shared" si="7"/>
        <v>43262.157000000283</v>
      </c>
      <c r="B231" s="172">
        <f>IF('Peak Revenue'!$A$1="BL","-",IF(Peak!H232&gt;Peak!$G232,B$8*$X231,0))</f>
        <v>4.8306067954779284</v>
      </c>
      <c r="C231" s="172">
        <f>IF('Peak Revenue'!$A$1="BL","-",IF(Peak!I232&gt;Peak!$G232,C$8*$X231,0))</f>
        <v>4.8306067954779284</v>
      </c>
      <c r="D231" s="172">
        <f>IF('Peak Revenue'!$A$1="BL","-",IF(Peak!J232&gt;Peak!$G232,D$8*$X231,0))</f>
        <v>9.6612135909558567</v>
      </c>
      <c r="E231" s="172">
        <f>IF('Peak Revenue'!$A$1="BL","-",IF(Peak!K232&gt;Peak!$G232,E$8*$X231,0))</f>
        <v>19.322427181911713</v>
      </c>
      <c r="F231" s="172">
        <f>IF('Peak Revenue'!$A$1="BL","-",IF(Peak!L232&gt;Peak!$G232,F$8*$X231,0))</f>
        <v>19.322427181911713</v>
      </c>
      <c r="G231" s="172">
        <f>IF('Peak Revenue'!$A$1="BL","-",IF(Peak!M232&gt;Peak!$G232,G$8*$X231,0))</f>
        <v>38.644854363823427</v>
      </c>
      <c r="H231" s="172">
        <f>IF('Peak Revenue'!$A$1="BL","-",IF(Peak!N232&gt;Peak!$G232,H$8*$X231,0))</f>
        <v>38.644854363823427</v>
      </c>
      <c r="I231" s="172">
        <f>IF('Peak Revenue'!$A$1="BL","-",IF(Peak!O232&gt;Peak!$G232,I$8*$X231,0))</f>
        <v>38.644854363823427</v>
      </c>
      <c r="J231" s="172">
        <f>IF('Peak Revenue'!$A$1="BL","-",IF(Peak!P232&gt;Peak!$G232,J$8*$X231,0))</f>
        <v>38.644854363823427</v>
      </c>
      <c r="K231" s="172">
        <f>IF('Peak Revenue'!$A$1="BL","-",IF(Peak!Q232&gt;Peak!$G232,K$8*$X231,0))</f>
        <v>0</v>
      </c>
      <c r="L231" s="172">
        <f>IF('Peak Revenue'!$A$1="BL","-",IF(Peak!R232&gt;Peak!$G232,L$8*$X231,0))</f>
        <v>0</v>
      </c>
      <c r="M231" s="172">
        <f>IF('Peak Revenue'!$A$1="BL","-",IF(Peak!S232&gt;Peak!$G232,M$8*$X231,0))</f>
        <v>0</v>
      </c>
      <c r="N231" s="172">
        <f>IF('Peak Revenue'!$A$1="BL","-",IF(Peak!T232&gt;Peak!$G232,N$8*$X231,0))</f>
        <v>0</v>
      </c>
      <c r="O231" s="172">
        <f>IF('Peak Revenue'!$A$1="BL","-",IF(Peak!U232&gt;Peak!$G232,O$8*$X231,0))</f>
        <v>0</v>
      </c>
      <c r="P231" s="172">
        <f>IF('Peak Revenue'!$A$1="BL","-",IF(Peak!V232&gt;Peak!$G232,P$8*$X231,0))</f>
        <v>0</v>
      </c>
      <c r="Q231" s="172">
        <f>IF('Peak Revenue'!$A$1="BL","-",IF(Peak!W232&gt;Peak!$G232,Q$8*$X231,0))</f>
        <v>0</v>
      </c>
      <c r="R231" s="172">
        <f>IF('Peak Revenue'!$A$1="BL","-",IF(Peak!X232&gt;Peak!$G232,R$8*$X231,0))</f>
        <v>0</v>
      </c>
      <c r="S231" s="172">
        <f>IF('Peak Revenue'!$A$1="BL","-",IF(Peak!Y232&gt;Peak!$G232,S$8*$X231,0))</f>
        <v>0</v>
      </c>
      <c r="T231" s="172">
        <f>IF('Peak Revenue'!$A$1="BL","-",IF(Peak!Z232&gt;Peak!$G232,T$8*$X231,0))</f>
        <v>0</v>
      </c>
      <c r="U231" s="172">
        <f>IF('Peak Revenue'!$A$1="BL","-",IF(Peak!AA232&gt;Peak!$G232,U$8*$X231,0))</f>
        <v>0</v>
      </c>
      <c r="V231" s="175">
        <f t="shared" si="6"/>
        <v>212.5466990010288</v>
      </c>
      <c r="W231" s="164"/>
      <c r="X231" s="473">
        <f>CHOOSE(QUOTIENT(MONTH($A231),3)+1,Peak!$AM$11,Peak!$AN$11,Peak!$AL$11,Peak!$AO$11,Peak!$AM$11)</f>
        <v>0.96612135909558572</v>
      </c>
      <c r="Y231" s="474">
        <f>CHOOSE(QUOTIENT(MONTH($A231),3)+1,Peak!$AM$17,Peak!$AN$17,Peak!$AL$17,Peak!$AO$17,Peak!$AM$17)</f>
        <v>705</v>
      </c>
    </row>
    <row r="232" spans="1:25" x14ac:dyDescent="0.2">
      <c r="A232" s="1">
        <f t="shared" si="7"/>
        <v>43292.574000000284</v>
      </c>
      <c r="B232" s="172">
        <f>IF('Peak Revenue'!$A$1="BL","-",IF(Peak!H233&gt;Peak!$G233,B$8*$X232,0))</f>
        <v>4.8306067954779284</v>
      </c>
      <c r="C232" s="172">
        <f>IF('Peak Revenue'!$A$1="BL","-",IF(Peak!I233&gt;Peak!$G233,C$8*$X232,0))</f>
        <v>4.8306067954779284</v>
      </c>
      <c r="D232" s="172">
        <f>IF('Peak Revenue'!$A$1="BL","-",IF(Peak!J233&gt;Peak!$G233,D$8*$X232,0))</f>
        <v>9.6612135909558567</v>
      </c>
      <c r="E232" s="172">
        <f>IF('Peak Revenue'!$A$1="BL","-",IF(Peak!K233&gt;Peak!$G233,E$8*$X232,0))</f>
        <v>19.322427181911713</v>
      </c>
      <c r="F232" s="172">
        <f>IF('Peak Revenue'!$A$1="BL","-",IF(Peak!L233&gt;Peak!$G233,F$8*$X232,0))</f>
        <v>19.322427181911713</v>
      </c>
      <c r="G232" s="172">
        <f>IF('Peak Revenue'!$A$1="BL","-",IF(Peak!M233&gt;Peak!$G233,G$8*$X232,0))</f>
        <v>38.644854363823427</v>
      </c>
      <c r="H232" s="172">
        <f>IF('Peak Revenue'!$A$1="BL","-",IF(Peak!N233&gt;Peak!$G233,H$8*$X232,0))</f>
        <v>38.644854363823427</v>
      </c>
      <c r="I232" s="172">
        <f>IF('Peak Revenue'!$A$1="BL","-",IF(Peak!O233&gt;Peak!$G233,I$8*$X232,0))</f>
        <v>38.644854363823427</v>
      </c>
      <c r="J232" s="172">
        <f>IF('Peak Revenue'!$A$1="BL","-",IF(Peak!P233&gt;Peak!$G233,J$8*$X232,0))</f>
        <v>38.644854363823427</v>
      </c>
      <c r="K232" s="172">
        <f>IF('Peak Revenue'!$A$1="BL","-",IF(Peak!Q233&gt;Peak!$G233,K$8*$X232,0))</f>
        <v>38.644854363823427</v>
      </c>
      <c r="L232" s="172">
        <f>IF('Peak Revenue'!$A$1="BL","-",IF(Peak!R233&gt;Peak!$G233,L$8*$X232,0))</f>
        <v>0</v>
      </c>
      <c r="M232" s="172">
        <f>IF('Peak Revenue'!$A$1="BL","-",IF(Peak!S233&gt;Peak!$G233,M$8*$X232,0))</f>
        <v>0</v>
      </c>
      <c r="N232" s="172">
        <f>IF('Peak Revenue'!$A$1="BL","-",IF(Peak!T233&gt;Peak!$G233,N$8*$X232,0))</f>
        <v>0</v>
      </c>
      <c r="O232" s="172">
        <f>IF('Peak Revenue'!$A$1="BL","-",IF(Peak!U233&gt;Peak!$G233,O$8*$X232,0))</f>
        <v>0</v>
      </c>
      <c r="P232" s="172">
        <f>IF('Peak Revenue'!$A$1="BL","-",IF(Peak!V233&gt;Peak!$G233,P$8*$X232,0))</f>
        <v>0</v>
      </c>
      <c r="Q232" s="172">
        <f>IF('Peak Revenue'!$A$1="BL","-",IF(Peak!W233&gt;Peak!$G233,Q$8*$X232,0))</f>
        <v>0</v>
      </c>
      <c r="R232" s="172">
        <f>IF('Peak Revenue'!$A$1="BL","-",IF(Peak!X233&gt;Peak!$G233,R$8*$X232,0))</f>
        <v>0</v>
      </c>
      <c r="S232" s="172">
        <f>IF('Peak Revenue'!$A$1="BL","-",IF(Peak!Y233&gt;Peak!$G233,S$8*$X232,0))</f>
        <v>0</v>
      </c>
      <c r="T232" s="172">
        <f>IF('Peak Revenue'!$A$1="BL","-",IF(Peak!Z233&gt;Peak!$G233,T$8*$X232,0))</f>
        <v>0</v>
      </c>
      <c r="U232" s="172">
        <f>IF('Peak Revenue'!$A$1="BL","-",IF(Peak!AA233&gt;Peak!$G233,U$8*$X232,0))</f>
        <v>0</v>
      </c>
      <c r="V232" s="175">
        <f t="shared" si="6"/>
        <v>251.19155336485221</v>
      </c>
      <c r="W232" s="164"/>
      <c r="X232" s="473">
        <f>CHOOSE(QUOTIENT(MONTH($A232),3)+1,Peak!$AM$11,Peak!$AN$11,Peak!$AL$11,Peak!$AO$11,Peak!$AM$11)</f>
        <v>0.96612135909558572</v>
      </c>
      <c r="Y232" s="474">
        <f>CHOOSE(QUOTIENT(MONTH($A232),3)+1,Peak!$AM$17,Peak!$AN$17,Peak!$AL$17,Peak!$AO$17,Peak!$AM$17)</f>
        <v>705</v>
      </c>
    </row>
    <row r="233" spans="1:25" x14ac:dyDescent="0.2">
      <c r="A233" s="1">
        <f t="shared" si="7"/>
        <v>43322.991000000286</v>
      </c>
      <c r="B233" s="172">
        <f>IF('Peak Revenue'!$A$1="BL","-",IF(Peak!H234&gt;Peak!$G234,B$8*$X233,0))</f>
        <v>4.8306067954779284</v>
      </c>
      <c r="C233" s="172">
        <f>IF('Peak Revenue'!$A$1="BL","-",IF(Peak!I234&gt;Peak!$G234,C$8*$X233,0))</f>
        <v>4.8306067954779284</v>
      </c>
      <c r="D233" s="172">
        <f>IF('Peak Revenue'!$A$1="BL","-",IF(Peak!J234&gt;Peak!$G234,D$8*$X233,0))</f>
        <v>9.6612135909558567</v>
      </c>
      <c r="E233" s="172">
        <f>IF('Peak Revenue'!$A$1="BL","-",IF(Peak!K234&gt;Peak!$G234,E$8*$X233,0))</f>
        <v>19.322427181911713</v>
      </c>
      <c r="F233" s="172">
        <f>IF('Peak Revenue'!$A$1="BL","-",IF(Peak!L234&gt;Peak!$G234,F$8*$X233,0))</f>
        <v>19.322427181911713</v>
      </c>
      <c r="G233" s="172">
        <f>IF('Peak Revenue'!$A$1="BL","-",IF(Peak!M234&gt;Peak!$G234,G$8*$X233,0))</f>
        <v>38.644854363823427</v>
      </c>
      <c r="H233" s="172">
        <f>IF('Peak Revenue'!$A$1="BL","-",IF(Peak!N234&gt;Peak!$G234,H$8*$X233,0))</f>
        <v>38.644854363823427</v>
      </c>
      <c r="I233" s="172">
        <f>IF('Peak Revenue'!$A$1="BL","-",IF(Peak!O234&gt;Peak!$G234,I$8*$X233,0))</f>
        <v>38.644854363823427</v>
      </c>
      <c r="J233" s="172">
        <f>IF('Peak Revenue'!$A$1="BL","-",IF(Peak!P234&gt;Peak!$G234,J$8*$X233,0))</f>
        <v>0</v>
      </c>
      <c r="K233" s="172">
        <f>IF('Peak Revenue'!$A$1="BL","-",IF(Peak!Q234&gt;Peak!$G234,K$8*$X233,0))</f>
        <v>0</v>
      </c>
      <c r="L233" s="172">
        <f>IF('Peak Revenue'!$A$1="BL","-",IF(Peak!R234&gt;Peak!$G234,L$8*$X233,0))</f>
        <v>0</v>
      </c>
      <c r="M233" s="172">
        <f>IF('Peak Revenue'!$A$1="BL","-",IF(Peak!S234&gt;Peak!$G234,M$8*$X233,0))</f>
        <v>0</v>
      </c>
      <c r="N233" s="172">
        <f>IF('Peak Revenue'!$A$1="BL","-",IF(Peak!T234&gt;Peak!$G234,N$8*$X233,0))</f>
        <v>0</v>
      </c>
      <c r="O233" s="172">
        <f>IF('Peak Revenue'!$A$1="BL","-",IF(Peak!U234&gt;Peak!$G234,O$8*$X233,0))</f>
        <v>0</v>
      </c>
      <c r="P233" s="172">
        <f>IF('Peak Revenue'!$A$1="BL","-",IF(Peak!V234&gt;Peak!$G234,P$8*$X233,0))</f>
        <v>0</v>
      </c>
      <c r="Q233" s="172">
        <f>IF('Peak Revenue'!$A$1="BL","-",IF(Peak!W234&gt;Peak!$G234,Q$8*$X233,0))</f>
        <v>0</v>
      </c>
      <c r="R233" s="172">
        <f>IF('Peak Revenue'!$A$1="BL","-",IF(Peak!X234&gt;Peak!$G234,R$8*$X233,0))</f>
        <v>0</v>
      </c>
      <c r="S233" s="172">
        <f>IF('Peak Revenue'!$A$1="BL","-",IF(Peak!Y234&gt;Peak!$G234,S$8*$X233,0))</f>
        <v>0</v>
      </c>
      <c r="T233" s="172">
        <f>IF('Peak Revenue'!$A$1="BL","-",IF(Peak!Z234&gt;Peak!$G234,T$8*$X233,0))</f>
        <v>0</v>
      </c>
      <c r="U233" s="172">
        <f>IF('Peak Revenue'!$A$1="BL","-",IF(Peak!AA234&gt;Peak!$G234,U$8*$X233,0))</f>
        <v>0</v>
      </c>
      <c r="V233" s="175">
        <f t="shared" si="6"/>
        <v>173.90184463720539</v>
      </c>
      <c r="W233" s="164"/>
      <c r="X233" s="473">
        <f>CHOOSE(QUOTIENT(MONTH($A233),3)+1,Peak!$AM$11,Peak!$AN$11,Peak!$AL$11,Peak!$AO$11,Peak!$AM$11)</f>
        <v>0.96612135909558572</v>
      </c>
      <c r="Y233" s="474">
        <f>CHOOSE(QUOTIENT(MONTH($A233),3)+1,Peak!$AM$17,Peak!$AN$17,Peak!$AL$17,Peak!$AO$17,Peak!$AM$17)</f>
        <v>705</v>
      </c>
    </row>
    <row r="234" spans="1:25" x14ac:dyDescent="0.2">
      <c r="A234" s="1">
        <f t="shared" si="7"/>
        <v>43353.408000000287</v>
      </c>
      <c r="B234" s="172">
        <f>IF('Peak Revenue'!$A$1="BL","-",IF(Peak!H235&gt;Peak!$G235,B$8*$X234,0))</f>
        <v>4.75</v>
      </c>
      <c r="C234" s="172">
        <f>IF('Peak Revenue'!$A$1="BL","-",IF(Peak!I235&gt;Peak!$G235,C$8*$X234,0))</f>
        <v>4.75</v>
      </c>
      <c r="D234" s="172">
        <f>IF('Peak Revenue'!$A$1="BL","-",IF(Peak!J235&gt;Peak!$G235,D$8*$X234,0))</f>
        <v>9.5</v>
      </c>
      <c r="E234" s="172">
        <f>IF('Peak Revenue'!$A$1="BL","-",IF(Peak!K235&gt;Peak!$G235,E$8*$X234,0))</f>
        <v>19</v>
      </c>
      <c r="F234" s="172">
        <f>IF('Peak Revenue'!$A$1="BL","-",IF(Peak!L235&gt;Peak!$G235,F$8*$X234,0))</f>
        <v>19</v>
      </c>
      <c r="G234" s="172">
        <f>IF('Peak Revenue'!$A$1="BL","-",IF(Peak!M235&gt;Peak!$G235,G$8*$X234,0))</f>
        <v>38</v>
      </c>
      <c r="H234" s="172">
        <f>IF('Peak Revenue'!$A$1="BL","-",IF(Peak!N235&gt;Peak!$G235,H$8*$X234,0))</f>
        <v>38</v>
      </c>
      <c r="I234" s="172">
        <f>IF('Peak Revenue'!$A$1="BL","-",IF(Peak!O235&gt;Peak!$G235,I$8*$X234,0))</f>
        <v>0</v>
      </c>
      <c r="J234" s="172">
        <f>IF('Peak Revenue'!$A$1="BL","-",IF(Peak!P235&gt;Peak!$G235,J$8*$X234,0))</f>
        <v>0</v>
      </c>
      <c r="K234" s="172">
        <f>IF('Peak Revenue'!$A$1="BL","-",IF(Peak!Q235&gt;Peak!$G235,K$8*$X234,0))</f>
        <v>0</v>
      </c>
      <c r="L234" s="172">
        <f>IF('Peak Revenue'!$A$1="BL","-",IF(Peak!R235&gt;Peak!$G235,L$8*$X234,0))</f>
        <v>0</v>
      </c>
      <c r="M234" s="172">
        <f>IF('Peak Revenue'!$A$1="BL","-",IF(Peak!S235&gt;Peak!$G235,M$8*$X234,0))</f>
        <v>0</v>
      </c>
      <c r="N234" s="172">
        <f>IF('Peak Revenue'!$A$1="BL","-",IF(Peak!T235&gt;Peak!$G235,N$8*$X234,0))</f>
        <v>0</v>
      </c>
      <c r="O234" s="172">
        <f>IF('Peak Revenue'!$A$1="BL","-",IF(Peak!U235&gt;Peak!$G235,O$8*$X234,0))</f>
        <v>0</v>
      </c>
      <c r="P234" s="172">
        <f>IF('Peak Revenue'!$A$1="BL","-",IF(Peak!V235&gt;Peak!$G235,P$8*$X234,0))</f>
        <v>0</v>
      </c>
      <c r="Q234" s="172">
        <f>IF('Peak Revenue'!$A$1="BL","-",IF(Peak!W235&gt;Peak!$G235,Q$8*$X234,0))</f>
        <v>0</v>
      </c>
      <c r="R234" s="172">
        <f>IF('Peak Revenue'!$A$1="BL","-",IF(Peak!X235&gt;Peak!$G235,R$8*$X234,0))</f>
        <v>0</v>
      </c>
      <c r="S234" s="172">
        <f>IF('Peak Revenue'!$A$1="BL","-",IF(Peak!Y235&gt;Peak!$G235,S$8*$X234,0))</f>
        <v>0</v>
      </c>
      <c r="T234" s="172">
        <f>IF('Peak Revenue'!$A$1="BL","-",IF(Peak!Z235&gt;Peak!$G235,T$8*$X234,0))</f>
        <v>0</v>
      </c>
      <c r="U234" s="172">
        <f>IF('Peak Revenue'!$A$1="BL","-",IF(Peak!AA235&gt;Peak!$G235,U$8*$X234,0))</f>
        <v>0</v>
      </c>
      <c r="V234" s="175">
        <f t="shared" si="6"/>
        <v>133</v>
      </c>
      <c r="W234" s="164"/>
      <c r="X234" s="473">
        <f>CHOOSE(QUOTIENT(MONTH($A234),3)+1,Peak!$AM$11,Peak!$AN$11,Peak!$AL$11,Peak!$AO$11,Peak!$AM$11)</f>
        <v>0.95</v>
      </c>
      <c r="Y234" s="474">
        <f>CHOOSE(QUOTIENT(MONTH($A234),3)+1,Peak!$AM$17,Peak!$AN$17,Peak!$AL$17,Peak!$AO$17,Peak!$AM$17)</f>
        <v>705</v>
      </c>
    </row>
    <row r="235" spans="1:25" x14ac:dyDescent="0.2">
      <c r="A235" s="1">
        <f t="shared" si="7"/>
        <v>43383.825000000288</v>
      </c>
      <c r="B235" s="172">
        <f>IF('Peak Revenue'!$A$1="BL","-",IF(Peak!H236&gt;Peak!$G236,B$8*$X235,0))</f>
        <v>4.75</v>
      </c>
      <c r="C235" s="172">
        <f>IF('Peak Revenue'!$A$1="BL","-",IF(Peak!I236&gt;Peak!$G236,C$8*$X235,0))</f>
        <v>4.75</v>
      </c>
      <c r="D235" s="172">
        <f>IF('Peak Revenue'!$A$1="BL","-",IF(Peak!J236&gt;Peak!$G236,D$8*$X235,0))</f>
        <v>9.5</v>
      </c>
      <c r="E235" s="172">
        <f>IF('Peak Revenue'!$A$1="BL","-",IF(Peak!K236&gt;Peak!$G236,E$8*$X235,0))</f>
        <v>19</v>
      </c>
      <c r="F235" s="172">
        <f>IF('Peak Revenue'!$A$1="BL","-",IF(Peak!L236&gt;Peak!$G236,F$8*$X235,0))</f>
        <v>19</v>
      </c>
      <c r="G235" s="172">
        <f>IF('Peak Revenue'!$A$1="BL","-",IF(Peak!M236&gt;Peak!$G236,G$8*$X235,0))</f>
        <v>38</v>
      </c>
      <c r="H235" s="172">
        <f>IF('Peak Revenue'!$A$1="BL","-",IF(Peak!N236&gt;Peak!$G236,H$8*$X235,0))</f>
        <v>38</v>
      </c>
      <c r="I235" s="172">
        <f>IF('Peak Revenue'!$A$1="BL","-",IF(Peak!O236&gt;Peak!$G236,I$8*$X235,0))</f>
        <v>0</v>
      </c>
      <c r="J235" s="172">
        <f>IF('Peak Revenue'!$A$1="BL","-",IF(Peak!P236&gt;Peak!$G236,J$8*$X235,0))</f>
        <v>0</v>
      </c>
      <c r="K235" s="172">
        <f>IF('Peak Revenue'!$A$1="BL","-",IF(Peak!Q236&gt;Peak!$G236,K$8*$X235,0))</f>
        <v>0</v>
      </c>
      <c r="L235" s="172">
        <f>IF('Peak Revenue'!$A$1="BL","-",IF(Peak!R236&gt;Peak!$G236,L$8*$X235,0))</f>
        <v>0</v>
      </c>
      <c r="M235" s="172">
        <f>IF('Peak Revenue'!$A$1="BL","-",IF(Peak!S236&gt;Peak!$G236,M$8*$X235,0))</f>
        <v>0</v>
      </c>
      <c r="N235" s="172">
        <f>IF('Peak Revenue'!$A$1="BL","-",IF(Peak!T236&gt;Peak!$G236,N$8*$X235,0))</f>
        <v>0</v>
      </c>
      <c r="O235" s="172">
        <f>IF('Peak Revenue'!$A$1="BL","-",IF(Peak!U236&gt;Peak!$G236,O$8*$X235,0))</f>
        <v>0</v>
      </c>
      <c r="P235" s="172">
        <f>IF('Peak Revenue'!$A$1="BL","-",IF(Peak!V236&gt;Peak!$G236,P$8*$X235,0))</f>
        <v>0</v>
      </c>
      <c r="Q235" s="172">
        <f>IF('Peak Revenue'!$A$1="BL","-",IF(Peak!W236&gt;Peak!$G236,Q$8*$X235,0))</f>
        <v>0</v>
      </c>
      <c r="R235" s="172">
        <f>IF('Peak Revenue'!$A$1="BL","-",IF(Peak!X236&gt;Peak!$G236,R$8*$X235,0))</f>
        <v>0</v>
      </c>
      <c r="S235" s="172">
        <f>IF('Peak Revenue'!$A$1="BL","-",IF(Peak!Y236&gt;Peak!$G236,S$8*$X235,0))</f>
        <v>0</v>
      </c>
      <c r="T235" s="172">
        <f>IF('Peak Revenue'!$A$1="BL","-",IF(Peak!Z236&gt;Peak!$G236,T$8*$X235,0))</f>
        <v>0</v>
      </c>
      <c r="U235" s="172">
        <f>IF('Peak Revenue'!$A$1="BL","-",IF(Peak!AA236&gt;Peak!$G236,U$8*$X235,0))</f>
        <v>0</v>
      </c>
      <c r="V235" s="175">
        <f t="shared" si="6"/>
        <v>133</v>
      </c>
      <c r="W235" s="164"/>
      <c r="X235" s="473">
        <f>CHOOSE(QUOTIENT(MONTH($A235),3)+1,Peak!$AM$11,Peak!$AN$11,Peak!$AL$11,Peak!$AO$11,Peak!$AM$11)</f>
        <v>0.95</v>
      </c>
      <c r="Y235" s="474">
        <f>CHOOSE(QUOTIENT(MONTH($A235),3)+1,Peak!$AM$17,Peak!$AN$17,Peak!$AL$17,Peak!$AO$17,Peak!$AM$17)</f>
        <v>705</v>
      </c>
    </row>
    <row r="236" spans="1:25" x14ac:dyDescent="0.2">
      <c r="A236" s="1">
        <f t="shared" si="7"/>
        <v>43414.242000000289</v>
      </c>
      <c r="B236" s="172">
        <f>IF('Peak Revenue'!$A$1="BL","-",IF(Peak!H237&gt;Peak!$G237,B$8*$X236,0))</f>
        <v>4.75</v>
      </c>
      <c r="C236" s="172">
        <f>IF('Peak Revenue'!$A$1="BL","-",IF(Peak!I237&gt;Peak!$G237,C$8*$X236,0))</f>
        <v>4.75</v>
      </c>
      <c r="D236" s="172">
        <f>IF('Peak Revenue'!$A$1="BL","-",IF(Peak!J237&gt;Peak!$G237,D$8*$X236,0))</f>
        <v>9.5</v>
      </c>
      <c r="E236" s="172">
        <f>IF('Peak Revenue'!$A$1="BL","-",IF(Peak!K237&gt;Peak!$G237,E$8*$X236,0))</f>
        <v>19</v>
      </c>
      <c r="F236" s="172">
        <f>IF('Peak Revenue'!$A$1="BL","-",IF(Peak!L237&gt;Peak!$G237,F$8*$X236,0))</f>
        <v>19</v>
      </c>
      <c r="G236" s="172">
        <f>IF('Peak Revenue'!$A$1="BL","-",IF(Peak!M237&gt;Peak!$G237,G$8*$X236,0))</f>
        <v>38</v>
      </c>
      <c r="H236" s="172">
        <f>IF('Peak Revenue'!$A$1="BL","-",IF(Peak!N237&gt;Peak!$G237,H$8*$X236,0))</f>
        <v>38</v>
      </c>
      <c r="I236" s="172">
        <f>IF('Peak Revenue'!$A$1="BL","-",IF(Peak!O237&gt;Peak!$G237,I$8*$X236,0))</f>
        <v>38</v>
      </c>
      <c r="J236" s="172">
        <f>IF('Peak Revenue'!$A$1="BL","-",IF(Peak!P237&gt;Peak!$G237,J$8*$X236,0))</f>
        <v>38</v>
      </c>
      <c r="K236" s="172">
        <f>IF('Peak Revenue'!$A$1="BL","-",IF(Peak!Q237&gt;Peak!$G237,K$8*$X236,0))</f>
        <v>38</v>
      </c>
      <c r="L236" s="172">
        <f>IF('Peak Revenue'!$A$1="BL","-",IF(Peak!R237&gt;Peak!$G237,L$8*$X236,0))</f>
        <v>38</v>
      </c>
      <c r="M236" s="172">
        <f>IF('Peak Revenue'!$A$1="BL","-",IF(Peak!S237&gt;Peak!$G237,M$8*$X236,0))</f>
        <v>0</v>
      </c>
      <c r="N236" s="172">
        <f>IF('Peak Revenue'!$A$1="BL","-",IF(Peak!T237&gt;Peak!$G237,N$8*$X236,0))</f>
        <v>0</v>
      </c>
      <c r="O236" s="172">
        <f>IF('Peak Revenue'!$A$1="BL","-",IF(Peak!U237&gt;Peak!$G237,O$8*$X236,0))</f>
        <v>0</v>
      </c>
      <c r="P236" s="172">
        <f>IF('Peak Revenue'!$A$1="BL","-",IF(Peak!V237&gt;Peak!$G237,P$8*$X236,0))</f>
        <v>0</v>
      </c>
      <c r="Q236" s="172">
        <f>IF('Peak Revenue'!$A$1="BL","-",IF(Peak!W237&gt;Peak!$G237,Q$8*$X236,0))</f>
        <v>0</v>
      </c>
      <c r="R236" s="172">
        <f>IF('Peak Revenue'!$A$1="BL","-",IF(Peak!X237&gt;Peak!$G237,R$8*$X236,0))</f>
        <v>0</v>
      </c>
      <c r="S236" s="172">
        <f>IF('Peak Revenue'!$A$1="BL","-",IF(Peak!Y237&gt;Peak!$G237,S$8*$X236,0))</f>
        <v>0</v>
      </c>
      <c r="T236" s="172">
        <f>IF('Peak Revenue'!$A$1="BL","-",IF(Peak!Z237&gt;Peak!$G237,T$8*$X236,0))</f>
        <v>0</v>
      </c>
      <c r="U236" s="172">
        <f>IF('Peak Revenue'!$A$1="BL","-",IF(Peak!AA237&gt;Peak!$G237,U$8*$X236,0))</f>
        <v>0</v>
      </c>
      <c r="V236" s="175">
        <f t="shared" si="6"/>
        <v>285</v>
      </c>
      <c r="W236" s="164"/>
      <c r="X236" s="473">
        <f>CHOOSE(QUOTIENT(MONTH($A236),3)+1,Peak!$AM$11,Peak!$AN$11,Peak!$AL$11,Peak!$AO$11,Peak!$AM$11)</f>
        <v>0.95</v>
      </c>
      <c r="Y236" s="474">
        <f>CHOOSE(QUOTIENT(MONTH($A236),3)+1,Peak!$AM$17,Peak!$AN$17,Peak!$AL$17,Peak!$AO$17,Peak!$AM$17)</f>
        <v>705</v>
      </c>
    </row>
    <row r="237" spans="1:25" x14ac:dyDescent="0.2">
      <c r="A237" s="1">
        <f t="shared" si="7"/>
        <v>43444.659000000291</v>
      </c>
      <c r="B237" s="172">
        <f>IF('Peak Revenue'!$A$1="BL","-",IF(Peak!H238&gt;Peak!$G238,B$8*$X237,0))</f>
        <v>4.6213830939305875</v>
      </c>
      <c r="C237" s="172">
        <f>IF('Peak Revenue'!$A$1="BL","-",IF(Peak!I238&gt;Peak!$G238,C$8*$X237,0))</f>
        <v>4.6213830939305875</v>
      </c>
      <c r="D237" s="172">
        <f>IF('Peak Revenue'!$A$1="BL","-",IF(Peak!J238&gt;Peak!$G238,D$8*$X237,0))</f>
        <v>9.2427661878611751</v>
      </c>
      <c r="E237" s="172">
        <f>IF('Peak Revenue'!$A$1="BL","-",IF(Peak!K238&gt;Peak!$G238,E$8*$X237,0))</f>
        <v>18.48553237572235</v>
      </c>
      <c r="F237" s="172">
        <f>IF('Peak Revenue'!$A$1="BL","-",IF(Peak!L238&gt;Peak!$G238,F$8*$X237,0))</f>
        <v>18.48553237572235</v>
      </c>
      <c r="G237" s="172">
        <f>IF('Peak Revenue'!$A$1="BL","-",IF(Peak!M238&gt;Peak!$G238,G$8*$X237,0))</f>
        <v>36.9710647514447</v>
      </c>
      <c r="H237" s="172">
        <f>IF('Peak Revenue'!$A$1="BL","-",IF(Peak!N238&gt;Peak!$G238,H$8*$X237,0))</f>
        <v>36.9710647514447</v>
      </c>
      <c r="I237" s="172">
        <f>IF('Peak Revenue'!$A$1="BL","-",IF(Peak!O238&gt;Peak!$G238,I$8*$X237,0))</f>
        <v>36.9710647514447</v>
      </c>
      <c r="J237" s="172">
        <f>IF('Peak Revenue'!$A$1="BL","-",IF(Peak!P238&gt;Peak!$G238,J$8*$X237,0))</f>
        <v>36.9710647514447</v>
      </c>
      <c r="K237" s="172">
        <f>IF('Peak Revenue'!$A$1="BL","-",IF(Peak!Q238&gt;Peak!$G238,K$8*$X237,0))</f>
        <v>0</v>
      </c>
      <c r="L237" s="172">
        <f>IF('Peak Revenue'!$A$1="BL","-",IF(Peak!R238&gt;Peak!$G238,L$8*$X237,0))</f>
        <v>0</v>
      </c>
      <c r="M237" s="172">
        <f>IF('Peak Revenue'!$A$1="BL","-",IF(Peak!S238&gt;Peak!$G238,M$8*$X237,0))</f>
        <v>0</v>
      </c>
      <c r="N237" s="172">
        <f>IF('Peak Revenue'!$A$1="BL","-",IF(Peak!T238&gt;Peak!$G238,N$8*$X237,0))</f>
        <v>0</v>
      </c>
      <c r="O237" s="172">
        <f>IF('Peak Revenue'!$A$1="BL","-",IF(Peak!U238&gt;Peak!$G238,O$8*$X237,0))</f>
        <v>0</v>
      </c>
      <c r="P237" s="172">
        <f>IF('Peak Revenue'!$A$1="BL","-",IF(Peak!V238&gt;Peak!$G238,P$8*$X237,0))</f>
        <v>0</v>
      </c>
      <c r="Q237" s="172">
        <f>IF('Peak Revenue'!$A$1="BL","-",IF(Peak!W238&gt;Peak!$G238,Q$8*$X237,0))</f>
        <v>0</v>
      </c>
      <c r="R237" s="172">
        <f>IF('Peak Revenue'!$A$1="BL","-",IF(Peak!X238&gt;Peak!$G238,R$8*$X237,0))</f>
        <v>0</v>
      </c>
      <c r="S237" s="172">
        <f>IF('Peak Revenue'!$A$1="BL","-",IF(Peak!Y238&gt;Peak!$G238,S$8*$X237,0))</f>
        <v>0</v>
      </c>
      <c r="T237" s="172">
        <f>IF('Peak Revenue'!$A$1="BL","-",IF(Peak!Z238&gt;Peak!$G238,T$8*$X237,0))</f>
        <v>0</v>
      </c>
      <c r="U237" s="172">
        <f>IF('Peak Revenue'!$A$1="BL","-",IF(Peak!AA238&gt;Peak!$G238,U$8*$X237,0))</f>
        <v>0</v>
      </c>
      <c r="V237" s="175">
        <f t="shared" si="6"/>
        <v>203.34085613294587</v>
      </c>
      <c r="W237" s="163">
        <f>SUM(V226:V237)</f>
        <v>2198.6916006504794</v>
      </c>
      <c r="X237" s="473">
        <f>CHOOSE(QUOTIENT(MONTH($A237),3)+1,Peak!$AM$11,Peak!$AN$11,Peak!$AL$11,Peak!$AO$11,Peak!$AM$11)</f>
        <v>0.92427661878611755</v>
      </c>
      <c r="Y237" s="474">
        <f>CHOOSE(QUOTIENT(MONTH($A237),3)+1,Peak!$AM$17,Peak!$AN$17,Peak!$AL$17,Peak!$AO$17,Peak!$AM$17)</f>
        <v>705</v>
      </c>
    </row>
    <row r="238" spans="1:25" x14ac:dyDescent="0.2">
      <c r="A238" s="1">
        <f t="shared" si="7"/>
        <v>43475.076000000292</v>
      </c>
      <c r="B238" s="172">
        <f>IF('Peak Revenue'!$A$1="BL","-",IF(Peak!H239&gt;Peak!$G239,B$8*$X238,0))</f>
        <v>4.6213830939305875</v>
      </c>
      <c r="C238" s="172">
        <f>IF('Peak Revenue'!$A$1="BL","-",IF(Peak!I239&gt;Peak!$G239,C$8*$X238,0))</f>
        <v>4.6213830939305875</v>
      </c>
      <c r="D238" s="172">
        <f>IF('Peak Revenue'!$A$1="BL","-",IF(Peak!J239&gt;Peak!$G239,D$8*$X238,0))</f>
        <v>9.2427661878611751</v>
      </c>
      <c r="E238" s="172">
        <f>IF('Peak Revenue'!$A$1="BL","-",IF(Peak!K239&gt;Peak!$G239,E$8*$X238,0))</f>
        <v>18.48553237572235</v>
      </c>
      <c r="F238" s="172">
        <f>IF('Peak Revenue'!$A$1="BL","-",IF(Peak!L239&gt;Peak!$G239,F$8*$X238,0))</f>
        <v>18.48553237572235</v>
      </c>
      <c r="G238" s="172">
        <f>IF('Peak Revenue'!$A$1="BL","-",IF(Peak!M239&gt;Peak!$G239,G$8*$X238,0))</f>
        <v>36.9710647514447</v>
      </c>
      <c r="H238" s="172">
        <f>IF('Peak Revenue'!$A$1="BL","-",IF(Peak!N239&gt;Peak!$G239,H$8*$X238,0))</f>
        <v>36.9710647514447</v>
      </c>
      <c r="I238" s="172">
        <f>IF('Peak Revenue'!$A$1="BL","-",IF(Peak!O239&gt;Peak!$G239,I$8*$X238,0))</f>
        <v>0</v>
      </c>
      <c r="J238" s="172">
        <f>IF('Peak Revenue'!$A$1="BL","-",IF(Peak!P239&gt;Peak!$G239,J$8*$X238,0))</f>
        <v>0</v>
      </c>
      <c r="K238" s="172">
        <f>IF('Peak Revenue'!$A$1="BL","-",IF(Peak!Q239&gt;Peak!$G239,K$8*$X238,0))</f>
        <v>0</v>
      </c>
      <c r="L238" s="172">
        <f>IF('Peak Revenue'!$A$1="BL","-",IF(Peak!R239&gt;Peak!$G239,L$8*$X238,0))</f>
        <v>0</v>
      </c>
      <c r="M238" s="172">
        <f>IF('Peak Revenue'!$A$1="BL","-",IF(Peak!S239&gt;Peak!$G239,M$8*$X238,0))</f>
        <v>0</v>
      </c>
      <c r="N238" s="172">
        <f>IF('Peak Revenue'!$A$1="BL","-",IF(Peak!T239&gt;Peak!$G239,N$8*$X238,0))</f>
        <v>0</v>
      </c>
      <c r="O238" s="172">
        <f>IF('Peak Revenue'!$A$1="BL","-",IF(Peak!U239&gt;Peak!$G239,O$8*$X238,0))</f>
        <v>0</v>
      </c>
      <c r="P238" s="172">
        <f>IF('Peak Revenue'!$A$1="BL","-",IF(Peak!V239&gt;Peak!$G239,P$8*$X238,0))</f>
        <v>0</v>
      </c>
      <c r="Q238" s="172">
        <f>IF('Peak Revenue'!$A$1="BL","-",IF(Peak!W239&gt;Peak!$G239,Q$8*$X238,0))</f>
        <v>0</v>
      </c>
      <c r="R238" s="172">
        <f>IF('Peak Revenue'!$A$1="BL","-",IF(Peak!X239&gt;Peak!$G239,R$8*$X238,0))</f>
        <v>0</v>
      </c>
      <c r="S238" s="172">
        <f>IF('Peak Revenue'!$A$1="BL","-",IF(Peak!Y239&gt;Peak!$G239,S$8*$X238,0))</f>
        <v>0</v>
      </c>
      <c r="T238" s="172">
        <f>IF('Peak Revenue'!$A$1="BL","-",IF(Peak!Z239&gt;Peak!$G239,T$8*$X238,0))</f>
        <v>0</v>
      </c>
      <c r="U238" s="172">
        <f>IF('Peak Revenue'!$A$1="BL","-",IF(Peak!AA239&gt;Peak!$G239,U$8*$X238,0))</f>
        <v>0</v>
      </c>
      <c r="V238" s="175">
        <f t="shared" si="6"/>
        <v>129.39872663005644</v>
      </c>
      <c r="W238" s="164"/>
      <c r="X238" s="473">
        <f>CHOOSE(QUOTIENT(MONTH($A238),3)+1,Peak!$AM$11,Peak!$AN$11,Peak!$AL$11,Peak!$AO$11,Peak!$AM$11)</f>
        <v>0.92427661878611755</v>
      </c>
      <c r="Y238" s="474">
        <f>CHOOSE(QUOTIENT(MONTH($A238),3)+1,Peak!$AM$17,Peak!$AN$17,Peak!$AL$17,Peak!$AO$17,Peak!$AM$17)</f>
        <v>705</v>
      </c>
    </row>
    <row r="239" spans="1:25" x14ac:dyDescent="0.2">
      <c r="A239" s="1">
        <f t="shared" si="7"/>
        <v>43505.493000000293</v>
      </c>
      <c r="B239" s="172">
        <f>IF('Peak Revenue'!$A$1="BL","-",IF(Peak!H240&gt;Peak!$G240,B$8*$X239,0))</f>
        <v>4.6213830939305875</v>
      </c>
      <c r="C239" s="172">
        <f>IF('Peak Revenue'!$A$1="BL","-",IF(Peak!I240&gt;Peak!$G240,C$8*$X239,0))</f>
        <v>4.6213830939305875</v>
      </c>
      <c r="D239" s="172">
        <f>IF('Peak Revenue'!$A$1="BL","-",IF(Peak!J240&gt;Peak!$G240,D$8*$X239,0))</f>
        <v>9.2427661878611751</v>
      </c>
      <c r="E239" s="172">
        <f>IF('Peak Revenue'!$A$1="BL","-",IF(Peak!K240&gt;Peak!$G240,E$8*$X239,0))</f>
        <v>18.48553237572235</v>
      </c>
      <c r="F239" s="172">
        <f>IF('Peak Revenue'!$A$1="BL","-",IF(Peak!L240&gt;Peak!$G240,F$8*$X239,0))</f>
        <v>18.48553237572235</v>
      </c>
      <c r="G239" s="172">
        <f>IF('Peak Revenue'!$A$1="BL","-",IF(Peak!M240&gt;Peak!$G240,G$8*$X239,0))</f>
        <v>36.9710647514447</v>
      </c>
      <c r="H239" s="172">
        <f>IF('Peak Revenue'!$A$1="BL","-",IF(Peak!N240&gt;Peak!$G240,H$8*$X239,0))</f>
        <v>36.9710647514447</v>
      </c>
      <c r="I239" s="172">
        <f>IF('Peak Revenue'!$A$1="BL","-",IF(Peak!O240&gt;Peak!$G240,I$8*$X239,0))</f>
        <v>36.9710647514447</v>
      </c>
      <c r="J239" s="172">
        <f>IF('Peak Revenue'!$A$1="BL","-",IF(Peak!P240&gt;Peak!$G240,J$8*$X239,0))</f>
        <v>36.9710647514447</v>
      </c>
      <c r="K239" s="172">
        <f>IF('Peak Revenue'!$A$1="BL","-",IF(Peak!Q240&gt;Peak!$G240,K$8*$X239,0))</f>
        <v>36.9710647514447</v>
      </c>
      <c r="L239" s="172">
        <f>IF('Peak Revenue'!$A$1="BL","-",IF(Peak!R240&gt;Peak!$G240,L$8*$X239,0))</f>
        <v>0</v>
      </c>
      <c r="M239" s="172">
        <f>IF('Peak Revenue'!$A$1="BL","-",IF(Peak!S240&gt;Peak!$G240,M$8*$X239,0))</f>
        <v>0</v>
      </c>
      <c r="N239" s="172">
        <f>IF('Peak Revenue'!$A$1="BL","-",IF(Peak!T240&gt;Peak!$G240,N$8*$X239,0))</f>
        <v>0</v>
      </c>
      <c r="O239" s="172">
        <f>IF('Peak Revenue'!$A$1="BL","-",IF(Peak!U240&gt;Peak!$G240,O$8*$X239,0))</f>
        <v>0</v>
      </c>
      <c r="P239" s="172">
        <f>IF('Peak Revenue'!$A$1="BL","-",IF(Peak!V240&gt;Peak!$G240,P$8*$X239,0))</f>
        <v>0</v>
      </c>
      <c r="Q239" s="172">
        <f>IF('Peak Revenue'!$A$1="BL","-",IF(Peak!W240&gt;Peak!$G240,Q$8*$X239,0))</f>
        <v>0</v>
      </c>
      <c r="R239" s="172">
        <f>IF('Peak Revenue'!$A$1="BL","-",IF(Peak!X240&gt;Peak!$G240,R$8*$X239,0))</f>
        <v>0</v>
      </c>
      <c r="S239" s="172">
        <f>IF('Peak Revenue'!$A$1="BL","-",IF(Peak!Y240&gt;Peak!$G240,S$8*$X239,0))</f>
        <v>0</v>
      </c>
      <c r="T239" s="172">
        <f>IF('Peak Revenue'!$A$1="BL","-",IF(Peak!Z240&gt;Peak!$G240,T$8*$X239,0))</f>
        <v>0</v>
      </c>
      <c r="U239" s="172">
        <f>IF('Peak Revenue'!$A$1="BL","-",IF(Peak!AA240&gt;Peak!$G240,U$8*$X239,0))</f>
        <v>0</v>
      </c>
      <c r="V239" s="175">
        <f t="shared" si="6"/>
        <v>240.31192088439059</v>
      </c>
      <c r="W239" s="164"/>
      <c r="X239" s="473">
        <f>CHOOSE(QUOTIENT(MONTH($A239),3)+1,Peak!$AM$11,Peak!$AN$11,Peak!$AL$11,Peak!$AO$11,Peak!$AM$11)</f>
        <v>0.92427661878611755</v>
      </c>
      <c r="Y239" s="474">
        <f>CHOOSE(QUOTIENT(MONTH($A239),3)+1,Peak!$AM$17,Peak!$AN$17,Peak!$AL$17,Peak!$AO$17,Peak!$AM$17)</f>
        <v>705</v>
      </c>
    </row>
    <row r="240" spans="1:25" x14ac:dyDescent="0.2">
      <c r="A240" s="1">
        <f t="shared" si="7"/>
        <v>43535.910000000295</v>
      </c>
      <c r="B240" s="172">
        <f>IF('Peak Revenue'!$A$1="BL","-",IF(Peak!H241&gt;Peak!$G241,B$8*$X240,0))</f>
        <v>4.75</v>
      </c>
      <c r="C240" s="172">
        <f>IF('Peak Revenue'!$A$1="BL","-",IF(Peak!I241&gt;Peak!$G241,C$8*$X240,0))</f>
        <v>4.75</v>
      </c>
      <c r="D240" s="172">
        <f>IF('Peak Revenue'!$A$1="BL","-",IF(Peak!J241&gt;Peak!$G241,D$8*$X240,0))</f>
        <v>9.5</v>
      </c>
      <c r="E240" s="172">
        <f>IF('Peak Revenue'!$A$1="BL","-",IF(Peak!K241&gt;Peak!$G241,E$8*$X240,0))</f>
        <v>19</v>
      </c>
      <c r="F240" s="172">
        <f>IF('Peak Revenue'!$A$1="BL","-",IF(Peak!L241&gt;Peak!$G241,F$8*$X240,0))</f>
        <v>19</v>
      </c>
      <c r="G240" s="172">
        <f>IF('Peak Revenue'!$A$1="BL","-",IF(Peak!M241&gt;Peak!$G241,G$8*$X240,0))</f>
        <v>38</v>
      </c>
      <c r="H240" s="172">
        <f>IF('Peak Revenue'!$A$1="BL","-",IF(Peak!N241&gt;Peak!$G241,H$8*$X240,0))</f>
        <v>38</v>
      </c>
      <c r="I240" s="172">
        <f>IF('Peak Revenue'!$A$1="BL","-",IF(Peak!O241&gt;Peak!$G241,I$8*$X240,0))</f>
        <v>38</v>
      </c>
      <c r="J240" s="172">
        <f>IF('Peak Revenue'!$A$1="BL","-",IF(Peak!P241&gt;Peak!$G241,J$8*$X240,0))</f>
        <v>38</v>
      </c>
      <c r="K240" s="172">
        <f>IF('Peak Revenue'!$A$1="BL","-",IF(Peak!Q241&gt;Peak!$G241,K$8*$X240,0))</f>
        <v>38</v>
      </c>
      <c r="L240" s="172">
        <f>IF('Peak Revenue'!$A$1="BL","-",IF(Peak!R241&gt;Peak!$G241,L$8*$X240,0))</f>
        <v>38</v>
      </c>
      <c r="M240" s="172">
        <f>IF('Peak Revenue'!$A$1="BL","-",IF(Peak!S241&gt;Peak!$G241,M$8*$X240,0))</f>
        <v>0</v>
      </c>
      <c r="N240" s="172">
        <f>IF('Peak Revenue'!$A$1="BL","-",IF(Peak!T241&gt;Peak!$G241,N$8*$X240,0))</f>
        <v>0</v>
      </c>
      <c r="O240" s="172">
        <f>IF('Peak Revenue'!$A$1="BL","-",IF(Peak!U241&gt;Peak!$G241,O$8*$X240,0))</f>
        <v>0</v>
      </c>
      <c r="P240" s="172">
        <f>IF('Peak Revenue'!$A$1="BL","-",IF(Peak!V241&gt;Peak!$G241,P$8*$X240,0))</f>
        <v>0</v>
      </c>
      <c r="Q240" s="172">
        <f>IF('Peak Revenue'!$A$1="BL","-",IF(Peak!W241&gt;Peak!$G241,Q$8*$X240,0))</f>
        <v>0</v>
      </c>
      <c r="R240" s="172">
        <f>IF('Peak Revenue'!$A$1="BL","-",IF(Peak!X241&gt;Peak!$G241,R$8*$X240,0))</f>
        <v>0</v>
      </c>
      <c r="S240" s="172">
        <f>IF('Peak Revenue'!$A$1="BL","-",IF(Peak!Y241&gt;Peak!$G241,S$8*$X240,0))</f>
        <v>0</v>
      </c>
      <c r="T240" s="172">
        <f>IF('Peak Revenue'!$A$1="BL","-",IF(Peak!Z241&gt;Peak!$G241,T$8*$X240,0))</f>
        <v>0</v>
      </c>
      <c r="U240" s="172">
        <f>IF('Peak Revenue'!$A$1="BL","-",IF(Peak!AA241&gt;Peak!$G241,U$8*$X240,0))</f>
        <v>0</v>
      </c>
      <c r="V240" s="175">
        <f t="shared" si="6"/>
        <v>285</v>
      </c>
      <c r="W240" s="164"/>
      <c r="X240" s="473">
        <f>CHOOSE(QUOTIENT(MONTH($A240),3)+1,Peak!$AM$11,Peak!$AN$11,Peak!$AL$11,Peak!$AO$11,Peak!$AM$11)</f>
        <v>0.95</v>
      </c>
      <c r="Y240" s="474">
        <f>CHOOSE(QUOTIENT(MONTH($A240),3)+1,Peak!$AM$17,Peak!$AN$17,Peak!$AL$17,Peak!$AO$17,Peak!$AM$17)</f>
        <v>705</v>
      </c>
    </row>
    <row r="241" spans="1:25" x14ac:dyDescent="0.2">
      <c r="A241" s="1">
        <f t="shared" si="7"/>
        <v>43566.327000000296</v>
      </c>
      <c r="B241" s="172">
        <f>IF('Peak Revenue'!$A$1="BL","-",IF(Peak!H242&gt;Peak!$G242,B$8*$X241,0))</f>
        <v>4.75</v>
      </c>
      <c r="C241" s="172">
        <f>IF('Peak Revenue'!$A$1="BL","-",IF(Peak!I242&gt;Peak!$G242,C$8*$X241,0))</f>
        <v>4.75</v>
      </c>
      <c r="D241" s="172">
        <f>IF('Peak Revenue'!$A$1="BL","-",IF(Peak!J242&gt;Peak!$G242,D$8*$X241,0))</f>
        <v>9.5</v>
      </c>
      <c r="E241" s="172">
        <f>IF('Peak Revenue'!$A$1="BL","-",IF(Peak!K242&gt;Peak!$G242,E$8*$X241,0))</f>
        <v>19</v>
      </c>
      <c r="F241" s="172">
        <f>IF('Peak Revenue'!$A$1="BL","-",IF(Peak!L242&gt;Peak!$G242,F$8*$X241,0))</f>
        <v>19</v>
      </c>
      <c r="G241" s="172">
        <f>IF('Peak Revenue'!$A$1="BL","-",IF(Peak!M242&gt;Peak!$G242,G$8*$X241,0))</f>
        <v>38</v>
      </c>
      <c r="H241" s="172">
        <f>IF('Peak Revenue'!$A$1="BL","-",IF(Peak!N242&gt;Peak!$G242,H$8*$X241,0))</f>
        <v>38</v>
      </c>
      <c r="I241" s="172">
        <f>IF('Peak Revenue'!$A$1="BL","-",IF(Peak!O242&gt;Peak!$G242,I$8*$X241,0))</f>
        <v>38</v>
      </c>
      <c r="J241" s="172">
        <f>IF('Peak Revenue'!$A$1="BL","-",IF(Peak!P242&gt;Peak!$G242,J$8*$X241,0))</f>
        <v>38</v>
      </c>
      <c r="K241" s="172">
        <f>IF('Peak Revenue'!$A$1="BL","-",IF(Peak!Q242&gt;Peak!$G242,K$8*$X241,0))</f>
        <v>38</v>
      </c>
      <c r="L241" s="172">
        <f>IF('Peak Revenue'!$A$1="BL","-",IF(Peak!R242&gt;Peak!$G242,L$8*$X241,0))</f>
        <v>0</v>
      </c>
      <c r="M241" s="172">
        <f>IF('Peak Revenue'!$A$1="BL","-",IF(Peak!S242&gt;Peak!$G242,M$8*$X241,0))</f>
        <v>0</v>
      </c>
      <c r="N241" s="172">
        <f>IF('Peak Revenue'!$A$1="BL","-",IF(Peak!T242&gt;Peak!$G242,N$8*$X241,0))</f>
        <v>0</v>
      </c>
      <c r="O241" s="172">
        <f>IF('Peak Revenue'!$A$1="BL","-",IF(Peak!U242&gt;Peak!$G242,O$8*$X241,0))</f>
        <v>0</v>
      </c>
      <c r="P241" s="172">
        <f>IF('Peak Revenue'!$A$1="BL","-",IF(Peak!V242&gt;Peak!$G242,P$8*$X241,0))</f>
        <v>0</v>
      </c>
      <c r="Q241" s="172">
        <f>IF('Peak Revenue'!$A$1="BL","-",IF(Peak!W242&gt;Peak!$G242,Q$8*$X241,0))</f>
        <v>0</v>
      </c>
      <c r="R241" s="172">
        <f>IF('Peak Revenue'!$A$1="BL","-",IF(Peak!X242&gt;Peak!$G242,R$8*$X241,0))</f>
        <v>0</v>
      </c>
      <c r="S241" s="172">
        <f>IF('Peak Revenue'!$A$1="BL","-",IF(Peak!Y242&gt;Peak!$G242,S$8*$X241,0))</f>
        <v>0</v>
      </c>
      <c r="T241" s="172">
        <f>IF('Peak Revenue'!$A$1="BL","-",IF(Peak!Z242&gt;Peak!$G242,T$8*$X241,0))</f>
        <v>0</v>
      </c>
      <c r="U241" s="172">
        <f>IF('Peak Revenue'!$A$1="BL","-",IF(Peak!AA242&gt;Peak!$G242,U$8*$X241,0))</f>
        <v>0</v>
      </c>
      <c r="V241" s="175">
        <f t="shared" si="6"/>
        <v>247</v>
      </c>
      <c r="W241" s="164"/>
      <c r="X241" s="473">
        <f>CHOOSE(QUOTIENT(MONTH($A241),3)+1,Peak!$AM$11,Peak!$AN$11,Peak!$AL$11,Peak!$AO$11,Peak!$AM$11)</f>
        <v>0.95</v>
      </c>
      <c r="Y241" s="474">
        <f>CHOOSE(QUOTIENT(MONTH($A241),3)+1,Peak!$AM$17,Peak!$AN$17,Peak!$AL$17,Peak!$AO$17,Peak!$AM$17)</f>
        <v>705</v>
      </c>
    </row>
    <row r="242" spans="1:25" x14ac:dyDescent="0.2">
      <c r="A242" s="1">
        <f t="shared" si="7"/>
        <v>43596.744000000297</v>
      </c>
      <c r="B242" s="172">
        <f>IF('Peak Revenue'!$A$1="BL","-",IF(Peak!H243&gt;Peak!$G243,B$8*$X242,0))</f>
        <v>4.75</v>
      </c>
      <c r="C242" s="172">
        <f>IF('Peak Revenue'!$A$1="BL","-",IF(Peak!I243&gt;Peak!$G243,C$8*$X242,0))</f>
        <v>4.75</v>
      </c>
      <c r="D242" s="172">
        <f>IF('Peak Revenue'!$A$1="BL","-",IF(Peak!J243&gt;Peak!$G243,D$8*$X242,0))</f>
        <v>9.5</v>
      </c>
      <c r="E242" s="172">
        <f>IF('Peak Revenue'!$A$1="BL","-",IF(Peak!K243&gt;Peak!$G243,E$8*$X242,0))</f>
        <v>19</v>
      </c>
      <c r="F242" s="172">
        <f>IF('Peak Revenue'!$A$1="BL","-",IF(Peak!L243&gt;Peak!$G243,F$8*$X242,0))</f>
        <v>19</v>
      </c>
      <c r="G242" s="172">
        <f>IF('Peak Revenue'!$A$1="BL","-",IF(Peak!M243&gt;Peak!$G243,G$8*$X242,0))</f>
        <v>38</v>
      </c>
      <c r="H242" s="172">
        <f>IF('Peak Revenue'!$A$1="BL","-",IF(Peak!N243&gt;Peak!$G243,H$8*$X242,0))</f>
        <v>38</v>
      </c>
      <c r="I242" s="172">
        <f>IF('Peak Revenue'!$A$1="BL","-",IF(Peak!O243&gt;Peak!$G243,I$8*$X242,0))</f>
        <v>0</v>
      </c>
      <c r="J242" s="172">
        <f>IF('Peak Revenue'!$A$1="BL","-",IF(Peak!P243&gt;Peak!$G243,J$8*$X242,0))</f>
        <v>0</v>
      </c>
      <c r="K242" s="172">
        <f>IF('Peak Revenue'!$A$1="BL","-",IF(Peak!Q243&gt;Peak!$G243,K$8*$X242,0))</f>
        <v>0</v>
      </c>
      <c r="L242" s="172">
        <f>IF('Peak Revenue'!$A$1="BL","-",IF(Peak!R243&gt;Peak!$G243,L$8*$X242,0))</f>
        <v>0</v>
      </c>
      <c r="M242" s="172">
        <f>IF('Peak Revenue'!$A$1="BL","-",IF(Peak!S243&gt;Peak!$G243,M$8*$X242,0))</f>
        <v>0</v>
      </c>
      <c r="N242" s="172">
        <f>IF('Peak Revenue'!$A$1="BL","-",IF(Peak!T243&gt;Peak!$G243,N$8*$X242,0))</f>
        <v>0</v>
      </c>
      <c r="O242" s="172">
        <f>IF('Peak Revenue'!$A$1="BL","-",IF(Peak!U243&gt;Peak!$G243,O$8*$X242,0))</f>
        <v>0</v>
      </c>
      <c r="P242" s="172">
        <f>IF('Peak Revenue'!$A$1="BL","-",IF(Peak!V243&gt;Peak!$G243,P$8*$X242,0))</f>
        <v>0</v>
      </c>
      <c r="Q242" s="172">
        <f>IF('Peak Revenue'!$A$1="BL","-",IF(Peak!W243&gt;Peak!$G243,Q$8*$X242,0))</f>
        <v>0</v>
      </c>
      <c r="R242" s="172">
        <f>IF('Peak Revenue'!$A$1="BL","-",IF(Peak!X243&gt;Peak!$G243,R$8*$X242,0))</f>
        <v>0</v>
      </c>
      <c r="S242" s="172">
        <f>IF('Peak Revenue'!$A$1="BL","-",IF(Peak!Y243&gt;Peak!$G243,S$8*$X242,0))</f>
        <v>0</v>
      </c>
      <c r="T242" s="172">
        <f>IF('Peak Revenue'!$A$1="BL","-",IF(Peak!Z243&gt;Peak!$G243,T$8*$X242,0))</f>
        <v>0</v>
      </c>
      <c r="U242" s="172">
        <f>IF('Peak Revenue'!$A$1="BL","-",IF(Peak!AA243&gt;Peak!$G243,U$8*$X242,0))</f>
        <v>0</v>
      </c>
      <c r="V242" s="175">
        <f t="shared" si="6"/>
        <v>133</v>
      </c>
      <c r="W242" s="164"/>
      <c r="X242" s="473">
        <f>CHOOSE(QUOTIENT(MONTH($A242),3)+1,Peak!$AM$11,Peak!$AN$11,Peak!$AL$11,Peak!$AO$11,Peak!$AM$11)</f>
        <v>0.95</v>
      </c>
      <c r="Y242" s="474">
        <f>CHOOSE(QUOTIENT(MONTH($A242),3)+1,Peak!$AM$17,Peak!$AN$17,Peak!$AL$17,Peak!$AO$17,Peak!$AM$17)</f>
        <v>705</v>
      </c>
    </row>
    <row r="243" spans="1:25" x14ac:dyDescent="0.2">
      <c r="A243" s="1">
        <f t="shared" si="7"/>
        <v>43627.161000000298</v>
      </c>
      <c r="B243" s="172">
        <f>IF('Peak Revenue'!$A$1="BL","-",IF(Peak!H244&gt;Peak!$G244,B$8*$X243,0))</f>
        <v>4.8306067954779284</v>
      </c>
      <c r="C243" s="172">
        <f>IF('Peak Revenue'!$A$1="BL","-",IF(Peak!I244&gt;Peak!$G244,C$8*$X243,0))</f>
        <v>4.8306067954779284</v>
      </c>
      <c r="D243" s="172">
        <f>IF('Peak Revenue'!$A$1="BL","-",IF(Peak!J244&gt;Peak!$G244,D$8*$X243,0))</f>
        <v>9.6612135909558567</v>
      </c>
      <c r="E243" s="172">
        <f>IF('Peak Revenue'!$A$1="BL","-",IF(Peak!K244&gt;Peak!$G244,E$8*$X243,0))</f>
        <v>19.322427181911713</v>
      </c>
      <c r="F243" s="172">
        <f>IF('Peak Revenue'!$A$1="BL","-",IF(Peak!L244&gt;Peak!$G244,F$8*$X243,0))</f>
        <v>19.322427181911713</v>
      </c>
      <c r="G243" s="172">
        <f>IF('Peak Revenue'!$A$1="BL","-",IF(Peak!M244&gt;Peak!$G244,G$8*$X243,0))</f>
        <v>38.644854363823427</v>
      </c>
      <c r="H243" s="172">
        <f>IF('Peak Revenue'!$A$1="BL","-",IF(Peak!N244&gt;Peak!$G244,H$8*$X243,0))</f>
        <v>38.644854363823427</v>
      </c>
      <c r="I243" s="172">
        <f>IF('Peak Revenue'!$A$1="BL","-",IF(Peak!O244&gt;Peak!$G244,I$8*$X243,0))</f>
        <v>38.644854363823427</v>
      </c>
      <c r="J243" s="172">
        <f>IF('Peak Revenue'!$A$1="BL","-",IF(Peak!P244&gt;Peak!$G244,J$8*$X243,0))</f>
        <v>38.644854363823427</v>
      </c>
      <c r="K243" s="172">
        <f>IF('Peak Revenue'!$A$1="BL","-",IF(Peak!Q244&gt;Peak!$G244,K$8*$X243,0))</f>
        <v>38.644854363823427</v>
      </c>
      <c r="L243" s="172">
        <f>IF('Peak Revenue'!$A$1="BL","-",IF(Peak!R244&gt;Peak!$G244,L$8*$X243,0))</f>
        <v>0</v>
      </c>
      <c r="M243" s="172">
        <f>IF('Peak Revenue'!$A$1="BL","-",IF(Peak!S244&gt;Peak!$G244,M$8*$X243,0))</f>
        <v>0</v>
      </c>
      <c r="N243" s="172">
        <f>IF('Peak Revenue'!$A$1="BL","-",IF(Peak!T244&gt;Peak!$G244,N$8*$X243,0))</f>
        <v>0</v>
      </c>
      <c r="O243" s="172">
        <f>IF('Peak Revenue'!$A$1="BL","-",IF(Peak!U244&gt;Peak!$G244,O$8*$X243,0))</f>
        <v>0</v>
      </c>
      <c r="P243" s="172">
        <f>IF('Peak Revenue'!$A$1="BL","-",IF(Peak!V244&gt;Peak!$G244,P$8*$X243,0))</f>
        <v>0</v>
      </c>
      <c r="Q243" s="172">
        <f>IF('Peak Revenue'!$A$1="BL","-",IF(Peak!W244&gt;Peak!$G244,Q$8*$X243,0))</f>
        <v>0</v>
      </c>
      <c r="R243" s="172">
        <f>IF('Peak Revenue'!$A$1="BL","-",IF(Peak!X244&gt;Peak!$G244,R$8*$X243,0))</f>
        <v>0</v>
      </c>
      <c r="S243" s="172">
        <f>IF('Peak Revenue'!$A$1="BL","-",IF(Peak!Y244&gt;Peak!$G244,S$8*$X243,0))</f>
        <v>0</v>
      </c>
      <c r="T243" s="172">
        <f>IF('Peak Revenue'!$A$1="BL","-",IF(Peak!Z244&gt;Peak!$G244,T$8*$X243,0))</f>
        <v>0</v>
      </c>
      <c r="U243" s="172">
        <f>IF('Peak Revenue'!$A$1="BL","-",IF(Peak!AA244&gt;Peak!$G244,U$8*$X243,0))</f>
        <v>0</v>
      </c>
      <c r="V243" s="175">
        <f t="shared" si="6"/>
        <v>251.19155336485221</v>
      </c>
      <c r="W243" s="164"/>
      <c r="X243" s="473">
        <f>CHOOSE(QUOTIENT(MONTH($A243),3)+1,Peak!$AM$11,Peak!$AN$11,Peak!$AL$11,Peak!$AO$11,Peak!$AM$11)</f>
        <v>0.96612135909558572</v>
      </c>
      <c r="Y243" s="474">
        <f>CHOOSE(QUOTIENT(MONTH($A243),3)+1,Peak!$AM$17,Peak!$AN$17,Peak!$AL$17,Peak!$AO$17,Peak!$AM$17)</f>
        <v>705</v>
      </c>
    </row>
    <row r="244" spans="1:25" x14ac:dyDescent="0.2">
      <c r="A244" s="1">
        <f t="shared" si="7"/>
        <v>43657.5780000003</v>
      </c>
      <c r="B244" s="172">
        <f>IF('Peak Revenue'!$A$1="BL","-",IF(Peak!H245&gt;Peak!$G245,B$8*$X244,0))</f>
        <v>4.8306067954779284</v>
      </c>
      <c r="C244" s="172">
        <f>IF('Peak Revenue'!$A$1="BL","-",IF(Peak!I245&gt;Peak!$G245,C$8*$X244,0))</f>
        <v>4.8306067954779284</v>
      </c>
      <c r="D244" s="172">
        <f>IF('Peak Revenue'!$A$1="BL","-",IF(Peak!J245&gt;Peak!$G245,D$8*$X244,0))</f>
        <v>9.6612135909558567</v>
      </c>
      <c r="E244" s="172">
        <f>IF('Peak Revenue'!$A$1="BL","-",IF(Peak!K245&gt;Peak!$G245,E$8*$X244,0))</f>
        <v>19.322427181911713</v>
      </c>
      <c r="F244" s="172">
        <f>IF('Peak Revenue'!$A$1="BL","-",IF(Peak!L245&gt;Peak!$G245,F$8*$X244,0))</f>
        <v>19.322427181911713</v>
      </c>
      <c r="G244" s="172">
        <f>IF('Peak Revenue'!$A$1="BL","-",IF(Peak!M245&gt;Peak!$G245,G$8*$X244,0))</f>
        <v>38.644854363823427</v>
      </c>
      <c r="H244" s="172">
        <f>IF('Peak Revenue'!$A$1="BL","-",IF(Peak!N245&gt;Peak!$G245,H$8*$X244,0))</f>
        <v>38.644854363823427</v>
      </c>
      <c r="I244" s="172">
        <f>IF('Peak Revenue'!$A$1="BL","-",IF(Peak!O245&gt;Peak!$G245,I$8*$X244,0))</f>
        <v>38.644854363823427</v>
      </c>
      <c r="J244" s="172">
        <f>IF('Peak Revenue'!$A$1="BL","-",IF(Peak!P245&gt;Peak!$G245,J$8*$X244,0))</f>
        <v>38.644854363823427</v>
      </c>
      <c r="K244" s="172">
        <f>IF('Peak Revenue'!$A$1="BL","-",IF(Peak!Q245&gt;Peak!$G245,K$8*$X244,0))</f>
        <v>38.644854363823427</v>
      </c>
      <c r="L244" s="172">
        <f>IF('Peak Revenue'!$A$1="BL","-",IF(Peak!R245&gt;Peak!$G245,L$8*$X244,0))</f>
        <v>38.644854363823427</v>
      </c>
      <c r="M244" s="172">
        <f>IF('Peak Revenue'!$A$1="BL","-",IF(Peak!S245&gt;Peak!$G245,M$8*$X244,0))</f>
        <v>0</v>
      </c>
      <c r="N244" s="172">
        <f>IF('Peak Revenue'!$A$1="BL","-",IF(Peak!T245&gt;Peak!$G245,N$8*$X244,0))</f>
        <v>0</v>
      </c>
      <c r="O244" s="172">
        <f>IF('Peak Revenue'!$A$1="BL","-",IF(Peak!U245&gt;Peak!$G245,O$8*$X244,0))</f>
        <v>0</v>
      </c>
      <c r="P244" s="172">
        <f>IF('Peak Revenue'!$A$1="BL","-",IF(Peak!V245&gt;Peak!$G245,P$8*$X244,0))</f>
        <v>0</v>
      </c>
      <c r="Q244" s="172">
        <f>IF('Peak Revenue'!$A$1="BL","-",IF(Peak!W245&gt;Peak!$G245,Q$8*$X244,0))</f>
        <v>0</v>
      </c>
      <c r="R244" s="172">
        <f>IF('Peak Revenue'!$A$1="BL","-",IF(Peak!X245&gt;Peak!$G245,R$8*$X244,0))</f>
        <v>0</v>
      </c>
      <c r="S244" s="172">
        <f>IF('Peak Revenue'!$A$1="BL","-",IF(Peak!Y245&gt;Peak!$G245,S$8*$X244,0))</f>
        <v>0</v>
      </c>
      <c r="T244" s="172">
        <f>IF('Peak Revenue'!$A$1="BL","-",IF(Peak!Z245&gt;Peak!$G245,T$8*$X244,0))</f>
        <v>0</v>
      </c>
      <c r="U244" s="172">
        <f>IF('Peak Revenue'!$A$1="BL","-",IF(Peak!AA245&gt;Peak!$G245,U$8*$X244,0))</f>
        <v>0</v>
      </c>
      <c r="V244" s="175">
        <f t="shared" si="6"/>
        <v>289.83640772867562</v>
      </c>
      <c r="W244" s="164"/>
      <c r="X244" s="473">
        <f>CHOOSE(QUOTIENT(MONTH($A244),3)+1,Peak!$AM$11,Peak!$AN$11,Peak!$AL$11,Peak!$AO$11,Peak!$AM$11)</f>
        <v>0.96612135909558572</v>
      </c>
      <c r="Y244" s="474">
        <f>CHOOSE(QUOTIENT(MONTH($A244),3)+1,Peak!$AM$17,Peak!$AN$17,Peak!$AL$17,Peak!$AO$17,Peak!$AM$17)</f>
        <v>705</v>
      </c>
    </row>
    <row r="245" spans="1:25" x14ac:dyDescent="0.2">
      <c r="A245" s="1">
        <f t="shared" si="7"/>
        <v>43687.995000000301</v>
      </c>
      <c r="B245" s="172">
        <f>IF('Peak Revenue'!$A$1="BL","-",IF(Peak!H246&gt;Peak!$G246,B$8*$X245,0))</f>
        <v>4.8306067954779284</v>
      </c>
      <c r="C245" s="172">
        <f>IF('Peak Revenue'!$A$1="BL","-",IF(Peak!I246&gt;Peak!$G246,C$8*$X245,0))</f>
        <v>4.8306067954779284</v>
      </c>
      <c r="D245" s="172">
        <f>IF('Peak Revenue'!$A$1="BL","-",IF(Peak!J246&gt;Peak!$G246,D$8*$X245,0))</f>
        <v>9.6612135909558567</v>
      </c>
      <c r="E245" s="172">
        <f>IF('Peak Revenue'!$A$1="BL","-",IF(Peak!K246&gt;Peak!$G246,E$8*$X245,0))</f>
        <v>19.322427181911713</v>
      </c>
      <c r="F245" s="172">
        <f>IF('Peak Revenue'!$A$1="BL","-",IF(Peak!L246&gt;Peak!$G246,F$8*$X245,0))</f>
        <v>19.322427181911713</v>
      </c>
      <c r="G245" s="172">
        <f>IF('Peak Revenue'!$A$1="BL","-",IF(Peak!M246&gt;Peak!$G246,G$8*$X245,0))</f>
        <v>38.644854363823427</v>
      </c>
      <c r="H245" s="172">
        <f>IF('Peak Revenue'!$A$1="BL","-",IF(Peak!N246&gt;Peak!$G246,H$8*$X245,0))</f>
        <v>38.644854363823427</v>
      </c>
      <c r="I245" s="172">
        <f>IF('Peak Revenue'!$A$1="BL","-",IF(Peak!O246&gt;Peak!$G246,I$8*$X245,0))</f>
        <v>38.644854363823427</v>
      </c>
      <c r="J245" s="172">
        <f>IF('Peak Revenue'!$A$1="BL","-",IF(Peak!P246&gt;Peak!$G246,J$8*$X245,0))</f>
        <v>38.644854363823427</v>
      </c>
      <c r="K245" s="172">
        <f>IF('Peak Revenue'!$A$1="BL","-",IF(Peak!Q246&gt;Peak!$G246,K$8*$X245,0))</f>
        <v>38.644854363823427</v>
      </c>
      <c r="L245" s="172">
        <f>IF('Peak Revenue'!$A$1="BL","-",IF(Peak!R246&gt;Peak!$G246,L$8*$X245,0))</f>
        <v>38.644854363823427</v>
      </c>
      <c r="M245" s="172">
        <f>IF('Peak Revenue'!$A$1="BL","-",IF(Peak!S246&gt;Peak!$G246,M$8*$X245,0))</f>
        <v>38.644854363823427</v>
      </c>
      <c r="N245" s="172">
        <f>IF('Peak Revenue'!$A$1="BL","-",IF(Peak!T246&gt;Peak!$G246,N$8*$X245,0))</f>
        <v>0</v>
      </c>
      <c r="O245" s="172">
        <f>IF('Peak Revenue'!$A$1="BL","-",IF(Peak!U246&gt;Peak!$G246,O$8*$X245,0))</f>
        <v>0</v>
      </c>
      <c r="P245" s="172">
        <f>IF('Peak Revenue'!$A$1="BL","-",IF(Peak!V246&gt;Peak!$G246,P$8*$X245,0))</f>
        <v>0</v>
      </c>
      <c r="Q245" s="172">
        <f>IF('Peak Revenue'!$A$1="BL","-",IF(Peak!W246&gt;Peak!$G246,Q$8*$X245,0))</f>
        <v>0</v>
      </c>
      <c r="R245" s="172">
        <f>IF('Peak Revenue'!$A$1="BL","-",IF(Peak!X246&gt;Peak!$G246,R$8*$X245,0))</f>
        <v>0</v>
      </c>
      <c r="S245" s="172">
        <f>IF('Peak Revenue'!$A$1="BL","-",IF(Peak!Y246&gt;Peak!$G246,S$8*$X245,0))</f>
        <v>0</v>
      </c>
      <c r="T245" s="172">
        <f>IF('Peak Revenue'!$A$1="BL","-",IF(Peak!Z246&gt;Peak!$G246,T$8*$X245,0))</f>
        <v>0</v>
      </c>
      <c r="U245" s="172">
        <f>IF('Peak Revenue'!$A$1="BL","-",IF(Peak!AA246&gt;Peak!$G246,U$8*$X245,0))</f>
        <v>0</v>
      </c>
      <c r="V245" s="175">
        <f t="shared" si="6"/>
        <v>328.48126209249904</v>
      </c>
      <c r="W245" s="164"/>
      <c r="X245" s="473">
        <f>CHOOSE(QUOTIENT(MONTH($A245),3)+1,Peak!$AM$11,Peak!$AN$11,Peak!$AL$11,Peak!$AO$11,Peak!$AM$11)</f>
        <v>0.96612135909558572</v>
      </c>
      <c r="Y245" s="474">
        <f>CHOOSE(QUOTIENT(MONTH($A245),3)+1,Peak!$AM$17,Peak!$AN$17,Peak!$AL$17,Peak!$AO$17,Peak!$AM$17)</f>
        <v>705</v>
      </c>
    </row>
    <row r="246" spans="1:25" x14ac:dyDescent="0.2">
      <c r="A246" s="1">
        <f t="shared" si="7"/>
        <v>43718.412000000302</v>
      </c>
      <c r="B246" s="172">
        <f>IF('Peak Revenue'!$A$1="BL","-",IF(Peak!H247&gt;Peak!$G247,B$8*$X246,0))</f>
        <v>4.75</v>
      </c>
      <c r="C246" s="172">
        <f>IF('Peak Revenue'!$A$1="BL","-",IF(Peak!I247&gt;Peak!$G247,C$8*$X246,0))</f>
        <v>4.75</v>
      </c>
      <c r="D246" s="172">
        <f>IF('Peak Revenue'!$A$1="BL","-",IF(Peak!J247&gt;Peak!$G247,D$8*$X246,0))</f>
        <v>9.5</v>
      </c>
      <c r="E246" s="172">
        <f>IF('Peak Revenue'!$A$1="BL","-",IF(Peak!K247&gt;Peak!$G247,E$8*$X246,0))</f>
        <v>19</v>
      </c>
      <c r="F246" s="172">
        <f>IF('Peak Revenue'!$A$1="BL","-",IF(Peak!L247&gt;Peak!$G247,F$8*$X246,0))</f>
        <v>19</v>
      </c>
      <c r="G246" s="172">
        <f>IF('Peak Revenue'!$A$1="BL","-",IF(Peak!M247&gt;Peak!$G247,G$8*$X246,0))</f>
        <v>38</v>
      </c>
      <c r="H246" s="172">
        <f>IF('Peak Revenue'!$A$1="BL","-",IF(Peak!N247&gt;Peak!$G247,H$8*$X246,0))</f>
        <v>38</v>
      </c>
      <c r="I246" s="172">
        <f>IF('Peak Revenue'!$A$1="BL","-",IF(Peak!O247&gt;Peak!$G247,I$8*$X246,0))</f>
        <v>38</v>
      </c>
      <c r="J246" s="172">
        <f>IF('Peak Revenue'!$A$1="BL","-",IF(Peak!P247&gt;Peak!$G247,J$8*$X246,0))</f>
        <v>38</v>
      </c>
      <c r="K246" s="172">
        <f>IF('Peak Revenue'!$A$1="BL","-",IF(Peak!Q247&gt;Peak!$G247,K$8*$X246,0))</f>
        <v>0</v>
      </c>
      <c r="L246" s="172">
        <f>IF('Peak Revenue'!$A$1="BL","-",IF(Peak!R247&gt;Peak!$G247,L$8*$X246,0))</f>
        <v>0</v>
      </c>
      <c r="M246" s="172">
        <f>IF('Peak Revenue'!$A$1="BL","-",IF(Peak!S247&gt;Peak!$G247,M$8*$X246,0))</f>
        <v>0</v>
      </c>
      <c r="N246" s="172">
        <f>IF('Peak Revenue'!$A$1="BL","-",IF(Peak!T247&gt;Peak!$G247,N$8*$X246,0))</f>
        <v>0</v>
      </c>
      <c r="O246" s="172">
        <f>IF('Peak Revenue'!$A$1="BL","-",IF(Peak!U247&gt;Peak!$G247,O$8*$X246,0))</f>
        <v>0</v>
      </c>
      <c r="P246" s="172">
        <f>IF('Peak Revenue'!$A$1="BL","-",IF(Peak!V247&gt;Peak!$G247,P$8*$X246,0))</f>
        <v>0</v>
      </c>
      <c r="Q246" s="172">
        <f>IF('Peak Revenue'!$A$1="BL","-",IF(Peak!W247&gt;Peak!$G247,Q$8*$X246,0))</f>
        <v>0</v>
      </c>
      <c r="R246" s="172">
        <f>IF('Peak Revenue'!$A$1="BL","-",IF(Peak!X247&gt;Peak!$G247,R$8*$X246,0))</f>
        <v>0</v>
      </c>
      <c r="S246" s="172">
        <f>IF('Peak Revenue'!$A$1="BL","-",IF(Peak!Y247&gt;Peak!$G247,S$8*$X246,0))</f>
        <v>0</v>
      </c>
      <c r="T246" s="172">
        <f>IF('Peak Revenue'!$A$1="BL","-",IF(Peak!Z247&gt;Peak!$G247,T$8*$X246,0))</f>
        <v>0</v>
      </c>
      <c r="U246" s="172">
        <f>IF('Peak Revenue'!$A$1="BL","-",IF(Peak!AA247&gt;Peak!$G247,U$8*$X246,0))</f>
        <v>0</v>
      </c>
      <c r="V246" s="175">
        <f t="shared" si="6"/>
        <v>209</v>
      </c>
      <c r="W246" s="164"/>
      <c r="X246" s="473">
        <f>CHOOSE(QUOTIENT(MONTH($A246),3)+1,Peak!$AM$11,Peak!$AN$11,Peak!$AL$11,Peak!$AO$11,Peak!$AM$11)</f>
        <v>0.95</v>
      </c>
      <c r="Y246" s="474">
        <f>CHOOSE(QUOTIENT(MONTH($A246),3)+1,Peak!$AM$17,Peak!$AN$17,Peak!$AL$17,Peak!$AO$17,Peak!$AM$17)</f>
        <v>705</v>
      </c>
    </row>
    <row r="247" spans="1:25" x14ac:dyDescent="0.2">
      <c r="A247" s="1">
        <f t="shared" si="7"/>
        <v>43748.829000000303</v>
      </c>
      <c r="B247" s="172">
        <f>IF('Peak Revenue'!$A$1="BL","-",IF(Peak!H248&gt;Peak!$G248,B$8*$X247,0))</f>
        <v>4.75</v>
      </c>
      <c r="C247" s="172">
        <f>IF('Peak Revenue'!$A$1="BL","-",IF(Peak!I248&gt;Peak!$G248,C$8*$X247,0))</f>
        <v>4.75</v>
      </c>
      <c r="D247" s="172">
        <f>IF('Peak Revenue'!$A$1="BL","-",IF(Peak!J248&gt;Peak!$G248,D$8*$X247,0))</f>
        <v>9.5</v>
      </c>
      <c r="E247" s="172">
        <f>IF('Peak Revenue'!$A$1="BL","-",IF(Peak!K248&gt;Peak!$G248,E$8*$X247,0))</f>
        <v>19</v>
      </c>
      <c r="F247" s="172">
        <f>IF('Peak Revenue'!$A$1="BL","-",IF(Peak!L248&gt;Peak!$G248,F$8*$X247,0))</f>
        <v>19</v>
      </c>
      <c r="G247" s="172">
        <f>IF('Peak Revenue'!$A$1="BL","-",IF(Peak!M248&gt;Peak!$G248,G$8*$X247,0))</f>
        <v>38</v>
      </c>
      <c r="H247" s="172">
        <f>IF('Peak Revenue'!$A$1="BL","-",IF(Peak!N248&gt;Peak!$G248,H$8*$X247,0))</f>
        <v>38</v>
      </c>
      <c r="I247" s="172">
        <f>IF('Peak Revenue'!$A$1="BL","-",IF(Peak!O248&gt;Peak!$G248,I$8*$X247,0))</f>
        <v>38</v>
      </c>
      <c r="J247" s="172">
        <f>IF('Peak Revenue'!$A$1="BL","-",IF(Peak!P248&gt;Peak!$G248,J$8*$X247,0))</f>
        <v>0</v>
      </c>
      <c r="K247" s="172">
        <f>IF('Peak Revenue'!$A$1="BL","-",IF(Peak!Q248&gt;Peak!$G248,K$8*$X247,0))</f>
        <v>0</v>
      </c>
      <c r="L247" s="172">
        <f>IF('Peak Revenue'!$A$1="BL","-",IF(Peak!R248&gt;Peak!$G248,L$8*$X247,0))</f>
        <v>0</v>
      </c>
      <c r="M247" s="172">
        <f>IF('Peak Revenue'!$A$1="BL","-",IF(Peak!S248&gt;Peak!$G248,M$8*$X247,0))</f>
        <v>0</v>
      </c>
      <c r="N247" s="172">
        <f>IF('Peak Revenue'!$A$1="BL","-",IF(Peak!T248&gt;Peak!$G248,N$8*$X247,0))</f>
        <v>0</v>
      </c>
      <c r="O247" s="172">
        <f>IF('Peak Revenue'!$A$1="BL","-",IF(Peak!U248&gt;Peak!$G248,O$8*$X247,0))</f>
        <v>0</v>
      </c>
      <c r="P247" s="172">
        <f>IF('Peak Revenue'!$A$1="BL","-",IF(Peak!V248&gt;Peak!$G248,P$8*$X247,0))</f>
        <v>0</v>
      </c>
      <c r="Q247" s="172">
        <f>IF('Peak Revenue'!$A$1="BL","-",IF(Peak!W248&gt;Peak!$G248,Q$8*$X247,0))</f>
        <v>0</v>
      </c>
      <c r="R247" s="172">
        <f>IF('Peak Revenue'!$A$1="BL","-",IF(Peak!X248&gt;Peak!$G248,R$8*$X247,0))</f>
        <v>0</v>
      </c>
      <c r="S247" s="172">
        <f>IF('Peak Revenue'!$A$1="BL","-",IF(Peak!Y248&gt;Peak!$G248,S$8*$X247,0))</f>
        <v>0</v>
      </c>
      <c r="T247" s="172">
        <f>IF('Peak Revenue'!$A$1="BL","-",IF(Peak!Z248&gt;Peak!$G248,T$8*$X247,0))</f>
        <v>0</v>
      </c>
      <c r="U247" s="172">
        <f>IF('Peak Revenue'!$A$1="BL","-",IF(Peak!AA248&gt;Peak!$G248,U$8*$X247,0))</f>
        <v>0</v>
      </c>
      <c r="V247" s="175">
        <f t="shared" si="6"/>
        <v>171</v>
      </c>
      <c r="W247" s="164"/>
      <c r="X247" s="473">
        <f>CHOOSE(QUOTIENT(MONTH($A247),3)+1,Peak!$AM$11,Peak!$AN$11,Peak!$AL$11,Peak!$AO$11,Peak!$AM$11)</f>
        <v>0.95</v>
      </c>
      <c r="Y247" s="474">
        <f>CHOOSE(QUOTIENT(MONTH($A247),3)+1,Peak!$AM$17,Peak!$AN$17,Peak!$AL$17,Peak!$AO$17,Peak!$AM$17)</f>
        <v>705</v>
      </c>
    </row>
    <row r="248" spans="1:25" x14ac:dyDescent="0.2">
      <c r="A248" s="1">
        <f t="shared" si="7"/>
        <v>43779.246000000305</v>
      </c>
      <c r="B248" s="172">
        <f>IF('Peak Revenue'!$A$1="BL","-",IF(Peak!H249&gt;Peak!$G249,B$8*$X248,0))</f>
        <v>4.75</v>
      </c>
      <c r="C248" s="172">
        <f>IF('Peak Revenue'!$A$1="BL","-",IF(Peak!I249&gt;Peak!$G249,C$8*$X248,0))</f>
        <v>4.75</v>
      </c>
      <c r="D248" s="172">
        <f>IF('Peak Revenue'!$A$1="BL","-",IF(Peak!J249&gt;Peak!$G249,D$8*$X248,0))</f>
        <v>9.5</v>
      </c>
      <c r="E248" s="172">
        <f>IF('Peak Revenue'!$A$1="BL","-",IF(Peak!K249&gt;Peak!$G249,E$8*$X248,0))</f>
        <v>19</v>
      </c>
      <c r="F248" s="172">
        <f>IF('Peak Revenue'!$A$1="BL","-",IF(Peak!L249&gt;Peak!$G249,F$8*$X248,0))</f>
        <v>19</v>
      </c>
      <c r="G248" s="172">
        <f>IF('Peak Revenue'!$A$1="BL","-",IF(Peak!M249&gt;Peak!$G249,G$8*$X248,0))</f>
        <v>38</v>
      </c>
      <c r="H248" s="172">
        <f>IF('Peak Revenue'!$A$1="BL","-",IF(Peak!N249&gt;Peak!$G249,H$8*$X248,0))</f>
        <v>38</v>
      </c>
      <c r="I248" s="172">
        <f>IF('Peak Revenue'!$A$1="BL","-",IF(Peak!O249&gt;Peak!$G249,I$8*$X248,0))</f>
        <v>38</v>
      </c>
      <c r="J248" s="172">
        <f>IF('Peak Revenue'!$A$1="BL","-",IF(Peak!P249&gt;Peak!$G249,J$8*$X248,0))</f>
        <v>0</v>
      </c>
      <c r="K248" s="172">
        <f>IF('Peak Revenue'!$A$1="BL","-",IF(Peak!Q249&gt;Peak!$G249,K$8*$X248,0))</f>
        <v>0</v>
      </c>
      <c r="L248" s="172">
        <f>IF('Peak Revenue'!$A$1="BL","-",IF(Peak!R249&gt;Peak!$G249,L$8*$X248,0))</f>
        <v>0</v>
      </c>
      <c r="M248" s="172">
        <f>IF('Peak Revenue'!$A$1="BL","-",IF(Peak!S249&gt;Peak!$G249,M$8*$X248,0))</f>
        <v>0</v>
      </c>
      <c r="N248" s="172">
        <f>IF('Peak Revenue'!$A$1="BL","-",IF(Peak!T249&gt;Peak!$G249,N$8*$X248,0))</f>
        <v>0</v>
      </c>
      <c r="O248" s="172">
        <f>IF('Peak Revenue'!$A$1="BL","-",IF(Peak!U249&gt;Peak!$G249,O$8*$X248,0))</f>
        <v>0</v>
      </c>
      <c r="P248" s="172">
        <f>IF('Peak Revenue'!$A$1="BL","-",IF(Peak!V249&gt;Peak!$G249,P$8*$X248,0))</f>
        <v>0</v>
      </c>
      <c r="Q248" s="172">
        <f>IF('Peak Revenue'!$A$1="BL","-",IF(Peak!W249&gt;Peak!$G249,Q$8*$X248,0))</f>
        <v>0</v>
      </c>
      <c r="R248" s="172">
        <f>IF('Peak Revenue'!$A$1="BL","-",IF(Peak!X249&gt;Peak!$G249,R$8*$X248,0))</f>
        <v>0</v>
      </c>
      <c r="S248" s="172">
        <f>IF('Peak Revenue'!$A$1="BL","-",IF(Peak!Y249&gt;Peak!$G249,S$8*$X248,0))</f>
        <v>0</v>
      </c>
      <c r="T248" s="172">
        <f>IF('Peak Revenue'!$A$1="BL","-",IF(Peak!Z249&gt;Peak!$G249,T$8*$X248,0))</f>
        <v>0</v>
      </c>
      <c r="U248" s="172">
        <f>IF('Peak Revenue'!$A$1="BL","-",IF(Peak!AA249&gt;Peak!$G249,U$8*$X248,0))</f>
        <v>0</v>
      </c>
      <c r="V248" s="175">
        <f t="shared" si="6"/>
        <v>171</v>
      </c>
      <c r="W248" s="164"/>
      <c r="X248" s="473">
        <f>CHOOSE(QUOTIENT(MONTH($A248),3)+1,Peak!$AM$11,Peak!$AN$11,Peak!$AL$11,Peak!$AO$11,Peak!$AM$11)</f>
        <v>0.95</v>
      </c>
      <c r="Y248" s="474">
        <f>CHOOSE(QUOTIENT(MONTH($A248),3)+1,Peak!$AM$17,Peak!$AN$17,Peak!$AL$17,Peak!$AO$17,Peak!$AM$17)</f>
        <v>705</v>
      </c>
    </row>
    <row r="249" spans="1:25" x14ac:dyDescent="0.2">
      <c r="A249" s="1">
        <f t="shared" si="7"/>
        <v>43809.663000000306</v>
      </c>
      <c r="B249" s="172">
        <f>IF('Peak Revenue'!$A$1="BL","-",IF(Peak!H250&gt;Peak!$G250,B$8*$X249,0))</f>
        <v>4.6213830939305875</v>
      </c>
      <c r="C249" s="172">
        <f>IF('Peak Revenue'!$A$1="BL","-",IF(Peak!I250&gt;Peak!$G250,C$8*$X249,0))</f>
        <v>4.6213830939305875</v>
      </c>
      <c r="D249" s="172">
        <f>IF('Peak Revenue'!$A$1="BL","-",IF(Peak!J250&gt;Peak!$G250,D$8*$X249,0))</f>
        <v>9.2427661878611751</v>
      </c>
      <c r="E249" s="172">
        <f>IF('Peak Revenue'!$A$1="BL","-",IF(Peak!K250&gt;Peak!$G250,E$8*$X249,0))</f>
        <v>18.48553237572235</v>
      </c>
      <c r="F249" s="172">
        <f>IF('Peak Revenue'!$A$1="BL","-",IF(Peak!L250&gt;Peak!$G250,F$8*$X249,0))</f>
        <v>18.48553237572235</v>
      </c>
      <c r="G249" s="172">
        <f>IF('Peak Revenue'!$A$1="BL","-",IF(Peak!M250&gt;Peak!$G250,G$8*$X249,0))</f>
        <v>36.9710647514447</v>
      </c>
      <c r="H249" s="172">
        <f>IF('Peak Revenue'!$A$1="BL","-",IF(Peak!N250&gt;Peak!$G250,H$8*$X249,0))</f>
        <v>36.9710647514447</v>
      </c>
      <c r="I249" s="172">
        <f>IF('Peak Revenue'!$A$1="BL","-",IF(Peak!O250&gt;Peak!$G250,I$8*$X249,0))</f>
        <v>36.9710647514447</v>
      </c>
      <c r="J249" s="172">
        <f>IF('Peak Revenue'!$A$1="BL","-",IF(Peak!P250&gt;Peak!$G250,J$8*$X249,0))</f>
        <v>36.9710647514447</v>
      </c>
      <c r="K249" s="172">
        <f>IF('Peak Revenue'!$A$1="BL","-",IF(Peak!Q250&gt;Peak!$G250,K$8*$X249,0))</f>
        <v>0</v>
      </c>
      <c r="L249" s="172">
        <f>IF('Peak Revenue'!$A$1="BL","-",IF(Peak!R250&gt;Peak!$G250,L$8*$X249,0))</f>
        <v>0</v>
      </c>
      <c r="M249" s="172">
        <f>IF('Peak Revenue'!$A$1="BL","-",IF(Peak!S250&gt;Peak!$G250,M$8*$X249,0))</f>
        <v>0</v>
      </c>
      <c r="N249" s="172">
        <f>IF('Peak Revenue'!$A$1="BL","-",IF(Peak!T250&gt;Peak!$G250,N$8*$X249,0))</f>
        <v>0</v>
      </c>
      <c r="O249" s="172">
        <f>IF('Peak Revenue'!$A$1="BL","-",IF(Peak!U250&gt;Peak!$G250,O$8*$X249,0))</f>
        <v>0</v>
      </c>
      <c r="P249" s="172">
        <f>IF('Peak Revenue'!$A$1="BL","-",IF(Peak!V250&gt;Peak!$G250,P$8*$X249,0))</f>
        <v>0</v>
      </c>
      <c r="Q249" s="172">
        <f>IF('Peak Revenue'!$A$1="BL","-",IF(Peak!W250&gt;Peak!$G250,Q$8*$X249,0))</f>
        <v>0</v>
      </c>
      <c r="R249" s="172">
        <f>IF('Peak Revenue'!$A$1="BL","-",IF(Peak!X250&gt;Peak!$G250,R$8*$X249,0))</f>
        <v>0</v>
      </c>
      <c r="S249" s="172">
        <f>IF('Peak Revenue'!$A$1="BL","-",IF(Peak!Y250&gt;Peak!$G250,S$8*$X249,0))</f>
        <v>0</v>
      </c>
      <c r="T249" s="172">
        <f>IF('Peak Revenue'!$A$1="BL","-",IF(Peak!Z250&gt;Peak!$G250,T$8*$X249,0))</f>
        <v>0</v>
      </c>
      <c r="U249" s="172">
        <f>IF('Peak Revenue'!$A$1="BL","-",IF(Peak!AA250&gt;Peak!$G250,U$8*$X249,0))</f>
        <v>0</v>
      </c>
      <c r="V249" s="175">
        <f t="shared" si="6"/>
        <v>203.34085613294587</v>
      </c>
      <c r="W249" s="163">
        <f>SUM(V238:V249)</f>
        <v>2658.5607268334197</v>
      </c>
      <c r="X249" s="473">
        <f>CHOOSE(QUOTIENT(MONTH($A249),3)+1,Peak!$AM$11,Peak!$AN$11,Peak!$AL$11,Peak!$AO$11,Peak!$AM$11)</f>
        <v>0.92427661878611755</v>
      </c>
      <c r="Y249" s="474">
        <f>CHOOSE(QUOTIENT(MONTH($A249),3)+1,Peak!$AM$17,Peak!$AN$17,Peak!$AL$17,Peak!$AO$17,Peak!$AM$17)</f>
        <v>705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7"/>
  <sheetViews>
    <sheetView zoomScaleNormal="75" workbookViewId="0">
      <selection activeCell="A6" sqref="A6:W64"/>
    </sheetView>
  </sheetViews>
  <sheetFormatPr defaultRowHeight="12.75" x14ac:dyDescent="0.2"/>
  <cols>
    <col min="1" max="1" width="12.140625" customWidth="1"/>
    <col min="2" max="2" width="25.42578125" style="4" bestFit="1" customWidth="1"/>
    <col min="3" max="3" width="17.85546875" bestFit="1" customWidth="1"/>
    <col min="4" max="4" width="16.85546875" bestFit="1" customWidth="1"/>
    <col min="5" max="6" width="16.5703125" bestFit="1" customWidth="1"/>
    <col min="7" max="7" width="18" bestFit="1" customWidth="1"/>
    <col min="8" max="8" width="16" bestFit="1" customWidth="1"/>
    <col min="9" max="9" width="16.7109375" bestFit="1" customWidth="1"/>
    <col min="10" max="10" width="16.28515625" bestFit="1" customWidth="1"/>
    <col min="11" max="11" width="16.7109375" bestFit="1" customWidth="1"/>
    <col min="12" max="12" width="16.28515625" bestFit="1" customWidth="1"/>
    <col min="13" max="14" width="16.140625" bestFit="1" customWidth="1"/>
    <col min="15" max="15" width="16.7109375" bestFit="1" customWidth="1"/>
    <col min="16" max="16" width="16.140625" bestFit="1" customWidth="1"/>
    <col min="17" max="17" width="17.140625" bestFit="1" customWidth="1"/>
    <col min="18" max="18" width="16.7109375" bestFit="1" customWidth="1"/>
    <col min="19" max="19" width="16.5703125" bestFit="1" customWidth="1"/>
    <col min="20" max="20" width="16" bestFit="1" customWidth="1"/>
    <col min="21" max="21" width="16.28515625" bestFit="1" customWidth="1"/>
    <col min="22" max="22" width="11.28515625" bestFit="1" customWidth="1"/>
    <col min="23" max="23" width="11.5703125" bestFit="1" customWidth="1"/>
  </cols>
  <sheetData>
    <row r="1" spans="1:23" s="9" customFormat="1" x14ac:dyDescent="0.2">
      <c r="A1" s="259" t="s">
        <v>30</v>
      </c>
      <c r="B1" s="355">
        <v>33</v>
      </c>
      <c r="C1" s="356" t="s">
        <v>164</v>
      </c>
      <c r="F1" s="475" t="s">
        <v>138</v>
      </c>
      <c r="G1" s="475"/>
      <c r="H1" s="475"/>
      <c r="I1" s="475"/>
    </row>
    <row r="2" spans="1:23" s="9" customFormat="1" x14ac:dyDescent="0.2">
      <c r="A2" s="259" t="s">
        <v>26</v>
      </c>
      <c r="B2" s="355">
        <f>VLOOKUP($B$1,UnitData,3)</f>
        <v>705</v>
      </c>
      <c r="C2" s="357" t="str">
        <f>VLOOKUP($B$1,UnitData,15)</f>
        <v>Peak</v>
      </c>
    </row>
    <row r="3" spans="1:23" s="9" customFormat="1" x14ac:dyDescent="0.2">
      <c r="A3" s="259" t="s">
        <v>99</v>
      </c>
      <c r="B3" s="358">
        <f>Assumptions!L16</f>
        <v>0.1</v>
      </c>
      <c r="C3" s="359"/>
    </row>
    <row r="4" spans="1:23" s="9" customFormat="1" x14ac:dyDescent="0.2">
      <c r="A4" s="259" t="s">
        <v>100</v>
      </c>
      <c r="B4" s="355">
        <f>VLOOKUP($B$1,UnitData,14)</f>
        <v>30</v>
      </c>
      <c r="C4" s="359"/>
    </row>
    <row r="5" spans="1:23" s="9" customFormat="1" x14ac:dyDescent="0.2">
      <c r="B5" s="69"/>
      <c r="C5" s="470"/>
      <c r="D5" s="470"/>
    </row>
    <row r="6" spans="1:23" s="9" customFormat="1" ht="15.75" x14ac:dyDescent="0.25">
      <c r="A6" s="302" t="s">
        <v>29</v>
      </c>
      <c r="B6" s="305" t="str">
        <f>VLOOKUP($B$1,UnitData,2)</f>
        <v>VMC</v>
      </c>
      <c r="C6" s="306">
        <v>2000</v>
      </c>
      <c r="D6" s="306">
        <v>2001</v>
      </c>
      <c r="E6" s="306">
        <v>2002</v>
      </c>
      <c r="F6" s="306">
        <v>2003</v>
      </c>
      <c r="G6" s="306">
        <v>2004</v>
      </c>
      <c r="H6" s="306">
        <v>2005</v>
      </c>
      <c r="I6" s="306">
        <v>2006</v>
      </c>
      <c r="J6" s="306">
        <v>2007</v>
      </c>
      <c r="K6" s="306">
        <v>2008</v>
      </c>
      <c r="L6" s="306">
        <v>2009</v>
      </c>
      <c r="M6" s="306">
        <v>2010</v>
      </c>
      <c r="N6" s="306">
        <v>2011</v>
      </c>
      <c r="O6" s="306">
        <v>2012</v>
      </c>
      <c r="P6" s="306">
        <v>2013</v>
      </c>
      <c r="Q6" s="306">
        <v>2014</v>
      </c>
      <c r="R6" s="306">
        <v>2015</v>
      </c>
      <c r="S6" s="306">
        <v>2016</v>
      </c>
      <c r="T6" s="306">
        <v>2017</v>
      </c>
      <c r="U6" s="306">
        <v>2018</v>
      </c>
      <c r="V6" s="306">
        <v>2019</v>
      </c>
      <c r="W6" s="306" t="s">
        <v>154</v>
      </c>
    </row>
    <row r="7" spans="1:23" s="9" customFormat="1" x14ac:dyDescent="0.2">
      <c r="A7" s="302" t="s">
        <v>26</v>
      </c>
      <c r="B7" s="303">
        <f>VLOOKUP($B$1,UnitData,3)</f>
        <v>705</v>
      </c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</row>
    <row r="8" spans="1:23" s="327" customFormat="1" x14ac:dyDescent="0.2">
      <c r="A8" s="9"/>
      <c r="B8" s="309" t="s">
        <v>27</v>
      </c>
      <c r="C8" s="443">
        <v>0</v>
      </c>
      <c r="D8" s="404">
        <f>IF($C$2="BL",'Base Revenue'!$Y$33,'Peak Revenue'!$V$33)</f>
        <v>120377710.54242951</v>
      </c>
      <c r="E8" s="404">
        <f>IF($C$2="BL",'Base Revenue'!$Y$45,'Peak Revenue'!$V$45)</f>
        <v>117550058.87955378</v>
      </c>
      <c r="F8" s="404">
        <f>IF($C$2="BL",'Base Revenue'!$Y$57,'Peak Revenue'!$V$57)</f>
        <v>128518742.12984456</v>
      </c>
      <c r="G8" s="404">
        <f>IF($C$2="BL",'Base Revenue'!$Y$69,'Peak Revenue'!$V$69)</f>
        <v>104186860.25534205</v>
      </c>
      <c r="H8" s="404">
        <f>IF($C$2="BL",'Base Revenue'!$Y$81,'Peak Revenue'!$V$81)</f>
        <v>109276259.30194648</v>
      </c>
      <c r="I8" s="404">
        <f>IF($C$2="BL",'Base Revenue'!$Y$93,'Peak Revenue'!$V$93)</f>
        <v>126403348.78019422</v>
      </c>
      <c r="J8" s="404">
        <f>IF($C$2="BL",'Base Revenue'!$Y$105,'Peak Revenue'!$V$105)</f>
        <v>138612873.42785889</v>
      </c>
      <c r="K8" s="404">
        <f>IF($C$2="BL",'Base Revenue'!$Y$117,'Peak Revenue'!$V$117)</f>
        <v>160241383.93459985</v>
      </c>
      <c r="L8" s="404">
        <f>IF($C$2="BL",'Base Revenue'!$Y$129,'Peak Revenue'!$V$129)</f>
        <v>158167046.64463222</v>
      </c>
      <c r="M8" s="404">
        <f>IF($C$2="BL",'Base Revenue'!$Y$141,'Peak Revenue'!$V$141)</f>
        <v>145972996.68676126</v>
      </c>
      <c r="N8" s="404">
        <f>IF($C$2="BL",'Base Revenue'!$Y$153,'Peak Revenue'!$V$153)</f>
        <v>157796271.57159024</v>
      </c>
      <c r="O8" s="404">
        <f>IF($C$2="BL",'Base Revenue'!$Y$165,'Peak Revenue'!$V$165)</f>
        <v>149704969.23776889</v>
      </c>
      <c r="P8" s="404">
        <f>IF($C$2="BL",'Base Revenue'!$Y$177,'Peak Revenue'!$V$177)</f>
        <v>151331084.27878508</v>
      </c>
      <c r="Q8" s="404">
        <f>IF($C$2="BL",'Base Revenue'!$Y$189,'Peak Revenue'!$V$189)</f>
        <v>165717611.82775313</v>
      </c>
      <c r="R8" s="404">
        <f>IF($C$2="BL",'Base Revenue'!$Y$201,'Peak Revenue'!$V$201)</f>
        <v>176489496.35491177</v>
      </c>
      <c r="S8" s="404">
        <f>IF($C$2="BL",'Base Revenue'!$Y$213,'Peak Revenue'!$V$213)</f>
        <v>154172018.60518801</v>
      </c>
      <c r="T8" s="404">
        <f>IF($C$2="BL",'Base Revenue'!$Y$225,'Peak Revenue'!$V$225)</f>
        <v>150840898.81053019</v>
      </c>
      <c r="U8" s="404">
        <f>IF($C$2="BL",'Base Revenue'!$Y$237,'Peak Revenue'!$V$237)</f>
        <v>151684851.30113536</v>
      </c>
      <c r="V8" s="404">
        <f>IF($C$2="BL",'Base Revenue'!$Y$249,'Peak Revenue'!$V$249)</f>
        <v>168908307.03313816</v>
      </c>
    </row>
    <row r="9" spans="1:23" s="327" customFormat="1" x14ac:dyDescent="0.2">
      <c r="A9" s="9"/>
      <c r="B9" s="309" t="s">
        <v>20</v>
      </c>
      <c r="C9" s="443">
        <v>0</v>
      </c>
      <c r="D9" s="404">
        <f>IF($C$2="BL",'Base Revenue'!$AA$33,'Peak Revenue'!$X$33)</f>
        <v>-58074337.235708684</v>
      </c>
      <c r="E9" s="404">
        <f>IF($C$2="BL",'Base Revenue'!$AA$45,'Peak Revenue'!$X$45)</f>
        <v>-63426607.742694505</v>
      </c>
      <c r="F9" s="404">
        <f>IF($C$2="BL",'Base Revenue'!$AA$57,'Peak Revenue'!$X$57)</f>
        <v>-73979802.786386475</v>
      </c>
      <c r="G9" s="404">
        <f>IF($C$2="BL",'Base Revenue'!$AA$69,'Peak Revenue'!$X$69)</f>
        <v>-58708561.382497877</v>
      </c>
      <c r="H9" s="404">
        <f>IF($C$2="BL",'Base Revenue'!$AA$81,'Peak Revenue'!$X$81)</f>
        <v>-62532308.354626089</v>
      </c>
      <c r="I9" s="404">
        <f>IF($C$2="BL",'Base Revenue'!$AA$93,'Peak Revenue'!$X$93)</f>
        <v>-77290926.620368525</v>
      </c>
      <c r="J9" s="404">
        <f>IF($C$2="BL",'Base Revenue'!$AA$105,'Peak Revenue'!$X$105)</f>
        <v>-83281850.042701006</v>
      </c>
      <c r="K9" s="404">
        <f>IF($C$2="BL",'Base Revenue'!$AA$117,'Peak Revenue'!$X$117)</f>
        <v>-92558008.952629387</v>
      </c>
      <c r="L9" s="404">
        <f>IF($C$2="BL",'Base Revenue'!$AA$129,'Peak Revenue'!$X$129)</f>
        <v>-92194228.261153236</v>
      </c>
      <c r="M9" s="404">
        <f>IF($C$2="BL",'Base Revenue'!$AA$141,'Peak Revenue'!$X$141)</f>
        <v>-82359172.709541544</v>
      </c>
      <c r="N9" s="404">
        <f>IF($C$2="BL",'Base Revenue'!$AA$153,'Peak Revenue'!$X$153)</f>
        <v>-96395067.724466786</v>
      </c>
      <c r="O9" s="404">
        <f>IF($C$2="BL",'Base Revenue'!$AA$165,'Peak Revenue'!$X$165)</f>
        <v>-87589725.466332853</v>
      </c>
      <c r="P9" s="404">
        <f>IF($C$2="BL",'Base Revenue'!$AA$177,'Peak Revenue'!$X$177)</f>
        <v>-89899624.548630148</v>
      </c>
      <c r="Q9" s="404">
        <f>IF($C$2="BL",'Base Revenue'!$AA$189,'Peak Revenue'!$X$189)</f>
        <v>-96769735.451788872</v>
      </c>
      <c r="R9" s="404">
        <f>IF($C$2="BL",'Base Revenue'!$AA$201,'Peak Revenue'!$X$201)</f>
        <v>-111731236.85413741</v>
      </c>
      <c r="S9" s="404">
        <f>IF($C$2="BL",'Base Revenue'!$AA$213,'Peak Revenue'!$X$213)</f>
        <v>-95866462.7815741</v>
      </c>
      <c r="T9" s="404">
        <f>IF($C$2="BL",'Base Revenue'!$AA$225,'Peak Revenue'!$X$225)</f>
        <v>-90504686.160081089</v>
      </c>
      <c r="U9" s="404">
        <f>IF($C$2="BL",'Base Revenue'!$AA$237,'Peak Revenue'!$X$237)</f>
        <v>-86418779.359448731</v>
      </c>
      <c r="V9" s="404">
        <f>IF($C$2="BL",'Base Revenue'!$AA$249,'Peak Revenue'!$X$249)</f>
        <v>-103582712.87832922</v>
      </c>
    </row>
    <row r="10" spans="1:23" s="327" customFormat="1" x14ac:dyDescent="0.2">
      <c r="A10" s="9"/>
      <c r="B10" s="309" t="s">
        <v>31</v>
      </c>
      <c r="C10" s="443">
        <v>0</v>
      </c>
      <c r="D10" s="404">
        <f>IF($C$2="BL",'Base Revenue'!$AC$33,'Peak Revenue'!$Z$33)</f>
        <v>-779656.83445161069</v>
      </c>
      <c r="E10" s="404">
        <f>IF($C$2="BL",'Base Revenue'!$AC$45,'Peak Revenue'!$Z$45)</f>
        <v>-964911.02386395028</v>
      </c>
      <c r="F10" s="404">
        <f>IF($C$2="BL",'Base Revenue'!$AC$57,'Peak Revenue'!$Z$57)</f>
        <v>-1211779.4455034002</v>
      </c>
      <c r="G10" s="404">
        <f>IF($C$2="BL",'Base Revenue'!$AC$69,'Peak Revenue'!$Z$69)</f>
        <v>-970917.97355928621</v>
      </c>
      <c r="H10" s="404">
        <f>IF($C$2="BL",'Base Revenue'!$AC$81,'Peak Revenue'!$Z$81)</f>
        <v>-1044934.5559591956</v>
      </c>
      <c r="I10" s="404">
        <f>IF($C$2="BL",'Base Revenue'!$AC$93,'Peak Revenue'!$Z$93)</f>
        <v>-1304686.0175381764</v>
      </c>
      <c r="J10" s="404">
        <f>IF($C$2="BL",'Base Revenue'!$AC$105,'Peak Revenue'!$Z$105)</f>
        <v>-1424641.4638617863</v>
      </c>
      <c r="K10" s="404">
        <f>IF($C$2="BL",'Base Revenue'!$AC$117,'Peak Revenue'!$Z$117)</f>
        <v>-1717117.8617693339</v>
      </c>
      <c r="L10" s="404">
        <f>IF($C$2="BL",'Base Revenue'!$AC$129,'Peak Revenue'!$Z$129)</f>
        <v>-1695930.8709132685</v>
      </c>
      <c r="M10" s="404">
        <f>IF($C$2="BL",'Base Revenue'!$AC$141,'Peak Revenue'!$Z$141)</f>
        <v>-1472182.3608345997</v>
      </c>
      <c r="N10" s="404">
        <f>IF($C$2="BL",'Base Revenue'!$AC$153,'Peak Revenue'!$Z$153)</f>
        <v>-1746246.2878038441</v>
      </c>
      <c r="O10" s="404">
        <f>IF($C$2="BL",'Base Revenue'!$AC$165,'Peak Revenue'!$Z$165)</f>
        <v>-1616025.996518855</v>
      </c>
      <c r="P10" s="404">
        <f>IF($C$2="BL",'Base Revenue'!$AC$177,'Peak Revenue'!$Z$177)</f>
        <v>-1603321.9018275992</v>
      </c>
      <c r="Q10" s="404">
        <f>IF($C$2="BL",'Base Revenue'!$AC$189,'Peak Revenue'!$Z$189)</f>
        <v>-1766521.7890154566</v>
      </c>
      <c r="R10" s="404">
        <f>IF($C$2="BL",'Base Revenue'!$AC$201,'Peak Revenue'!$Z$201)</f>
        <v>-1911564.6102993614</v>
      </c>
      <c r="S10" s="404">
        <f>IF($C$2="BL",'Base Revenue'!$AC$213,'Peak Revenue'!$Z$213)</f>
        <v>-1592542.2069708239</v>
      </c>
      <c r="T10" s="404">
        <f>IF($C$2="BL",'Base Revenue'!$AC$225,'Peak Revenue'!$Z$225)</f>
        <v>-1462251.8216732061</v>
      </c>
      <c r="U10" s="404">
        <f>IF($C$2="BL",'Base Revenue'!$AC$237,'Peak Revenue'!$Z$237)</f>
        <v>-1352164.3578234185</v>
      </c>
      <c r="V10" s="404">
        <f>IF($C$2="BL",'Base Revenue'!$AC$249,'Peak Revenue'!$Z$249)</f>
        <v>-1667278.0233568859</v>
      </c>
    </row>
    <row r="11" spans="1:23" s="327" customFormat="1" x14ac:dyDescent="0.2">
      <c r="A11" s="9"/>
      <c r="B11" s="309" t="s">
        <v>32</v>
      </c>
      <c r="C11" s="443">
        <v>0</v>
      </c>
      <c r="D11" s="404">
        <f>IF($C$2="BL",'Base Revenue'!$AE$33,'Peak Revenue'!$AB$33)</f>
        <v>0</v>
      </c>
      <c r="E11" s="404">
        <f>IF($C$2="BL",'Base Revenue'!$AE$45,'Peak Revenue'!$AB$45)</f>
        <v>0</v>
      </c>
      <c r="F11" s="404">
        <f>IF($C$2="BL",'Base Revenue'!$AE$57,'Peak Revenue'!$AB$57)</f>
        <v>0</v>
      </c>
      <c r="G11" s="404">
        <f>IF($C$2="BL",'Base Revenue'!$AE$69,'Peak Revenue'!$AB$69)</f>
        <v>0</v>
      </c>
      <c r="H11" s="404">
        <f>IF($C$2="BL",'Base Revenue'!$AE$81,'Peak Revenue'!$AB$81)</f>
        <v>0</v>
      </c>
      <c r="I11" s="404">
        <f>IF($C$2="BL",'Base Revenue'!$AE$93,'Peak Revenue'!$AB$93)+VLOOKUP(IS!$B$1,allotval,I6-1997)</f>
        <v>0</v>
      </c>
      <c r="J11" s="404">
        <f>IF($C$2="BL",'Base Revenue'!$AE$105,'Peak Revenue'!$AB$105)+VLOOKUP(IS!$B$1,allotval,J6-1997)</f>
        <v>0</v>
      </c>
      <c r="K11" s="404">
        <f>IF($C$2="BL",'Base Revenue'!$AE$117,'Peak Revenue'!$AB$117)+VLOOKUP(IS!$B$1,allotval,K6-1997)</f>
        <v>0</v>
      </c>
      <c r="L11" s="404">
        <f>IF($C$2="BL",'Base Revenue'!$AE$129,'Peak Revenue'!$AB$129)+VLOOKUP(IS!$B$1,allotval,L6-1997)</f>
        <v>0</v>
      </c>
      <c r="M11" s="404">
        <f>IF($C$2="BL",'Base Revenue'!$AE$141,'Peak Revenue'!$AB$141)+VLOOKUP(IS!$B$1,allotval,M6-1997)</f>
        <v>0</v>
      </c>
      <c r="N11" s="404">
        <f>IF($C$2="BL",'Base Revenue'!$AE$153,'Peak Revenue'!$AB$153)+VLOOKUP(IS!$B$1,allotval,N6-1997)</f>
        <v>0</v>
      </c>
      <c r="O11" s="404">
        <f>IF($C$2="BL",'Base Revenue'!$AE$165,'Peak Revenue'!$AB$165)+VLOOKUP(IS!$B$1,allotval,O6-1997)</f>
        <v>0</v>
      </c>
      <c r="P11" s="404">
        <f>IF($C$2="BL",'Base Revenue'!$AE$177,'Peak Revenue'!$AB$177)+VLOOKUP(IS!$B$1,allotval,P6-1997)</f>
        <v>0</v>
      </c>
      <c r="Q11" s="404">
        <f>IF($C$2="BL",'Base Revenue'!$AE$189,'Peak Revenue'!$AB$189)+VLOOKUP(IS!$B$1,allotval,Q6-1997)</f>
        <v>0</v>
      </c>
      <c r="R11" s="404">
        <f>IF($C$2="BL",'Base Revenue'!$AE$201,'Peak Revenue'!$AB$201)+VLOOKUP(IS!$B$1,allotval,R6-1997)</f>
        <v>0</v>
      </c>
      <c r="S11" s="404">
        <f>IF($C$2="BL",'Base Revenue'!$AE$213,'Peak Revenue'!$AB$213)+VLOOKUP(IS!$B$1,allotval,S6-1997)</f>
        <v>0</v>
      </c>
      <c r="T11" s="404">
        <f>IF($C$2="BL",'Base Revenue'!$AE$225,'Peak Revenue'!$AB$225)+VLOOKUP(IS!$B$1,allotval,T6-1997)</f>
        <v>0</v>
      </c>
      <c r="U11" s="404">
        <f>IF($C$2="BL",'Base Revenue'!$AE$237,'Peak Revenue'!$AB$237)+VLOOKUP(IS!$B$1,allotval,U6-1997)</f>
        <v>0</v>
      </c>
      <c r="V11" s="404">
        <f>IF($C$2="BL",'Base Revenue'!$AE$249,'Peak Revenue'!$AB$249)+VLOOKUP(IS!$B$1,allotval,V6-1997)</f>
        <v>0</v>
      </c>
    </row>
    <row r="12" spans="1:23" s="327" customFormat="1" ht="13.5" thickBot="1" x14ac:dyDescent="0.25">
      <c r="A12" s="9"/>
      <c r="B12" s="310" t="s">
        <v>33</v>
      </c>
      <c r="C12" s="444">
        <v>0</v>
      </c>
      <c r="D12" s="406">
        <f>IF($C$2="BL",'Base Revenue'!$AG$33,'Peak Revenue'!$AB$33)</f>
        <v>0</v>
      </c>
      <c r="E12" s="406">
        <f>IF($C$2="BL",'Base Revenue'!$AG$45,'Peak Revenue'!$AB$45)</f>
        <v>0</v>
      </c>
      <c r="F12" s="406">
        <f>IF($C$2="BL",'Base Revenue'!$AG$57,'Peak Revenue'!$AB$57)</f>
        <v>0</v>
      </c>
      <c r="G12" s="406">
        <f>IF($C$2="BL",'Base Revenue'!$AG$69,'Peak Revenue'!$AB$69)</f>
        <v>0</v>
      </c>
      <c r="H12" s="406">
        <f>IF($C$2="BL",'Base Revenue'!$AG$81,'Peak Revenue'!$AB$81)</f>
        <v>0</v>
      </c>
      <c r="I12" s="406">
        <f>IF($C$2="BL",'Base Revenue'!$AG$93,'Peak Revenue'!$AB$93)</f>
        <v>0</v>
      </c>
      <c r="J12" s="406">
        <f>IF($C$2="BL",'Base Revenue'!$AG$105,'Peak Revenue'!$AB$105)</f>
        <v>0</v>
      </c>
      <c r="K12" s="406">
        <f>IF($C$2="BL",'Base Revenue'!$AG$117,'Peak Revenue'!$AB$117)</f>
        <v>0</v>
      </c>
      <c r="L12" s="406">
        <f>IF($C$2="BL",'Base Revenue'!$AG$129,'Peak Revenue'!$AB$129)</f>
        <v>0</v>
      </c>
      <c r="M12" s="406">
        <f>IF($C$2="BL",'Base Revenue'!$AG$141,'Peak Revenue'!$AB$141)</f>
        <v>0</v>
      </c>
      <c r="N12" s="406">
        <f>IF($C$2="BL",'Base Revenue'!$AG$153,'Peak Revenue'!$AB$153)</f>
        <v>0</v>
      </c>
      <c r="O12" s="406">
        <f>IF($C$2="BL",'Base Revenue'!$AG$165,'Peak Revenue'!$AB$165)</f>
        <v>0</v>
      </c>
      <c r="P12" s="406">
        <f>IF($C$2="BL",'Base Revenue'!$AG$177,'Peak Revenue'!$AB$177)</f>
        <v>0</v>
      </c>
      <c r="Q12" s="406">
        <f>IF($C$2="BL",'Base Revenue'!$AG$189,'Peak Revenue'!$AB$189)</f>
        <v>0</v>
      </c>
      <c r="R12" s="406">
        <f>IF($C$2="BL",'Base Revenue'!$AG$201,'Peak Revenue'!$AB$201)</f>
        <v>0</v>
      </c>
      <c r="S12" s="406">
        <f>IF($C$2="BL",'Base Revenue'!$AG$213,'Peak Revenue'!$AB$213)</f>
        <v>0</v>
      </c>
      <c r="T12" s="406">
        <f>IF($C$2="BL",'Base Revenue'!$AG$225,'Peak Revenue'!$AB$225)</f>
        <v>0</v>
      </c>
      <c r="U12" s="406">
        <f>IF($C$2="BL",'Base Revenue'!$AG$237,'Peak Revenue'!$AB$237)</f>
        <v>0</v>
      </c>
      <c r="V12" s="406">
        <f>IF($C$2="BL",'Base Revenue'!$AG$249,'Peak Revenue'!$AB$249)</f>
        <v>0</v>
      </c>
    </row>
    <row r="13" spans="1:23" s="327" customFormat="1" ht="13.5" thickTop="1" x14ac:dyDescent="0.2">
      <c r="A13" s="9"/>
      <c r="B13" s="311" t="s">
        <v>38</v>
      </c>
      <c r="C13" s="445">
        <v>0</v>
      </c>
      <c r="D13" s="408">
        <f t="shared" ref="D13:V13" si="0">SUM(D8:D12)</f>
        <v>61523716.472269215</v>
      </c>
      <c r="E13" s="408">
        <f t="shared" si="0"/>
        <v>53158540.112995327</v>
      </c>
      <c r="F13" s="408">
        <f t="shared" si="0"/>
        <v>53327159.897954687</v>
      </c>
      <c r="G13" s="408">
        <f t="shared" si="0"/>
        <v>44507380.899284892</v>
      </c>
      <c r="H13" s="408">
        <f t="shared" si="0"/>
        <v>45699016.391361192</v>
      </c>
      <c r="I13" s="408">
        <f t="shared" si="0"/>
        <v>47807736.142287523</v>
      </c>
      <c r="J13" s="408">
        <f t="shared" si="0"/>
        <v>53906381.921296097</v>
      </c>
      <c r="K13" s="408">
        <f t="shared" si="0"/>
        <v>65966257.120201126</v>
      </c>
      <c r="L13" s="408">
        <f t="shared" si="0"/>
        <v>64276887.512565717</v>
      </c>
      <c r="M13" s="408">
        <f t="shared" si="0"/>
        <v>62141641.616385117</v>
      </c>
      <c r="N13" s="408">
        <f t="shared" si="0"/>
        <v>59654957.559319615</v>
      </c>
      <c r="O13" s="408">
        <f t="shared" si="0"/>
        <v>60499217.774917178</v>
      </c>
      <c r="P13" s="408">
        <f t="shared" si="0"/>
        <v>59828137.828327335</v>
      </c>
      <c r="Q13" s="408">
        <f t="shared" si="0"/>
        <v>67181354.586948797</v>
      </c>
      <c r="R13" s="408">
        <f t="shared" si="0"/>
        <v>62846694.890475005</v>
      </c>
      <c r="S13" s="408">
        <f t="shared" si="0"/>
        <v>56713013.616643086</v>
      </c>
      <c r="T13" s="408">
        <f t="shared" si="0"/>
        <v>58873960.82877589</v>
      </c>
      <c r="U13" s="408">
        <f t="shared" si="0"/>
        <v>63913907.583863214</v>
      </c>
      <c r="V13" s="408">
        <f t="shared" si="0"/>
        <v>63658316.131452054</v>
      </c>
    </row>
    <row r="14" spans="1:23" s="327" customFormat="1" x14ac:dyDescent="0.2">
      <c r="A14" s="9"/>
      <c r="B14" s="309" t="s">
        <v>34</v>
      </c>
      <c r="C14" s="443">
        <v>0</v>
      </c>
      <c r="D14" s="404">
        <f t="shared" ref="D14:V14" si="1">-VLOOKUP($B$1,Costs,D6-1997)-VLOOKUP($B$1,EnvFOM,D6-1997)</f>
        <v>-3235950</v>
      </c>
      <c r="E14" s="404">
        <f t="shared" si="1"/>
        <v>-3300669</v>
      </c>
      <c r="F14" s="404">
        <f t="shared" si="1"/>
        <v>-3366682.38</v>
      </c>
      <c r="G14" s="404">
        <f t="shared" si="1"/>
        <v>-3434016.0276000001</v>
      </c>
      <c r="H14" s="404">
        <f t="shared" si="1"/>
        <v>-3502696.348152</v>
      </c>
      <c r="I14" s="404">
        <f t="shared" si="1"/>
        <v>-3572750.2751150401</v>
      </c>
      <c r="J14" s="404">
        <f t="shared" si="1"/>
        <v>-3644205.2806173409</v>
      </c>
      <c r="K14" s="404">
        <f t="shared" si="1"/>
        <v>-3717089.3862296878</v>
      </c>
      <c r="L14" s="404">
        <f t="shared" si="1"/>
        <v>-3791431.1739542815</v>
      </c>
      <c r="M14" s="404">
        <f t="shared" si="1"/>
        <v>-3867259.797433367</v>
      </c>
      <c r="N14" s="404">
        <f t="shared" si="1"/>
        <v>-3944604.9933820344</v>
      </c>
      <c r="O14" s="404">
        <f t="shared" si="1"/>
        <v>-4023497.0932496749</v>
      </c>
      <c r="P14" s="404">
        <f t="shared" si="1"/>
        <v>-4103967.0351146683</v>
      </c>
      <c r="Q14" s="404">
        <f t="shared" si="1"/>
        <v>-4186046.3758169618</v>
      </c>
      <c r="R14" s="404">
        <f t="shared" si="1"/>
        <v>-4269767.3033333011</v>
      </c>
      <c r="S14" s="404">
        <f t="shared" si="1"/>
        <v>-4355162.6493999669</v>
      </c>
      <c r="T14" s="404">
        <f t="shared" si="1"/>
        <v>-4442265.9023879664</v>
      </c>
      <c r="U14" s="404">
        <f t="shared" si="1"/>
        <v>-4531111.2204357255</v>
      </c>
      <c r="V14" s="404">
        <f t="shared" si="1"/>
        <v>-4621733.4448444406</v>
      </c>
    </row>
    <row r="15" spans="1:23" s="327" customFormat="1" x14ac:dyDescent="0.2">
      <c r="A15" s="9"/>
      <c r="B15" s="309" t="s">
        <v>35</v>
      </c>
      <c r="C15" s="443">
        <v>0</v>
      </c>
      <c r="D15" s="404">
        <f t="shared" ref="D15:V15" si="2">-VLOOKUP($B$1,PTax,D6-1997)</f>
        <v>-171612.57929687499</v>
      </c>
      <c r="E15" s="404">
        <f t="shared" si="2"/>
        <v>-171612.57929687499</v>
      </c>
      <c r="F15" s="404">
        <f t="shared" si="2"/>
        <v>-171612.57929687499</v>
      </c>
      <c r="G15" s="404">
        <f t="shared" si="2"/>
        <v>-171612.57929687499</v>
      </c>
      <c r="H15" s="404">
        <f t="shared" si="2"/>
        <v>-171612.57929687499</v>
      </c>
      <c r="I15" s="404">
        <f t="shared" si="2"/>
        <v>-171612.57929687499</v>
      </c>
      <c r="J15" s="404">
        <f t="shared" si="2"/>
        <v>-171612.57929687499</v>
      </c>
      <c r="K15" s="404">
        <f t="shared" si="2"/>
        <v>-171612.57929687499</v>
      </c>
      <c r="L15" s="404">
        <f t="shared" si="2"/>
        <v>-171612.57929687499</v>
      </c>
      <c r="M15" s="404">
        <f t="shared" si="2"/>
        <v>-171612.57929687499</v>
      </c>
      <c r="N15" s="404">
        <f t="shared" si="2"/>
        <v>-171612.57929687499</v>
      </c>
      <c r="O15" s="404">
        <f t="shared" si="2"/>
        <v>-171612.57929687499</v>
      </c>
      <c r="P15" s="404">
        <f t="shared" si="2"/>
        <v>-171612.57929687499</v>
      </c>
      <c r="Q15" s="404">
        <f t="shared" si="2"/>
        <v>-171612.57929687499</v>
      </c>
      <c r="R15" s="404">
        <f t="shared" si="2"/>
        <v>-171612.57929687499</v>
      </c>
      <c r="S15" s="404">
        <f t="shared" si="2"/>
        <v>-171612.57929687499</v>
      </c>
      <c r="T15" s="404">
        <f t="shared" si="2"/>
        <v>-171612.57929687499</v>
      </c>
      <c r="U15" s="404">
        <f t="shared" si="2"/>
        <v>-171612.57929687499</v>
      </c>
      <c r="V15" s="404">
        <f t="shared" si="2"/>
        <v>-171612.57929687499</v>
      </c>
    </row>
    <row r="16" spans="1:23" s="327" customFormat="1" ht="13.5" thickBot="1" x14ac:dyDescent="0.25">
      <c r="A16" s="9"/>
      <c r="B16" s="310" t="s">
        <v>36</v>
      </c>
      <c r="C16" s="444">
        <v>0</v>
      </c>
      <c r="D16" s="406">
        <f t="shared" ref="D16:V16" si="3">-VLOOKUP($B$1,AGCost,D6-1997)</f>
        <v>-374900</v>
      </c>
      <c r="E16" s="406">
        <f t="shared" si="3"/>
        <v>-383147.8</v>
      </c>
      <c r="F16" s="406">
        <f t="shared" si="3"/>
        <v>-391577.05160000001</v>
      </c>
      <c r="G16" s="406">
        <f t="shared" si="3"/>
        <v>-400191.74673519999</v>
      </c>
      <c r="H16" s="406">
        <f t="shared" si="3"/>
        <v>-408995.96516337403</v>
      </c>
      <c r="I16" s="406">
        <f t="shared" si="3"/>
        <v>-417993.87639696902</v>
      </c>
      <c r="J16" s="406">
        <f t="shared" si="3"/>
        <v>-427189.741677702</v>
      </c>
      <c r="K16" s="406">
        <f t="shared" si="3"/>
        <v>-436587.91599461099</v>
      </c>
      <c r="L16" s="406">
        <f t="shared" si="3"/>
        <v>-446192.850146493</v>
      </c>
      <c r="M16" s="406">
        <f t="shared" si="3"/>
        <v>-456009.09284971602</v>
      </c>
      <c r="N16" s="406">
        <f t="shared" si="3"/>
        <v>-466041.29289240902</v>
      </c>
      <c r="O16" s="406">
        <f t="shared" si="3"/>
        <v>-476294.20133604301</v>
      </c>
      <c r="P16" s="406">
        <f t="shared" si="3"/>
        <v>-486772.673765435</v>
      </c>
      <c r="Q16" s="406">
        <f t="shared" si="3"/>
        <v>-497481.67258827499</v>
      </c>
      <c r="R16" s="406">
        <f t="shared" si="3"/>
        <v>-508426.26938521699</v>
      </c>
      <c r="S16" s="406">
        <f t="shared" si="3"/>
        <v>-519611.64731169201</v>
      </c>
      <c r="T16" s="406">
        <f t="shared" si="3"/>
        <v>-531043.10355254903</v>
      </c>
      <c r="U16" s="406">
        <f t="shared" si="3"/>
        <v>-542726.05183070502</v>
      </c>
      <c r="V16" s="406">
        <f t="shared" si="3"/>
        <v>-554666.02497098094</v>
      </c>
    </row>
    <row r="17" spans="1:23" s="327" customFormat="1" ht="13.5" thickTop="1" x14ac:dyDescent="0.2">
      <c r="A17" s="9"/>
      <c r="B17" s="311" t="s">
        <v>220</v>
      </c>
      <c r="C17" s="446">
        <v>0</v>
      </c>
      <c r="D17" s="410">
        <f>SUM(D13:D16)</f>
        <v>57741253.892972343</v>
      </c>
      <c r="E17" s="410">
        <f t="shared" ref="E17:V17" si="4">SUM(E13:E16)</f>
        <v>49303110.733698457</v>
      </c>
      <c r="F17" s="410">
        <f t="shared" si="4"/>
        <v>49397287.887057811</v>
      </c>
      <c r="G17" s="410">
        <f t="shared" si="4"/>
        <v>40501560.545652822</v>
      </c>
      <c r="H17" s="410">
        <f t="shared" si="4"/>
        <v>41615711.498748951</v>
      </c>
      <c r="I17" s="410">
        <f t="shared" si="4"/>
        <v>43645379.411478639</v>
      </c>
      <c r="J17" s="410">
        <f t="shared" si="4"/>
        <v>49663374.319704182</v>
      </c>
      <c r="K17" s="410">
        <f t="shared" si="4"/>
        <v>61640967.238679953</v>
      </c>
      <c r="L17" s="410">
        <f t="shared" si="4"/>
        <v>59867650.909168072</v>
      </c>
      <c r="M17" s="410">
        <f t="shared" si="4"/>
        <v>57646760.14680516</v>
      </c>
      <c r="N17" s="410">
        <f t="shared" si="4"/>
        <v>55072698.693748295</v>
      </c>
      <c r="O17" s="410">
        <f t="shared" si="4"/>
        <v>55827813.901034594</v>
      </c>
      <c r="P17" s="410">
        <f t="shared" si="4"/>
        <v>55065785.540150359</v>
      </c>
      <c r="Q17" s="410">
        <f t="shared" si="4"/>
        <v>62326213.959246688</v>
      </c>
      <c r="R17" s="410">
        <f t="shared" si="4"/>
        <v>57896888.738459617</v>
      </c>
      <c r="S17" s="410">
        <f t="shared" si="4"/>
        <v>51666626.740634553</v>
      </c>
      <c r="T17" s="410">
        <f t="shared" si="4"/>
        <v>53729039.243538499</v>
      </c>
      <c r="U17" s="410">
        <f t="shared" si="4"/>
        <v>58668457.732299916</v>
      </c>
      <c r="V17" s="410">
        <f t="shared" si="4"/>
        <v>58310304.082339764</v>
      </c>
    </row>
    <row r="18" spans="1:23" s="327" customFormat="1" x14ac:dyDescent="0.2">
      <c r="A18" s="9"/>
      <c r="B18" s="309" t="s">
        <v>37</v>
      </c>
      <c r="C18" s="443">
        <v>0</v>
      </c>
      <c r="D18" s="404">
        <f>-'Tax Depr'!D$108</f>
        <v>-32528000</v>
      </c>
      <c r="E18" s="404">
        <f>-'Tax Depr'!E$108</f>
        <v>-29275200</v>
      </c>
      <c r="F18" s="404">
        <f>-'Tax Depr'!F$108</f>
        <v>-26364800</v>
      </c>
      <c r="G18" s="404">
        <f>-'Tax Depr'!G$108</f>
        <v>-23728320</v>
      </c>
      <c r="H18" s="404">
        <f>-'Tax Depr'!H$108</f>
        <v>-21331520</v>
      </c>
      <c r="I18" s="404">
        <f>-'Tax Depr'!I$108</f>
        <v>-20201600</v>
      </c>
      <c r="J18" s="404">
        <f>-'Tax Depr'!J$108</f>
        <v>-20201600</v>
      </c>
      <c r="K18" s="404">
        <f>-'Tax Depr'!K$108</f>
        <v>-20235840</v>
      </c>
      <c r="L18" s="404">
        <f>-'Tax Depr'!L$108</f>
        <v>-20201600</v>
      </c>
      <c r="M18" s="404">
        <f>-'Tax Depr'!M$108</f>
        <v>-20235840</v>
      </c>
      <c r="N18" s="404">
        <f>-'Tax Depr'!N$108</f>
        <v>-20201600</v>
      </c>
      <c r="O18" s="404">
        <f>-'Tax Depr'!O$108</f>
        <v>-20235840</v>
      </c>
      <c r="P18" s="404">
        <f>-'Tax Depr'!P$108</f>
        <v>-20235840</v>
      </c>
      <c r="Q18" s="404">
        <f>-'Tax Depr'!Q$108</f>
        <v>-20235840</v>
      </c>
      <c r="R18" s="404">
        <f>-'Tax Depr'!R$108</f>
        <v>-10100800</v>
      </c>
      <c r="S18" s="404">
        <f>-'Tax Depr'!S$108</f>
        <v>-10846000</v>
      </c>
      <c r="T18" s="404">
        <f>-'Tax Depr'!T$108</f>
        <v>-10846000</v>
      </c>
      <c r="U18" s="404">
        <f>-'Tax Depr'!U$108</f>
        <v>-10846000</v>
      </c>
      <c r="V18" s="404">
        <f>-'Tax Depr'!V$108</f>
        <v>-10846000</v>
      </c>
    </row>
    <row r="19" spans="1:23" s="327" customFormat="1" ht="13.5" thickBot="1" x14ac:dyDescent="0.25">
      <c r="A19" s="9"/>
      <c r="B19" s="310" t="s">
        <v>221</v>
      </c>
      <c r="C19" s="444">
        <v>0</v>
      </c>
      <c r="D19" s="406">
        <f>-SUM(D17:D18)*Assumptions!$L$15</f>
        <v>-10085301.557188937</v>
      </c>
      <c r="E19" s="406">
        <f>-SUM(E17:E18)*Assumptions!$L$15</f>
        <v>-8011164.293479383</v>
      </c>
      <c r="F19" s="406">
        <f>-SUM(F17:F18)*Assumptions!$L$15</f>
        <v>-9212995.1548231244</v>
      </c>
      <c r="G19" s="406">
        <f>-SUM(G17:G18)*Assumptions!$L$15</f>
        <v>-6709296.2182611292</v>
      </c>
      <c r="H19" s="406">
        <f>-SUM(H17:H18)*Assumptions!$L$15</f>
        <v>-8113676.5994995805</v>
      </c>
      <c r="I19" s="406">
        <f>-SUM(I17:I18)*Assumptions!$L$15</f>
        <v>-9377511.7645914555</v>
      </c>
      <c r="J19" s="406">
        <f>-SUM(J17:J18)*Assumptions!$L$15</f>
        <v>-11784709.727881674</v>
      </c>
      <c r="K19" s="406">
        <f>-SUM(K17:K18)*Assumptions!$L$15</f>
        <v>-16562050.895471983</v>
      </c>
      <c r="L19" s="406">
        <f>-SUM(L17:L18)*Assumptions!$L$15</f>
        <v>-15866420.363667229</v>
      </c>
      <c r="M19" s="406">
        <f>-SUM(M17:M18)*Assumptions!$L$15</f>
        <v>-14964368.058722064</v>
      </c>
      <c r="N19" s="406">
        <f>-SUM(N17:N18)*Assumptions!$L$15</f>
        <v>-13948439.477499319</v>
      </c>
      <c r="O19" s="406">
        <f>-SUM(O17:O18)*Assumptions!$L$15</f>
        <v>-14236789.560413837</v>
      </c>
      <c r="P19" s="406">
        <f>-SUM(P17:P18)*Assumptions!$L$15</f>
        <v>-13931978.216060145</v>
      </c>
      <c r="Q19" s="406">
        <f>-SUM(Q17:Q18)*Assumptions!$L$15</f>
        <v>-16836149.583698675</v>
      </c>
      <c r="R19" s="406">
        <f>-SUM(R17:R18)*Assumptions!$L$15</f>
        <v>-19118435.495383848</v>
      </c>
      <c r="S19" s="406">
        <f>-SUM(S17:S18)*Assumptions!$L$15</f>
        <v>-16328250.696253821</v>
      </c>
      <c r="T19" s="406">
        <f>-SUM(T17:T18)*Assumptions!$L$15</f>
        <v>-17153215.6974154</v>
      </c>
      <c r="U19" s="406">
        <f>-SUM(U17:U18)*Assumptions!$L$15</f>
        <v>-19128983.092919968</v>
      </c>
      <c r="V19" s="406">
        <f>-SUM(V17:V18)*Assumptions!$L$15</f>
        <v>-18985721.632935908</v>
      </c>
    </row>
    <row r="20" spans="1:23" s="327" customFormat="1" ht="13.5" thickTop="1" x14ac:dyDescent="0.2">
      <c r="A20" s="9"/>
      <c r="B20" s="311" t="s">
        <v>183</v>
      </c>
      <c r="C20" s="446">
        <v>0</v>
      </c>
      <c r="D20" s="410">
        <f t="shared" ref="D20:V20" si="5">D17+D18+D19</f>
        <v>15127952.335783405</v>
      </c>
      <c r="E20" s="410">
        <f t="shared" si="5"/>
        <v>12016746.440219074</v>
      </c>
      <c r="F20" s="410">
        <f t="shared" si="5"/>
        <v>13819492.732234687</v>
      </c>
      <c r="G20" s="410">
        <f t="shared" si="5"/>
        <v>10063944.327391692</v>
      </c>
      <c r="H20" s="410">
        <f t="shared" si="5"/>
        <v>12170514.899249371</v>
      </c>
      <c r="I20" s="410">
        <f t="shared" si="5"/>
        <v>14066267.646887183</v>
      </c>
      <c r="J20" s="410">
        <f t="shared" si="5"/>
        <v>17677064.591822509</v>
      </c>
      <c r="K20" s="410">
        <f t="shared" si="5"/>
        <v>24843076.34320797</v>
      </c>
      <c r="L20" s="410">
        <f t="shared" si="5"/>
        <v>23799630.545500845</v>
      </c>
      <c r="M20" s="410">
        <f t="shared" si="5"/>
        <v>22446552.088083096</v>
      </c>
      <c r="N20" s="410">
        <f t="shared" si="5"/>
        <v>20922659.216248974</v>
      </c>
      <c r="O20" s="410">
        <f t="shared" si="5"/>
        <v>21355184.340620756</v>
      </c>
      <c r="P20" s="410">
        <f t="shared" si="5"/>
        <v>20897967.324090213</v>
      </c>
      <c r="Q20" s="410">
        <f t="shared" si="5"/>
        <v>25254224.375548013</v>
      </c>
      <c r="R20" s="410">
        <f t="shared" si="5"/>
        <v>28677653.243075769</v>
      </c>
      <c r="S20" s="410">
        <f t="shared" si="5"/>
        <v>24492376.044380732</v>
      </c>
      <c r="T20" s="410">
        <f t="shared" si="5"/>
        <v>25729823.546123099</v>
      </c>
      <c r="U20" s="410">
        <f t="shared" si="5"/>
        <v>28693474.639379948</v>
      </c>
      <c r="V20" s="410">
        <f t="shared" si="5"/>
        <v>28478582.449403856</v>
      </c>
    </row>
    <row r="21" spans="1:23" s="327" customFormat="1" x14ac:dyDescent="0.2">
      <c r="A21" s="9"/>
      <c r="B21" s="309" t="s">
        <v>37</v>
      </c>
      <c r="C21" s="443">
        <v>0</v>
      </c>
      <c r="D21" s="404">
        <f t="shared" ref="D21:V21" si="6">-D18</f>
        <v>32528000</v>
      </c>
      <c r="E21" s="404">
        <f t="shared" si="6"/>
        <v>29275200</v>
      </c>
      <c r="F21" s="404">
        <f t="shared" si="6"/>
        <v>26364800</v>
      </c>
      <c r="G21" s="404">
        <f t="shared" si="6"/>
        <v>23728320</v>
      </c>
      <c r="H21" s="404">
        <f t="shared" si="6"/>
        <v>21331520</v>
      </c>
      <c r="I21" s="404">
        <f t="shared" si="6"/>
        <v>20201600</v>
      </c>
      <c r="J21" s="404">
        <f t="shared" si="6"/>
        <v>20201600</v>
      </c>
      <c r="K21" s="404">
        <f t="shared" si="6"/>
        <v>20235840</v>
      </c>
      <c r="L21" s="404">
        <f t="shared" si="6"/>
        <v>20201600</v>
      </c>
      <c r="M21" s="404">
        <f t="shared" si="6"/>
        <v>20235840</v>
      </c>
      <c r="N21" s="404">
        <f t="shared" si="6"/>
        <v>20201600</v>
      </c>
      <c r="O21" s="404">
        <f t="shared" si="6"/>
        <v>20235840</v>
      </c>
      <c r="P21" s="404">
        <f t="shared" si="6"/>
        <v>20235840</v>
      </c>
      <c r="Q21" s="404">
        <f t="shared" si="6"/>
        <v>20235840</v>
      </c>
      <c r="R21" s="404">
        <f t="shared" si="6"/>
        <v>10100800</v>
      </c>
      <c r="S21" s="404">
        <f t="shared" si="6"/>
        <v>10846000</v>
      </c>
      <c r="T21" s="404">
        <f t="shared" si="6"/>
        <v>10846000</v>
      </c>
      <c r="U21" s="404">
        <f t="shared" si="6"/>
        <v>10846000</v>
      </c>
      <c r="V21" s="404">
        <f t="shared" si="6"/>
        <v>10846000</v>
      </c>
    </row>
    <row r="22" spans="1:23" s="327" customFormat="1" x14ac:dyDescent="0.2">
      <c r="A22" s="9"/>
      <c r="B22" s="309" t="s">
        <v>39</v>
      </c>
      <c r="C22" s="443">
        <v>0</v>
      </c>
      <c r="D22" s="404">
        <f t="shared" ref="D22:V22" si="7">-VLOOKUP($B$1,CapAds,D6-1997)</f>
        <v>0</v>
      </c>
      <c r="E22" s="404">
        <f t="shared" si="7"/>
        <v>0</v>
      </c>
      <c r="F22" s="404">
        <f t="shared" si="7"/>
        <v>0</v>
      </c>
      <c r="G22" s="404">
        <f t="shared" si="7"/>
        <v>0</v>
      </c>
      <c r="H22" s="404">
        <f t="shared" si="7"/>
        <v>0</v>
      </c>
      <c r="I22" s="404">
        <f t="shared" si="7"/>
        <v>0</v>
      </c>
      <c r="J22" s="404">
        <f t="shared" si="7"/>
        <v>0</v>
      </c>
      <c r="K22" s="404">
        <f t="shared" si="7"/>
        <v>0</v>
      </c>
      <c r="L22" s="404">
        <f t="shared" si="7"/>
        <v>0</v>
      </c>
      <c r="M22" s="404">
        <f t="shared" si="7"/>
        <v>0</v>
      </c>
      <c r="N22" s="404">
        <f t="shared" si="7"/>
        <v>0</v>
      </c>
      <c r="O22" s="404">
        <f t="shared" si="7"/>
        <v>0</v>
      </c>
      <c r="P22" s="404">
        <f t="shared" si="7"/>
        <v>0</v>
      </c>
      <c r="Q22" s="404">
        <f t="shared" si="7"/>
        <v>0</v>
      </c>
      <c r="R22" s="404">
        <f t="shared" si="7"/>
        <v>0</v>
      </c>
      <c r="S22" s="404">
        <f t="shared" si="7"/>
        <v>0</v>
      </c>
      <c r="T22" s="404">
        <f t="shared" si="7"/>
        <v>0</v>
      </c>
      <c r="U22" s="404">
        <f t="shared" si="7"/>
        <v>0</v>
      </c>
      <c r="V22" s="404">
        <f t="shared" si="7"/>
        <v>0</v>
      </c>
    </row>
    <row r="23" spans="1:23" s="327" customFormat="1" ht="13.5" thickBot="1" x14ac:dyDescent="0.25">
      <c r="A23" s="9"/>
      <c r="B23" s="310" t="s">
        <v>40</v>
      </c>
      <c r="C23" s="444">
        <v>0</v>
      </c>
      <c r="D23" s="406">
        <f t="shared" ref="D23:V23" si="8">-VLOOKUP($B$1,ECapAds,D6-1997)</f>
        <v>0</v>
      </c>
      <c r="E23" s="406">
        <f t="shared" si="8"/>
        <v>0</v>
      </c>
      <c r="F23" s="406">
        <f t="shared" si="8"/>
        <v>0</v>
      </c>
      <c r="G23" s="406">
        <f t="shared" si="8"/>
        <v>0</v>
      </c>
      <c r="H23" s="406">
        <f t="shared" si="8"/>
        <v>0</v>
      </c>
      <c r="I23" s="406">
        <f t="shared" si="8"/>
        <v>0</v>
      </c>
      <c r="J23" s="406">
        <f t="shared" si="8"/>
        <v>0</v>
      </c>
      <c r="K23" s="406">
        <f t="shared" si="8"/>
        <v>0</v>
      </c>
      <c r="L23" s="406">
        <f t="shared" si="8"/>
        <v>0</v>
      </c>
      <c r="M23" s="406">
        <f t="shared" si="8"/>
        <v>0</v>
      </c>
      <c r="N23" s="406">
        <f t="shared" si="8"/>
        <v>0</v>
      </c>
      <c r="O23" s="406">
        <f t="shared" si="8"/>
        <v>0</v>
      </c>
      <c r="P23" s="406">
        <f t="shared" si="8"/>
        <v>0</v>
      </c>
      <c r="Q23" s="406">
        <f t="shared" si="8"/>
        <v>0</v>
      </c>
      <c r="R23" s="406">
        <f t="shared" si="8"/>
        <v>0</v>
      </c>
      <c r="S23" s="406">
        <f t="shared" si="8"/>
        <v>0</v>
      </c>
      <c r="T23" s="406">
        <f t="shared" si="8"/>
        <v>0</v>
      </c>
      <c r="U23" s="406">
        <f t="shared" si="8"/>
        <v>0</v>
      </c>
      <c r="V23" s="406">
        <f t="shared" si="8"/>
        <v>0</v>
      </c>
    </row>
    <row r="24" spans="1:23" s="327" customFormat="1" ht="13.5" thickTop="1" x14ac:dyDescent="0.2">
      <c r="A24" s="9"/>
      <c r="B24" s="309"/>
      <c r="C24" s="447"/>
    </row>
    <row r="25" spans="1:23" s="327" customFormat="1" x14ac:dyDescent="0.2">
      <c r="A25" s="9"/>
      <c r="B25" s="311" t="s">
        <v>233</v>
      </c>
      <c r="C25" s="446">
        <f>SUM(C20:C23)</f>
        <v>0</v>
      </c>
      <c r="D25" s="410">
        <f t="shared" ref="D25:V25" si="9">SUM(D20:D23)</f>
        <v>47655952.335783407</v>
      </c>
      <c r="E25" s="410">
        <f t="shared" si="9"/>
        <v>41291946.440219074</v>
      </c>
      <c r="F25" s="410">
        <f t="shared" si="9"/>
        <v>40184292.732234687</v>
      </c>
      <c r="G25" s="410">
        <f t="shared" si="9"/>
        <v>33792264.327391692</v>
      </c>
      <c r="H25" s="410">
        <f t="shared" si="9"/>
        <v>33502034.899249371</v>
      </c>
      <c r="I25" s="410">
        <f t="shared" si="9"/>
        <v>34267867.646887183</v>
      </c>
      <c r="J25" s="410">
        <f t="shared" si="9"/>
        <v>37878664.591822505</v>
      </c>
      <c r="K25" s="410">
        <f t="shared" si="9"/>
        <v>45078916.34320797</v>
      </c>
      <c r="L25" s="410">
        <f t="shared" si="9"/>
        <v>44001230.545500845</v>
      </c>
      <c r="M25" s="410">
        <f t="shared" si="9"/>
        <v>42682392.088083096</v>
      </c>
      <c r="N25" s="410">
        <f t="shared" si="9"/>
        <v>41124259.216248974</v>
      </c>
      <c r="O25" s="410">
        <f t="shared" si="9"/>
        <v>41591024.340620756</v>
      </c>
      <c r="P25" s="410">
        <f t="shared" si="9"/>
        <v>41133807.324090213</v>
      </c>
      <c r="Q25" s="410">
        <f t="shared" si="9"/>
        <v>45490064.375548013</v>
      </c>
      <c r="R25" s="410">
        <f t="shared" si="9"/>
        <v>38778453.243075773</v>
      </c>
      <c r="S25" s="410">
        <f t="shared" si="9"/>
        <v>35338376.044380732</v>
      </c>
      <c r="T25" s="410">
        <f t="shared" si="9"/>
        <v>36575823.546123102</v>
      </c>
      <c r="U25" s="410">
        <f t="shared" si="9"/>
        <v>39539474.639379948</v>
      </c>
      <c r="V25" s="410">
        <f t="shared" si="9"/>
        <v>39324582.449403852</v>
      </c>
      <c r="W25" s="408">
        <f>(AVERAGE(M25:V25)*(1/$B$3-1/($B$3*(1+$B$3)^($B$4-20))))</f>
        <v>246752454.99687415</v>
      </c>
    </row>
    <row r="26" spans="1:23" s="9" customFormat="1" x14ac:dyDescent="0.2">
      <c r="B26" s="286"/>
    </row>
    <row r="27" spans="1:23" s="9" customFormat="1" x14ac:dyDescent="0.2">
      <c r="A27" s="302" t="s">
        <v>218</v>
      </c>
      <c r="B27" s="300" t="s">
        <v>170</v>
      </c>
      <c r="C27" s="433">
        <f>NPV($B$3,D25:H25)</f>
        <v>151522921.55412644</v>
      </c>
      <c r="E27" s="137" t="s">
        <v>219</v>
      </c>
      <c r="F27" s="313" t="str">
        <f t="shared" ref="F27:G31" si="10">B65</f>
        <v>NPV ('00-'05)</v>
      </c>
      <c r="G27" s="437">
        <f t="shared" si="10"/>
        <v>151522921.55412644</v>
      </c>
    </row>
    <row r="28" spans="1:23" s="9" customFormat="1" x14ac:dyDescent="0.2">
      <c r="B28" s="300" t="s">
        <v>180</v>
      </c>
      <c r="C28" s="433">
        <f>(NPV($B$3,I25:V25)/(1+$B$3)^5)</f>
        <v>184239025.68653578</v>
      </c>
      <c r="E28" s="315"/>
      <c r="F28" s="313" t="str">
        <f t="shared" si="10"/>
        <v>NPV ('06-'19)</v>
      </c>
      <c r="G28" s="437">
        <f t="shared" si="10"/>
        <v>184239025.68653578</v>
      </c>
    </row>
    <row r="29" spans="1:23" s="9" customFormat="1" ht="13.5" thickBot="1" x14ac:dyDescent="0.25">
      <c r="B29" s="316" t="s">
        <v>137</v>
      </c>
      <c r="C29" s="434">
        <f>(W25/(1+$B$3)^(20))</f>
        <v>36678180.134599566</v>
      </c>
      <c r="D29" s="317"/>
      <c r="E29" s="315"/>
      <c r="F29" s="313" t="str">
        <f t="shared" si="10"/>
        <v>NPV (TV)</v>
      </c>
      <c r="G29" s="437">
        <f t="shared" si="10"/>
        <v>36678180.134599566</v>
      </c>
    </row>
    <row r="30" spans="1:23" s="9" customFormat="1" ht="14.25" thickTop="1" thickBot="1" x14ac:dyDescent="0.25">
      <c r="B30" s="300" t="s">
        <v>28</v>
      </c>
      <c r="C30" s="432">
        <f>NPV($B$3,D25:W25)</f>
        <v>372440127.37526184</v>
      </c>
      <c r="D30" s="299"/>
      <c r="E30" s="315"/>
      <c r="F30" s="318" t="str">
        <f t="shared" si="10"/>
        <v xml:space="preserve">Plus Leverage </v>
      </c>
      <c r="G30" s="319">
        <f t="shared" si="10"/>
        <v>0</v>
      </c>
    </row>
    <row r="31" spans="1:23" s="9" customFormat="1" ht="13.5" thickTop="1" x14ac:dyDescent="0.2">
      <c r="B31" s="286"/>
      <c r="C31" s="320"/>
      <c r="E31" s="321"/>
      <c r="F31" s="313" t="str">
        <f t="shared" si="10"/>
        <v>NPV</v>
      </c>
      <c r="G31" s="362">
        <f t="shared" si="10"/>
        <v>372440127.37526184</v>
      </c>
    </row>
    <row r="32" spans="1:23" s="9" customFormat="1" x14ac:dyDescent="0.2">
      <c r="B32" s="286"/>
      <c r="C32" s="320"/>
      <c r="E32" s="321"/>
      <c r="F32" s="313"/>
      <c r="G32" s="322"/>
    </row>
    <row r="33" spans="1:23" s="9" customFormat="1" x14ac:dyDescent="0.2">
      <c r="B33" s="286"/>
      <c r="C33" s="320"/>
      <c r="E33" s="321"/>
      <c r="F33" s="313"/>
      <c r="G33" s="322"/>
    </row>
    <row r="34" spans="1:23" s="9" customFormat="1" x14ac:dyDescent="0.2">
      <c r="B34" s="323" t="s">
        <v>222</v>
      </c>
      <c r="C34" s="320"/>
      <c r="E34" s="321"/>
      <c r="F34" s="313"/>
      <c r="G34" s="322"/>
    </row>
    <row r="35" spans="1:23" s="9" customFormat="1" x14ac:dyDescent="0.2">
      <c r="A35" s="324" t="s">
        <v>224</v>
      </c>
      <c r="B35" s="323" t="s">
        <v>223</v>
      </c>
      <c r="C35" s="325"/>
      <c r="D35" s="326">
        <f>D20</f>
        <v>15127952.335783405</v>
      </c>
      <c r="E35" s="326">
        <f t="shared" ref="E35:V35" si="11">E20</f>
        <v>12016746.440219074</v>
      </c>
      <c r="F35" s="326">
        <f t="shared" si="11"/>
        <v>13819492.732234687</v>
      </c>
      <c r="G35" s="326">
        <f t="shared" si="11"/>
        <v>10063944.327391692</v>
      </c>
      <c r="H35" s="326">
        <f t="shared" si="11"/>
        <v>12170514.899249371</v>
      </c>
      <c r="I35" s="326">
        <f t="shared" si="11"/>
        <v>14066267.646887183</v>
      </c>
      <c r="J35" s="326">
        <f t="shared" si="11"/>
        <v>17677064.591822509</v>
      </c>
      <c r="K35" s="326">
        <f t="shared" si="11"/>
        <v>24843076.34320797</v>
      </c>
      <c r="L35" s="326">
        <f t="shared" si="11"/>
        <v>23799630.545500845</v>
      </c>
      <c r="M35" s="326">
        <f t="shared" si="11"/>
        <v>22446552.088083096</v>
      </c>
      <c r="N35" s="326">
        <f t="shared" si="11"/>
        <v>20922659.216248974</v>
      </c>
      <c r="O35" s="326">
        <f t="shared" si="11"/>
        <v>21355184.340620756</v>
      </c>
      <c r="P35" s="326">
        <f t="shared" si="11"/>
        <v>20897967.324090213</v>
      </c>
      <c r="Q35" s="326">
        <f t="shared" si="11"/>
        <v>25254224.375548013</v>
      </c>
      <c r="R35" s="326">
        <f t="shared" si="11"/>
        <v>28677653.243075769</v>
      </c>
      <c r="S35" s="326">
        <f t="shared" si="11"/>
        <v>24492376.044380732</v>
      </c>
      <c r="T35" s="326">
        <f t="shared" si="11"/>
        <v>25729823.546123099</v>
      </c>
      <c r="U35" s="326">
        <f t="shared" si="11"/>
        <v>28693474.639379948</v>
      </c>
      <c r="V35" s="326">
        <f t="shared" si="11"/>
        <v>28478582.449403856</v>
      </c>
    </row>
    <row r="36" spans="1:23" s="9" customFormat="1" x14ac:dyDescent="0.2">
      <c r="B36" s="286" t="s">
        <v>225</v>
      </c>
      <c r="C36" s="320"/>
      <c r="D36" s="327">
        <f>-D19</f>
        <v>10085301.557188937</v>
      </c>
      <c r="E36" s="327">
        <f t="shared" ref="E36:V36" si="12">-E19</f>
        <v>8011164.293479383</v>
      </c>
      <c r="F36" s="327">
        <f t="shared" si="12"/>
        <v>9212995.1548231244</v>
      </c>
      <c r="G36" s="327">
        <f t="shared" si="12"/>
        <v>6709296.2182611292</v>
      </c>
      <c r="H36" s="327">
        <f t="shared" si="12"/>
        <v>8113676.5994995805</v>
      </c>
      <c r="I36" s="327">
        <f t="shared" si="12"/>
        <v>9377511.7645914555</v>
      </c>
      <c r="J36" s="327">
        <f t="shared" si="12"/>
        <v>11784709.727881674</v>
      </c>
      <c r="K36" s="327">
        <f t="shared" si="12"/>
        <v>16562050.895471983</v>
      </c>
      <c r="L36" s="327">
        <f t="shared" si="12"/>
        <v>15866420.363667229</v>
      </c>
      <c r="M36" s="327">
        <f t="shared" si="12"/>
        <v>14964368.058722064</v>
      </c>
      <c r="N36" s="327">
        <f t="shared" si="12"/>
        <v>13948439.477499319</v>
      </c>
      <c r="O36" s="327">
        <f t="shared" si="12"/>
        <v>14236789.560413837</v>
      </c>
      <c r="P36" s="327">
        <f t="shared" si="12"/>
        <v>13931978.216060145</v>
      </c>
      <c r="Q36" s="327">
        <f t="shared" si="12"/>
        <v>16836149.583698675</v>
      </c>
      <c r="R36" s="327">
        <f t="shared" si="12"/>
        <v>19118435.495383848</v>
      </c>
      <c r="S36" s="327">
        <f t="shared" si="12"/>
        <v>16328250.696253821</v>
      </c>
      <c r="T36" s="327">
        <f t="shared" si="12"/>
        <v>17153215.6974154</v>
      </c>
      <c r="U36" s="327">
        <f t="shared" si="12"/>
        <v>19128983.092919968</v>
      </c>
      <c r="V36" s="327">
        <f t="shared" si="12"/>
        <v>18985721.632935908</v>
      </c>
    </row>
    <row r="37" spans="1:23" s="9" customFormat="1" x14ac:dyDescent="0.2">
      <c r="B37" s="328" t="s">
        <v>226</v>
      </c>
      <c r="C37" s="329"/>
      <c r="D37" s="327">
        <f>D21</f>
        <v>32528000</v>
      </c>
      <c r="E37" s="327">
        <f t="shared" ref="E37:V37" si="13">E21</f>
        <v>29275200</v>
      </c>
      <c r="F37" s="327">
        <f t="shared" si="13"/>
        <v>26364800</v>
      </c>
      <c r="G37" s="327">
        <f t="shared" si="13"/>
        <v>23728320</v>
      </c>
      <c r="H37" s="327">
        <f t="shared" si="13"/>
        <v>21331520</v>
      </c>
      <c r="I37" s="327">
        <f t="shared" si="13"/>
        <v>20201600</v>
      </c>
      <c r="J37" s="327">
        <f t="shared" si="13"/>
        <v>20201600</v>
      </c>
      <c r="K37" s="327">
        <f t="shared" si="13"/>
        <v>20235840</v>
      </c>
      <c r="L37" s="327">
        <f t="shared" si="13"/>
        <v>20201600</v>
      </c>
      <c r="M37" s="327">
        <f t="shared" si="13"/>
        <v>20235840</v>
      </c>
      <c r="N37" s="327">
        <f t="shared" si="13"/>
        <v>20201600</v>
      </c>
      <c r="O37" s="327">
        <f t="shared" si="13"/>
        <v>20235840</v>
      </c>
      <c r="P37" s="327">
        <f t="shared" si="13"/>
        <v>20235840</v>
      </c>
      <c r="Q37" s="327">
        <f t="shared" si="13"/>
        <v>20235840</v>
      </c>
      <c r="R37" s="327">
        <f t="shared" si="13"/>
        <v>10100800</v>
      </c>
      <c r="S37" s="327">
        <f t="shared" si="13"/>
        <v>10846000</v>
      </c>
      <c r="T37" s="327">
        <f t="shared" si="13"/>
        <v>10846000</v>
      </c>
      <c r="U37" s="327">
        <f t="shared" si="13"/>
        <v>10846000</v>
      </c>
      <c r="V37" s="327">
        <f t="shared" si="13"/>
        <v>10846000</v>
      </c>
    </row>
    <row r="38" spans="1:23" s="9" customFormat="1" ht="13.5" thickBot="1" x14ac:dyDescent="0.25">
      <c r="B38" s="330" t="s">
        <v>227</v>
      </c>
      <c r="C38" s="331"/>
      <c r="D38" s="332">
        <f>SUM(D35:D37)</f>
        <v>57741253.892972343</v>
      </c>
      <c r="E38" s="332">
        <f t="shared" ref="E38:V38" si="14">SUM(E35:E37)</f>
        <v>49303110.733698457</v>
      </c>
      <c r="F38" s="332">
        <f t="shared" si="14"/>
        <v>49397287.887057811</v>
      </c>
      <c r="G38" s="332">
        <f t="shared" si="14"/>
        <v>40501560.545652822</v>
      </c>
      <c r="H38" s="332">
        <f t="shared" si="14"/>
        <v>41615711.498748951</v>
      </c>
      <c r="I38" s="332">
        <f t="shared" si="14"/>
        <v>43645379.411478639</v>
      </c>
      <c r="J38" s="332">
        <f t="shared" si="14"/>
        <v>49663374.319704182</v>
      </c>
      <c r="K38" s="332">
        <f t="shared" si="14"/>
        <v>61640967.238679953</v>
      </c>
      <c r="L38" s="332">
        <f t="shared" si="14"/>
        <v>59867650.909168072</v>
      </c>
      <c r="M38" s="332">
        <f t="shared" si="14"/>
        <v>57646760.14680516</v>
      </c>
      <c r="N38" s="332">
        <f t="shared" si="14"/>
        <v>55072698.693748295</v>
      </c>
      <c r="O38" s="332">
        <f t="shared" si="14"/>
        <v>55827813.901034594</v>
      </c>
      <c r="P38" s="332">
        <f t="shared" si="14"/>
        <v>55065785.540150359</v>
      </c>
      <c r="Q38" s="332">
        <f t="shared" si="14"/>
        <v>62326213.959246688</v>
      </c>
      <c r="R38" s="332">
        <f t="shared" si="14"/>
        <v>57896888.738459617</v>
      </c>
      <c r="S38" s="332">
        <f t="shared" si="14"/>
        <v>51666626.740634553</v>
      </c>
      <c r="T38" s="332">
        <f t="shared" si="14"/>
        <v>53729039.243538499</v>
      </c>
      <c r="U38" s="332">
        <f t="shared" si="14"/>
        <v>58668457.732299916</v>
      </c>
      <c r="V38" s="332">
        <f t="shared" si="14"/>
        <v>58310304.082339764</v>
      </c>
    </row>
    <row r="39" spans="1:23" s="9" customFormat="1" ht="13.5" thickTop="1" x14ac:dyDescent="0.2">
      <c r="A39" s="324" t="s">
        <v>228</v>
      </c>
      <c r="B39" s="286" t="s">
        <v>229</v>
      </c>
      <c r="C39" s="320"/>
      <c r="D39" s="327">
        <f>-'Book Depr'!D114</f>
        <v>-10846000</v>
      </c>
      <c r="E39" s="327">
        <f>-'Book Depr'!E114</f>
        <v>-10846000</v>
      </c>
      <c r="F39" s="327">
        <f>-'Book Depr'!F114</f>
        <v>-10846000</v>
      </c>
      <c r="G39" s="327">
        <f>-'Book Depr'!G114</f>
        <v>-10846000</v>
      </c>
      <c r="H39" s="327">
        <f>-'Book Depr'!H114</f>
        <v>-10846000</v>
      </c>
      <c r="I39" s="327">
        <f>-'Book Depr'!I114</f>
        <v>-10846000</v>
      </c>
      <c r="J39" s="327">
        <f>-'Book Depr'!J114</f>
        <v>-10846000</v>
      </c>
      <c r="K39" s="327">
        <f>-'Book Depr'!K114</f>
        <v>-10846000</v>
      </c>
      <c r="L39" s="327">
        <f>-'Book Depr'!L114</f>
        <v>-10846000</v>
      </c>
      <c r="M39" s="327">
        <f>-'Book Depr'!M114</f>
        <v>-10846000</v>
      </c>
      <c r="N39" s="327">
        <f>-'Book Depr'!N114</f>
        <v>-10846000</v>
      </c>
      <c r="O39" s="327">
        <f>-'Book Depr'!O114</f>
        <v>-10846000</v>
      </c>
      <c r="P39" s="327">
        <f>-'Book Depr'!P114</f>
        <v>-10846000</v>
      </c>
      <c r="Q39" s="327">
        <f>-'Book Depr'!Q114</f>
        <v>-10846000</v>
      </c>
      <c r="R39" s="327">
        <f>-'Book Depr'!R114</f>
        <v>-10846000</v>
      </c>
      <c r="S39" s="327">
        <f>-'Book Depr'!S114</f>
        <v>-10846000</v>
      </c>
      <c r="T39" s="327">
        <f>-'Book Depr'!T114</f>
        <v>-10846000</v>
      </c>
      <c r="U39" s="327">
        <f>-'Book Depr'!U114</f>
        <v>-10846000</v>
      </c>
      <c r="V39" s="327">
        <f>-'Book Depr'!V114</f>
        <v>-10846000</v>
      </c>
    </row>
    <row r="40" spans="1:23" s="9" customFormat="1" x14ac:dyDescent="0.2">
      <c r="B40" s="286" t="s">
        <v>230</v>
      </c>
      <c r="C40" s="320"/>
      <c r="D40" s="327">
        <f>-D53</f>
        <v>0</v>
      </c>
      <c r="E40" s="327">
        <f t="shared" ref="E40:V40" si="15">-E53</f>
        <v>0</v>
      </c>
      <c r="F40" s="327">
        <f t="shared" si="15"/>
        <v>0</v>
      </c>
      <c r="G40" s="327">
        <f t="shared" si="15"/>
        <v>0</v>
      </c>
      <c r="H40" s="327">
        <f t="shared" si="15"/>
        <v>0</v>
      </c>
      <c r="I40" s="327">
        <f t="shared" si="15"/>
        <v>0</v>
      </c>
      <c r="J40" s="327">
        <f t="shared" si="15"/>
        <v>0</v>
      </c>
      <c r="K40" s="327">
        <f t="shared" si="15"/>
        <v>0</v>
      </c>
      <c r="L40" s="327">
        <f t="shared" si="15"/>
        <v>0</v>
      </c>
      <c r="M40" s="327">
        <f t="shared" si="15"/>
        <v>0</v>
      </c>
      <c r="N40" s="327">
        <f t="shared" si="15"/>
        <v>0</v>
      </c>
      <c r="O40" s="327">
        <f t="shared" si="15"/>
        <v>0</v>
      </c>
      <c r="P40" s="327">
        <f t="shared" si="15"/>
        <v>0</v>
      </c>
      <c r="Q40" s="327">
        <f t="shared" si="15"/>
        <v>0</v>
      </c>
      <c r="R40" s="327">
        <f t="shared" si="15"/>
        <v>0</v>
      </c>
      <c r="S40" s="327">
        <f t="shared" si="15"/>
        <v>0</v>
      </c>
      <c r="T40" s="327">
        <f t="shared" si="15"/>
        <v>0</v>
      </c>
      <c r="U40" s="327">
        <f t="shared" si="15"/>
        <v>0</v>
      </c>
      <c r="V40" s="327">
        <f t="shared" si="15"/>
        <v>0</v>
      </c>
    </row>
    <row r="41" spans="1:23" s="9" customFormat="1" x14ac:dyDescent="0.2">
      <c r="B41" s="323" t="s">
        <v>231</v>
      </c>
      <c r="C41" s="325"/>
      <c r="D41" s="326">
        <f>SUM(D38:D40)</f>
        <v>46895253.892972343</v>
      </c>
      <c r="E41" s="326">
        <f t="shared" ref="E41:V41" si="16">SUM(E38:E40)</f>
        <v>38457110.733698457</v>
      </c>
      <c r="F41" s="326">
        <f t="shared" si="16"/>
        <v>38551287.887057811</v>
      </c>
      <c r="G41" s="326">
        <f t="shared" si="16"/>
        <v>29655560.545652822</v>
      </c>
      <c r="H41" s="326">
        <f t="shared" si="16"/>
        <v>30769711.498748951</v>
      </c>
      <c r="I41" s="326">
        <f t="shared" si="16"/>
        <v>32799379.411478639</v>
      </c>
      <c r="J41" s="326">
        <f t="shared" si="16"/>
        <v>38817374.319704182</v>
      </c>
      <c r="K41" s="326">
        <f t="shared" si="16"/>
        <v>50794967.238679953</v>
      </c>
      <c r="L41" s="326">
        <f t="shared" si="16"/>
        <v>49021650.909168072</v>
      </c>
      <c r="M41" s="326">
        <f t="shared" si="16"/>
        <v>46800760.14680516</v>
      </c>
      <c r="N41" s="326">
        <f t="shared" si="16"/>
        <v>44226698.693748295</v>
      </c>
      <c r="O41" s="326">
        <f t="shared" si="16"/>
        <v>44981813.901034594</v>
      </c>
      <c r="P41" s="326">
        <f t="shared" si="16"/>
        <v>44219785.540150359</v>
      </c>
      <c r="Q41" s="326">
        <f t="shared" si="16"/>
        <v>51480213.959246688</v>
      </c>
      <c r="R41" s="326">
        <f t="shared" si="16"/>
        <v>47050888.738459617</v>
      </c>
      <c r="S41" s="326">
        <f t="shared" si="16"/>
        <v>40820626.740634553</v>
      </c>
      <c r="T41" s="326">
        <f t="shared" si="16"/>
        <v>42883039.243538499</v>
      </c>
      <c r="U41" s="326">
        <f t="shared" si="16"/>
        <v>47822457.732299916</v>
      </c>
      <c r="V41" s="326">
        <f t="shared" si="16"/>
        <v>47464304.082339764</v>
      </c>
    </row>
    <row r="42" spans="1:23" s="9" customFormat="1" ht="13.5" thickBot="1" x14ac:dyDescent="0.25">
      <c r="B42" s="333" t="s">
        <v>237</v>
      </c>
      <c r="C42" s="334"/>
      <c r="D42" s="335">
        <f>-D41*Assumptions!$L$15</f>
        <v>-18758101.557188939</v>
      </c>
      <c r="E42" s="335">
        <f>-E41*Assumptions!$L$15</f>
        <v>-15382844.293479383</v>
      </c>
      <c r="F42" s="335">
        <f>-F41*Assumptions!$L$15</f>
        <v>-15420515.154823124</v>
      </c>
      <c r="G42" s="335">
        <f>-G41*Assumptions!$L$15</f>
        <v>-11862224.21826113</v>
      </c>
      <c r="H42" s="335">
        <f>-H41*Assumptions!$L$15</f>
        <v>-12307884.599499581</v>
      </c>
      <c r="I42" s="335">
        <f>-I41*Assumptions!$L$15</f>
        <v>-13119751.764591455</v>
      </c>
      <c r="J42" s="335">
        <f>-J41*Assumptions!$L$15</f>
        <v>-15526949.727881674</v>
      </c>
      <c r="K42" s="335">
        <f>-K41*Assumptions!$L$15</f>
        <v>-20317986.895471983</v>
      </c>
      <c r="L42" s="335">
        <f>-L41*Assumptions!$L$15</f>
        <v>-19608660.363667231</v>
      </c>
      <c r="M42" s="335">
        <f>-M41*Assumptions!$L$15</f>
        <v>-18720304.058722064</v>
      </c>
      <c r="N42" s="335">
        <f>-N41*Assumptions!$L$15</f>
        <v>-17690679.477499317</v>
      </c>
      <c r="O42" s="335">
        <f>-O41*Assumptions!$L$15</f>
        <v>-17992725.560413837</v>
      </c>
      <c r="P42" s="335">
        <f>-P41*Assumptions!$L$15</f>
        <v>-17687914.216060143</v>
      </c>
      <c r="Q42" s="335">
        <f>-Q41*Assumptions!$L$15</f>
        <v>-20592085.583698675</v>
      </c>
      <c r="R42" s="335">
        <f>-R41*Assumptions!$L$15</f>
        <v>-18820355.495383848</v>
      </c>
      <c r="S42" s="335">
        <f>-S41*Assumptions!$L$15</f>
        <v>-16328250.696253821</v>
      </c>
      <c r="T42" s="335">
        <f>-T41*Assumptions!$L$15</f>
        <v>-17153215.6974154</v>
      </c>
      <c r="U42" s="335">
        <f>-U41*Assumptions!$L$15</f>
        <v>-19128983.092919968</v>
      </c>
      <c r="V42" s="335">
        <f>-V41*Assumptions!$L$15</f>
        <v>-18985721.632935908</v>
      </c>
    </row>
    <row r="43" spans="1:23" s="9" customFormat="1" ht="13.5" thickTop="1" x14ac:dyDescent="0.2">
      <c r="B43" s="323" t="s">
        <v>232</v>
      </c>
      <c r="C43" s="325"/>
      <c r="D43" s="326">
        <f>SUM(D41:D42)</f>
        <v>28137152.335783403</v>
      </c>
      <c r="E43" s="326">
        <f t="shared" ref="E43:V43" si="17">SUM(E41:E42)</f>
        <v>23074266.440219074</v>
      </c>
      <c r="F43" s="326">
        <f t="shared" si="17"/>
        <v>23130772.732234687</v>
      </c>
      <c r="G43" s="326">
        <f t="shared" si="17"/>
        <v>17793336.327391692</v>
      </c>
      <c r="H43" s="326">
        <f t="shared" si="17"/>
        <v>18461826.899249367</v>
      </c>
      <c r="I43" s="326">
        <f t="shared" si="17"/>
        <v>19679627.646887183</v>
      </c>
      <c r="J43" s="326">
        <f t="shared" si="17"/>
        <v>23290424.591822509</v>
      </c>
      <c r="K43" s="326">
        <f t="shared" si="17"/>
        <v>30476980.34320797</v>
      </c>
      <c r="L43" s="326">
        <f t="shared" si="17"/>
        <v>29412990.545500841</v>
      </c>
      <c r="M43" s="326">
        <f t="shared" si="17"/>
        <v>28080456.088083096</v>
      </c>
      <c r="N43" s="326">
        <f t="shared" si="17"/>
        <v>26536019.216248978</v>
      </c>
      <c r="O43" s="326">
        <f t="shared" si="17"/>
        <v>26989088.340620756</v>
      </c>
      <c r="P43" s="326">
        <f t="shared" si="17"/>
        <v>26531871.324090216</v>
      </c>
      <c r="Q43" s="326">
        <f t="shared" si="17"/>
        <v>30888128.375548013</v>
      </c>
      <c r="R43" s="326">
        <f t="shared" si="17"/>
        <v>28230533.243075769</v>
      </c>
      <c r="S43" s="326">
        <f t="shared" si="17"/>
        <v>24492376.044380732</v>
      </c>
      <c r="T43" s="326">
        <f t="shared" si="17"/>
        <v>25729823.546123099</v>
      </c>
      <c r="U43" s="326">
        <f t="shared" si="17"/>
        <v>28693474.639379948</v>
      </c>
      <c r="V43" s="326">
        <f t="shared" si="17"/>
        <v>28478582.449403856</v>
      </c>
    </row>
    <row r="44" spans="1:23" s="9" customFormat="1" x14ac:dyDescent="0.2">
      <c r="C44" s="320"/>
      <c r="E44" s="321"/>
      <c r="F44" s="313"/>
      <c r="G44" s="322"/>
    </row>
    <row r="45" spans="1:23" s="9" customFormat="1" ht="15.75" x14ac:dyDescent="0.25">
      <c r="A45" s="336" t="s">
        <v>205</v>
      </c>
      <c r="B45" s="337"/>
    </row>
    <row r="46" spans="1:23" s="9" customFormat="1" x14ac:dyDescent="0.2">
      <c r="A46" s="284" t="s">
        <v>190</v>
      </c>
      <c r="B46" s="303"/>
      <c r="C46" s="338">
        <f>Assumptions!$L$17</f>
        <v>0</v>
      </c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</row>
    <row r="47" spans="1:23" s="9" customFormat="1" x14ac:dyDescent="0.2">
      <c r="A47" s="284" t="s">
        <v>191</v>
      </c>
      <c r="B47" s="303"/>
      <c r="C47" s="339">
        <f>+C30*C46</f>
        <v>0</v>
      </c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</row>
    <row r="48" spans="1:23" s="9" customFormat="1" x14ac:dyDescent="0.2">
      <c r="A48" s="284" t="s">
        <v>201</v>
      </c>
      <c r="B48" s="303"/>
      <c r="C48" s="284">
        <f>Assumptions!$L$18</f>
        <v>15</v>
      </c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</row>
    <row r="49" spans="1:23" s="9" customFormat="1" x14ac:dyDescent="0.2">
      <c r="A49" s="284" t="s">
        <v>192</v>
      </c>
      <c r="B49" s="303"/>
      <c r="C49" s="339">
        <f>C47/C48</f>
        <v>0</v>
      </c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</row>
    <row r="50" spans="1:23" s="9" customFormat="1" x14ac:dyDescent="0.2">
      <c r="A50" s="284" t="s">
        <v>193</v>
      </c>
      <c r="B50" s="303"/>
      <c r="C50" s="340">
        <f>Assumptions!L19</f>
        <v>8.7499999999999994E-2</v>
      </c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</row>
    <row r="51" spans="1:23" s="9" customFormat="1" x14ac:dyDescent="0.2">
      <c r="A51" s="284"/>
      <c r="B51" s="303"/>
      <c r="C51" s="277"/>
      <c r="D51" s="306">
        <f t="shared" ref="D51:W51" si="18">D6</f>
        <v>2001</v>
      </c>
      <c r="E51" s="306">
        <f t="shared" si="18"/>
        <v>2002</v>
      </c>
      <c r="F51" s="306">
        <f t="shared" si="18"/>
        <v>2003</v>
      </c>
      <c r="G51" s="306">
        <f t="shared" si="18"/>
        <v>2004</v>
      </c>
      <c r="H51" s="306">
        <f t="shared" si="18"/>
        <v>2005</v>
      </c>
      <c r="I51" s="306">
        <f t="shared" si="18"/>
        <v>2006</v>
      </c>
      <c r="J51" s="306">
        <f t="shared" si="18"/>
        <v>2007</v>
      </c>
      <c r="K51" s="306">
        <f t="shared" si="18"/>
        <v>2008</v>
      </c>
      <c r="L51" s="306">
        <f t="shared" si="18"/>
        <v>2009</v>
      </c>
      <c r="M51" s="306">
        <f t="shared" si="18"/>
        <v>2010</v>
      </c>
      <c r="N51" s="306">
        <f t="shared" si="18"/>
        <v>2011</v>
      </c>
      <c r="O51" s="306">
        <f t="shared" si="18"/>
        <v>2012</v>
      </c>
      <c r="P51" s="306">
        <f t="shared" si="18"/>
        <v>2013</v>
      </c>
      <c r="Q51" s="306">
        <f t="shared" si="18"/>
        <v>2014</v>
      </c>
      <c r="R51" s="306">
        <f t="shared" si="18"/>
        <v>2015</v>
      </c>
      <c r="S51" s="306">
        <f t="shared" si="18"/>
        <v>2016</v>
      </c>
      <c r="T51" s="306">
        <f t="shared" si="18"/>
        <v>2017</v>
      </c>
      <c r="U51" s="306">
        <f t="shared" si="18"/>
        <v>2018</v>
      </c>
      <c r="V51" s="306">
        <f t="shared" si="18"/>
        <v>2019</v>
      </c>
      <c r="W51" s="306" t="str">
        <f t="shared" si="18"/>
        <v>TV</v>
      </c>
    </row>
    <row r="52" spans="1:23" s="9" customFormat="1" x14ac:dyDescent="0.2">
      <c r="A52" s="284" t="s">
        <v>194</v>
      </c>
      <c r="B52" s="303"/>
      <c r="C52" s="277"/>
      <c r="D52" s="341">
        <f>+C47</f>
        <v>0</v>
      </c>
      <c r="E52" s="341">
        <f t="shared" ref="E52:R52" si="19">+D56</f>
        <v>0</v>
      </c>
      <c r="F52" s="341">
        <f t="shared" si="19"/>
        <v>0</v>
      </c>
      <c r="G52" s="341">
        <f t="shared" si="19"/>
        <v>0</v>
      </c>
      <c r="H52" s="341">
        <f t="shared" si="19"/>
        <v>0</v>
      </c>
      <c r="I52" s="341">
        <f t="shared" si="19"/>
        <v>0</v>
      </c>
      <c r="J52" s="341">
        <f t="shared" si="19"/>
        <v>0</v>
      </c>
      <c r="K52" s="341">
        <f t="shared" si="19"/>
        <v>0</v>
      </c>
      <c r="L52" s="341">
        <f t="shared" si="19"/>
        <v>0</v>
      </c>
      <c r="M52" s="341">
        <f t="shared" si="19"/>
        <v>0</v>
      </c>
      <c r="N52" s="341">
        <f t="shared" si="19"/>
        <v>0</v>
      </c>
      <c r="O52" s="341">
        <f t="shared" si="19"/>
        <v>0</v>
      </c>
      <c r="P52" s="341">
        <f t="shared" si="19"/>
        <v>0</v>
      </c>
      <c r="Q52" s="341">
        <f t="shared" si="19"/>
        <v>0</v>
      </c>
      <c r="R52" s="341">
        <f t="shared" si="19"/>
        <v>0</v>
      </c>
      <c r="S52" s="341">
        <f>+R56</f>
        <v>0</v>
      </c>
      <c r="T52" s="341">
        <f>+S56</f>
        <v>0</v>
      </c>
      <c r="U52" s="341">
        <f>+T56</f>
        <v>0</v>
      </c>
      <c r="V52" s="341">
        <f>+U56</f>
        <v>0</v>
      </c>
      <c r="W52" s="341">
        <f>+V56</f>
        <v>0</v>
      </c>
    </row>
    <row r="53" spans="1:23" s="9" customFormat="1" x14ac:dyDescent="0.2">
      <c r="A53" s="284" t="s">
        <v>195</v>
      </c>
      <c r="B53" s="303"/>
      <c r="C53" s="277"/>
      <c r="D53" s="341">
        <f t="shared" ref="D53:W53" si="20">+D52*$C$50</f>
        <v>0</v>
      </c>
      <c r="E53" s="341">
        <f t="shared" si="20"/>
        <v>0</v>
      </c>
      <c r="F53" s="341">
        <f t="shared" si="20"/>
        <v>0</v>
      </c>
      <c r="G53" s="341">
        <f t="shared" si="20"/>
        <v>0</v>
      </c>
      <c r="H53" s="341">
        <f t="shared" si="20"/>
        <v>0</v>
      </c>
      <c r="I53" s="341">
        <f t="shared" si="20"/>
        <v>0</v>
      </c>
      <c r="J53" s="341">
        <f t="shared" si="20"/>
        <v>0</v>
      </c>
      <c r="K53" s="341">
        <f t="shared" si="20"/>
        <v>0</v>
      </c>
      <c r="L53" s="341">
        <f t="shared" si="20"/>
        <v>0</v>
      </c>
      <c r="M53" s="341">
        <f t="shared" si="20"/>
        <v>0</v>
      </c>
      <c r="N53" s="341">
        <f t="shared" si="20"/>
        <v>0</v>
      </c>
      <c r="O53" s="341">
        <f t="shared" si="20"/>
        <v>0</v>
      </c>
      <c r="P53" s="341">
        <f t="shared" si="20"/>
        <v>0</v>
      </c>
      <c r="Q53" s="341">
        <f t="shared" si="20"/>
        <v>0</v>
      </c>
      <c r="R53" s="341">
        <f t="shared" si="20"/>
        <v>0</v>
      </c>
      <c r="S53" s="341">
        <f t="shared" si="20"/>
        <v>0</v>
      </c>
      <c r="T53" s="341">
        <f t="shared" si="20"/>
        <v>0</v>
      </c>
      <c r="U53" s="341">
        <f t="shared" si="20"/>
        <v>0</v>
      </c>
      <c r="V53" s="341">
        <f t="shared" si="20"/>
        <v>0</v>
      </c>
      <c r="W53" s="341">
        <f t="shared" si="20"/>
        <v>0</v>
      </c>
    </row>
    <row r="54" spans="1:23" s="9" customFormat="1" x14ac:dyDescent="0.2">
      <c r="A54" s="284" t="s">
        <v>196</v>
      </c>
      <c r="B54" s="303"/>
      <c r="C54" s="277"/>
      <c r="D54" s="341">
        <f t="shared" ref="D54:R54" si="21">IF((D51-$D$51)&gt;=$C$48,0,$C$49)</f>
        <v>0</v>
      </c>
      <c r="E54" s="341">
        <f t="shared" si="21"/>
        <v>0</v>
      </c>
      <c r="F54" s="341">
        <f t="shared" si="21"/>
        <v>0</v>
      </c>
      <c r="G54" s="341">
        <f t="shared" si="21"/>
        <v>0</v>
      </c>
      <c r="H54" s="341">
        <f t="shared" si="21"/>
        <v>0</v>
      </c>
      <c r="I54" s="341">
        <f t="shared" si="21"/>
        <v>0</v>
      </c>
      <c r="J54" s="341">
        <f t="shared" si="21"/>
        <v>0</v>
      </c>
      <c r="K54" s="341">
        <f t="shared" si="21"/>
        <v>0</v>
      </c>
      <c r="L54" s="341">
        <f t="shared" si="21"/>
        <v>0</v>
      </c>
      <c r="M54" s="341">
        <f t="shared" si="21"/>
        <v>0</v>
      </c>
      <c r="N54" s="341">
        <f t="shared" si="21"/>
        <v>0</v>
      </c>
      <c r="O54" s="341">
        <f t="shared" si="21"/>
        <v>0</v>
      </c>
      <c r="P54" s="341">
        <f t="shared" si="21"/>
        <v>0</v>
      </c>
      <c r="Q54" s="341">
        <f t="shared" si="21"/>
        <v>0</v>
      </c>
      <c r="R54" s="341">
        <f t="shared" si="21"/>
        <v>0</v>
      </c>
      <c r="S54" s="341">
        <f>IF((S51-$D$51)&gt;=$C$48,0,$C$49)</f>
        <v>0</v>
      </c>
      <c r="T54" s="341">
        <f>IF((T51-$D$51)&gt;=$C$48,0,$C$49)</f>
        <v>0</v>
      </c>
      <c r="U54" s="341">
        <f>IF((U51-$D$51)&gt;=$C$48,0,$C$49)</f>
        <v>0</v>
      </c>
      <c r="V54" s="341">
        <f>IF((V51-$D$51)&gt;=$C$48,0,$C$49)</f>
        <v>0</v>
      </c>
      <c r="W54" s="341">
        <f>V54</f>
        <v>0</v>
      </c>
    </row>
    <row r="55" spans="1:23" s="9" customFormat="1" x14ac:dyDescent="0.2">
      <c r="A55" s="284" t="s">
        <v>197</v>
      </c>
      <c r="B55" s="303"/>
      <c r="C55" s="277"/>
      <c r="D55" s="342">
        <f t="shared" ref="D55:R55" si="22">SUM(D53:D54)</f>
        <v>0</v>
      </c>
      <c r="E55" s="342">
        <f t="shared" si="22"/>
        <v>0</v>
      </c>
      <c r="F55" s="342">
        <f t="shared" si="22"/>
        <v>0</v>
      </c>
      <c r="G55" s="342">
        <f t="shared" si="22"/>
        <v>0</v>
      </c>
      <c r="H55" s="342">
        <f t="shared" si="22"/>
        <v>0</v>
      </c>
      <c r="I55" s="342">
        <f t="shared" si="22"/>
        <v>0</v>
      </c>
      <c r="J55" s="342">
        <f t="shared" si="22"/>
        <v>0</v>
      </c>
      <c r="K55" s="342">
        <f t="shared" si="22"/>
        <v>0</v>
      </c>
      <c r="L55" s="342">
        <f t="shared" si="22"/>
        <v>0</v>
      </c>
      <c r="M55" s="342">
        <f t="shared" si="22"/>
        <v>0</v>
      </c>
      <c r="N55" s="342">
        <f t="shared" si="22"/>
        <v>0</v>
      </c>
      <c r="O55" s="342">
        <f t="shared" si="22"/>
        <v>0</v>
      </c>
      <c r="P55" s="342">
        <f t="shared" si="22"/>
        <v>0</v>
      </c>
      <c r="Q55" s="342">
        <f t="shared" si="22"/>
        <v>0</v>
      </c>
      <c r="R55" s="342">
        <f t="shared" si="22"/>
        <v>0</v>
      </c>
      <c r="S55" s="342">
        <f>SUM(S53:S54)</f>
        <v>0</v>
      </c>
      <c r="T55" s="342">
        <f>SUM(T53:T54)</f>
        <v>0</v>
      </c>
      <c r="U55" s="342">
        <f>SUM(U53:U54)</f>
        <v>0</v>
      </c>
      <c r="V55" s="342">
        <f>SUM(V53:V54)</f>
        <v>0</v>
      </c>
      <c r="W55" s="342">
        <f>SUM(W53:W54)</f>
        <v>0</v>
      </c>
    </row>
    <row r="56" spans="1:23" s="9" customFormat="1" ht="13.5" thickBot="1" x14ac:dyDescent="0.25">
      <c r="A56" s="284" t="s">
        <v>198</v>
      </c>
      <c r="B56" s="303"/>
      <c r="C56" s="277"/>
      <c r="D56" s="343">
        <f t="shared" ref="D56:R56" si="23">+D52-D54</f>
        <v>0</v>
      </c>
      <c r="E56" s="343">
        <f t="shared" si="23"/>
        <v>0</v>
      </c>
      <c r="F56" s="343">
        <f t="shared" si="23"/>
        <v>0</v>
      </c>
      <c r="G56" s="343">
        <f t="shared" si="23"/>
        <v>0</v>
      </c>
      <c r="H56" s="343">
        <f t="shared" si="23"/>
        <v>0</v>
      </c>
      <c r="I56" s="343">
        <f t="shared" si="23"/>
        <v>0</v>
      </c>
      <c r="J56" s="343">
        <f t="shared" si="23"/>
        <v>0</v>
      </c>
      <c r="K56" s="343">
        <f t="shared" si="23"/>
        <v>0</v>
      </c>
      <c r="L56" s="343">
        <f t="shared" si="23"/>
        <v>0</v>
      </c>
      <c r="M56" s="343">
        <f t="shared" si="23"/>
        <v>0</v>
      </c>
      <c r="N56" s="343">
        <f t="shared" si="23"/>
        <v>0</v>
      </c>
      <c r="O56" s="343">
        <f t="shared" si="23"/>
        <v>0</v>
      </c>
      <c r="P56" s="343">
        <f t="shared" si="23"/>
        <v>0</v>
      </c>
      <c r="Q56" s="343">
        <f t="shared" si="23"/>
        <v>0</v>
      </c>
      <c r="R56" s="343">
        <f t="shared" si="23"/>
        <v>0</v>
      </c>
      <c r="S56" s="343">
        <f>+S52-S54</f>
        <v>0</v>
      </c>
      <c r="T56" s="343">
        <f>+T52-T54</f>
        <v>0</v>
      </c>
      <c r="U56" s="343">
        <f>+U52-U54</f>
        <v>0</v>
      </c>
      <c r="V56" s="343">
        <f>+V52-V54</f>
        <v>0</v>
      </c>
      <c r="W56" s="343">
        <f>+W52-W54</f>
        <v>0</v>
      </c>
    </row>
    <row r="57" spans="1:23" s="9" customFormat="1" ht="13.5" thickTop="1" x14ac:dyDescent="0.2">
      <c r="A57" s="284"/>
      <c r="B57" s="303"/>
      <c r="C57" s="277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</row>
    <row r="58" spans="1:23" s="9" customFormat="1" x14ac:dyDescent="0.2">
      <c r="A58" s="284" t="s">
        <v>199</v>
      </c>
      <c r="B58" s="303"/>
      <c r="C58" s="277"/>
      <c r="D58" s="341">
        <f t="shared" ref="D58:R58" si="24">+D53*0.4</f>
        <v>0</v>
      </c>
      <c r="E58" s="341">
        <f t="shared" si="24"/>
        <v>0</v>
      </c>
      <c r="F58" s="341">
        <f t="shared" si="24"/>
        <v>0</v>
      </c>
      <c r="G58" s="341">
        <f t="shared" si="24"/>
        <v>0</v>
      </c>
      <c r="H58" s="341">
        <f t="shared" si="24"/>
        <v>0</v>
      </c>
      <c r="I58" s="341">
        <f t="shared" si="24"/>
        <v>0</v>
      </c>
      <c r="J58" s="341">
        <f t="shared" si="24"/>
        <v>0</v>
      </c>
      <c r="K58" s="341">
        <f t="shared" si="24"/>
        <v>0</v>
      </c>
      <c r="L58" s="341">
        <f t="shared" si="24"/>
        <v>0</v>
      </c>
      <c r="M58" s="341">
        <f t="shared" si="24"/>
        <v>0</v>
      </c>
      <c r="N58" s="341">
        <f t="shared" si="24"/>
        <v>0</v>
      </c>
      <c r="O58" s="341">
        <f t="shared" si="24"/>
        <v>0</v>
      </c>
      <c r="P58" s="341">
        <f t="shared" si="24"/>
        <v>0</v>
      </c>
      <c r="Q58" s="341">
        <f t="shared" si="24"/>
        <v>0</v>
      </c>
      <c r="R58" s="341">
        <f t="shared" si="24"/>
        <v>0</v>
      </c>
      <c r="S58" s="341">
        <f>+S53*0.4</f>
        <v>0</v>
      </c>
      <c r="T58" s="341">
        <f>+T53*0.4</f>
        <v>0</v>
      </c>
      <c r="U58" s="341">
        <f>+U53*0.4</f>
        <v>0</v>
      </c>
      <c r="V58" s="341">
        <f>+V53*0.4</f>
        <v>0</v>
      </c>
      <c r="W58" s="341">
        <f>+W53*0.4</f>
        <v>0</v>
      </c>
    </row>
    <row r="59" spans="1:23" s="9" customFormat="1" x14ac:dyDescent="0.2">
      <c r="A59" s="284"/>
      <c r="B59" s="303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</row>
    <row r="60" spans="1:23" s="9" customFormat="1" x14ac:dyDescent="0.2">
      <c r="A60" s="284" t="s">
        <v>200</v>
      </c>
      <c r="B60" s="303"/>
      <c r="C60" s="277"/>
      <c r="D60" s="341">
        <f t="shared" ref="D60:R60" si="25">+D55-D58</f>
        <v>0</v>
      </c>
      <c r="E60" s="341">
        <f t="shared" si="25"/>
        <v>0</v>
      </c>
      <c r="F60" s="341">
        <f t="shared" si="25"/>
        <v>0</v>
      </c>
      <c r="G60" s="341">
        <f t="shared" si="25"/>
        <v>0</v>
      </c>
      <c r="H60" s="341">
        <f t="shared" si="25"/>
        <v>0</v>
      </c>
      <c r="I60" s="341">
        <f t="shared" si="25"/>
        <v>0</v>
      </c>
      <c r="J60" s="341">
        <f t="shared" si="25"/>
        <v>0</v>
      </c>
      <c r="K60" s="341">
        <f t="shared" si="25"/>
        <v>0</v>
      </c>
      <c r="L60" s="341">
        <f t="shared" si="25"/>
        <v>0</v>
      </c>
      <c r="M60" s="341">
        <f t="shared" si="25"/>
        <v>0</v>
      </c>
      <c r="N60" s="341">
        <f t="shared" si="25"/>
        <v>0</v>
      </c>
      <c r="O60" s="341">
        <f t="shared" si="25"/>
        <v>0</v>
      </c>
      <c r="P60" s="341">
        <f t="shared" si="25"/>
        <v>0</v>
      </c>
      <c r="Q60" s="341">
        <f t="shared" si="25"/>
        <v>0</v>
      </c>
      <c r="R60" s="341">
        <f t="shared" si="25"/>
        <v>0</v>
      </c>
      <c r="S60" s="341">
        <f>+S55-S58</f>
        <v>0</v>
      </c>
      <c r="T60" s="341">
        <f>+T55-T58</f>
        <v>0</v>
      </c>
      <c r="U60" s="341">
        <f>+U55-U58</f>
        <v>0</v>
      </c>
      <c r="V60" s="341">
        <f>+V55-V58</f>
        <v>0</v>
      </c>
      <c r="W60" s="341">
        <f>+W55-W58</f>
        <v>0</v>
      </c>
    </row>
    <row r="61" spans="1:23" s="9" customFormat="1" x14ac:dyDescent="0.2">
      <c r="A61" s="277"/>
      <c r="B61" s="303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</row>
    <row r="62" spans="1:23" s="9" customFormat="1" x14ac:dyDescent="0.2">
      <c r="A62" s="277"/>
      <c r="B62" s="303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</row>
    <row r="63" spans="1:23" s="9" customFormat="1" x14ac:dyDescent="0.2">
      <c r="A63" s="284" t="s">
        <v>202</v>
      </c>
      <c r="B63" s="279"/>
      <c r="C63" s="278"/>
      <c r="D63" s="435">
        <f t="shared" ref="D63:W63" si="26">+D25-D60</f>
        <v>47655952.335783407</v>
      </c>
      <c r="E63" s="435">
        <f t="shared" si="26"/>
        <v>41291946.440219074</v>
      </c>
      <c r="F63" s="435">
        <f t="shared" si="26"/>
        <v>40184292.732234687</v>
      </c>
      <c r="G63" s="435">
        <f t="shared" si="26"/>
        <v>33792264.327391692</v>
      </c>
      <c r="H63" s="435">
        <f t="shared" si="26"/>
        <v>33502034.899249371</v>
      </c>
      <c r="I63" s="435">
        <f t="shared" si="26"/>
        <v>34267867.646887183</v>
      </c>
      <c r="J63" s="435">
        <f t="shared" si="26"/>
        <v>37878664.591822505</v>
      </c>
      <c r="K63" s="435">
        <f t="shared" si="26"/>
        <v>45078916.34320797</v>
      </c>
      <c r="L63" s="435">
        <f t="shared" si="26"/>
        <v>44001230.545500845</v>
      </c>
      <c r="M63" s="435">
        <f t="shared" si="26"/>
        <v>42682392.088083096</v>
      </c>
      <c r="N63" s="435">
        <f t="shared" si="26"/>
        <v>41124259.216248974</v>
      </c>
      <c r="O63" s="435">
        <f t="shared" si="26"/>
        <v>41591024.340620756</v>
      </c>
      <c r="P63" s="435">
        <f t="shared" si="26"/>
        <v>41133807.324090213</v>
      </c>
      <c r="Q63" s="435">
        <f t="shared" si="26"/>
        <v>45490064.375548013</v>
      </c>
      <c r="R63" s="435">
        <f t="shared" si="26"/>
        <v>38778453.243075773</v>
      </c>
      <c r="S63" s="435">
        <f t="shared" si="26"/>
        <v>35338376.044380732</v>
      </c>
      <c r="T63" s="435">
        <f t="shared" si="26"/>
        <v>36575823.546123102</v>
      </c>
      <c r="U63" s="435">
        <f t="shared" si="26"/>
        <v>39539474.639379948</v>
      </c>
      <c r="V63" s="435">
        <f t="shared" si="26"/>
        <v>39324582.449403852</v>
      </c>
      <c r="W63" s="435">
        <f t="shared" si="26"/>
        <v>246752454.99687415</v>
      </c>
    </row>
    <row r="64" spans="1:23" s="9" customFormat="1" x14ac:dyDescent="0.2">
      <c r="B64" s="69"/>
    </row>
    <row r="65" spans="1:22" s="9" customFormat="1" x14ac:dyDescent="0.2">
      <c r="B65" s="313" t="s">
        <v>170</v>
      </c>
      <c r="C65" s="437">
        <f>NPV($B$3,D63:H63)</f>
        <v>151522921.55412644</v>
      </c>
    </row>
    <row r="66" spans="1:22" s="9" customFormat="1" x14ac:dyDescent="0.2">
      <c r="B66" s="313" t="s">
        <v>180</v>
      </c>
      <c r="C66" s="437">
        <f>(NPV($B$3,I63:V63)/(1+$B$3)^5)</f>
        <v>184239025.68653578</v>
      </c>
    </row>
    <row r="67" spans="1:22" s="9" customFormat="1" x14ac:dyDescent="0.2">
      <c r="B67" s="313" t="s">
        <v>137</v>
      </c>
      <c r="C67" s="437">
        <f>(W63/(1+$B$3)^(20))</f>
        <v>36678180.134599566</v>
      </c>
    </row>
    <row r="68" spans="1:22" s="9" customFormat="1" ht="13.5" thickBot="1" x14ac:dyDescent="0.25">
      <c r="B68" s="318" t="s">
        <v>203</v>
      </c>
      <c r="C68" s="319">
        <f>$C$47</f>
        <v>0</v>
      </c>
    </row>
    <row r="69" spans="1:22" s="9" customFormat="1" ht="13.5" thickTop="1" x14ac:dyDescent="0.2">
      <c r="B69" s="313" t="s">
        <v>28</v>
      </c>
      <c r="C69" s="362">
        <f>NPV($B$3,C63:W63)+C68</f>
        <v>372440127.37526184</v>
      </c>
      <c r="D69" s="299"/>
    </row>
    <row r="70" spans="1:22" s="9" customFormat="1" x14ac:dyDescent="0.2">
      <c r="B70" s="69"/>
    </row>
    <row r="74" spans="1:22" s="2" customFormat="1" ht="11.25" x14ac:dyDescent="0.2"/>
    <row r="77" spans="1:22" x14ac:dyDescent="0.2">
      <c r="A77" s="259" t="s">
        <v>98</v>
      </c>
      <c r="B77" s="260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</row>
    <row r="78" spans="1:22" x14ac:dyDescent="0.2">
      <c r="A78" s="262" t="str">
        <f>B6</f>
        <v>VMC</v>
      </c>
      <c r="B78" s="260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</row>
    <row r="79" spans="1:22" x14ac:dyDescent="0.2">
      <c r="A79" s="261"/>
      <c r="B79" s="260"/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</row>
    <row r="80" spans="1:22" x14ac:dyDescent="0.2">
      <c r="A80" s="261"/>
      <c r="B80" s="260"/>
      <c r="C80" s="265">
        <v>2000</v>
      </c>
      <c r="D80" s="266">
        <v>2001</v>
      </c>
      <c r="E80" s="266">
        <v>2002</v>
      </c>
      <c r="F80" s="266">
        <v>2003</v>
      </c>
      <c r="G80" s="266">
        <v>2004</v>
      </c>
      <c r="H80" s="266">
        <v>2005</v>
      </c>
      <c r="I80" s="266">
        <v>2006</v>
      </c>
      <c r="J80" s="266">
        <v>2007</v>
      </c>
      <c r="K80" s="266">
        <v>2008</v>
      </c>
      <c r="L80" s="266">
        <v>2009</v>
      </c>
      <c r="M80" s="266">
        <v>2010</v>
      </c>
      <c r="N80" s="266">
        <v>2011</v>
      </c>
      <c r="O80" s="266">
        <v>2012</v>
      </c>
      <c r="P80" s="266">
        <v>2013</v>
      </c>
      <c r="Q80" s="266">
        <v>2014</v>
      </c>
      <c r="R80" s="266">
        <v>2015</v>
      </c>
      <c r="S80" s="266">
        <v>2016</v>
      </c>
      <c r="T80" s="266">
        <v>2017</v>
      </c>
      <c r="U80" s="266">
        <v>2018</v>
      </c>
      <c r="V80" s="266">
        <v>2019</v>
      </c>
    </row>
    <row r="81" spans="1:22" x14ac:dyDescent="0.2">
      <c r="A81" s="263" t="s">
        <v>129</v>
      </c>
      <c r="B81" s="260"/>
      <c r="C81" s="267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</row>
    <row r="82" spans="1:22" x14ac:dyDescent="0.2">
      <c r="A82" s="261"/>
      <c r="B82" s="264" t="s">
        <v>97</v>
      </c>
      <c r="C82" s="269">
        <f t="shared" ref="C82:V82" si="27">C83*8760*$B$2</f>
        <v>0</v>
      </c>
      <c r="D82" s="270">
        <f t="shared" si="27"/>
        <v>1255019.8878530688</v>
      </c>
      <c r="E82" s="270">
        <f t="shared" si="27"/>
        <v>1524012.9778088196</v>
      </c>
      <c r="F82" s="270">
        <f t="shared" si="27"/>
        <v>1874739.9347440565</v>
      </c>
      <c r="G82" s="270">
        <f t="shared" si="27"/>
        <v>1472338.398835778</v>
      </c>
      <c r="H82" s="270">
        <f t="shared" si="27"/>
        <v>1552437.6218120418</v>
      </c>
      <c r="I82" s="270">
        <f t="shared" si="27"/>
        <v>1900804.5353938248</v>
      </c>
      <c r="J82" s="270">
        <f t="shared" si="27"/>
        <v>2034754.535393825</v>
      </c>
      <c r="K82" s="270">
        <f t="shared" si="27"/>
        <v>2405191.3622687003</v>
      </c>
      <c r="L82" s="270">
        <f t="shared" si="27"/>
        <v>2328361.4272988806</v>
      </c>
      <c r="M82" s="270">
        <f t="shared" si="27"/>
        <v>1979539.8913906023</v>
      </c>
      <c r="N82" s="270">
        <f t="shared" si="27"/>
        <v>2303206.0713021033</v>
      </c>
      <c r="O82" s="270">
        <f t="shared" si="27"/>
        <v>2088334.535393825</v>
      </c>
      <c r="P82" s="270">
        <f t="shared" si="27"/>
        <v>2031214.470363644</v>
      </c>
      <c r="Q82" s="270">
        <f t="shared" si="27"/>
        <v>2193589.1143668666</v>
      </c>
      <c r="R82" s="270">
        <f t="shared" si="27"/>
        <v>2326813.7150166351</v>
      </c>
      <c r="S82" s="270">
        <f t="shared" si="27"/>
        <v>1900804.535393825</v>
      </c>
      <c r="T82" s="270">
        <f t="shared" si="27"/>
        <v>1708825.2257106528</v>
      </c>
      <c r="U82" s="270">
        <f t="shared" si="27"/>
        <v>1550077.5784585879</v>
      </c>
      <c r="V82" s="270">
        <f t="shared" si="27"/>
        <v>1874285.312417561</v>
      </c>
    </row>
    <row r="83" spans="1:22" x14ac:dyDescent="0.2">
      <c r="A83" s="261"/>
      <c r="B83" s="264" t="s">
        <v>91</v>
      </c>
      <c r="C83" s="269">
        <f>IF(C2="BL",'Base Hours'!$Y$21/8760,'Peak Hours'!$W$21/8760)</f>
        <v>0</v>
      </c>
      <c r="D83" s="271">
        <f>IF(C2="BL",'Base Hours'!$Y$33/8760,'Peak Hours'!$W$33/8760)</f>
        <v>0.2032157595539151</v>
      </c>
      <c r="E83" s="271">
        <f>IF(C2="BL",'Base Hours'!$Y$45/8760,'Peak Hours'!$W$45/8760)</f>
        <v>0.24677175067340582</v>
      </c>
      <c r="F83" s="271">
        <f>IF(C2="BL",'Base Hours'!$Y$57/8760,'Peak Hours'!$W$57/8760)</f>
        <v>0.30356228095858939</v>
      </c>
      <c r="G83" s="271">
        <f>IF(C2="BL",'Base Hours'!$Y$69/8760,'Peak Hours'!$W$69/8760)</f>
        <v>0.23840448182191423</v>
      </c>
      <c r="H83" s="271">
        <f>IF(C2="BL",'Base Hours'!$Y$81/8760,'Peak Hours'!$W$81/8760)</f>
        <v>0.25137433560219596</v>
      </c>
      <c r="I83" s="271">
        <f>IF(C2="BL",'Base Hours'!$Y$93/8760,'Peak Hours'!$W$93/8760)</f>
        <v>0.30778272214026114</v>
      </c>
      <c r="J83" s="271">
        <f>IF(C2="BL",'Base Hours'!$Y$105/8760,'Peak Hours'!$W$105/8760)</f>
        <v>0.32947221985715619</v>
      </c>
      <c r="K83" s="271">
        <f>IF(C2="BL",'Base Hours'!$Y$117/8760,'Peak Hours'!$W$117/8760)</f>
        <v>0.38945421844436351</v>
      </c>
      <c r="L83" s="271">
        <f>IF(C2="BL",'Base Hours'!$Y$129/8760,'Peak Hours'!$W$129/8760)</f>
        <v>0.37701373543490407</v>
      </c>
      <c r="M83" s="271">
        <f>IF(C2="BL",'Base Hours'!$Y$141/8760,'Peak Hours'!$W$141/8760)</f>
        <v>0.32053173538498692</v>
      </c>
      <c r="N83" s="271">
        <f>IF(C2="BL",'Base Hours'!$Y$153/8760,'Peak Hours'!$W$153/8760)</f>
        <v>0.37294052127693633</v>
      </c>
      <c r="O83" s="271">
        <f>IF(C2="BL",'Base Hours'!$Y$165/8760,'Peak Hours'!$W$165/8760)</f>
        <v>0.33814801894391416</v>
      </c>
      <c r="P83" s="271">
        <f>IF(C2="BL",'Base Hours'!$Y$177/8760,'Peak Hours'!$W$177/8760)</f>
        <v>0.3288990042364785</v>
      </c>
      <c r="Q83" s="271">
        <f>IF(C2="BL",'Base Hours'!$Y$189/8760,'Peak Hours'!$W$189/8760)</f>
        <v>0.35519108688216372</v>
      </c>
      <c r="R83" s="271">
        <f>IF(C2="BL",'Base Hours'!$Y$201/8760,'Peak Hours'!$W$201/8760)</f>
        <v>0.37676312623735142</v>
      </c>
      <c r="S83" s="271">
        <f>IF(C2="BL",'Base Hours'!$Y$213/8760,'Peak Hours'!$W$213/8760)</f>
        <v>0.3077827221402612</v>
      </c>
      <c r="T83" s="271">
        <f>IF(C2="BL",'Base Hours'!$Y$225/8760,'Peak Hours'!$W$225/8760)</f>
        <v>0.27669698269222659</v>
      </c>
      <c r="U83" s="271">
        <f>IF(C2="BL",'Base Hours'!$Y$237/8760,'Peak Hours'!$W$237/8760)</f>
        <v>0.25099219185507754</v>
      </c>
      <c r="V83" s="271">
        <f>IF(C2="BL",'Base Hours'!$Y$249/8760,'Peak Hours'!$W$249/8760)</f>
        <v>0.30348866744673741</v>
      </c>
    </row>
    <row r="84" spans="1:22" x14ac:dyDescent="0.2">
      <c r="A84" s="263" t="s">
        <v>93</v>
      </c>
      <c r="B84" s="264"/>
      <c r="C84" s="267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</row>
    <row r="85" spans="1:22" x14ac:dyDescent="0.2">
      <c r="A85" s="261"/>
      <c r="B85" s="264" t="s">
        <v>27</v>
      </c>
      <c r="C85" s="272">
        <f t="shared" ref="C85:V85" si="28">IF(C83=0,0,C8/C82)</f>
        <v>0</v>
      </c>
      <c r="D85" s="273">
        <f t="shared" si="28"/>
        <v>95.916974469907927</v>
      </c>
      <c r="E85" s="273">
        <f t="shared" si="28"/>
        <v>77.131927740250447</v>
      </c>
      <c r="F85" s="273">
        <f t="shared" si="28"/>
        <v>68.552837515241933</v>
      </c>
      <c r="G85" s="273">
        <f t="shared" si="28"/>
        <v>70.762849313531262</v>
      </c>
      <c r="H85" s="273">
        <f t="shared" si="28"/>
        <v>70.390112792033889</v>
      </c>
      <c r="I85" s="273">
        <f t="shared" si="28"/>
        <v>66.499919600625802</v>
      </c>
      <c r="J85" s="273">
        <f t="shared" si="28"/>
        <v>68.12265116835357</v>
      </c>
      <c r="K85" s="273">
        <f t="shared" si="28"/>
        <v>66.623132964959566</v>
      </c>
      <c r="L85" s="273">
        <f t="shared" si="28"/>
        <v>67.930624854974056</v>
      </c>
      <c r="M85" s="273">
        <f t="shared" si="28"/>
        <v>73.740871462922144</v>
      </c>
      <c r="N85" s="273">
        <f t="shared" si="28"/>
        <v>68.511573296774571</v>
      </c>
      <c r="O85" s="273">
        <f t="shared" si="28"/>
        <v>71.686296759698521</v>
      </c>
      <c r="P85" s="273">
        <f t="shared" si="28"/>
        <v>74.502760041726461</v>
      </c>
      <c r="Q85" s="273">
        <f t="shared" si="28"/>
        <v>75.546332146886144</v>
      </c>
      <c r="R85" s="273">
        <f t="shared" si="28"/>
        <v>75.850290556521841</v>
      </c>
      <c r="S85" s="273">
        <f t="shared" si="28"/>
        <v>81.108822992809905</v>
      </c>
      <c r="T85" s="273">
        <f t="shared" si="28"/>
        <v>88.271694811738087</v>
      </c>
      <c r="U85" s="273">
        <f t="shared" si="28"/>
        <v>97.856296619664832</v>
      </c>
      <c r="V85" s="273">
        <f t="shared" si="28"/>
        <v>90.118780696878275</v>
      </c>
    </row>
    <row r="86" spans="1:22" x14ac:dyDescent="0.2">
      <c r="A86" s="261"/>
      <c r="B86" s="264" t="s">
        <v>20</v>
      </c>
      <c r="C86" s="272">
        <f t="shared" ref="C86:V86" si="29">IF(C83=0,0,-C9/C82)</f>
        <v>0</v>
      </c>
      <c r="D86" s="273">
        <f t="shared" si="29"/>
        <v>46.273639005876639</v>
      </c>
      <c r="E86" s="273">
        <f t="shared" si="29"/>
        <v>41.61815461301871</v>
      </c>
      <c r="F86" s="273">
        <f t="shared" si="29"/>
        <v>39.461368169172943</v>
      </c>
      <c r="G86" s="273">
        <f t="shared" si="29"/>
        <v>39.874366809233862</v>
      </c>
      <c r="H86" s="273">
        <f t="shared" si="29"/>
        <v>40.280077908468172</v>
      </c>
      <c r="I86" s="273">
        <f t="shared" si="29"/>
        <v>40.662217067129809</v>
      </c>
      <c r="J86" s="273">
        <f t="shared" si="29"/>
        <v>40.929679032061664</v>
      </c>
      <c r="K86" s="273">
        <f t="shared" si="29"/>
        <v>38.482596605254692</v>
      </c>
      <c r="L86" s="273">
        <f t="shared" si="29"/>
        <v>39.59618432955542</v>
      </c>
      <c r="M86" s="273">
        <f t="shared" si="29"/>
        <v>41.605209911524057</v>
      </c>
      <c r="N86" s="273">
        <f t="shared" si="29"/>
        <v>41.852558885436778</v>
      </c>
      <c r="O86" s="273">
        <f t="shared" si="29"/>
        <v>41.942382306010607</v>
      </c>
      <c r="P86" s="273">
        <f t="shared" si="29"/>
        <v>44.259050858640059</v>
      </c>
      <c r="Q86" s="273">
        <f t="shared" si="29"/>
        <v>44.114795618740757</v>
      </c>
      <c r="R86" s="273">
        <f t="shared" si="29"/>
        <v>48.018986708327276</v>
      </c>
      <c r="S86" s="273">
        <f t="shared" si="29"/>
        <v>50.434676999395762</v>
      </c>
      <c r="T86" s="273">
        <f t="shared" si="29"/>
        <v>52.963102837180273</v>
      </c>
      <c r="U86" s="273">
        <f t="shared" si="29"/>
        <v>55.751260814561554</v>
      </c>
      <c r="V86" s="273">
        <f t="shared" si="29"/>
        <v>55.265178781517676</v>
      </c>
    </row>
    <row r="87" spans="1:22" x14ac:dyDescent="0.2">
      <c r="A87" s="261"/>
      <c r="B87" s="264" t="s">
        <v>92</v>
      </c>
      <c r="C87" s="272">
        <f t="shared" ref="C87:V87" si="30">IF(C83=0,0,-C10/C82)</f>
        <v>0</v>
      </c>
      <c r="D87" s="273">
        <f t="shared" si="30"/>
        <v>0.62123066096215429</v>
      </c>
      <c r="E87" s="273">
        <f t="shared" si="30"/>
        <v>0.63313832487914279</v>
      </c>
      <c r="F87" s="273">
        <f t="shared" si="30"/>
        <v>0.6463720236848931</v>
      </c>
      <c r="G87" s="273">
        <f t="shared" si="30"/>
        <v>0.65943941578038046</v>
      </c>
      <c r="H87" s="273">
        <f t="shared" si="30"/>
        <v>0.67309278084843327</v>
      </c>
      <c r="I87" s="273">
        <f t="shared" si="30"/>
        <v>0.68638620817887541</v>
      </c>
      <c r="J87" s="273">
        <f t="shared" si="30"/>
        <v>0.70015396898282289</v>
      </c>
      <c r="K87" s="273">
        <f t="shared" si="30"/>
        <v>0.7139215152301478</v>
      </c>
      <c r="L87" s="273">
        <f t="shared" si="30"/>
        <v>0.72837955956035083</v>
      </c>
      <c r="M87" s="273">
        <f t="shared" si="30"/>
        <v>0.74369926427722044</v>
      </c>
      <c r="N87" s="273">
        <f t="shared" si="30"/>
        <v>0.75818065502780418</v>
      </c>
      <c r="O87" s="273">
        <f t="shared" si="30"/>
        <v>0.77383482824704586</v>
      </c>
      <c r="P87" s="273">
        <f t="shared" si="30"/>
        <v>0.7893415122926728</v>
      </c>
      <c r="Q87" s="273">
        <f t="shared" si="30"/>
        <v>0.8053111576118146</v>
      </c>
      <c r="R87" s="273">
        <f t="shared" si="30"/>
        <v>0.82153745182204885</v>
      </c>
      <c r="S87" s="273">
        <f t="shared" si="30"/>
        <v>0.83782534043715717</v>
      </c>
      <c r="T87" s="273">
        <f t="shared" si="30"/>
        <v>0.85570589646761341</v>
      </c>
      <c r="U87" s="273">
        <f t="shared" si="30"/>
        <v>0.87232044164397482</v>
      </c>
      <c r="V87" s="273">
        <f t="shared" si="30"/>
        <v>0.88955401416785096</v>
      </c>
    </row>
    <row r="88" spans="1:22" x14ac:dyDescent="0.2">
      <c r="A88" s="261"/>
      <c r="B88" s="264" t="s">
        <v>22</v>
      </c>
      <c r="C88" s="272">
        <f t="shared" ref="C88:V88" si="31">IF(C83=0,0,-C11/C82)</f>
        <v>0</v>
      </c>
      <c r="D88" s="273">
        <f t="shared" si="31"/>
        <v>0</v>
      </c>
      <c r="E88" s="273">
        <f t="shared" si="31"/>
        <v>0</v>
      </c>
      <c r="F88" s="273">
        <f t="shared" si="31"/>
        <v>0</v>
      </c>
      <c r="G88" s="273">
        <f t="shared" si="31"/>
        <v>0</v>
      </c>
      <c r="H88" s="273">
        <f t="shared" si="31"/>
        <v>0</v>
      </c>
      <c r="I88" s="273">
        <f t="shared" si="31"/>
        <v>0</v>
      </c>
      <c r="J88" s="273">
        <f t="shared" si="31"/>
        <v>0</v>
      </c>
      <c r="K88" s="273">
        <f t="shared" si="31"/>
        <v>0</v>
      </c>
      <c r="L88" s="273">
        <f t="shared" si="31"/>
        <v>0</v>
      </c>
      <c r="M88" s="273">
        <f t="shared" si="31"/>
        <v>0</v>
      </c>
      <c r="N88" s="273">
        <f t="shared" si="31"/>
        <v>0</v>
      </c>
      <c r="O88" s="273">
        <f t="shared" si="31"/>
        <v>0</v>
      </c>
      <c r="P88" s="273">
        <f t="shared" si="31"/>
        <v>0</v>
      </c>
      <c r="Q88" s="273">
        <f t="shared" si="31"/>
        <v>0</v>
      </c>
      <c r="R88" s="273">
        <f t="shared" si="31"/>
        <v>0</v>
      </c>
      <c r="S88" s="273">
        <f t="shared" si="31"/>
        <v>0</v>
      </c>
      <c r="T88" s="273">
        <f t="shared" si="31"/>
        <v>0</v>
      </c>
      <c r="U88" s="273">
        <f t="shared" si="31"/>
        <v>0</v>
      </c>
      <c r="V88" s="273">
        <f t="shared" si="31"/>
        <v>0</v>
      </c>
    </row>
    <row r="89" spans="1:22" x14ac:dyDescent="0.2">
      <c r="A89" s="261"/>
      <c r="B89" s="264" t="s">
        <v>23</v>
      </c>
      <c r="C89" s="272">
        <f t="shared" ref="C89:V89" si="32">IF(C83=0,0,-C12/C82)</f>
        <v>0</v>
      </c>
      <c r="D89" s="273">
        <f t="shared" si="32"/>
        <v>0</v>
      </c>
      <c r="E89" s="273">
        <f t="shared" si="32"/>
        <v>0</v>
      </c>
      <c r="F89" s="273">
        <f t="shared" si="32"/>
        <v>0</v>
      </c>
      <c r="G89" s="273">
        <f t="shared" si="32"/>
        <v>0</v>
      </c>
      <c r="H89" s="273">
        <f t="shared" si="32"/>
        <v>0</v>
      </c>
      <c r="I89" s="273">
        <f t="shared" si="32"/>
        <v>0</v>
      </c>
      <c r="J89" s="273">
        <f t="shared" si="32"/>
        <v>0</v>
      </c>
      <c r="K89" s="273">
        <f t="shared" si="32"/>
        <v>0</v>
      </c>
      <c r="L89" s="273">
        <f t="shared" si="32"/>
        <v>0</v>
      </c>
      <c r="M89" s="273">
        <f t="shared" si="32"/>
        <v>0</v>
      </c>
      <c r="N89" s="273">
        <f t="shared" si="32"/>
        <v>0</v>
      </c>
      <c r="O89" s="273">
        <f t="shared" si="32"/>
        <v>0</v>
      </c>
      <c r="P89" s="273">
        <f t="shared" si="32"/>
        <v>0</v>
      </c>
      <c r="Q89" s="273">
        <f t="shared" si="32"/>
        <v>0</v>
      </c>
      <c r="R89" s="273">
        <f t="shared" si="32"/>
        <v>0</v>
      </c>
      <c r="S89" s="273">
        <f t="shared" si="32"/>
        <v>0</v>
      </c>
      <c r="T89" s="273">
        <f t="shared" si="32"/>
        <v>0</v>
      </c>
      <c r="U89" s="273">
        <f t="shared" si="32"/>
        <v>0</v>
      </c>
      <c r="V89" s="273">
        <f t="shared" si="32"/>
        <v>0</v>
      </c>
    </row>
    <row r="90" spans="1:22" x14ac:dyDescent="0.2">
      <c r="A90" s="263" t="s">
        <v>94</v>
      </c>
      <c r="B90" s="264"/>
      <c r="C90" s="267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</row>
    <row r="91" spans="1:22" x14ac:dyDescent="0.2">
      <c r="A91" s="261"/>
      <c r="B91" s="264" t="s">
        <v>34</v>
      </c>
      <c r="C91" s="272">
        <f t="shared" ref="C91:V91" si="33">IF(C83=0,0,-C14/($B$2*1000))</f>
        <v>0</v>
      </c>
      <c r="D91" s="273">
        <f t="shared" si="33"/>
        <v>4.59</v>
      </c>
      <c r="E91" s="273">
        <f t="shared" si="33"/>
        <v>4.6818</v>
      </c>
      <c r="F91" s="273">
        <f t="shared" si="33"/>
        <v>4.775436</v>
      </c>
      <c r="G91" s="273">
        <f t="shared" si="33"/>
        <v>4.8709447199999998</v>
      </c>
      <c r="H91" s="273">
        <f t="shared" si="33"/>
        <v>4.9683636144000003</v>
      </c>
      <c r="I91" s="273">
        <f t="shared" si="33"/>
        <v>5.0677308866880004</v>
      </c>
      <c r="J91" s="273">
        <f t="shared" si="33"/>
        <v>5.1690855044217603</v>
      </c>
      <c r="K91" s="273">
        <f t="shared" si="33"/>
        <v>5.2724672145101952</v>
      </c>
      <c r="L91" s="273">
        <f t="shared" si="33"/>
        <v>5.3779165588003996</v>
      </c>
      <c r="M91" s="273">
        <f t="shared" si="33"/>
        <v>5.4854748899764072</v>
      </c>
      <c r="N91" s="273">
        <f t="shared" si="33"/>
        <v>5.5951843877759355</v>
      </c>
      <c r="O91" s="273">
        <f t="shared" si="33"/>
        <v>5.7070880755314537</v>
      </c>
      <c r="P91" s="273">
        <f t="shared" si="33"/>
        <v>5.8212298370420825</v>
      </c>
      <c r="Q91" s="273">
        <f t="shared" si="33"/>
        <v>5.9376544337829245</v>
      </c>
      <c r="R91" s="273">
        <f t="shared" si="33"/>
        <v>6.0564075224585832</v>
      </c>
      <c r="S91" s="273">
        <f t="shared" si="33"/>
        <v>6.1775356729077542</v>
      </c>
      <c r="T91" s="273">
        <f t="shared" si="33"/>
        <v>6.3010863863659097</v>
      </c>
      <c r="U91" s="273">
        <f t="shared" si="33"/>
        <v>6.4271081140932278</v>
      </c>
      <c r="V91" s="273">
        <f t="shared" si="33"/>
        <v>6.5556502763750926</v>
      </c>
    </row>
    <row r="92" spans="1:22" x14ac:dyDescent="0.2">
      <c r="A92" s="261"/>
      <c r="B92" s="264" t="s">
        <v>95</v>
      </c>
      <c r="C92" s="272">
        <f t="shared" ref="C92:V92" si="34">IF(C83=0,0,-C15/($B$2*1000))</f>
        <v>0</v>
      </c>
      <c r="D92" s="273">
        <f t="shared" si="34"/>
        <v>0.24342209829343969</v>
      </c>
      <c r="E92" s="273">
        <f t="shared" si="34"/>
        <v>0.24342209829343969</v>
      </c>
      <c r="F92" s="273">
        <f t="shared" si="34"/>
        <v>0.24342209829343969</v>
      </c>
      <c r="G92" s="273">
        <f t="shared" si="34"/>
        <v>0.24342209829343969</v>
      </c>
      <c r="H92" s="273">
        <f t="shared" si="34"/>
        <v>0.24342209829343969</v>
      </c>
      <c r="I92" s="273">
        <f t="shared" si="34"/>
        <v>0.24342209829343969</v>
      </c>
      <c r="J92" s="273">
        <f t="shared" si="34"/>
        <v>0.24342209829343969</v>
      </c>
      <c r="K92" s="273">
        <f t="shared" si="34"/>
        <v>0.24342209829343969</v>
      </c>
      <c r="L92" s="273">
        <f t="shared" si="34"/>
        <v>0.24342209829343969</v>
      </c>
      <c r="M92" s="273">
        <f t="shared" si="34"/>
        <v>0.24342209829343969</v>
      </c>
      <c r="N92" s="273">
        <f t="shared" si="34"/>
        <v>0.24342209829343969</v>
      </c>
      <c r="O92" s="273">
        <f t="shared" si="34"/>
        <v>0.24342209829343969</v>
      </c>
      <c r="P92" s="273">
        <f t="shared" si="34"/>
        <v>0.24342209829343969</v>
      </c>
      <c r="Q92" s="273">
        <f t="shared" si="34"/>
        <v>0.24342209829343969</v>
      </c>
      <c r="R92" s="273">
        <f t="shared" si="34"/>
        <v>0.24342209829343969</v>
      </c>
      <c r="S92" s="273">
        <f t="shared" si="34"/>
        <v>0.24342209829343969</v>
      </c>
      <c r="T92" s="273">
        <f t="shared" si="34"/>
        <v>0.24342209829343969</v>
      </c>
      <c r="U92" s="273">
        <f t="shared" si="34"/>
        <v>0.24342209829343969</v>
      </c>
      <c r="V92" s="273">
        <f t="shared" si="34"/>
        <v>0.24342209829343969</v>
      </c>
    </row>
    <row r="93" spans="1:22" x14ac:dyDescent="0.2">
      <c r="A93" s="261"/>
      <c r="B93" s="264" t="s">
        <v>36</v>
      </c>
      <c r="C93" s="272">
        <f t="shared" ref="C93:V93" si="35">IF(C83=0,0,-C16/($B$2*1000))</f>
        <v>0</v>
      </c>
      <c r="D93" s="273">
        <f t="shared" si="35"/>
        <v>0.53177304964539007</v>
      </c>
      <c r="E93" s="273">
        <f t="shared" si="35"/>
        <v>0.54347205673758858</v>
      </c>
      <c r="F93" s="273">
        <f t="shared" si="35"/>
        <v>0.55542844198581565</v>
      </c>
      <c r="G93" s="273">
        <f t="shared" si="35"/>
        <v>0.56764786770950348</v>
      </c>
      <c r="H93" s="273">
        <f t="shared" si="35"/>
        <v>0.58013612079911214</v>
      </c>
      <c r="I93" s="273">
        <f t="shared" si="35"/>
        <v>0.5928991154566936</v>
      </c>
      <c r="J93" s="273">
        <f t="shared" si="35"/>
        <v>0.60594289599674045</v>
      </c>
      <c r="K93" s="273">
        <f t="shared" si="35"/>
        <v>0.61927363970866811</v>
      </c>
      <c r="L93" s="273">
        <f t="shared" si="35"/>
        <v>0.63289765978225954</v>
      </c>
      <c r="M93" s="273">
        <f t="shared" si="35"/>
        <v>0.64682140829746948</v>
      </c>
      <c r="N93" s="273">
        <f t="shared" si="35"/>
        <v>0.66105147928001284</v>
      </c>
      <c r="O93" s="273">
        <f t="shared" si="35"/>
        <v>0.67559461182417446</v>
      </c>
      <c r="P93" s="273">
        <f t="shared" si="35"/>
        <v>0.69045769328430495</v>
      </c>
      <c r="Q93" s="273">
        <f t="shared" si="35"/>
        <v>0.70564776253656025</v>
      </c>
      <c r="R93" s="273">
        <f t="shared" si="35"/>
        <v>0.72117201331236458</v>
      </c>
      <c r="S93" s="273">
        <f t="shared" si="35"/>
        <v>0.73703779760523691</v>
      </c>
      <c r="T93" s="273">
        <f t="shared" si="35"/>
        <v>0.75325262915255187</v>
      </c>
      <c r="U93" s="273">
        <f t="shared" si="35"/>
        <v>0.76982418699390787</v>
      </c>
      <c r="V93" s="273">
        <f t="shared" si="35"/>
        <v>0.78676031910777444</v>
      </c>
    </row>
    <row r="94" spans="1:22" x14ac:dyDescent="0.2">
      <c r="A94" s="261"/>
      <c r="B94" s="264" t="s">
        <v>39</v>
      </c>
      <c r="C94" s="272">
        <f t="shared" ref="C94:V94" si="36">IF(C83=0,0,-C22/($B$2*1000))</f>
        <v>0</v>
      </c>
      <c r="D94" s="273">
        <f t="shared" si="36"/>
        <v>0</v>
      </c>
      <c r="E94" s="273">
        <f t="shared" si="36"/>
        <v>0</v>
      </c>
      <c r="F94" s="273">
        <f t="shared" si="36"/>
        <v>0</v>
      </c>
      <c r="G94" s="273">
        <f t="shared" si="36"/>
        <v>0</v>
      </c>
      <c r="H94" s="273">
        <f t="shared" si="36"/>
        <v>0</v>
      </c>
      <c r="I94" s="273">
        <f t="shared" si="36"/>
        <v>0</v>
      </c>
      <c r="J94" s="273">
        <f t="shared" si="36"/>
        <v>0</v>
      </c>
      <c r="K94" s="273">
        <f t="shared" si="36"/>
        <v>0</v>
      </c>
      <c r="L94" s="273">
        <f t="shared" si="36"/>
        <v>0</v>
      </c>
      <c r="M94" s="273">
        <f t="shared" si="36"/>
        <v>0</v>
      </c>
      <c r="N94" s="273">
        <f t="shared" si="36"/>
        <v>0</v>
      </c>
      <c r="O94" s="273">
        <f t="shared" si="36"/>
        <v>0</v>
      </c>
      <c r="P94" s="273">
        <f t="shared" si="36"/>
        <v>0</v>
      </c>
      <c r="Q94" s="273">
        <f t="shared" si="36"/>
        <v>0</v>
      </c>
      <c r="R94" s="273">
        <f t="shared" si="36"/>
        <v>0</v>
      </c>
      <c r="S94" s="273">
        <f t="shared" si="36"/>
        <v>0</v>
      </c>
      <c r="T94" s="273">
        <f t="shared" si="36"/>
        <v>0</v>
      </c>
      <c r="U94" s="273">
        <f t="shared" si="36"/>
        <v>0</v>
      </c>
      <c r="V94" s="273">
        <f t="shared" si="36"/>
        <v>0</v>
      </c>
    </row>
    <row r="95" spans="1:22" x14ac:dyDescent="0.2">
      <c r="A95" s="261"/>
      <c r="B95" s="264" t="s">
        <v>96</v>
      </c>
      <c r="C95" s="274">
        <f t="shared" ref="C95:V95" si="37">IF(C83=0,0,-C23/($B$2*1000))</f>
        <v>0</v>
      </c>
      <c r="D95" s="275">
        <f t="shared" si="37"/>
        <v>0</v>
      </c>
      <c r="E95" s="275">
        <f t="shared" si="37"/>
        <v>0</v>
      </c>
      <c r="F95" s="275">
        <f t="shared" si="37"/>
        <v>0</v>
      </c>
      <c r="G95" s="275">
        <f t="shared" si="37"/>
        <v>0</v>
      </c>
      <c r="H95" s="275">
        <f t="shared" si="37"/>
        <v>0</v>
      </c>
      <c r="I95" s="275">
        <f t="shared" si="37"/>
        <v>0</v>
      </c>
      <c r="J95" s="275">
        <f t="shared" si="37"/>
        <v>0</v>
      </c>
      <c r="K95" s="275">
        <f t="shared" si="37"/>
        <v>0</v>
      </c>
      <c r="L95" s="275">
        <f t="shared" si="37"/>
        <v>0</v>
      </c>
      <c r="M95" s="275">
        <f t="shared" si="37"/>
        <v>0</v>
      </c>
      <c r="N95" s="275">
        <f t="shared" si="37"/>
        <v>0</v>
      </c>
      <c r="O95" s="275">
        <f t="shared" si="37"/>
        <v>0</v>
      </c>
      <c r="P95" s="275">
        <f t="shared" si="37"/>
        <v>0</v>
      </c>
      <c r="Q95" s="275">
        <f t="shared" si="37"/>
        <v>0</v>
      </c>
      <c r="R95" s="275">
        <f t="shared" si="37"/>
        <v>0</v>
      </c>
      <c r="S95" s="275">
        <f t="shared" si="37"/>
        <v>0</v>
      </c>
      <c r="T95" s="275">
        <f t="shared" si="37"/>
        <v>0</v>
      </c>
      <c r="U95" s="275">
        <f t="shared" si="37"/>
        <v>0</v>
      </c>
      <c r="V95" s="275">
        <f t="shared" si="37"/>
        <v>0</v>
      </c>
    </row>
    <row r="96" spans="1:22" x14ac:dyDescent="0.2">
      <c r="A96" s="261"/>
      <c r="B96" s="264"/>
      <c r="C96" s="261"/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</row>
    <row r="97" spans="1:22" x14ac:dyDescent="0.2">
      <c r="A97" s="261"/>
      <c r="B97" s="264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</row>
  </sheetData>
  <mergeCells count="1">
    <mergeCell ref="F1:I1"/>
  </mergeCells>
  <pageMargins left="0.75" right="0.75" top="1" bottom="1" header="0.5" footer="0.5"/>
  <pageSetup paperSize="5" scale="70" orientation="landscape" r:id="rId1"/>
  <headerFooter alignWithMargins="0"/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8"/>
  <sheetViews>
    <sheetView workbookViewId="0"/>
  </sheetViews>
  <sheetFormatPr defaultRowHeight="12.75" x14ac:dyDescent="0.2"/>
  <cols>
    <col min="2" max="2" width="18.7109375" bestFit="1" customWidth="1"/>
    <col min="5" max="5" width="8.7109375" bestFit="1" customWidth="1"/>
    <col min="6" max="6" width="11.7109375" bestFit="1" customWidth="1"/>
    <col min="7" max="7" width="8.85546875" bestFit="1" customWidth="1"/>
    <col min="12" max="12" width="6.7109375" bestFit="1" customWidth="1"/>
    <col min="13" max="13" width="4.85546875" bestFit="1" customWidth="1"/>
    <col min="14" max="14" width="4" bestFit="1" customWidth="1"/>
    <col min="15" max="15" width="5.28515625" style="4" bestFit="1" customWidth="1"/>
  </cols>
  <sheetData>
    <row r="1" spans="1:15" x14ac:dyDescent="0.2">
      <c r="A1" s="138" t="s">
        <v>109</v>
      </c>
    </row>
    <row r="7" spans="1:15" ht="13.5" thickBot="1" x14ac:dyDescent="0.25"/>
    <row r="8" spans="1:15" ht="13.5" thickBot="1" x14ac:dyDescent="0.25">
      <c r="C8" s="476" t="s">
        <v>213</v>
      </c>
      <c r="D8" s="477"/>
      <c r="E8" s="478"/>
      <c r="F8" s="252" t="s">
        <v>214</v>
      </c>
      <c r="G8" s="110" t="s">
        <v>41</v>
      </c>
      <c r="H8" s="110" t="s">
        <v>52</v>
      </c>
      <c r="I8" s="110" t="s">
        <v>43</v>
      </c>
      <c r="J8" s="111"/>
      <c r="K8" s="112" t="s">
        <v>45</v>
      </c>
      <c r="L8" s="113"/>
      <c r="M8" s="110" t="s">
        <v>20</v>
      </c>
      <c r="N8" s="110" t="s">
        <v>29</v>
      </c>
      <c r="O8" s="110" t="s">
        <v>166</v>
      </c>
    </row>
    <row r="9" spans="1:15" ht="13.5" thickBot="1" x14ac:dyDescent="0.25">
      <c r="C9" s="114" t="s">
        <v>140</v>
      </c>
      <c r="D9" s="114" t="s">
        <v>141</v>
      </c>
      <c r="E9" s="114" t="s">
        <v>142</v>
      </c>
      <c r="F9" s="114" t="s">
        <v>215</v>
      </c>
      <c r="G9" s="115" t="s">
        <v>42</v>
      </c>
      <c r="H9" s="115" t="s">
        <v>42</v>
      </c>
      <c r="I9" s="115" t="s">
        <v>44</v>
      </c>
      <c r="J9" s="116" t="s">
        <v>140</v>
      </c>
      <c r="K9" s="116" t="s">
        <v>141</v>
      </c>
      <c r="L9" s="116" t="s">
        <v>142</v>
      </c>
      <c r="M9" s="115" t="s">
        <v>87</v>
      </c>
      <c r="N9" s="115" t="s">
        <v>100</v>
      </c>
      <c r="O9" s="115" t="s">
        <v>87</v>
      </c>
    </row>
    <row r="10" spans="1:15" x14ac:dyDescent="0.2">
      <c r="A10" s="65">
        <f>Summary!A17</f>
        <v>1</v>
      </c>
      <c r="B10" s="62" t="s">
        <v>55</v>
      </c>
      <c r="C10" s="117">
        <v>312</v>
      </c>
      <c r="D10" s="249">
        <v>312</v>
      </c>
      <c r="E10" s="249">
        <v>312</v>
      </c>
      <c r="F10" s="249">
        <f>AVERAGE(C10:E10)</f>
        <v>312</v>
      </c>
      <c r="G10" s="118">
        <v>0.873</v>
      </c>
      <c r="H10" s="118">
        <v>13.245595676758354</v>
      </c>
      <c r="I10" s="119">
        <v>10046</v>
      </c>
      <c r="J10" s="120">
        <v>0.85084917568927876</v>
      </c>
      <c r="K10" s="120">
        <v>0.72684633246139141</v>
      </c>
      <c r="L10" s="120">
        <v>0.80370000000000008</v>
      </c>
      <c r="M10" s="121" t="s">
        <v>101</v>
      </c>
      <c r="N10" s="122">
        <v>30</v>
      </c>
      <c r="O10" s="123" t="s">
        <v>165</v>
      </c>
    </row>
    <row r="11" spans="1:15" x14ac:dyDescent="0.2">
      <c r="A11" s="65">
        <f>Summary!A18</f>
        <v>2</v>
      </c>
      <c r="B11" s="62" t="s">
        <v>56</v>
      </c>
      <c r="C11" s="117">
        <v>414</v>
      </c>
      <c r="D11" s="249">
        <v>414</v>
      </c>
      <c r="E11" s="249">
        <v>414</v>
      </c>
      <c r="F11" s="249">
        <f>AVERAGE(C11:E11)</f>
        <v>414</v>
      </c>
      <c r="G11" s="118">
        <v>2.0609999999999999</v>
      </c>
      <c r="H11" s="118">
        <v>5.700138027347343</v>
      </c>
      <c r="I11" s="119">
        <v>10279</v>
      </c>
      <c r="J11" s="120">
        <v>0.91151068840172811</v>
      </c>
      <c r="K11" s="120">
        <v>0.77866703029645123</v>
      </c>
      <c r="L11" s="120">
        <v>0.86099999999999999</v>
      </c>
      <c r="M11" s="121" t="s">
        <v>101</v>
      </c>
      <c r="N11" s="122">
        <v>30</v>
      </c>
      <c r="O11" s="124" t="s">
        <v>165</v>
      </c>
    </row>
    <row r="12" spans="1:15" x14ac:dyDescent="0.2">
      <c r="A12" s="65">
        <f>Summary!A19</f>
        <v>3</v>
      </c>
      <c r="B12" s="63" t="s">
        <v>57</v>
      </c>
      <c r="C12" s="125">
        <v>228.15</v>
      </c>
      <c r="D12" s="250">
        <v>228.15</v>
      </c>
      <c r="E12" s="250">
        <v>228.15</v>
      </c>
      <c r="F12" s="249">
        <f t="shared" ref="F12:F42" si="0">AVERAGE(C12:E12)</f>
        <v>228.15</v>
      </c>
      <c r="G12" s="118">
        <v>0.85499999999999998</v>
      </c>
      <c r="H12" s="118">
        <v>11.880117362215271</v>
      </c>
      <c r="I12" s="119">
        <v>9809</v>
      </c>
      <c r="J12" s="120">
        <v>0.86861357679425089</v>
      </c>
      <c r="K12" s="120">
        <v>0.74202174798795861</v>
      </c>
      <c r="L12" s="120">
        <v>0.82047999999999999</v>
      </c>
      <c r="M12" s="121" t="s">
        <v>101</v>
      </c>
      <c r="N12" s="122">
        <v>30</v>
      </c>
      <c r="O12" s="124" t="s">
        <v>165</v>
      </c>
    </row>
    <row r="13" spans="1:15" x14ac:dyDescent="0.2">
      <c r="A13" s="65">
        <f>Summary!A20</f>
        <v>4</v>
      </c>
      <c r="B13" s="63" t="s">
        <v>58</v>
      </c>
      <c r="C13" s="125">
        <v>228.15</v>
      </c>
      <c r="D13" s="250">
        <v>228.15</v>
      </c>
      <c r="E13" s="250">
        <v>228.15</v>
      </c>
      <c r="F13" s="249">
        <f t="shared" si="0"/>
        <v>228.15</v>
      </c>
      <c r="G13" s="118">
        <v>0.82800000000000007</v>
      </c>
      <c r="H13" s="118">
        <v>12.073997757067776</v>
      </c>
      <c r="I13" s="119">
        <v>9646</v>
      </c>
      <c r="J13" s="120">
        <v>0.86861357679425089</v>
      </c>
      <c r="K13" s="120">
        <v>0.74202174798795861</v>
      </c>
      <c r="L13" s="120">
        <v>0.82047999999999999</v>
      </c>
      <c r="M13" s="121" t="s">
        <v>101</v>
      </c>
      <c r="N13" s="122">
        <v>30</v>
      </c>
      <c r="O13" s="124" t="s">
        <v>165</v>
      </c>
    </row>
    <row r="14" spans="1:15" x14ac:dyDescent="0.2">
      <c r="A14" s="65">
        <f>Summary!A21</f>
        <v>5</v>
      </c>
      <c r="B14" s="63" t="s">
        <v>59</v>
      </c>
      <c r="C14" s="125">
        <v>228.15</v>
      </c>
      <c r="D14" s="250">
        <v>228.15</v>
      </c>
      <c r="E14" s="250">
        <v>228.15</v>
      </c>
      <c r="F14" s="249">
        <f t="shared" si="0"/>
        <v>228.15</v>
      </c>
      <c r="G14" s="118">
        <v>0.83700000000000008</v>
      </c>
      <c r="H14" s="118">
        <v>12.009370958783595</v>
      </c>
      <c r="I14" s="119">
        <v>9802</v>
      </c>
      <c r="J14" s="120">
        <v>0.86861357679425089</v>
      </c>
      <c r="K14" s="120">
        <v>0.74202174798795861</v>
      </c>
      <c r="L14" s="120">
        <v>0.82047999999999999</v>
      </c>
      <c r="M14" s="121" t="s">
        <v>101</v>
      </c>
      <c r="N14" s="122">
        <v>30</v>
      </c>
      <c r="O14" s="124" t="s">
        <v>165</v>
      </c>
    </row>
    <row r="15" spans="1:15" x14ac:dyDescent="0.2">
      <c r="A15" s="65">
        <f>Summary!A22</f>
        <v>6</v>
      </c>
      <c r="B15" s="63" t="s">
        <v>60</v>
      </c>
      <c r="C15" s="125">
        <v>228.15</v>
      </c>
      <c r="D15" s="250">
        <v>228.15</v>
      </c>
      <c r="E15" s="250">
        <v>228.15</v>
      </c>
      <c r="F15" s="249">
        <f t="shared" si="0"/>
        <v>228.15</v>
      </c>
      <c r="G15" s="118">
        <v>0.83700000000000008</v>
      </c>
      <c r="H15" s="118">
        <v>12.009370958783595</v>
      </c>
      <c r="I15" s="119">
        <v>9785</v>
      </c>
      <c r="J15" s="120">
        <v>0.86861357679425089</v>
      </c>
      <c r="K15" s="120">
        <v>0.74202174798795861</v>
      </c>
      <c r="L15" s="120">
        <v>0.82047999999999999</v>
      </c>
      <c r="M15" s="121" t="s">
        <v>101</v>
      </c>
      <c r="N15" s="122">
        <v>30</v>
      </c>
      <c r="O15" s="124" t="s">
        <v>165</v>
      </c>
    </row>
    <row r="16" spans="1:15" x14ac:dyDescent="0.2">
      <c r="A16" s="65">
        <f>Summary!A23</f>
        <v>7</v>
      </c>
      <c r="B16" s="62" t="s">
        <v>61</v>
      </c>
      <c r="C16" s="249">
        <v>198</v>
      </c>
      <c r="D16" s="249">
        <v>198</v>
      </c>
      <c r="E16" s="249">
        <v>198</v>
      </c>
      <c r="F16" s="249">
        <f t="shared" si="0"/>
        <v>198</v>
      </c>
      <c r="G16" s="118">
        <v>0.78300000000000003</v>
      </c>
      <c r="H16" s="118">
        <v>11.501232618728956</v>
      </c>
      <c r="I16" s="119">
        <v>9951</v>
      </c>
      <c r="J16" s="120">
        <v>0.92103867469164169</v>
      </c>
      <c r="K16" s="120">
        <v>0.78680640691975923</v>
      </c>
      <c r="L16" s="120">
        <v>0.87</v>
      </c>
      <c r="M16" s="121" t="s">
        <v>101</v>
      </c>
      <c r="N16" s="122">
        <v>30</v>
      </c>
      <c r="O16" s="124" t="s">
        <v>165</v>
      </c>
    </row>
    <row r="17" spans="1:15" x14ac:dyDescent="0.2">
      <c r="A17" s="65">
        <f>Summary!A24</f>
        <v>8</v>
      </c>
      <c r="B17" s="62" t="s">
        <v>62</v>
      </c>
      <c r="C17" s="249">
        <v>80</v>
      </c>
      <c r="D17" s="249">
        <v>80</v>
      </c>
      <c r="E17" s="249">
        <v>80</v>
      </c>
      <c r="F17" s="249">
        <f t="shared" si="0"/>
        <v>80</v>
      </c>
      <c r="G17" s="118">
        <v>1.26</v>
      </c>
      <c r="H17" s="118">
        <v>11.416993477814385</v>
      </c>
      <c r="I17" s="119">
        <v>13623</v>
      </c>
      <c r="J17" s="120">
        <v>0.84820251283096948</v>
      </c>
      <c r="K17" s="120">
        <v>0.72458539451047244</v>
      </c>
      <c r="L17" s="120">
        <v>0.80120000000000002</v>
      </c>
      <c r="M17" s="121" t="s">
        <v>101</v>
      </c>
      <c r="N17" s="122">
        <v>30</v>
      </c>
      <c r="O17" s="124" t="s">
        <v>165</v>
      </c>
    </row>
    <row r="18" spans="1:15" x14ac:dyDescent="0.2">
      <c r="A18" s="65">
        <f>Summary!A25</f>
        <v>9</v>
      </c>
      <c r="B18" s="62" t="s">
        <v>63</v>
      </c>
      <c r="C18" s="250">
        <v>163</v>
      </c>
      <c r="D18" s="250">
        <v>163</v>
      </c>
      <c r="E18" s="250">
        <v>163</v>
      </c>
      <c r="F18" s="249">
        <f t="shared" si="0"/>
        <v>163</v>
      </c>
      <c r="G18" s="118">
        <v>0.56700000000000006</v>
      </c>
      <c r="H18" s="118">
        <v>16.358652314399947</v>
      </c>
      <c r="I18" s="119">
        <v>9945</v>
      </c>
      <c r="J18" s="120">
        <v>0.8401990043474421</v>
      </c>
      <c r="K18" s="120">
        <v>0.71774831814689388</v>
      </c>
      <c r="L18" s="120">
        <v>0.79364000000000001</v>
      </c>
      <c r="M18" s="121" t="s">
        <v>101</v>
      </c>
      <c r="N18" s="122">
        <v>30</v>
      </c>
      <c r="O18" s="124" t="s">
        <v>165</v>
      </c>
    </row>
    <row r="19" spans="1:15" x14ac:dyDescent="0.2">
      <c r="A19" s="65">
        <f>Summary!A26</f>
        <v>10</v>
      </c>
      <c r="B19" s="62" t="s">
        <v>64</v>
      </c>
      <c r="C19" s="250">
        <v>320</v>
      </c>
      <c r="D19" s="250">
        <v>320</v>
      </c>
      <c r="E19" s="250">
        <v>320</v>
      </c>
      <c r="F19" s="249">
        <f t="shared" si="0"/>
        <v>320</v>
      </c>
      <c r="G19" s="118">
        <v>0.76500000000000001</v>
      </c>
      <c r="H19" s="118">
        <v>11.715507582450382</v>
      </c>
      <c r="I19" s="119">
        <v>10118</v>
      </c>
      <c r="J19" s="120">
        <v>0.90507400433031993</v>
      </c>
      <c r="K19" s="120">
        <v>0.77316842919981654</v>
      </c>
      <c r="L19" s="120">
        <v>0.8549199999999999</v>
      </c>
      <c r="M19" s="121" t="s">
        <v>101</v>
      </c>
      <c r="N19" s="122">
        <v>30</v>
      </c>
      <c r="O19" s="124" t="s">
        <v>165</v>
      </c>
    </row>
    <row r="20" spans="1:15" x14ac:dyDescent="0.2">
      <c r="A20" s="65">
        <f>Summary!A27</f>
        <v>11</v>
      </c>
      <c r="B20" s="62" t="s">
        <v>65</v>
      </c>
      <c r="C20" s="250">
        <v>320</v>
      </c>
      <c r="D20" s="250">
        <v>320</v>
      </c>
      <c r="E20" s="250">
        <v>320</v>
      </c>
      <c r="F20" s="249">
        <f t="shared" si="0"/>
        <v>320</v>
      </c>
      <c r="G20" s="118">
        <v>0.64800000000000002</v>
      </c>
      <c r="H20" s="118">
        <v>14.439328837360701</v>
      </c>
      <c r="I20" s="119">
        <v>9922</v>
      </c>
      <c r="J20" s="120">
        <v>0.97064772330779159</v>
      </c>
      <c r="K20" s="120">
        <v>0.82918542787178207</v>
      </c>
      <c r="L20" s="120">
        <v>0.91686000000000012</v>
      </c>
      <c r="M20" s="121" t="s">
        <v>101</v>
      </c>
      <c r="N20" s="122">
        <v>30</v>
      </c>
      <c r="O20" s="124" t="s">
        <v>165</v>
      </c>
    </row>
    <row r="21" spans="1:15" x14ac:dyDescent="0.2">
      <c r="A21" s="65">
        <f>Summary!A28</f>
        <v>12</v>
      </c>
      <c r="B21" s="62" t="s">
        <v>66</v>
      </c>
      <c r="C21" s="249">
        <v>94</v>
      </c>
      <c r="D21" s="249">
        <v>94</v>
      </c>
      <c r="E21" s="249">
        <v>94</v>
      </c>
      <c r="F21" s="249">
        <f t="shared" si="0"/>
        <v>94</v>
      </c>
      <c r="G21" s="118">
        <v>1.0169999999999999</v>
      </c>
      <c r="H21" s="118">
        <v>30.065011862564315</v>
      </c>
      <c r="I21" s="119">
        <v>11016</v>
      </c>
      <c r="J21" s="120">
        <v>0.95411137376907496</v>
      </c>
      <c r="K21" s="120">
        <v>0.81505908755444112</v>
      </c>
      <c r="L21" s="120">
        <v>0.90123999999999993</v>
      </c>
      <c r="M21" s="121" t="s">
        <v>101</v>
      </c>
      <c r="N21" s="122">
        <v>30</v>
      </c>
      <c r="O21" s="124" t="s">
        <v>165</v>
      </c>
    </row>
    <row r="22" spans="1:15" x14ac:dyDescent="0.2">
      <c r="A22" s="65">
        <f>Summary!A29</f>
        <v>13</v>
      </c>
      <c r="B22" s="62" t="s">
        <v>67</v>
      </c>
      <c r="C22" s="249">
        <v>94</v>
      </c>
      <c r="D22" s="249">
        <v>94</v>
      </c>
      <c r="E22" s="249">
        <v>94</v>
      </c>
      <c r="F22" s="249">
        <f t="shared" si="0"/>
        <v>94</v>
      </c>
      <c r="G22" s="118">
        <v>1.0169999999999999</v>
      </c>
      <c r="H22" s="118">
        <v>32.492926710011531</v>
      </c>
      <c r="I22" s="119">
        <v>10626</v>
      </c>
      <c r="J22" s="120">
        <v>0.92118688781170699</v>
      </c>
      <c r="K22" s="120">
        <v>0.7869330194450106</v>
      </c>
      <c r="L22" s="120">
        <v>0.87013999999999991</v>
      </c>
      <c r="M22" s="121" t="s">
        <v>101</v>
      </c>
      <c r="N22" s="122">
        <v>30</v>
      </c>
      <c r="O22" s="124" t="s">
        <v>165</v>
      </c>
    </row>
    <row r="23" spans="1:15" x14ac:dyDescent="0.2">
      <c r="A23" s="65">
        <f>Summary!A30</f>
        <v>14</v>
      </c>
      <c r="B23" s="62" t="s">
        <v>70</v>
      </c>
      <c r="C23" s="250">
        <v>128</v>
      </c>
      <c r="D23" s="250">
        <v>128</v>
      </c>
      <c r="E23" s="250">
        <v>128</v>
      </c>
      <c r="F23" s="249">
        <f t="shared" si="0"/>
        <v>128</v>
      </c>
      <c r="G23" s="118">
        <v>1.0169999999999999</v>
      </c>
      <c r="H23" s="118">
        <v>22.128762060827789</v>
      </c>
      <c r="I23" s="119">
        <v>10172</v>
      </c>
      <c r="J23" s="120">
        <v>0.94747883664615185</v>
      </c>
      <c r="K23" s="120">
        <v>0.80939317704943847</v>
      </c>
      <c r="L23" s="120">
        <v>0.89497500000000008</v>
      </c>
      <c r="M23" s="121" t="s">
        <v>101</v>
      </c>
      <c r="N23" s="122">
        <v>30</v>
      </c>
      <c r="O23" s="124" t="s">
        <v>165</v>
      </c>
    </row>
    <row r="24" spans="1:15" x14ac:dyDescent="0.2">
      <c r="A24" s="65">
        <f>Summary!A31</f>
        <v>15</v>
      </c>
      <c r="B24" s="62" t="s">
        <v>68</v>
      </c>
      <c r="C24" s="250">
        <v>150</v>
      </c>
      <c r="D24" s="250">
        <v>150</v>
      </c>
      <c r="E24" s="250">
        <v>150</v>
      </c>
      <c r="F24" s="249">
        <f t="shared" si="0"/>
        <v>150</v>
      </c>
      <c r="G24" s="118">
        <v>1.0169999999999999</v>
      </c>
      <c r="H24" s="118">
        <v>23.949203681431438</v>
      </c>
      <c r="I24" s="119">
        <v>9936</v>
      </c>
      <c r="J24" s="120">
        <v>0.90433293872999332</v>
      </c>
      <c r="K24" s="120">
        <v>0.77253536657355937</v>
      </c>
      <c r="L24" s="120">
        <v>0.85421999999999998</v>
      </c>
      <c r="M24" s="121" t="s">
        <v>101</v>
      </c>
      <c r="N24" s="122">
        <v>30</v>
      </c>
      <c r="O24" s="124" t="s">
        <v>165</v>
      </c>
    </row>
    <row r="25" spans="1:15" x14ac:dyDescent="0.2">
      <c r="A25" s="65">
        <f>Summary!A32</f>
        <v>16</v>
      </c>
      <c r="B25" s="62" t="s">
        <v>69</v>
      </c>
      <c r="C25" s="250">
        <v>238</v>
      </c>
      <c r="D25" s="250">
        <v>238</v>
      </c>
      <c r="E25" s="250">
        <v>238</v>
      </c>
      <c r="F25" s="249">
        <f t="shared" si="0"/>
        <v>238</v>
      </c>
      <c r="G25" s="118">
        <v>0.99</v>
      </c>
      <c r="H25" s="118">
        <v>19.609706037173748</v>
      </c>
      <c r="I25" s="119">
        <v>10082</v>
      </c>
      <c r="J25" s="120">
        <v>0.89558836464613945</v>
      </c>
      <c r="K25" s="120">
        <v>0.76506522758372353</v>
      </c>
      <c r="L25" s="120">
        <v>0.84596000000000005</v>
      </c>
      <c r="M25" s="121" t="s">
        <v>101</v>
      </c>
      <c r="N25" s="122">
        <v>30</v>
      </c>
      <c r="O25" s="124" t="s">
        <v>165</v>
      </c>
    </row>
    <row r="26" spans="1:15" x14ac:dyDescent="0.2">
      <c r="A26" s="65">
        <f>Summary!A33</f>
        <v>17</v>
      </c>
      <c r="B26" s="62" t="s">
        <v>71</v>
      </c>
      <c r="C26" s="125">
        <v>155.25</v>
      </c>
      <c r="D26" s="250">
        <v>157.5</v>
      </c>
      <c r="E26" s="250">
        <v>157.5</v>
      </c>
      <c r="F26" s="249">
        <f t="shared" si="0"/>
        <v>156.75</v>
      </c>
      <c r="G26" s="118">
        <v>0.99</v>
      </c>
      <c r="H26" s="118">
        <v>11.482909154620735</v>
      </c>
      <c r="I26" s="119">
        <v>10123</v>
      </c>
      <c r="J26" s="120">
        <v>0.85959374977313274</v>
      </c>
      <c r="K26" s="120">
        <v>0.73431647145122725</v>
      </c>
      <c r="L26" s="120">
        <v>0.81196000000000002</v>
      </c>
      <c r="M26" s="121" t="s">
        <v>101</v>
      </c>
      <c r="N26" s="122">
        <v>30</v>
      </c>
      <c r="O26" s="124" t="s">
        <v>165</v>
      </c>
    </row>
    <row r="27" spans="1:15" x14ac:dyDescent="0.2">
      <c r="A27" s="65">
        <f>Summary!A34</f>
        <v>18</v>
      </c>
      <c r="B27" s="62" t="s">
        <v>72</v>
      </c>
      <c r="C27" s="117">
        <v>604.5</v>
      </c>
      <c r="D27" s="249">
        <v>604.5</v>
      </c>
      <c r="E27" s="249">
        <v>604.5</v>
      </c>
      <c r="F27" s="249">
        <f t="shared" si="0"/>
        <v>604.5</v>
      </c>
      <c r="G27" s="118">
        <v>0.93600000000000005</v>
      </c>
      <c r="H27" s="118">
        <v>17.697391099926911</v>
      </c>
      <c r="I27" s="119">
        <v>9558</v>
      </c>
      <c r="J27" s="120">
        <v>0.91038850334980514</v>
      </c>
      <c r="K27" s="120">
        <v>0.7777083926052617</v>
      </c>
      <c r="L27" s="120">
        <v>0.85994000000000004</v>
      </c>
      <c r="M27" s="121" t="s">
        <v>101</v>
      </c>
      <c r="N27" s="122">
        <v>30</v>
      </c>
      <c r="O27" s="124" t="s">
        <v>165</v>
      </c>
    </row>
    <row r="28" spans="1:15" x14ac:dyDescent="0.2">
      <c r="A28" s="65">
        <f>Summary!A35</f>
        <v>19</v>
      </c>
      <c r="B28" s="62" t="s">
        <v>73</v>
      </c>
      <c r="C28" s="117">
        <v>92</v>
      </c>
      <c r="D28" s="249">
        <v>110</v>
      </c>
      <c r="E28" s="249">
        <v>101</v>
      </c>
      <c r="F28" s="249">
        <f t="shared" si="0"/>
        <v>101</v>
      </c>
      <c r="G28" s="118">
        <v>3.609</v>
      </c>
      <c r="H28" s="118">
        <v>2.6216497424006047</v>
      </c>
      <c r="I28" s="119">
        <v>23281</v>
      </c>
      <c r="J28" s="120">
        <v>0.86442437392762939</v>
      </c>
      <c r="K28" s="120">
        <v>0.82698434312442104</v>
      </c>
      <c r="L28" s="120">
        <v>0.85</v>
      </c>
      <c r="M28" s="121" t="s">
        <v>102</v>
      </c>
      <c r="N28" s="122">
        <v>30</v>
      </c>
      <c r="O28" s="124" t="s">
        <v>167</v>
      </c>
    </row>
    <row r="29" spans="1:15" x14ac:dyDescent="0.2">
      <c r="A29" s="65">
        <f>Summary!A36</f>
        <v>20</v>
      </c>
      <c r="B29" s="62" t="s">
        <v>74</v>
      </c>
      <c r="C29" s="117">
        <v>14.2</v>
      </c>
      <c r="D29" s="249">
        <v>19.5</v>
      </c>
      <c r="E29" s="249">
        <v>15.25</v>
      </c>
      <c r="F29" s="249">
        <f t="shared" si="0"/>
        <v>16.316666666666666</v>
      </c>
      <c r="G29" s="118">
        <v>3.609</v>
      </c>
      <c r="H29" s="118">
        <v>2.6216497424006056</v>
      </c>
      <c r="I29" s="119">
        <v>23281</v>
      </c>
      <c r="J29" s="120">
        <v>0.86442437392762939</v>
      </c>
      <c r="K29" s="120">
        <v>0.82698434312442104</v>
      </c>
      <c r="L29" s="120">
        <v>0.85</v>
      </c>
      <c r="M29" s="121" t="s">
        <v>102</v>
      </c>
      <c r="N29" s="122">
        <v>30</v>
      </c>
      <c r="O29" s="124" t="s">
        <v>167</v>
      </c>
    </row>
    <row r="30" spans="1:15" x14ac:dyDescent="0.2">
      <c r="A30" s="65">
        <f>Summary!A37</f>
        <v>21</v>
      </c>
      <c r="B30" s="62" t="s">
        <v>75</v>
      </c>
      <c r="C30" s="117">
        <v>30</v>
      </c>
      <c r="D30" s="249">
        <v>42.8</v>
      </c>
      <c r="E30" s="249">
        <v>36</v>
      </c>
      <c r="F30" s="249">
        <f t="shared" si="0"/>
        <v>36.266666666666666</v>
      </c>
      <c r="G30" s="118">
        <v>3.609</v>
      </c>
      <c r="H30" s="118">
        <v>2.5919501180161935</v>
      </c>
      <c r="I30" s="119">
        <v>23281</v>
      </c>
      <c r="J30" s="120">
        <v>0.91527286651160766</v>
      </c>
      <c r="K30" s="120">
        <v>0.87563048095526941</v>
      </c>
      <c r="L30" s="120">
        <v>0.9</v>
      </c>
      <c r="M30" s="121" t="s">
        <v>102</v>
      </c>
      <c r="N30" s="122">
        <v>30</v>
      </c>
      <c r="O30" s="124" t="s">
        <v>167</v>
      </c>
    </row>
    <row r="31" spans="1:15" x14ac:dyDescent="0.2">
      <c r="A31" s="65">
        <f>Summary!A38</f>
        <v>22</v>
      </c>
      <c r="B31" s="62" t="s">
        <v>86</v>
      </c>
      <c r="C31" s="117">
        <v>56.8</v>
      </c>
      <c r="D31" s="249">
        <v>78</v>
      </c>
      <c r="E31" s="249">
        <v>61</v>
      </c>
      <c r="F31" s="249">
        <f t="shared" si="0"/>
        <v>65.266666666666666</v>
      </c>
      <c r="G31" s="118">
        <v>3.609</v>
      </c>
      <c r="H31" s="118">
        <v>2.8953601420342117</v>
      </c>
      <c r="I31" s="119">
        <v>20328</v>
      </c>
      <c r="J31" s="120">
        <v>0.86442437392762939</v>
      </c>
      <c r="K31" s="120">
        <v>0.82698434312442104</v>
      </c>
      <c r="L31" s="120">
        <v>0.85</v>
      </c>
      <c r="M31" s="121" t="s">
        <v>102</v>
      </c>
      <c r="N31" s="122">
        <v>30</v>
      </c>
      <c r="O31" s="124" t="s">
        <v>167</v>
      </c>
    </row>
    <row r="32" spans="1:15" x14ac:dyDescent="0.2">
      <c r="A32" s="65">
        <f>Summary!A39</f>
        <v>23</v>
      </c>
      <c r="B32" s="62" t="s">
        <v>76</v>
      </c>
      <c r="C32" s="117">
        <v>51.225000000000001</v>
      </c>
      <c r="D32" s="249">
        <v>61.2</v>
      </c>
      <c r="E32" s="249">
        <v>53.25</v>
      </c>
      <c r="F32" s="249">
        <f t="shared" si="0"/>
        <v>55.225000000000001</v>
      </c>
      <c r="G32" s="118">
        <v>2.16</v>
      </c>
      <c r="H32" s="118">
        <v>1.6255473842115529</v>
      </c>
      <c r="I32" s="119">
        <v>17496</v>
      </c>
      <c r="J32" s="120">
        <v>0.87713649707362396</v>
      </c>
      <c r="K32" s="120">
        <v>0.8391458775821331</v>
      </c>
      <c r="L32" s="120">
        <v>0.86250000000000004</v>
      </c>
      <c r="M32" s="121" t="s">
        <v>102</v>
      </c>
      <c r="N32" s="122">
        <v>30</v>
      </c>
      <c r="O32" s="124" t="s">
        <v>167</v>
      </c>
    </row>
    <row r="33" spans="1:16" x14ac:dyDescent="0.2">
      <c r="A33" s="65">
        <f>Summary!A40</f>
        <v>24</v>
      </c>
      <c r="B33" s="62" t="s">
        <v>77</v>
      </c>
      <c r="C33" s="117">
        <v>51.225000000000001</v>
      </c>
      <c r="D33" s="249">
        <v>61.2</v>
      </c>
      <c r="E33" s="249">
        <v>53.25</v>
      </c>
      <c r="F33" s="249">
        <f t="shared" si="0"/>
        <v>55.225000000000001</v>
      </c>
      <c r="G33" s="118">
        <v>2.16</v>
      </c>
      <c r="H33" s="118">
        <v>1.6255473842115529</v>
      </c>
      <c r="I33" s="119">
        <v>17496</v>
      </c>
      <c r="J33" s="120">
        <v>0.87713649707362396</v>
      </c>
      <c r="K33" s="120">
        <v>0.8391458775821331</v>
      </c>
      <c r="L33" s="120">
        <v>0.86250000000000004</v>
      </c>
      <c r="M33" s="121" t="s">
        <v>102</v>
      </c>
      <c r="N33" s="122">
        <v>30</v>
      </c>
      <c r="O33" s="124" t="s">
        <v>167</v>
      </c>
    </row>
    <row r="34" spans="1:16" x14ac:dyDescent="0.2">
      <c r="A34" s="65">
        <f>Summary!A41</f>
        <v>25</v>
      </c>
      <c r="B34" s="62" t="s">
        <v>78</v>
      </c>
      <c r="C34" s="117">
        <v>51.225000000000001</v>
      </c>
      <c r="D34" s="249">
        <v>61.2</v>
      </c>
      <c r="E34" s="249">
        <v>53.25</v>
      </c>
      <c r="F34" s="249">
        <f t="shared" si="0"/>
        <v>55.225000000000001</v>
      </c>
      <c r="G34" s="118">
        <v>2.16</v>
      </c>
      <c r="H34" s="118">
        <v>1.6255473842115529</v>
      </c>
      <c r="I34" s="119">
        <v>17496</v>
      </c>
      <c r="J34" s="120">
        <v>0.87713649707362396</v>
      </c>
      <c r="K34" s="120">
        <v>0.8391458775821331</v>
      </c>
      <c r="L34" s="120">
        <v>0.86250000000000004</v>
      </c>
      <c r="M34" s="121" t="s">
        <v>102</v>
      </c>
      <c r="N34" s="122">
        <v>30</v>
      </c>
      <c r="O34" s="124" t="s">
        <v>167</v>
      </c>
    </row>
    <row r="35" spans="1:16" x14ac:dyDescent="0.2">
      <c r="A35" s="65">
        <f>Summary!A42</f>
        <v>26</v>
      </c>
      <c r="B35" s="62" t="s">
        <v>79</v>
      </c>
      <c r="C35" s="117">
        <v>51.225000000000001</v>
      </c>
      <c r="D35" s="249">
        <v>61.2</v>
      </c>
      <c r="E35" s="249">
        <v>53.25</v>
      </c>
      <c r="F35" s="249">
        <f t="shared" si="0"/>
        <v>55.225000000000001</v>
      </c>
      <c r="G35" s="118">
        <v>2.16</v>
      </c>
      <c r="H35" s="118">
        <v>1.6255473842115529</v>
      </c>
      <c r="I35" s="119">
        <v>17496</v>
      </c>
      <c r="J35" s="120">
        <v>0.87713649707362396</v>
      </c>
      <c r="K35" s="120">
        <v>0.8391458775821331</v>
      </c>
      <c r="L35" s="120">
        <v>0.86250000000000004</v>
      </c>
      <c r="M35" s="121" t="s">
        <v>102</v>
      </c>
      <c r="N35" s="122">
        <v>30</v>
      </c>
      <c r="O35" s="124" t="s">
        <v>167</v>
      </c>
      <c r="P35" s="232"/>
    </row>
    <row r="36" spans="1:16" x14ac:dyDescent="0.2">
      <c r="A36" s="65">
        <f>Summary!A43</f>
        <v>27</v>
      </c>
      <c r="B36" s="62" t="s">
        <v>80</v>
      </c>
      <c r="C36" s="117">
        <v>83.433000000000007</v>
      </c>
      <c r="D36" s="249">
        <v>94</v>
      </c>
      <c r="E36" s="249">
        <v>86</v>
      </c>
      <c r="F36" s="249">
        <f t="shared" si="0"/>
        <v>87.810999999999993</v>
      </c>
      <c r="G36" s="118">
        <v>1.593</v>
      </c>
      <c r="H36" s="118">
        <v>3.9694785968659136</v>
      </c>
      <c r="I36" s="119">
        <v>16384</v>
      </c>
      <c r="J36" s="120">
        <v>0.96612135909558572</v>
      </c>
      <c r="K36" s="120">
        <v>0.92427661878611755</v>
      </c>
      <c r="L36" s="120">
        <v>0.95</v>
      </c>
      <c r="M36" s="121" t="s">
        <v>103</v>
      </c>
      <c r="N36" s="122">
        <v>30</v>
      </c>
      <c r="O36" s="124" t="s">
        <v>167</v>
      </c>
    </row>
    <row r="37" spans="1:16" x14ac:dyDescent="0.2">
      <c r="A37" s="65">
        <f>Summary!A44</f>
        <v>28</v>
      </c>
      <c r="B37" s="62" t="s">
        <v>81</v>
      </c>
      <c r="C37" s="117">
        <v>83.433000000000007</v>
      </c>
      <c r="D37" s="249">
        <v>94</v>
      </c>
      <c r="E37" s="249">
        <v>86</v>
      </c>
      <c r="F37" s="249">
        <f t="shared" si="0"/>
        <v>87.810999999999993</v>
      </c>
      <c r="G37" s="118">
        <v>1.593</v>
      </c>
      <c r="H37" s="118">
        <v>3.9694785968659136</v>
      </c>
      <c r="I37" s="119">
        <v>16384</v>
      </c>
      <c r="J37" s="120">
        <v>0.96612135909558572</v>
      </c>
      <c r="K37" s="120">
        <v>0.92427661878611755</v>
      </c>
      <c r="L37" s="120">
        <v>0.95</v>
      </c>
      <c r="M37" s="121" t="s">
        <v>103</v>
      </c>
      <c r="N37" s="122">
        <v>30</v>
      </c>
      <c r="O37" s="124" t="s">
        <v>167</v>
      </c>
    </row>
    <row r="38" spans="1:16" x14ac:dyDescent="0.2">
      <c r="A38" s="65">
        <f>Summary!A45</f>
        <v>29</v>
      </c>
      <c r="B38" s="62" t="s">
        <v>82</v>
      </c>
      <c r="C38" s="117">
        <v>83.433000000000007</v>
      </c>
      <c r="D38" s="249">
        <v>94</v>
      </c>
      <c r="E38" s="249">
        <v>86</v>
      </c>
      <c r="F38" s="249">
        <f t="shared" si="0"/>
        <v>87.810999999999993</v>
      </c>
      <c r="G38" s="118">
        <v>1.593</v>
      </c>
      <c r="H38" s="118">
        <v>3.9694785968659136</v>
      </c>
      <c r="I38" s="119">
        <v>16384</v>
      </c>
      <c r="J38" s="120">
        <v>0.96612135909558572</v>
      </c>
      <c r="K38" s="120">
        <v>0.92427661878611755</v>
      </c>
      <c r="L38" s="120">
        <v>0.95</v>
      </c>
      <c r="M38" s="121" t="s">
        <v>103</v>
      </c>
      <c r="N38" s="122">
        <v>30</v>
      </c>
      <c r="O38" s="124" t="s">
        <v>167</v>
      </c>
    </row>
    <row r="39" spans="1:16" x14ac:dyDescent="0.2">
      <c r="A39" s="65">
        <f>Summary!A46</f>
        <v>30</v>
      </c>
      <c r="B39" s="62" t="s">
        <v>83</v>
      </c>
      <c r="C39" s="117">
        <v>83.433000000000007</v>
      </c>
      <c r="D39" s="249">
        <v>94</v>
      </c>
      <c r="E39" s="249">
        <v>86</v>
      </c>
      <c r="F39" s="249">
        <f t="shared" si="0"/>
        <v>87.810999999999993</v>
      </c>
      <c r="G39" s="118">
        <v>1.593</v>
      </c>
      <c r="H39" s="118">
        <v>3.9694785968659136</v>
      </c>
      <c r="I39" s="119">
        <v>16384</v>
      </c>
      <c r="J39" s="120">
        <v>0.96612135909558572</v>
      </c>
      <c r="K39" s="120">
        <v>0.92427661878611755</v>
      </c>
      <c r="L39" s="120">
        <v>0.95</v>
      </c>
      <c r="M39" s="121" t="s">
        <v>103</v>
      </c>
      <c r="N39" s="122">
        <v>30</v>
      </c>
      <c r="O39" s="124" t="s">
        <v>167</v>
      </c>
    </row>
    <row r="40" spans="1:16" x14ac:dyDescent="0.2">
      <c r="A40" s="65">
        <f>Summary!A47</f>
        <v>31</v>
      </c>
      <c r="B40" s="62" t="s">
        <v>84</v>
      </c>
      <c r="C40" s="117">
        <v>83.433000000000007</v>
      </c>
      <c r="D40" s="249">
        <v>94</v>
      </c>
      <c r="E40" s="249">
        <v>86</v>
      </c>
      <c r="F40" s="249">
        <f t="shared" si="0"/>
        <v>87.810999999999993</v>
      </c>
      <c r="G40" s="118">
        <v>1.593</v>
      </c>
      <c r="H40" s="118">
        <v>3.9694785968659136</v>
      </c>
      <c r="I40" s="119">
        <v>16384</v>
      </c>
      <c r="J40" s="120">
        <v>0.96612135909558572</v>
      </c>
      <c r="K40" s="120">
        <v>0.92427661878611755</v>
      </c>
      <c r="L40" s="120">
        <v>0.95</v>
      </c>
      <c r="M40" s="121" t="s">
        <v>103</v>
      </c>
      <c r="N40" s="122">
        <v>30</v>
      </c>
      <c r="O40" s="124" t="s">
        <v>167</v>
      </c>
    </row>
    <row r="41" spans="1:16" x14ac:dyDescent="0.2">
      <c r="A41" s="65">
        <f>Summary!A48</f>
        <v>32</v>
      </c>
      <c r="B41" s="62" t="s">
        <v>85</v>
      </c>
      <c r="C41" s="117">
        <v>83.433000000000007</v>
      </c>
      <c r="D41" s="249">
        <v>94</v>
      </c>
      <c r="E41" s="249">
        <v>86</v>
      </c>
      <c r="F41" s="249">
        <f t="shared" si="0"/>
        <v>87.810999999999993</v>
      </c>
      <c r="G41" s="118">
        <v>1.593</v>
      </c>
      <c r="H41" s="118">
        <v>3.9694785968659136</v>
      </c>
      <c r="I41" s="119">
        <v>16384</v>
      </c>
      <c r="J41" s="120">
        <v>0.96612135909558572</v>
      </c>
      <c r="K41" s="120">
        <v>0.92427661878611755</v>
      </c>
      <c r="L41" s="120">
        <v>0.95</v>
      </c>
      <c r="M41" s="121" t="s">
        <v>103</v>
      </c>
      <c r="N41" s="122">
        <v>30</v>
      </c>
      <c r="O41" s="124" t="s">
        <v>167</v>
      </c>
    </row>
    <row r="42" spans="1:16" ht="13.5" thickBot="1" x14ac:dyDescent="0.25">
      <c r="A42" s="65">
        <f>Summary!A49</f>
        <v>33</v>
      </c>
      <c r="B42" s="64" t="s">
        <v>181</v>
      </c>
      <c r="C42" s="126">
        <v>705</v>
      </c>
      <c r="D42" s="251">
        <v>705</v>
      </c>
      <c r="E42" s="251">
        <v>705</v>
      </c>
      <c r="F42" s="249">
        <f t="shared" si="0"/>
        <v>705</v>
      </c>
      <c r="G42" s="127">
        <v>0.60300000000000009</v>
      </c>
      <c r="H42" s="127">
        <v>4.5</v>
      </c>
      <c r="I42" s="128">
        <v>11304.744680851063</v>
      </c>
      <c r="J42" s="129">
        <v>0.96612135909558572</v>
      </c>
      <c r="K42" s="129">
        <v>0.92427661878611755</v>
      </c>
      <c r="L42" s="129">
        <v>0.95</v>
      </c>
      <c r="M42" s="130" t="s">
        <v>103</v>
      </c>
      <c r="N42" s="131">
        <v>30</v>
      </c>
      <c r="O42" s="132" t="s">
        <v>167</v>
      </c>
      <c r="P42" s="232"/>
    </row>
    <row r="44" spans="1:16" ht="13.5" thickBot="1" x14ac:dyDescent="0.25">
      <c r="B44" t="s">
        <v>135</v>
      </c>
      <c r="C44" s="253">
        <f>SUM(C10:C43)</f>
        <v>5786.8480000000018</v>
      </c>
      <c r="D44" s="253">
        <f>SUM(D10:D43)</f>
        <v>5949.7</v>
      </c>
      <c r="E44" s="253">
        <f>SUM(E10:E43)</f>
        <v>5832.85</v>
      </c>
      <c r="F44" s="78"/>
    </row>
    <row r="46" spans="1:16" x14ac:dyDescent="0.2">
      <c r="B46" s="76"/>
    </row>
    <row r="47" spans="1:16" x14ac:dyDescent="0.2">
      <c r="B47" s="76"/>
      <c r="H47" s="15"/>
    </row>
    <row r="48" spans="1:16" x14ac:dyDescent="0.2">
      <c r="B48" s="76"/>
      <c r="H48" s="15"/>
    </row>
  </sheetData>
  <mergeCells count="1">
    <mergeCell ref="C8:E8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V813"/>
  <sheetViews>
    <sheetView workbookViewId="0">
      <selection activeCell="A759" sqref="A759:V779"/>
    </sheetView>
  </sheetViews>
  <sheetFormatPr defaultRowHeight="12.75" x14ac:dyDescent="0.2"/>
  <cols>
    <col min="1" max="1" width="9.140625" style="22"/>
    <col min="2" max="2" width="16.5703125" style="22" bestFit="1" customWidth="1"/>
    <col min="3" max="3" width="12.28515625" style="22" bestFit="1" customWidth="1"/>
    <col min="4" max="4" width="23.5703125" style="22" customWidth="1"/>
    <col min="5" max="8" width="12.28515625" style="22" bestFit="1" customWidth="1"/>
    <col min="9" max="9" width="16.42578125" style="22" customWidth="1"/>
    <col min="10" max="21" width="12.28515625" style="22" bestFit="1" customWidth="1"/>
    <col min="22" max="22" width="9" style="22" bestFit="1" customWidth="1"/>
  </cols>
  <sheetData>
    <row r="1" spans="1:22" ht="15.75" x14ac:dyDescent="0.25">
      <c r="A1" s="210" t="s">
        <v>126</v>
      </c>
    </row>
    <row r="4" spans="1:22" x14ac:dyDescent="0.2">
      <c r="A4" s="44"/>
      <c r="C4" s="12">
        <v>2000</v>
      </c>
      <c r="D4" s="12">
        <v>2001</v>
      </c>
      <c r="E4" s="12">
        <v>2002</v>
      </c>
      <c r="F4" s="12">
        <v>2003</v>
      </c>
      <c r="G4" s="12">
        <v>2004</v>
      </c>
      <c r="H4" s="12">
        <v>2005</v>
      </c>
      <c r="I4" s="12">
        <v>2006</v>
      </c>
      <c r="J4" s="12">
        <v>2007</v>
      </c>
      <c r="K4" s="12">
        <v>2008</v>
      </c>
      <c r="L4" s="12">
        <v>2009</v>
      </c>
      <c r="M4" s="12">
        <v>2010</v>
      </c>
      <c r="N4" s="12">
        <v>2011</v>
      </c>
      <c r="O4" s="12">
        <v>2012</v>
      </c>
      <c r="P4" s="12">
        <v>2013</v>
      </c>
      <c r="Q4" s="12">
        <v>2014</v>
      </c>
      <c r="R4" s="12">
        <v>2015</v>
      </c>
      <c r="S4" s="12">
        <v>2016</v>
      </c>
      <c r="T4" s="12">
        <v>2017</v>
      </c>
      <c r="U4" s="12">
        <v>2018</v>
      </c>
      <c r="V4" s="12">
        <v>2019</v>
      </c>
    </row>
    <row r="6" spans="1:22" x14ac:dyDescent="0.2">
      <c r="B6" s="45"/>
      <c r="C6" s="46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2">
      <c r="A7" s="23"/>
      <c r="B7" s="4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2">
      <c r="A8" s="23"/>
      <c r="B8" s="4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2">
      <c r="A9" s="23"/>
      <c r="B9" s="24"/>
      <c r="C9" s="24"/>
      <c r="D9" s="24"/>
      <c r="E9" s="24"/>
      <c r="F9" s="24"/>
      <c r="G9" s="24"/>
    </row>
    <row r="10" spans="1:22" x14ac:dyDescent="0.2">
      <c r="A10" s="23"/>
      <c r="B10" s="24"/>
      <c r="C10" s="24"/>
      <c r="D10" s="24"/>
      <c r="E10" s="24"/>
      <c r="F10" s="24"/>
      <c r="G10" s="24"/>
    </row>
    <row r="11" spans="1:22" ht="13.5" thickBot="1" x14ac:dyDescent="0.25">
      <c r="A11" s="23"/>
      <c r="B11" s="24"/>
      <c r="C11" s="24"/>
      <c r="D11" s="24"/>
      <c r="E11" s="24"/>
      <c r="F11" s="24"/>
      <c r="G11" s="24"/>
    </row>
    <row r="12" spans="1:22" x14ac:dyDescent="0.2">
      <c r="A12" s="23"/>
      <c r="B12" s="152"/>
      <c r="C12" s="153"/>
      <c r="D12" s="153"/>
      <c r="E12" s="153"/>
      <c r="F12" s="153"/>
      <c r="G12" s="154"/>
    </row>
    <row r="13" spans="1:22" x14ac:dyDescent="0.2">
      <c r="A13" s="23"/>
      <c r="B13" s="155"/>
      <c r="C13" s="156"/>
      <c r="D13" s="157" t="s">
        <v>127</v>
      </c>
      <c r="E13" s="156"/>
      <c r="F13" s="156"/>
      <c r="G13" s="158"/>
      <c r="I13" s="91"/>
      <c r="J13" s="91"/>
    </row>
    <row r="14" spans="1:22" x14ac:dyDescent="0.2">
      <c r="A14" s="23"/>
      <c r="B14" s="155"/>
      <c r="C14" s="156"/>
      <c r="D14" s="157" t="s">
        <v>128</v>
      </c>
      <c r="E14" s="156"/>
      <c r="F14" s="156"/>
      <c r="G14" s="158"/>
      <c r="I14" s="91"/>
      <c r="J14" s="91"/>
    </row>
    <row r="15" spans="1:22" x14ac:dyDescent="0.2">
      <c r="A15" s="23"/>
      <c r="B15" s="155"/>
      <c r="C15" s="156"/>
      <c r="D15" s="156"/>
      <c r="E15" s="156"/>
      <c r="F15" s="156"/>
      <c r="G15" s="158"/>
      <c r="I15" s="91"/>
      <c r="J15" s="91"/>
      <c r="K15" s="91"/>
      <c r="L15" s="91"/>
      <c r="M15" s="91"/>
    </row>
    <row r="16" spans="1:22" x14ac:dyDescent="0.2">
      <c r="A16" s="23"/>
      <c r="B16" s="155"/>
      <c r="C16" s="156"/>
      <c r="D16" s="156"/>
      <c r="E16" s="156"/>
      <c r="F16" s="156"/>
      <c r="G16" s="158"/>
      <c r="I16" s="91"/>
      <c r="J16" s="91"/>
      <c r="K16" s="91"/>
      <c r="L16" s="91"/>
      <c r="M16" s="91"/>
    </row>
    <row r="17" spans="1:22" x14ac:dyDescent="0.2">
      <c r="A17" s="23"/>
      <c r="B17" s="155"/>
      <c r="C17" s="156"/>
      <c r="D17" s="156"/>
      <c r="E17" s="156"/>
      <c r="F17" s="156"/>
      <c r="G17" s="158"/>
    </row>
    <row r="18" spans="1:22" ht="13.5" thickBot="1" x14ac:dyDescent="0.25">
      <c r="A18" s="23"/>
      <c r="B18" s="159"/>
      <c r="C18" s="162">
        <v>11</v>
      </c>
      <c r="D18" s="160"/>
      <c r="E18" s="160"/>
      <c r="F18" s="160"/>
      <c r="G18" s="161"/>
      <c r="H18" s="24"/>
      <c r="I18" s="24"/>
    </row>
    <row r="19" spans="1:22" x14ac:dyDescent="0.2">
      <c r="A19" s="23"/>
      <c r="B19" s="24"/>
      <c r="C19" s="24"/>
      <c r="D19" s="24"/>
      <c r="E19" s="24"/>
      <c r="F19" s="24"/>
      <c r="G19" s="24"/>
      <c r="H19" s="24"/>
      <c r="I19" s="24"/>
    </row>
    <row r="20" spans="1:22" x14ac:dyDescent="0.2">
      <c r="A20" s="23"/>
      <c r="B20" s="24"/>
      <c r="C20" s="24"/>
      <c r="D20" s="24"/>
      <c r="E20" s="24"/>
      <c r="F20" s="24"/>
      <c r="G20" s="24"/>
      <c r="H20" s="24"/>
      <c r="I20" s="24"/>
    </row>
    <row r="21" spans="1:22" x14ac:dyDescent="0.2">
      <c r="A21"/>
      <c r="B21" s="4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2">
      <c r="A22"/>
      <c r="B22" s="4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2">
      <c r="A23" s="259" t="s">
        <v>98</v>
      </c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</row>
    <row r="24" spans="1:22" x14ac:dyDescent="0.2">
      <c r="A24" s="262" t="s">
        <v>55</v>
      </c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</row>
    <row r="25" spans="1:22" x14ac:dyDescent="0.2">
      <c r="A25" s="261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</row>
    <row r="26" spans="1:22" x14ac:dyDescent="0.2">
      <c r="A26" s="261"/>
      <c r="B26" s="260"/>
      <c r="C26" s="265">
        <v>2000</v>
      </c>
      <c r="D26" s="266">
        <v>2001</v>
      </c>
      <c r="E26" s="266">
        <v>2002</v>
      </c>
      <c r="F26" s="266">
        <v>2003</v>
      </c>
      <c r="G26" s="266">
        <v>2004</v>
      </c>
      <c r="H26" s="266">
        <v>2005</v>
      </c>
      <c r="I26" s="266">
        <v>2006</v>
      </c>
      <c r="J26" s="266">
        <v>2007</v>
      </c>
      <c r="K26" s="266">
        <v>2008</v>
      </c>
      <c r="L26" s="266">
        <v>2009</v>
      </c>
      <c r="M26" s="266">
        <v>2010</v>
      </c>
      <c r="N26" s="266">
        <v>2011</v>
      </c>
      <c r="O26" s="266">
        <v>2012</v>
      </c>
      <c r="P26" s="266">
        <v>2013</v>
      </c>
      <c r="Q26" s="266">
        <v>2014</v>
      </c>
      <c r="R26" s="266">
        <v>2015</v>
      </c>
      <c r="S26" s="266">
        <v>2016</v>
      </c>
      <c r="T26" s="266">
        <v>2017</v>
      </c>
      <c r="U26" s="266">
        <v>2018</v>
      </c>
      <c r="V26" s="266">
        <v>2019</v>
      </c>
    </row>
    <row r="27" spans="1:22" x14ac:dyDescent="0.2">
      <c r="A27" s="263" t="s">
        <v>129</v>
      </c>
      <c r="B27" s="260"/>
      <c r="C27" s="267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</row>
    <row r="28" spans="1:22" x14ac:dyDescent="0.2">
      <c r="A28" s="261"/>
      <c r="B28" s="264" t="s">
        <v>97</v>
      </c>
      <c r="C28" s="269">
        <v>0</v>
      </c>
      <c r="D28" s="270">
        <v>2176312.0588091896</v>
      </c>
      <c r="E28" s="270">
        <v>2176312.0588091896</v>
      </c>
      <c r="F28" s="270">
        <v>2176312.0588091896</v>
      </c>
      <c r="G28" s="270">
        <v>2176312.0588091896</v>
      </c>
      <c r="H28" s="270">
        <v>2176312.0588091896</v>
      </c>
      <c r="I28" s="270">
        <v>2176312.0588091905</v>
      </c>
      <c r="J28" s="270">
        <v>2176312.0588091905</v>
      </c>
      <c r="K28" s="270">
        <v>2176312.0588091905</v>
      </c>
      <c r="L28" s="270">
        <v>2176312.0588091905</v>
      </c>
      <c r="M28" s="270">
        <v>2176312.0588091905</v>
      </c>
      <c r="N28" s="270">
        <v>2176312.0588091905</v>
      </c>
      <c r="O28" s="270">
        <v>2176312.0588091905</v>
      </c>
      <c r="P28" s="270">
        <v>2176312.0588091905</v>
      </c>
      <c r="Q28" s="270">
        <v>2176312.0588091905</v>
      </c>
      <c r="R28" s="270">
        <v>2176312.0588091905</v>
      </c>
      <c r="S28" s="270">
        <v>2176312.0588091905</v>
      </c>
      <c r="T28" s="270">
        <v>2176312.0588091905</v>
      </c>
      <c r="U28" s="270">
        <v>2176312.0588091905</v>
      </c>
      <c r="V28" s="270">
        <v>2176312.0588091905</v>
      </c>
    </row>
    <row r="29" spans="1:22" x14ac:dyDescent="0.2">
      <c r="A29" s="261"/>
      <c r="B29" s="264" t="s">
        <v>91</v>
      </c>
      <c r="C29" s="269">
        <v>0</v>
      </c>
      <c r="D29" s="271">
        <v>0.7962738770376675</v>
      </c>
      <c r="E29" s="271">
        <v>0.7962738770376675</v>
      </c>
      <c r="F29" s="271">
        <v>0.7962738770376675</v>
      </c>
      <c r="G29" s="271">
        <v>0.7962738770376675</v>
      </c>
      <c r="H29" s="271">
        <v>0.7962738770376675</v>
      </c>
      <c r="I29" s="271">
        <v>0.79627387703766772</v>
      </c>
      <c r="J29" s="271">
        <v>0.79627387703766772</v>
      </c>
      <c r="K29" s="271">
        <v>0.79627387703766772</v>
      </c>
      <c r="L29" s="271">
        <v>0.79627387703766772</v>
      </c>
      <c r="M29" s="271">
        <v>0.79627387703766772</v>
      </c>
      <c r="N29" s="271">
        <v>0.79627387703766772</v>
      </c>
      <c r="O29" s="271">
        <v>0.79627387703766772</v>
      </c>
      <c r="P29" s="271">
        <v>0.79627387703766772</v>
      </c>
      <c r="Q29" s="271">
        <v>0.79627387703766772</v>
      </c>
      <c r="R29" s="271">
        <v>0.79627387703766772</v>
      </c>
      <c r="S29" s="271">
        <v>0.79627387703766772</v>
      </c>
      <c r="T29" s="271">
        <v>0.79627387703766772</v>
      </c>
      <c r="U29" s="271">
        <v>0.79627387703766772</v>
      </c>
      <c r="V29" s="271">
        <v>0.79627387703766772</v>
      </c>
    </row>
    <row r="30" spans="1:22" x14ac:dyDescent="0.2">
      <c r="A30" s="263" t="s">
        <v>93</v>
      </c>
      <c r="B30" s="264"/>
      <c r="C30" s="267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</row>
    <row r="31" spans="1:22" x14ac:dyDescent="0.2">
      <c r="A31" s="261"/>
      <c r="B31" s="264" t="s">
        <v>27</v>
      </c>
      <c r="C31" s="272">
        <v>0</v>
      </c>
      <c r="D31" s="273">
        <v>39.483047960013899</v>
      </c>
      <c r="E31" s="273">
        <v>38.935467327251111</v>
      </c>
      <c r="F31" s="273">
        <v>39.684908261352319</v>
      </c>
      <c r="G31" s="273">
        <v>39.122421811677356</v>
      </c>
      <c r="H31" s="273">
        <v>39.417099156106019</v>
      </c>
      <c r="I31" s="273">
        <v>42.078614925257796</v>
      </c>
      <c r="J31" s="273">
        <v>45.119014026963733</v>
      </c>
      <c r="K31" s="273">
        <v>46.286592945186754</v>
      </c>
      <c r="L31" s="273">
        <v>47.255408417907269</v>
      </c>
      <c r="M31" s="273">
        <v>47.424107614868959</v>
      </c>
      <c r="N31" s="273">
        <v>48.448702322124518</v>
      </c>
      <c r="O31" s="273">
        <v>48.992770934223152</v>
      </c>
      <c r="P31" s="273">
        <v>49.569320079245493</v>
      </c>
      <c r="Q31" s="273">
        <v>51.314220662476153</v>
      </c>
      <c r="R31" s="273">
        <v>54.954913135529161</v>
      </c>
      <c r="S31" s="273">
        <v>54.638332925743072</v>
      </c>
      <c r="T31" s="273">
        <v>55.334688595910052</v>
      </c>
      <c r="U31" s="273">
        <v>57.993820916206047</v>
      </c>
      <c r="V31" s="273">
        <v>59.755300551829343</v>
      </c>
    </row>
    <row r="32" spans="1:22" x14ac:dyDescent="0.2">
      <c r="A32" s="261"/>
      <c r="B32" s="264" t="s">
        <v>20</v>
      </c>
      <c r="C32" s="272">
        <v>0</v>
      </c>
      <c r="D32" s="273">
        <v>10.399619200000002</v>
      </c>
      <c r="E32" s="273">
        <v>10.3755088</v>
      </c>
      <c r="F32" s="273">
        <v>10.275048800000002</v>
      </c>
      <c r="G32" s="273">
        <v>10.230846400000001</v>
      </c>
      <c r="H32" s="273">
        <v>10.162533600000001</v>
      </c>
      <c r="I32" s="273">
        <v>10.349389199999999</v>
      </c>
      <c r="J32" s="273">
        <v>10.671865799999999</v>
      </c>
      <c r="K32" s="273">
        <v>10.9672182</v>
      </c>
      <c r="L32" s="273">
        <v>11.301749999999998</v>
      </c>
      <c r="M32" s="273">
        <v>11.464495199999996</v>
      </c>
      <c r="N32" s="273">
        <v>11.657378400000001</v>
      </c>
      <c r="O32" s="273">
        <v>11.721672799999999</v>
      </c>
      <c r="P32" s="273">
        <v>11.718659000000002</v>
      </c>
      <c r="Q32" s="273">
        <v>11.80405</v>
      </c>
      <c r="R32" s="273">
        <v>11.855284599999999</v>
      </c>
      <c r="S32" s="273">
        <v>11.9487124</v>
      </c>
      <c r="T32" s="273">
        <v>12.048167800000002</v>
      </c>
      <c r="U32" s="273">
        <v>12.128535799999998</v>
      </c>
      <c r="V32" s="273">
        <v>12.1918256</v>
      </c>
    </row>
    <row r="33" spans="1:22" x14ac:dyDescent="0.2">
      <c r="A33" s="261"/>
      <c r="B33" s="264" t="s">
        <v>92</v>
      </c>
      <c r="C33" s="272">
        <v>0</v>
      </c>
      <c r="D33" s="273">
        <v>0.898895093038936</v>
      </c>
      <c r="E33" s="273">
        <v>0.91703871131719061</v>
      </c>
      <c r="F33" s="273">
        <v>0.93554854684012312</v>
      </c>
      <c r="G33" s="273">
        <v>0.95443199146685642</v>
      </c>
      <c r="H33" s="273">
        <v>0.9736965862564273</v>
      </c>
      <c r="I33" s="273">
        <v>0.99335002447929099</v>
      </c>
      <c r="J33" s="273">
        <v>1.0134001546896094</v>
      </c>
      <c r="K33" s="273">
        <v>1.0338549838595534</v>
      </c>
      <c r="L33" s="273">
        <v>1.0547226805768684</v>
      </c>
      <c r="M33" s="273">
        <v>1.0760115783069788</v>
      </c>
      <c r="N33" s="273">
        <v>1.0977301787209406</v>
      </c>
      <c r="O33" s="273">
        <v>1.1198871550905631</v>
      </c>
      <c r="P33" s="273">
        <v>1.1424913557520557</v>
      </c>
      <c r="Q33" s="273">
        <v>1.1655518076395965</v>
      </c>
      <c r="R33" s="273">
        <v>1.1890777198902114</v>
      </c>
      <c r="S33" s="273">
        <v>1.2130784875214242</v>
      </c>
      <c r="T33" s="273">
        <v>1.237563695183135</v>
      </c>
      <c r="U33" s="273">
        <v>1.2625431209852254</v>
      </c>
      <c r="V33" s="273">
        <v>1.2880267404024244</v>
      </c>
    </row>
    <row r="34" spans="1:22" x14ac:dyDescent="0.2">
      <c r="A34" s="261"/>
      <c r="B34" s="264" t="s">
        <v>22</v>
      </c>
      <c r="C34" s="272">
        <v>0</v>
      </c>
      <c r="D34" s="273">
        <v>0</v>
      </c>
      <c r="E34" s="273">
        <v>0</v>
      </c>
      <c r="F34" s="273">
        <v>0</v>
      </c>
      <c r="G34" s="273">
        <v>0</v>
      </c>
      <c r="H34" s="273">
        <v>0</v>
      </c>
      <c r="I34" s="273">
        <v>2.6970141921518715</v>
      </c>
      <c r="J34" s="273">
        <v>2.9894247838382313</v>
      </c>
      <c r="K34" s="273">
        <v>3.4802663433632977</v>
      </c>
      <c r="L34" s="273">
        <v>3.6231072326099945</v>
      </c>
      <c r="M34" s="273">
        <v>4.0294522971619919</v>
      </c>
      <c r="N34" s="273">
        <v>4.4387464276612132</v>
      </c>
      <c r="O34" s="273">
        <v>4.9179979642065748</v>
      </c>
      <c r="P34" s="273">
        <v>5.5143694450822389</v>
      </c>
      <c r="Q34" s="273">
        <v>6.1383536932860192</v>
      </c>
      <c r="R34" s="273">
        <v>6.7994207335798125</v>
      </c>
      <c r="S34" s="273">
        <v>7.4657556038110808</v>
      </c>
      <c r="T34" s="273">
        <v>7.3347409076134875</v>
      </c>
      <c r="U34" s="273">
        <v>6.2752675643819318</v>
      </c>
      <c r="V34" s="273">
        <v>6.5062946991279187</v>
      </c>
    </row>
    <row r="35" spans="1:22" x14ac:dyDescent="0.2">
      <c r="A35" s="261"/>
      <c r="B35" s="264" t="s">
        <v>23</v>
      </c>
      <c r="C35" s="272">
        <v>0</v>
      </c>
      <c r="D35" s="273">
        <v>0</v>
      </c>
      <c r="E35" s="273">
        <v>0</v>
      </c>
      <c r="F35" s="273">
        <v>0.67301623098378305</v>
      </c>
      <c r="G35" s="273">
        <v>0.57345201555796543</v>
      </c>
      <c r="H35" s="273">
        <v>0.59532153733706217</v>
      </c>
      <c r="I35" s="273">
        <v>0.61829383301252383</v>
      </c>
      <c r="J35" s="273">
        <v>0.77671209261552876</v>
      </c>
      <c r="K35" s="273">
        <v>0.67844930820310612</v>
      </c>
      <c r="L35" s="273">
        <v>0.718090656323639</v>
      </c>
      <c r="M35" s="273">
        <v>0.68329076161725955</v>
      </c>
      <c r="N35" s="273">
        <v>0.70286077218320642</v>
      </c>
      <c r="O35" s="273">
        <v>0.72108656487453526</v>
      </c>
      <c r="P35" s="273">
        <v>0.64408159143643295</v>
      </c>
      <c r="Q35" s="273">
        <v>0.66711052168499274</v>
      </c>
      <c r="R35" s="273">
        <v>0.68089661491923359</v>
      </c>
      <c r="S35" s="273">
        <v>0.72306436644082972</v>
      </c>
      <c r="T35" s="273">
        <v>0.67975549824285586</v>
      </c>
      <c r="U35" s="273">
        <v>0.74866709941717158</v>
      </c>
      <c r="V35" s="273">
        <v>0.40761221732930986</v>
      </c>
    </row>
    <row r="36" spans="1:22" x14ac:dyDescent="0.2">
      <c r="A36" s="263" t="s">
        <v>94</v>
      </c>
      <c r="B36" s="264"/>
      <c r="C36" s="267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</row>
    <row r="37" spans="1:22" x14ac:dyDescent="0.2">
      <c r="A37" s="261"/>
      <c r="B37" s="264" t="s">
        <v>34</v>
      </c>
      <c r="C37" s="272">
        <v>0</v>
      </c>
      <c r="D37" s="273">
        <v>13.510507590293523</v>
      </c>
      <c r="E37" s="273">
        <v>13.780717742099394</v>
      </c>
      <c r="F37" s="273">
        <v>14.194396199505483</v>
      </c>
      <c r="G37" s="273">
        <v>14.478974444008415</v>
      </c>
      <c r="H37" s="273">
        <v>14.769261511414221</v>
      </c>
      <c r="I37" s="273">
        <v>15.065372009631288</v>
      </c>
      <c r="J37" s="273">
        <v>15.367422849512417</v>
      </c>
      <c r="K37" s="273">
        <v>15.675533291183379</v>
      </c>
      <c r="L37" s="273">
        <v>15.989824991304779</v>
      </c>
      <c r="M37" s="273">
        <v>16.31042205128605</v>
      </c>
      <c r="N37" s="273">
        <v>16.637451066470824</v>
      </c>
      <c r="O37" s="273">
        <v>16.971041176313271</v>
      </c>
      <c r="P37" s="273">
        <v>17.311324115565395</v>
      </c>
      <c r="Q37" s="273">
        <v>17.658434266495703</v>
      </c>
      <c r="R37" s="273">
        <v>18.012508712160095</v>
      </c>
      <c r="S37" s="273">
        <v>18.373687290746137</v>
      </c>
      <c r="T37" s="273">
        <v>18.742112651012469</v>
      </c>
      <c r="U37" s="273">
        <v>19.117930308845416</v>
      </c>
      <c r="V37" s="273">
        <v>19.501288704955343</v>
      </c>
    </row>
    <row r="38" spans="1:22" x14ac:dyDescent="0.2">
      <c r="A38" s="261"/>
      <c r="B38" s="264" t="s">
        <v>95</v>
      </c>
      <c r="C38" s="272">
        <v>0</v>
      </c>
      <c r="D38" s="273">
        <v>1.2238317756530515</v>
      </c>
      <c r="E38" s="273">
        <v>1.4322076624427091</v>
      </c>
      <c r="F38" s="273">
        <v>1.4650043529479324</v>
      </c>
      <c r="G38" s="273">
        <v>1.4985422486585731</v>
      </c>
      <c r="H38" s="273">
        <v>1.5328783462871276</v>
      </c>
      <c r="I38" s="273">
        <v>1.5696635783465211</v>
      </c>
      <c r="J38" s="273">
        <v>1.605733114866063</v>
      </c>
      <c r="K38" s="273">
        <v>1.6427156458952883</v>
      </c>
      <c r="L38" s="273">
        <v>1.6806116454409357</v>
      </c>
      <c r="M38" s="273">
        <v>1.7194739929749967</v>
      </c>
      <c r="N38" s="273">
        <v>1.7592768093193822</v>
      </c>
      <c r="O38" s="273">
        <v>1.800082656635646</v>
      </c>
      <c r="P38" s="273">
        <v>1.841924972473743</v>
      </c>
      <c r="Q38" s="273">
        <v>1.8848133462077923</v>
      </c>
      <c r="R38" s="273">
        <v>1.9287782181225663</v>
      </c>
      <c r="S38" s="273">
        <v>1.9738422118352099</v>
      </c>
      <c r="T38" s="273">
        <v>2.0200237925919269</v>
      </c>
      <c r="U38" s="273">
        <v>2.0673645310256377</v>
      </c>
      <c r="V38" s="273">
        <v>2.115893521994034</v>
      </c>
    </row>
    <row r="39" spans="1:22" x14ac:dyDescent="0.2">
      <c r="A39" s="261"/>
      <c r="B39" s="264" t="s">
        <v>36</v>
      </c>
      <c r="C39" s="272">
        <v>0</v>
      </c>
      <c r="D39" s="273">
        <v>1.6875063244606188</v>
      </c>
      <c r="E39" s="273">
        <v>1.7231127079067468</v>
      </c>
      <c r="F39" s="273">
        <v>1.7608488762099073</v>
      </c>
      <c r="G39" s="273">
        <v>1.8006440608122372</v>
      </c>
      <c r="H39" s="273">
        <v>1.8434993894595737</v>
      </c>
      <c r="I39" s="273">
        <v>1.8896976694897372</v>
      </c>
      <c r="J39" s="273">
        <v>1.9365674361482499</v>
      </c>
      <c r="K39" s="273">
        <v>1.9855859600174712</v>
      </c>
      <c r="L39" s="273">
        <v>2.0346299332299069</v>
      </c>
      <c r="M39" s="273">
        <v>2.0865129965272597</v>
      </c>
      <c r="N39" s="273">
        <v>2.1370066110432306</v>
      </c>
      <c r="O39" s="273">
        <v>2.1908591776415127</v>
      </c>
      <c r="P39" s="273">
        <v>2.2465070007536028</v>
      </c>
      <c r="Q39" s="273">
        <v>2.3026696757724423</v>
      </c>
      <c r="R39" s="273">
        <v>2.3604666846343303</v>
      </c>
      <c r="S39" s="273">
        <v>2.4194783517501923</v>
      </c>
      <c r="T39" s="273">
        <v>2.4794814148735962</v>
      </c>
      <c r="U39" s="273">
        <v>2.5417163983869262</v>
      </c>
      <c r="V39" s="273">
        <v>2.6055134799864392</v>
      </c>
    </row>
    <row r="40" spans="1:22" x14ac:dyDescent="0.2">
      <c r="A40" s="261"/>
      <c r="B40" s="264" t="s">
        <v>39</v>
      </c>
      <c r="C40" s="272">
        <v>0</v>
      </c>
      <c r="D40" s="273">
        <v>3.982691987179487</v>
      </c>
      <c r="E40" s="273">
        <v>0.76923060897435658</v>
      </c>
      <c r="F40" s="273">
        <v>1.2820511538461539</v>
      </c>
      <c r="G40" s="273">
        <v>0.76923038461538462</v>
      </c>
      <c r="H40" s="273">
        <v>1.5224356987179484</v>
      </c>
      <c r="I40" s="273">
        <v>1.5681087696794869</v>
      </c>
      <c r="J40" s="273">
        <v>1.6151520327698714</v>
      </c>
      <c r="K40" s="273">
        <v>1.6636065937529678</v>
      </c>
      <c r="L40" s="273">
        <v>1.7135147915655569</v>
      </c>
      <c r="M40" s="273">
        <v>1.7649202353125237</v>
      </c>
      <c r="N40" s="273">
        <v>1.8178678423718995</v>
      </c>
      <c r="O40" s="273">
        <v>1.8724038776430565</v>
      </c>
      <c r="P40" s="273">
        <v>1.9285759939723479</v>
      </c>
      <c r="Q40" s="273">
        <v>1.9864332737915185</v>
      </c>
      <c r="R40" s="273">
        <v>2.046026272005264</v>
      </c>
      <c r="S40" s="273">
        <v>2.1074070601654218</v>
      </c>
      <c r="T40" s="273">
        <v>2.1706292719703844</v>
      </c>
      <c r="U40" s="273">
        <v>2.235748150129496</v>
      </c>
      <c r="V40" s="273">
        <v>2.3028205946333804</v>
      </c>
    </row>
    <row r="41" spans="1:22" x14ac:dyDescent="0.2">
      <c r="A41" s="261"/>
      <c r="B41" s="264" t="s">
        <v>96</v>
      </c>
      <c r="C41" s="274">
        <v>0</v>
      </c>
      <c r="D41" s="275">
        <v>4.7178307692307691</v>
      </c>
      <c r="E41" s="275">
        <v>67.987012692307701</v>
      </c>
      <c r="F41" s="275">
        <v>9.0894696153846155</v>
      </c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5">
        <v>0</v>
      </c>
      <c r="R41" s="275">
        <v>0</v>
      </c>
      <c r="S41" s="275">
        <v>0</v>
      </c>
      <c r="T41" s="275">
        <v>0</v>
      </c>
      <c r="U41" s="275">
        <v>0</v>
      </c>
      <c r="V41" s="275">
        <v>0</v>
      </c>
    </row>
    <row r="42" spans="1:22" x14ac:dyDescent="0.2">
      <c r="A42" s="261"/>
      <c r="B42" s="264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</row>
    <row r="43" spans="1:22" x14ac:dyDescent="0.2">
      <c r="A43" s="261"/>
      <c r="B43" s="264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</row>
    <row r="44" spans="1:22" x14ac:dyDescent="0.2">
      <c r="A44" s="278"/>
      <c r="B44" s="279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</row>
    <row r="45" spans="1:22" x14ac:dyDescent="0.2">
      <c r="A45" s="281"/>
      <c r="B45" s="279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</row>
    <row r="46" spans="1:22" x14ac:dyDescent="0.2">
      <c r="A46" s="259" t="s">
        <v>98</v>
      </c>
      <c r="B46" s="260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</row>
    <row r="47" spans="1:22" x14ac:dyDescent="0.2">
      <c r="A47" s="262" t="s">
        <v>56</v>
      </c>
      <c r="B47" s="260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</row>
    <row r="48" spans="1:22" x14ac:dyDescent="0.2">
      <c r="A48" s="261"/>
      <c r="B48" s="260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</row>
    <row r="49" spans="1:22" x14ac:dyDescent="0.2">
      <c r="A49" s="261"/>
      <c r="B49" s="260"/>
      <c r="C49" s="265">
        <v>2000</v>
      </c>
      <c r="D49" s="266">
        <v>2001</v>
      </c>
      <c r="E49" s="266">
        <v>2002</v>
      </c>
      <c r="F49" s="266">
        <v>2003</v>
      </c>
      <c r="G49" s="266">
        <v>2004</v>
      </c>
      <c r="H49" s="266">
        <v>2005</v>
      </c>
      <c r="I49" s="266">
        <v>2006</v>
      </c>
      <c r="J49" s="266">
        <v>2007</v>
      </c>
      <c r="K49" s="266">
        <v>2008</v>
      </c>
      <c r="L49" s="266">
        <v>2009</v>
      </c>
      <c r="M49" s="266">
        <v>2010</v>
      </c>
      <c r="N49" s="266">
        <v>2011</v>
      </c>
      <c r="O49" s="266">
        <v>2012</v>
      </c>
      <c r="P49" s="266">
        <v>2013</v>
      </c>
      <c r="Q49" s="266">
        <v>2014</v>
      </c>
      <c r="R49" s="266">
        <v>2015</v>
      </c>
      <c r="S49" s="266">
        <v>2016</v>
      </c>
      <c r="T49" s="266">
        <v>2017</v>
      </c>
      <c r="U49" s="266">
        <v>2018</v>
      </c>
      <c r="V49" s="266">
        <v>2019</v>
      </c>
    </row>
    <row r="50" spans="1:22" x14ac:dyDescent="0.2">
      <c r="A50" s="263" t="s">
        <v>129</v>
      </c>
      <c r="B50" s="260"/>
      <c r="C50" s="267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268"/>
      <c r="V50" s="268"/>
    </row>
    <row r="51" spans="1:22" x14ac:dyDescent="0.2">
      <c r="A51" s="261"/>
      <c r="B51" s="264" t="s">
        <v>97</v>
      </c>
      <c r="C51" s="269">
        <v>0</v>
      </c>
      <c r="D51" s="270">
        <v>3093685.0504348907</v>
      </c>
      <c r="E51" s="270">
        <v>3093685.0504348907</v>
      </c>
      <c r="F51" s="270">
        <v>3093685.0504348907</v>
      </c>
      <c r="G51" s="270">
        <v>3093685.0504348907</v>
      </c>
      <c r="H51" s="270">
        <v>3093685.0504348907</v>
      </c>
      <c r="I51" s="270">
        <v>3093685.0504348911</v>
      </c>
      <c r="J51" s="270">
        <v>3093685.0504348911</v>
      </c>
      <c r="K51" s="270">
        <v>3093685.0504348911</v>
      </c>
      <c r="L51" s="270">
        <v>3093685.0504348911</v>
      </c>
      <c r="M51" s="270">
        <v>3093685.0504348911</v>
      </c>
      <c r="N51" s="270">
        <v>3093685.0504348911</v>
      </c>
      <c r="O51" s="270">
        <v>3093685.0504348911</v>
      </c>
      <c r="P51" s="270">
        <v>3093685.0504348911</v>
      </c>
      <c r="Q51" s="270">
        <v>3093685.0504348911</v>
      </c>
      <c r="R51" s="270">
        <v>3093685.0504348911</v>
      </c>
      <c r="S51" s="270">
        <v>3093685.0504348911</v>
      </c>
      <c r="T51" s="270">
        <v>3093685.0504348911</v>
      </c>
      <c r="U51" s="270">
        <v>3093685.0504348911</v>
      </c>
      <c r="V51" s="270">
        <v>3093685.0504348911</v>
      </c>
    </row>
    <row r="52" spans="1:22" x14ac:dyDescent="0.2">
      <c r="A52" s="261"/>
      <c r="B52" s="264" t="s">
        <v>91</v>
      </c>
      <c r="C52" s="269">
        <v>0</v>
      </c>
      <c r="D52" s="271">
        <v>0.85304442967454475</v>
      </c>
      <c r="E52" s="271">
        <v>0.85304442967454475</v>
      </c>
      <c r="F52" s="271">
        <v>0.85304442967454475</v>
      </c>
      <c r="G52" s="271">
        <v>0.85304442967454475</v>
      </c>
      <c r="H52" s="271">
        <v>0.85304442967454475</v>
      </c>
      <c r="I52" s="271">
        <v>0.85304442967454486</v>
      </c>
      <c r="J52" s="271">
        <v>0.85304442967454486</v>
      </c>
      <c r="K52" s="271">
        <v>0.85304442967454486</v>
      </c>
      <c r="L52" s="271">
        <v>0.85304442967454486</v>
      </c>
      <c r="M52" s="271">
        <v>0.85304442967454486</v>
      </c>
      <c r="N52" s="271">
        <v>0.85304442967454486</v>
      </c>
      <c r="O52" s="271">
        <v>0.85304442967454486</v>
      </c>
      <c r="P52" s="271">
        <v>0.85304442967454486</v>
      </c>
      <c r="Q52" s="271">
        <v>0.85304442967454486</v>
      </c>
      <c r="R52" s="271">
        <v>0.85304442967454486</v>
      </c>
      <c r="S52" s="271">
        <v>0.85304442967454486</v>
      </c>
      <c r="T52" s="271">
        <v>0.85304442967454486</v>
      </c>
      <c r="U52" s="271">
        <v>0.85304442967454486</v>
      </c>
      <c r="V52" s="271">
        <v>0.85304442967454486</v>
      </c>
    </row>
    <row r="53" spans="1:22" x14ac:dyDescent="0.2">
      <c r="A53" s="263" t="s">
        <v>93</v>
      </c>
      <c r="B53" s="264"/>
      <c r="C53" s="267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268"/>
      <c r="V53" s="268"/>
    </row>
    <row r="54" spans="1:22" x14ac:dyDescent="0.2">
      <c r="A54" s="261"/>
      <c r="B54" s="264" t="s">
        <v>27</v>
      </c>
      <c r="C54" s="272">
        <v>0</v>
      </c>
      <c r="D54" s="273">
        <v>39.483047960013891</v>
      </c>
      <c r="E54" s="273">
        <v>38.935467327251104</v>
      </c>
      <c r="F54" s="273">
        <v>39.684908261352312</v>
      </c>
      <c r="G54" s="273">
        <v>39.122421811677349</v>
      </c>
      <c r="H54" s="273">
        <v>39.417099156106012</v>
      </c>
      <c r="I54" s="273">
        <v>42.078614925257803</v>
      </c>
      <c r="J54" s="273">
        <v>45.119014026963704</v>
      </c>
      <c r="K54" s="273">
        <v>46.28659294518679</v>
      </c>
      <c r="L54" s="273">
        <v>47.255408417907304</v>
      </c>
      <c r="M54" s="273">
        <v>47.42410761486898</v>
      </c>
      <c r="N54" s="273">
        <v>48.448702322124554</v>
      </c>
      <c r="O54" s="273">
        <v>48.992770934223195</v>
      </c>
      <c r="P54" s="273">
        <v>49.569320079245493</v>
      </c>
      <c r="Q54" s="273">
        <v>51.314220662476131</v>
      </c>
      <c r="R54" s="273">
        <v>54.954913135529154</v>
      </c>
      <c r="S54" s="273">
        <v>54.63833292574305</v>
      </c>
      <c r="T54" s="273">
        <v>55.334688595910031</v>
      </c>
      <c r="U54" s="273">
        <v>57.993820916206076</v>
      </c>
      <c r="V54" s="273">
        <v>59.755300551829329</v>
      </c>
    </row>
    <row r="55" spans="1:22" x14ac:dyDescent="0.2">
      <c r="A55" s="261"/>
      <c r="B55" s="264" t="s">
        <v>20</v>
      </c>
      <c r="C55" s="272">
        <v>0</v>
      </c>
      <c r="D55" s="273">
        <v>9.4885449000000008</v>
      </c>
      <c r="E55" s="273">
        <v>9.4546242000000049</v>
      </c>
      <c r="F55" s="273">
        <v>9.4751822000000008</v>
      </c>
      <c r="G55" s="273">
        <v>9.5903069999999975</v>
      </c>
      <c r="H55" s="273">
        <v>9.7701895000000043</v>
      </c>
      <c r="I55" s="273">
        <v>10.104257</v>
      </c>
      <c r="J55" s="273">
        <v>10.507193799999998</v>
      </c>
      <c r="K55" s="273">
        <v>10.833038100000001</v>
      </c>
      <c r="L55" s="273">
        <v>11.160938200000002</v>
      </c>
      <c r="M55" s="273">
        <v>11.5525681</v>
      </c>
      <c r="N55" s="273">
        <v>11.934946900000002</v>
      </c>
      <c r="O55" s="273">
        <v>12.177531300000002</v>
      </c>
      <c r="P55" s="273">
        <v>12.344051100000001</v>
      </c>
      <c r="Q55" s="273">
        <v>12.588691300000001</v>
      </c>
      <c r="R55" s="273">
        <v>12.832303599999999</v>
      </c>
      <c r="S55" s="273">
        <v>13.084139099999998</v>
      </c>
      <c r="T55" s="273">
        <v>13.339058300000001</v>
      </c>
      <c r="U55" s="273">
        <v>13.600144899999995</v>
      </c>
      <c r="V55" s="273">
        <v>13.8643152</v>
      </c>
    </row>
    <row r="56" spans="1:22" x14ac:dyDescent="0.2">
      <c r="A56" s="261"/>
      <c r="B56" s="264" t="s">
        <v>92</v>
      </c>
      <c r="C56" s="272">
        <v>0</v>
      </c>
      <c r="D56" s="273">
        <v>2.1221337763496528</v>
      </c>
      <c r="E56" s="273">
        <v>2.1649676792952239</v>
      </c>
      <c r="F56" s="273">
        <v>2.7320661569730742</v>
      </c>
      <c r="G56" s="273">
        <v>2.7897316602671149</v>
      </c>
      <c r="H56" s="273">
        <v>2.8486241172961009</v>
      </c>
      <c r="I56" s="273">
        <v>2.9087698686482732</v>
      </c>
      <c r="J56" s="273">
        <v>2.9701958259626147</v>
      </c>
      <c r="K56" s="273">
        <v>3.0329294844397112</v>
      </c>
      <c r="L56" s="273">
        <v>3.0969989356297662</v>
      </c>
      <c r="M56" s="273">
        <v>3.1624328805039403</v>
      </c>
      <c r="N56" s="273">
        <v>3.2292606428154027</v>
      </c>
      <c r="O56" s="273">
        <v>3.2975121827565719</v>
      </c>
      <c r="P56" s="273">
        <v>3.3672181109191812</v>
      </c>
      <c r="Q56" s="273">
        <v>3.4384097025639777</v>
      </c>
      <c r="R56" s="273">
        <v>3.5111189122069857</v>
      </c>
      <c r="S56" s="273">
        <v>3.5853783885294424</v>
      </c>
      <c r="T56" s="273">
        <v>3.6612214896186734</v>
      </c>
      <c r="U56" s="273">
        <v>3.7386822985473387</v>
      </c>
      <c r="V56" s="273">
        <v>3.8177956392986321</v>
      </c>
    </row>
    <row r="57" spans="1:22" x14ac:dyDescent="0.2">
      <c r="A57" s="261"/>
      <c r="B57" s="264" t="s">
        <v>22</v>
      </c>
      <c r="C57" s="272">
        <v>0</v>
      </c>
      <c r="D57" s="273">
        <v>0</v>
      </c>
      <c r="E57" s="273">
        <v>0</v>
      </c>
      <c r="F57" s="273">
        <v>0</v>
      </c>
      <c r="G57" s="273">
        <v>0</v>
      </c>
      <c r="H57" s="273">
        <v>0</v>
      </c>
      <c r="I57" s="273">
        <v>-0.82864203195664732</v>
      </c>
      <c r="J57" s="273">
        <v>-0.91848349722061229</v>
      </c>
      <c r="K57" s="273">
        <v>-0.99066720907454286</v>
      </c>
      <c r="L57" s="273">
        <v>-1.113178769308349</v>
      </c>
      <c r="M57" s="273">
        <v>-1.2380259432482339</v>
      </c>
      <c r="N57" s="273">
        <v>-1.3637792006659104</v>
      </c>
      <c r="O57" s="273">
        <v>-1.5110264670009972</v>
      </c>
      <c r="P57" s="273">
        <v>-1.694258159719497</v>
      </c>
      <c r="Q57" s="273">
        <v>-1.8859737157017868</v>
      </c>
      <c r="R57" s="273">
        <v>-2.0890827453548906</v>
      </c>
      <c r="S57" s="273">
        <v>-2.2938102853280711</v>
      </c>
      <c r="T57" s="273">
        <v>-2.2535567766927533</v>
      </c>
      <c r="U57" s="273">
        <v>-1.9280397117496035</v>
      </c>
      <c r="V57" s="273">
        <v>-1.9990214644337789</v>
      </c>
    </row>
    <row r="58" spans="1:22" x14ac:dyDescent="0.2">
      <c r="A58" s="261"/>
      <c r="B58" s="264" t="s">
        <v>23</v>
      </c>
      <c r="C58" s="272">
        <v>0</v>
      </c>
      <c r="D58" s="273">
        <v>0</v>
      </c>
      <c r="E58" s="273">
        <v>0</v>
      </c>
      <c r="F58" s="273">
        <v>0.51646927918691299</v>
      </c>
      <c r="G58" s="273">
        <v>0.44006419977505917</v>
      </c>
      <c r="H58" s="273">
        <v>0.4568467610706497</v>
      </c>
      <c r="I58" s="273">
        <v>0.47447558552177976</v>
      </c>
      <c r="J58" s="273">
        <v>0.59604496316904887</v>
      </c>
      <c r="K58" s="273">
        <v>0.52063859538769608</v>
      </c>
      <c r="L58" s="273">
        <v>0.55105916705783542</v>
      </c>
      <c r="M58" s="273">
        <v>0.52435390244852254</v>
      </c>
      <c r="N58" s="273">
        <v>0.53937183037561032</v>
      </c>
      <c r="O58" s="273">
        <v>0.55335821224955317</v>
      </c>
      <c r="P58" s="273">
        <v>0.49426498196111085</v>
      </c>
      <c r="Q58" s="273">
        <v>0.5119372674995053</v>
      </c>
      <c r="R58" s="273">
        <v>0.5225166462837052</v>
      </c>
      <c r="S58" s="273">
        <v>0.55487596724905097</v>
      </c>
      <c r="T58" s="273">
        <v>0.52164095907114627</v>
      </c>
      <c r="U58" s="273">
        <v>0.57452337608817738</v>
      </c>
      <c r="V58" s="273">
        <v>0.31279957061974739</v>
      </c>
    </row>
    <row r="59" spans="1:22" x14ac:dyDescent="0.2">
      <c r="A59" s="263" t="s">
        <v>94</v>
      </c>
      <c r="B59" s="264"/>
      <c r="C59" s="267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</row>
    <row r="60" spans="1:22" x14ac:dyDescent="0.2">
      <c r="A60" s="261"/>
      <c r="B60" s="264" t="s">
        <v>34</v>
      </c>
      <c r="C60" s="272">
        <v>0</v>
      </c>
      <c r="D60" s="273">
        <v>5.8141407878942895</v>
      </c>
      <c r="E60" s="273">
        <v>5.9304236036521756</v>
      </c>
      <c r="F60" s="273">
        <v>6.2285127520537218</v>
      </c>
      <c r="G60" s="273">
        <v>6.3539804104764386</v>
      </c>
      <c r="H60" s="273">
        <v>6.481979857152151</v>
      </c>
      <c r="I60" s="273">
        <v>6.6125622887230335</v>
      </c>
      <c r="J60" s="273">
        <v>6.7457799397860283</v>
      </c>
      <c r="K60" s="273">
        <v>6.8816861040024966</v>
      </c>
      <c r="L60" s="273">
        <v>7.0203351556388123</v>
      </c>
      <c r="M60" s="273">
        <v>7.1617825715467616</v>
      </c>
      <c r="N60" s="273">
        <v>7.306084953592749</v>
      </c>
      <c r="O60" s="273">
        <v>7.4533000515450336</v>
      </c>
      <c r="P60" s="273">
        <v>7.6034867864283733</v>
      </c>
      <c r="Q60" s="273">
        <v>7.7567052743556912</v>
      </c>
      <c r="R60" s="273">
        <v>7.9130168508465246</v>
      </c>
      <c r="S60" s="273">
        <v>8.0724840956422668</v>
      </c>
      <c r="T60" s="273">
        <v>8.2351708580283951</v>
      </c>
      <c r="U60" s="273">
        <v>8.4011422826740763</v>
      </c>
      <c r="V60" s="273">
        <v>8.5704648359998004</v>
      </c>
    </row>
    <row r="61" spans="1:22" x14ac:dyDescent="0.2">
      <c r="A61" s="261"/>
      <c r="B61" s="264" t="s">
        <v>95</v>
      </c>
      <c r="C61" s="272">
        <v>0</v>
      </c>
      <c r="D61" s="273">
        <v>1.4427984284729249</v>
      </c>
      <c r="E61" s="273">
        <v>1.4815795373600618</v>
      </c>
      <c r="F61" s="273">
        <v>1.5212099525318268</v>
      </c>
      <c r="G61" s="273">
        <v>1.5617360150864734</v>
      </c>
      <c r="H61" s="273">
        <v>1.6032265979299205</v>
      </c>
      <c r="I61" s="273">
        <v>1.6457569389505475</v>
      </c>
      <c r="J61" s="273">
        <v>1.6893421509125575</v>
      </c>
      <c r="K61" s="273">
        <v>1.7340305946614005</v>
      </c>
      <c r="L61" s="273">
        <v>1.77982284297084</v>
      </c>
      <c r="M61" s="273">
        <v>1.8267827936121701</v>
      </c>
      <c r="N61" s="273">
        <v>1.8748791750590208</v>
      </c>
      <c r="O61" s="273">
        <v>1.9241875853183317</v>
      </c>
      <c r="P61" s="273">
        <v>1.9747484291982291</v>
      </c>
      <c r="Q61" s="273">
        <v>2.0265732941751242</v>
      </c>
      <c r="R61" s="273">
        <v>2.0796989632629388</v>
      </c>
      <c r="S61" s="273">
        <v>2.1341527740779491</v>
      </c>
      <c r="T61" s="273">
        <v>2.1899570394011718</v>
      </c>
      <c r="U61" s="273">
        <v>2.2471619917840071</v>
      </c>
      <c r="V61" s="273">
        <v>2.3058027884716519</v>
      </c>
    </row>
    <row r="62" spans="1:22" x14ac:dyDescent="0.2">
      <c r="A62" s="261"/>
      <c r="B62" s="264" t="s">
        <v>36</v>
      </c>
      <c r="C62" s="272">
        <v>0</v>
      </c>
      <c r="D62" s="273">
        <v>2.3497246384427464</v>
      </c>
      <c r="E62" s="273">
        <v>2.3993038283139034</v>
      </c>
      <c r="F62" s="273">
        <v>2.4518485821539855</v>
      </c>
      <c r="G62" s="273">
        <v>2.507260360110652</v>
      </c>
      <c r="H62" s="273">
        <v>2.5669331566812801</v>
      </c>
      <c r="I62" s="273">
        <v>2.6312607596461111</v>
      </c>
      <c r="J62" s="273">
        <v>2.6965233568400966</v>
      </c>
      <c r="K62" s="273">
        <v>2.7647779355673427</v>
      </c>
      <c r="L62" s="273">
        <v>2.8330679505758454</v>
      </c>
      <c r="M62" s="273">
        <v>2.9053111833155314</v>
      </c>
      <c r="N62" s="273">
        <v>2.9756197139517631</v>
      </c>
      <c r="O62" s="273">
        <v>3.0506053307433572</v>
      </c>
      <c r="P62" s="273">
        <v>3.1280907061442274</v>
      </c>
      <c r="Q62" s="273">
        <v>3.2062929737978263</v>
      </c>
      <c r="R62" s="273">
        <v>3.2867709274401449</v>
      </c>
      <c r="S62" s="273">
        <v>3.3689402006261595</v>
      </c>
      <c r="T62" s="273">
        <v>3.452489917601691</v>
      </c>
      <c r="U62" s="273">
        <v>3.5391474145335025</v>
      </c>
      <c r="V62" s="273">
        <v>3.6279800146382852</v>
      </c>
    </row>
    <row r="63" spans="1:22" x14ac:dyDescent="0.2">
      <c r="A63" s="261"/>
      <c r="B63" s="264" t="s">
        <v>39</v>
      </c>
      <c r="C63" s="272">
        <v>0</v>
      </c>
      <c r="D63" s="273">
        <v>15.642881449275357</v>
      </c>
      <c r="E63" s="273">
        <v>10.020439782608696</v>
      </c>
      <c r="F63" s="273">
        <v>22.399822584541063</v>
      </c>
      <c r="G63" s="273">
        <v>9.7681859903381643</v>
      </c>
      <c r="H63" s="273">
        <v>14.129213710144928</v>
      </c>
      <c r="I63" s="273">
        <v>14.553090121449275</v>
      </c>
      <c r="J63" s="273">
        <v>14.989682825092753</v>
      </c>
      <c r="K63" s="273">
        <v>15.439373309845537</v>
      </c>
      <c r="L63" s="273">
        <v>15.902554509140904</v>
      </c>
      <c r="M63" s="273">
        <v>16.379631144415132</v>
      </c>
      <c r="N63" s="273">
        <v>16.871020078747588</v>
      </c>
      <c r="O63" s="273">
        <v>17.377150681110017</v>
      </c>
      <c r="P63" s="273">
        <v>17.898465201543317</v>
      </c>
      <c r="Q63" s="273">
        <v>18.435419157589614</v>
      </c>
      <c r="R63" s="273">
        <v>18.988481732317304</v>
      </c>
      <c r="S63" s="273">
        <v>19.558136184286823</v>
      </c>
      <c r="T63" s="273">
        <v>20.144880269815427</v>
      </c>
      <c r="U63" s="273">
        <v>20.749226677909888</v>
      </c>
      <c r="V63" s="273">
        <v>21.371703478247188</v>
      </c>
    </row>
    <row r="64" spans="1:22" x14ac:dyDescent="0.2">
      <c r="A64" s="261"/>
      <c r="B64" s="264" t="s">
        <v>96</v>
      </c>
      <c r="C64" s="274">
        <v>0</v>
      </c>
      <c r="D64" s="275">
        <v>45.474097487922705</v>
      </c>
      <c r="E64" s="275">
        <v>0</v>
      </c>
      <c r="F64" s="275">
        <v>0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5">
        <v>0</v>
      </c>
      <c r="R64" s="275">
        <v>0</v>
      </c>
      <c r="S64" s="275">
        <v>0</v>
      </c>
      <c r="T64" s="275">
        <v>0</v>
      </c>
      <c r="U64" s="275">
        <v>0</v>
      </c>
      <c r="V64" s="275">
        <v>0</v>
      </c>
    </row>
    <row r="65" spans="1:22" x14ac:dyDescent="0.2">
      <c r="A65" s="261"/>
      <c r="B65" s="264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</row>
    <row r="66" spans="1:22" x14ac:dyDescent="0.2">
      <c r="A66" s="261"/>
      <c r="B66" s="264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</row>
    <row r="67" spans="1:22" x14ac:dyDescent="0.2">
      <c r="A67" s="9"/>
      <c r="B67" s="6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">
      <c r="A68" s="9"/>
      <c r="B68" s="69"/>
      <c r="C68" s="282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</row>
    <row r="69" spans="1:22" x14ac:dyDescent="0.2">
      <c r="A69" s="259" t="s">
        <v>98</v>
      </c>
      <c r="B69" s="260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</row>
    <row r="70" spans="1:22" x14ac:dyDescent="0.2">
      <c r="A70" s="262" t="s">
        <v>57</v>
      </c>
      <c r="B70" s="260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</row>
    <row r="71" spans="1:22" x14ac:dyDescent="0.2">
      <c r="A71" s="261"/>
      <c r="B71" s="260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</row>
    <row r="72" spans="1:22" x14ac:dyDescent="0.2">
      <c r="A72" s="261"/>
      <c r="B72" s="260"/>
      <c r="C72" s="265">
        <v>2000</v>
      </c>
      <c r="D72" s="266">
        <v>2001</v>
      </c>
      <c r="E72" s="266">
        <v>2002</v>
      </c>
      <c r="F72" s="266">
        <v>2003</v>
      </c>
      <c r="G72" s="266">
        <v>2004</v>
      </c>
      <c r="H72" s="266">
        <v>2005</v>
      </c>
      <c r="I72" s="266">
        <v>2006</v>
      </c>
      <c r="J72" s="266">
        <v>2007</v>
      </c>
      <c r="K72" s="266">
        <v>2008</v>
      </c>
      <c r="L72" s="266">
        <v>2009</v>
      </c>
      <c r="M72" s="266">
        <v>2010</v>
      </c>
      <c r="N72" s="266">
        <v>2011</v>
      </c>
      <c r="O72" s="266">
        <v>2012</v>
      </c>
      <c r="P72" s="266">
        <v>2013</v>
      </c>
      <c r="Q72" s="266">
        <v>2014</v>
      </c>
      <c r="R72" s="266">
        <v>2015</v>
      </c>
      <c r="S72" s="266">
        <v>2016</v>
      </c>
      <c r="T72" s="266">
        <v>2017</v>
      </c>
      <c r="U72" s="266">
        <v>2018</v>
      </c>
      <c r="V72" s="266">
        <v>2019</v>
      </c>
    </row>
    <row r="73" spans="1:22" x14ac:dyDescent="0.2">
      <c r="A73" s="263" t="s">
        <v>129</v>
      </c>
      <c r="B73" s="260"/>
      <c r="C73" s="267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</row>
    <row r="74" spans="1:22" x14ac:dyDescent="0.2">
      <c r="A74" s="261"/>
      <c r="B74" s="264" t="s">
        <v>97</v>
      </c>
      <c r="C74" s="269">
        <v>0</v>
      </c>
      <c r="D74" s="270">
        <v>1624654.726634444</v>
      </c>
      <c r="E74" s="270">
        <v>1624654.726634444</v>
      </c>
      <c r="F74" s="270">
        <v>1624654.726634444</v>
      </c>
      <c r="G74" s="270">
        <v>1624654.726634444</v>
      </c>
      <c r="H74" s="270">
        <v>1624654.726634444</v>
      </c>
      <c r="I74" s="270">
        <v>1624654.726634444</v>
      </c>
      <c r="J74" s="270">
        <v>1624654.726634444</v>
      </c>
      <c r="K74" s="270">
        <v>1624654.726634444</v>
      </c>
      <c r="L74" s="270">
        <v>1624654.726634444</v>
      </c>
      <c r="M74" s="270">
        <v>1624654.726634444</v>
      </c>
      <c r="N74" s="270">
        <v>1624654.726634444</v>
      </c>
      <c r="O74" s="270">
        <v>1624654.726634444</v>
      </c>
      <c r="P74" s="270">
        <v>1624654.726634444</v>
      </c>
      <c r="Q74" s="270">
        <v>1624654.726634444</v>
      </c>
      <c r="R74" s="270">
        <v>1624654.726634444</v>
      </c>
      <c r="S74" s="270">
        <v>1624654.726634444</v>
      </c>
      <c r="T74" s="270">
        <v>1624654.726634444</v>
      </c>
      <c r="U74" s="270">
        <v>1624654.726634444</v>
      </c>
      <c r="V74" s="270">
        <v>1624654.726634444</v>
      </c>
    </row>
    <row r="75" spans="1:22" x14ac:dyDescent="0.2">
      <c r="A75" s="261"/>
      <c r="B75" s="264" t="s">
        <v>91</v>
      </c>
      <c r="C75" s="269">
        <v>0</v>
      </c>
      <c r="D75" s="271">
        <v>0.8128988311955524</v>
      </c>
      <c r="E75" s="271">
        <v>0.8128988311955524</v>
      </c>
      <c r="F75" s="271">
        <v>0.8128988311955524</v>
      </c>
      <c r="G75" s="271">
        <v>0.8128988311955524</v>
      </c>
      <c r="H75" s="271">
        <v>0.8128988311955524</v>
      </c>
      <c r="I75" s="271">
        <v>0.8128988311955524</v>
      </c>
      <c r="J75" s="271">
        <v>0.8128988311955524</v>
      </c>
      <c r="K75" s="271">
        <v>0.8128988311955524</v>
      </c>
      <c r="L75" s="271">
        <v>0.8128988311955524</v>
      </c>
      <c r="M75" s="271">
        <v>0.8128988311955524</v>
      </c>
      <c r="N75" s="271">
        <v>0.8128988311955524</v>
      </c>
      <c r="O75" s="271">
        <v>0.8128988311955524</v>
      </c>
      <c r="P75" s="271">
        <v>0.8128988311955524</v>
      </c>
      <c r="Q75" s="271">
        <v>0.8128988311955524</v>
      </c>
      <c r="R75" s="271">
        <v>0.8128988311955524</v>
      </c>
      <c r="S75" s="271">
        <v>0.8128988311955524</v>
      </c>
      <c r="T75" s="271">
        <v>0.8128988311955524</v>
      </c>
      <c r="U75" s="271">
        <v>0.8128988311955524</v>
      </c>
      <c r="V75" s="271">
        <v>0.8128988311955524</v>
      </c>
    </row>
    <row r="76" spans="1:22" x14ac:dyDescent="0.2">
      <c r="A76" s="263" t="s">
        <v>93</v>
      </c>
      <c r="B76" s="264"/>
      <c r="C76" s="267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</row>
    <row r="77" spans="1:22" x14ac:dyDescent="0.2">
      <c r="A77" s="261"/>
      <c r="B77" s="264" t="s">
        <v>27</v>
      </c>
      <c r="C77" s="272">
        <v>0</v>
      </c>
      <c r="D77" s="273">
        <v>39.483047960013877</v>
      </c>
      <c r="E77" s="273">
        <v>38.935467327251096</v>
      </c>
      <c r="F77" s="273">
        <v>39.684908261352298</v>
      </c>
      <c r="G77" s="273">
        <v>39.122421811677334</v>
      </c>
      <c r="H77" s="273">
        <v>39.417099156105998</v>
      </c>
      <c r="I77" s="273">
        <v>42.078614925257817</v>
      </c>
      <c r="J77" s="273">
        <v>45.119014026963725</v>
      </c>
      <c r="K77" s="273">
        <v>46.286592945186761</v>
      </c>
      <c r="L77" s="273">
        <v>47.25540841790729</v>
      </c>
      <c r="M77" s="273">
        <v>47.42410761486898</v>
      </c>
      <c r="N77" s="273">
        <v>48.448702322124539</v>
      </c>
      <c r="O77" s="273">
        <v>48.992770934223167</v>
      </c>
      <c r="P77" s="273">
        <v>49.569320079245472</v>
      </c>
      <c r="Q77" s="273">
        <v>51.314220662476146</v>
      </c>
      <c r="R77" s="273">
        <v>54.954913135529232</v>
      </c>
      <c r="S77" s="273">
        <v>54.638332925743072</v>
      </c>
      <c r="T77" s="273">
        <v>55.334688595910009</v>
      </c>
      <c r="U77" s="273">
        <v>57.993820916206097</v>
      </c>
      <c r="V77" s="273">
        <v>59.755300551829357</v>
      </c>
    </row>
    <row r="78" spans="1:22" x14ac:dyDescent="0.2">
      <c r="A78" s="261"/>
      <c r="B78" s="264" t="s">
        <v>20</v>
      </c>
      <c r="C78" s="272">
        <v>0</v>
      </c>
      <c r="D78" s="273">
        <v>11.708022400000001</v>
      </c>
      <c r="E78" s="273">
        <v>11.875756300000003</v>
      </c>
      <c r="F78" s="273">
        <v>12.0817453</v>
      </c>
      <c r="G78" s="273">
        <v>12.428983899999997</v>
      </c>
      <c r="H78" s="273">
        <v>12.8635226</v>
      </c>
      <c r="I78" s="273">
        <v>13.360838900000005</v>
      </c>
      <c r="J78" s="273">
        <v>13.668841500000001</v>
      </c>
      <c r="K78" s="273">
        <v>13.963111500000005</v>
      </c>
      <c r="L78" s="273">
        <v>14.190680300000002</v>
      </c>
      <c r="M78" s="273">
        <v>14.300541100000004</v>
      </c>
      <c r="N78" s="273">
        <v>14.492797500000004</v>
      </c>
      <c r="O78" s="273">
        <v>14.806685500000002</v>
      </c>
      <c r="P78" s="273">
        <v>15.1431342</v>
      </c>
      <c r="Q78" s="273">
        <v>15.463888500000003</v>
      </c>
      <c r="R78" s="273">
        <v>15.680667400000003</v>
      </c>
      <c r="S78" s="273">
        <v>16.001421700000005</v>
      </c>
      <c r="T78" s="273">
        <v>16.3663165</v>
      </c>
      <c r="U78" s="273">
        <v>16.768485499999993</v>
      </c>
      <c r="V78" s="273">
        <v>17.182425300000006</v>
      </c>
    </row>
    <row r="79" spans="1:22" x14ac:dyDescent="0.2">
      <c r="A79" s="261"/>
      <c r="B79" s="264" t="s">
        <v>92</v>
      </c>
      <c r="C79" s="272">
        <v>0</v>
      </c>
      <c r="D79" s="273">
        <v>0.88036117359483412</v>
      </c>
      <c r="E79" s="273">
        <v>0.89813069665085654</v>
      </c>
      <c r="F79" s="273">
        <v>1.4902588860805324</v>
      </c>
      <c r="G79" s="273">
        <v>1.5231029813335186</v>
      </c>
      <c r="H79" s="273">
        <v>1.5566791179830981</v>
      </c>
      <c r="I79" s="273">
        <v>1.5910037994255939</v>
      </c>
      <c r="J79" s="273">
        <v>1.6260939053580576</v>
      </c>
      <c r="K79" s="273">
        <v>1.6619667004534198</v>
      </c>
      <c r="L79" s="273">
        <v>1.6986398432377288</v>
      </c>
      <c r="M79" s="273">
        <v>1.7361313951742434</v>
      </c>
      <c r="N79" s="273">
        <v>1.7744598299592422</v>
      </c>
      <c r="O79" s="273">
        <v>1.8136440430345304</v>
      </c>
      <c r="P79" s="273">
        <v>1.853703361321752</v>
      </c>
      <c r="Q79" s="273">
        <v>1.894657553183716</v>
      </c>
      <c r="R79" s="273">
        <v>1.9365268386180954</v>
      </c>
      <c r="S79" s="273">
        <v>1.9793318996889702</v>
      </c>
      <c r="T79" s="273">
        <v>2.0230938912018037</v>
      </c>
      <c r="U79" s="273">
        <v>2.0678344516276081</v>
      </c>
      <c r="V79" s="273">
        <v>2.1135757142821539</v>
      </c>
    </row>
    <row r="80" spans="1:22" x14ac:dyDescent="0.2">
      <c r="A80" s="261"/>
      <c r="B80" s="264" t="s">
        <v>22</v>
      </c>
      <c r="C80" s="272">
        <v>0</v>
      </c>
      <c r="D80" s="273">
        <v>0</v>
      </c>
      <c r="E80" s="273">
        <v>0</v>
      </c>
      <c r="F80" s="273">
        <v>0</v>
      </c>
      <c r="G80" s="273">
        <v>0</v>
      </c>
      <c r="H80" s="273">
        <v>0</v>
      </c>
      <c r="I80" s="273">
        <v>0.29757137146766255</v>
      </c>
      <c r="J80" s="273">
        <v>0.32983409409366238</v>
      </c>
      <c r="K80" s="273">
        <v>0.44872341962601892</v>
      </c>
      <c r="L80" s="273">
        <v>0.39975058022292076</v>
      </c>
      <c r="M80" s="273">
        <v>0.44458410705407903</v>
      </c>
      <c r="N80" s="273">
        <v>0.48974301504230122</v>
      </c>
      <c r="O80" s="273">
        <v>0.54262057772728112</v>
      </c>
      <c r="P80" s="273">
        <v>0.60842040925385388</v>
      </c>
      <c r="Q80" s="273">
        <v>0.67726685769025197</v>
      </c>
      <c r="R80" s="273">
        <v>0.75020478526390622</v>
      </c>
      <c r="S80" s="273">
        <v>0.82372393164750202</v>
      </c>
      <c r="T80" s="273">
        <v>0.80926860436617543</v>
      </c>
      <c r="U80" s="273">
        <v>0.69237306236411322</v>
      </c>
      <c r="V80" s="273">
        <v>0.71786312523907336</v>
      </c>
    </row>
    <row r="81" spans="1:22" x14ac:dyDescent="0.2">
      <c r="A81" s="261"/>
      <c r="B81" s="264" t="s">
        <v>23</v>
      </c>
      <c r="C81" s="272">
        <v>0</v>
      </c>
      <c r="D81" s="273">
        <v>0</v>
      </c>
      <c r="E81" s="273">
        <v>0</v>
      </c>
      <c r="F81" s="273">
        <v>0.93094660864389445</v>
      </c>
      <c r="G81" s="273">
        <v>0.79322486520619673</v>
      </c>
      <c r="H81" s="273">
        <v>0.82347578070514926</v>
      </c>
      <c r="I81" s="273">
        <v>0.85525210312842115</v>
      </c>
      <c r="J81" s="273">
        <v>1.07438343270885</v>
      </c>
      <c r="K81" s="273">
        <v>0.93846188773966888</v>
      </c>
      <c r="L81" s="273">
        <v>0.99329560035450137</v>
      </c>
      <c r="M81" s="273">
        <v>0.94515880592576551</v>
      </c>
      <c r="N81" s="273">
        <v>0.97222893310659475</v>
      </c>
      <c r="O81" s="273">
        <v>0.99743967708974879</v>
      </c>
      <c r="P81" s="273">
        <v>0.89092290145994713</v>
      </c>
      <c r="Q81" s="273">
        <v>0.92277756339619099</v>
      </c>
      <c r="R81" s="273">
        <v>0.94184711350808825</v>
      </c>
      <c r="S81" s="273">
        <v>1.0001754620172849</v>
      </c>
      <c r="T81" s="273">
        <v>0.94026866910952123</v>
      </c>
      <c r="U81" s="273">
        <v>1.0355903247487528</v>
      </c>
      <c r="V81" s="273">
        <v>0.56382772642771939</v>
      </c>
    </row>
    <row r="82" spans="1:22" x14ac:dyDescent="0.2">
      <c r="A82" s="263" t="s">
        <v>94</v>
      </c>
      <c r="B82" s="264"/>
      <c r="C82" s="267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</row>
    <row r="83" spans="1:22" x14ac:dyDescent="0.2">
      <c r="A83" s="261"/>
      <c r="B83" s="264" t="s">
        <v>34</v>
      </c>
      <c r="C83" s="272">
        <v>0</v>
      </c>
      <c r="D83" s="273">
        <v>12.117719709459578</v>
      </c>
      <c r="E83" s="273">
        <v>12.36007410364877</v>
      </c>
      <c r="F83" s="273">
        <v>12.791360617499084</v>
      </c>
      <c r="G83" s="273">
        <v>13.048108255007953</v>
      </c>
      <c r="H83" s="273">
        <v>13.310013855895971</v>
      </c>
      <c r="I83" s="273">
        <v>13.577181154696445</v>
      </c>
      <c r="J83" s="273">
        <v>13.849715975014995</v>
      </c>
      <c r="K83" s="273">
        <v>14.127726271670529</v>
      </c>
      <c r="L83" s="273">
        <v>14.411322173688056</v>
      </c>
      <c r="M83" s="273">
        <v>14.700616028160534</v>
      </c>
      <c r="N83" s="273">
        <v>14.995722444997432</v>
      </c>
      <c r="O83" s="273">
        <v>15.296758342577908</v>
      </c>
      <c r="P83" s="273">
        <v>15.603842994327008</v>
      </c>
      <c r="Q83" s="273">
        <v>15.917098076233531</v>
      </c>
      <c r="R83" s="273">
        <v>16.236647715328679</v>
      </c>
      <c r="S83" s="273">
        <v>16.562618539144996</v>
      </c>
      <c r="T83" s="273">
        <v>16.895139726175383</v>
      </c>
      <c r="U83" s="273">
        <v>17.234343057352561</v>
      </c>
      <c r="V83" s="273">
        <v>17.580362968569631</v>
      </c>
    </row>
    <row r="84" spans="1:22" x14ac:dyDescent="0.2">
      <c r="A84" s="261"/>
      <c r="B84" s="264" t="s">
        <v>95</v>
      </c>
      <c r="C84" s="272">
        <v>0</v>
      </c>
      <c r="D84" s="273">
        <v>1.7019495601836765</v>
      </c>
      <c r="E84" s="273">
        <v>1.7412952806756254</v>
      </c>
      <c r="F84" s="273">
        <v>1.7815026724463481</v>
      </c>
      <c r="G84" s="273">
        <v>1.8226187512710887</v>
      </c>
      <c r="H84" s="273">
        <v>1.8647133927718584</v>
      </c>
      <c r="I84" s="273">
        <v>1.9096245461898687</v>
      </c>
      <c r="J84" s="273">
        <v>1.9538443123762967</v>
      </c>
      <c r="K84" s="273">
        <v>2.0010337367993438</v>
      </c>
      <c r="L84" s="273">
        <v>2.0474926714297239</v>
      </c>
      <c r="M84" s="273">
        <v>2.0951363088931783</v>
      </c>
      <c r="N84" s="273">
        <v>2.1439329223832488</v>
      </c>
      <c r="O84" s="273">
        <v>2.1939592105332686</v>
      </c>
      <c r="P84" s="273">
        <v>2.245256166402299</v>
      </c>
      <c r="Q84" s="273">
        <v>2.2978355461680549</v>
      </c>
      <c r="R84" s="273">
        <v>2.3517346683659319</v>
      </c>
      <c r="S84" s="273">
        <v>2.4069812686187553</v>
      </c>
      <c r="T84" s="273">
        <v>2.4635979845578486</v>
      </c>
      <c r="U84" s="273">
        <v>2.5216357800670135</v>
      </c>
      <c r="V84" s="273">
        <v>2.5811303242434582</v>
      </c>
    </row>
    <row r="85" spans="1:22" x14ac:dyDescent="0.2">
      <c r="A85" s="261"/>
      <c r="B85" s="264" t="s">
        <v>36</v>
      </c>
      <c r="C85" s="272">
        <v>0</v>
      </c>
      <c r="D85" s="273">
        <v>2.3467251972439493</v>
      </c>
      <c r="E85" s="273">
        <v>2.3962410989058123</v>
      </c>
      <c r="F85" s="273">
        <v>2.4487187789718519</v>
      </c>
      <c r="G85" s="273">
        <v>2.5040598233765943</v>
      </c>
      <c r="H85" s="273">
        <v>2.5636564471729653</v>
      </c>
      <c r="I85" s="273">
        <v>2.6279019354681088</v>
      </c>
      <c r="J85" s="273">
        <v>2.6930812244652205</v>
      </c>
      <c r="K85" s="273">
        <v>2.7612486757086261</v>
      </c>
      <c r="L85" s="273">
        <v>2.8294515179986321</v>
      </c>
      <c r="M85" s="273">
        <v>2.9016025317075869</v>
      </c>
      <c r="N85" s="273">
        <v>2.9718213129749245</v>
      </c>
      <c r="O85" s="273">
        <v>3.0467112100618845</v>
      </c>
      <c r="P85" s="273">
        <v>3.1240976747974494</v>
      </c>
      <c r="Q85" s="273">
        <v>3.2022001166673855</v>
      </c>
      <c r="R85" s="273">
        <v>3.2825753395957351</v>
      </c>
      <c r="S85" s="273">
        <v>3.3646397230856366</v>
      </c>
      <c r="T85" s="273">
        <v>3.4480827882181546</v>
      </c>
      <c r="U85" s="273">
        <v>3.534629666202437</v>
      </c>
      <c r="V85" s="273">
        <v>3.6233488708241199</v>
      </c>
    </row>
    <row r="86" spans="1:22" x14ac:dyDescent="0.2">
      <c r="A86" s="261"/>
      <c r="B86" s="264" t="s">
        <v>39</v>
      </c>
      <c r="C86" s="272">
        <v>0</v>
      </c>
      <c r="D86" s="273">
        <v>6.1020907297830371</v>
      </c>
      <c r="E86" s="273">
        <v>1.2653776901161515</v>
      </c>
      <c r="F86" s="273">
        <v>8.5898798597413979</v>
      </c>
      <c r="G86" s="273">
        <v>3.1394189349112427</v>
      </c>
      <c r="H86" s="273">
        <v>6.5060727065527058</v>
      </c>
      <c r="I86" s="273">
        <v>6.701254887749287</v>
      </c>
      <c r="J86" s="273">
        <v>6.9022925343817656</v>
      </c>
      <c r="K86" s="273">
        <v>7.1093613104132185</v>
      </c>
      <c r="L86" s="273">
        <v>7.3226421497256151</v>
      </c>
      <c r="M86" s="273">
        <v>7.5423214142173842</v>
      </c>
      <c r="N86" s="273">
        <v>7.7685910566439063</v>
      </c>
      <c r="O86" s="273">
        <v>8.001648788343223</v>
      </c>
      <c r="P86" s="273">
        <v>8.2416982519935207</v>
      </c>
      <c r="Q86" s="273">
        <v>8.4889491995533266</v>
      </c>
      <c r="R86" s="273">
        <v>8.7436176755399266</v>
      </c>
      <c r="S86" s="273">
        <v>9.0059262058061247</v>
      </c>
      <c r="T86" s="273">
        <v>9.2761039919803103</v>
      </c>
      <c r="U86" s="273">
        <v>9.5543871117397181</v>
      </c>
      <c r="V86" s="273">
        <v>9.8410187250919083</v>
      </c>
    </row>
    <row r="87" spans="1:22" x14ac:dyDescent="0.2">
      <c r="A87" s="261"/>
      <c r="B87" s="264" t="s">
        <v>96</v>
      </c>
      <c r="C87" s="274">
        <v>0</v>
      </c>
      <c r="D87" s="275">
        <v>27.284786324786324</v>
      </c>
      <c r="E87" s="275">
        <v>17.78718912995836</v>
      </c>
      <c r="F87" s="275">
        <v>9.6431807582730649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5">
        <v>0</v>
      </c>
      <c r="R87" s="275">
        <v>0</v>
      </c>
      <c r="S87" s="275">
        <v>0</v>
      </c>
      <c r="T87" s="275">
        <v>0</v>
      </c>
      <c r="U87" s="275">
        <v>0</v>
      </c>
      <c r="V87" s="275">
        <v>0</v>
      </c>
    </row>
    <row r="88" spans="1:22" x14ac:dyDescent="0.2">
      <c r="A88" s="261"/>
      <c r="B88" s="264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</row>
    <row r="89" spans="1:22" x14ac:dyDescent="0.2">
      <c r="A89" s="261"/>
      <c r="B89" s="264"/>
      <c r="C89" s="261"/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</row>
    <row r="90" spans="1:22" x14ac:dyDescent="0.2">
      <c r="A90" s="284"/>
      <c r="B90" s="69"/>
      <c r="C90" s="285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</row>
    <row r="91" spans="1:22" x14ac:dyDescent="0.2">
      <c r="A91" s="9"/>
      <c r="B91" s="286"/>
      <c r="C91" s="287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</row>
    <row r="92" spans="1:22" x14ac:dyDescent="0.2">
      <c r="A92" s="259" t="s">
        <v>98</v>
      </c>
      <c r="B92" s="260"/>
      <c r="C92" s="261"/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</row>
    <row r="93" spans="1:22" x14ac:dyDescent="0.2">
      <c r="A93" s="262" t="s">
        <v>58</v>
      </c>
      <c r="B93" s="260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</row>
    <row r="94" spans="1:22" x14ac:dyDescent="0.2">
      <c r="A94" s="261"/>
      <c r="B94" s="260"/>
      <c r="C94" s="261"/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</row>
    <row r="95" spans="1:22" x14ac:dyDescent="0.2">
      <c r="A95" s="261"/>
      <c r="B95" s="260"/>
      <c r="C95" s="265">
        <v>2000</v>
      </c>
      <c r="D95" s="266">
        <v>2001</v>
      </c>
      <c r="E95" s="266">
        <v>2002</v>
      </c>
      <c r="F95" s="266">
        <v>2003</v>
      </c>
      <c r="G95" s="266">
        <v>2004</v>
      </c>
      <c r="H95" s="266">
        <v>2005</v>
      </c>
      <c r="I95" s="266">
        <v>2006</v>
      </c>
      <c r="J95" s="266">
        <v>2007</v>
      </c>
      <c r="K95" s="266">
        <v>2008</v>
      </c>
      <c r="L95" s="266">
        <v>2009</v>
      </c>
      <c r="M95" s="266">
        <v>2010</v>
      </c>
      <c r="N95" s="266">
        <v>2011</v>
      </c>
      <c r="O95" s="266">
        <v>2012</v>
      </c>
      <c r="P95" s="266">
        <v>2013</v>
      </c>
      <c r="Q95" s="266">
        <v>2014</v>
      </c>
      <c r="R95" s="266">
        <v>2015</v>
      </c>
      <c r="S95" s="266">
        <v>2016</v>
      </c>
      <c r="T95" s="266">
        <v>2017</v>
      </c>
      <c r="U95" s="266">
        <v>2018</v>
      </c>
      <c r="V95" s="266">
        <v>2019</v>
      </c>
    </row>
    <row r="96" spans="1:22" x14ac:dyDescent="0.2">
      <c r="A96" s="263" t="s">
        <v>129</v>
      </c>
      <c r="B96" s="260"/>
      <c r="C96" s="267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8"/>
      <c r="P96" s="268"/>
      <c r="Q96" s="268"/>
      <c r="R96" s="268"/>
      <c r="S96" s="268"/>
      <c r="T96" s="268"/>
      <c r="U96" s="268"/>
      <c r="V96" s="268"/>
    </row>
    <row r="97" spans="1:22" x14ac:dyDescent="0.2">
      <c r="A97" s="261"/>
      <c r="B97" s="264" t="s">
        <v>97</v>
      </c>
      <c r="C97" s="269">
        <v>0</v>
      </c>
      <c r="D97" s="270">
        <v>1624654.726634444</v>
      </c>
      <c r="E97" s="270">
        <v>1624654.726634444</v>
      </c>
      <c r="F97" s="270">
        <v>1624654.726634444</v>
      </c>
      <c r="G97" s="270">
        <v>1624654.726634444</v>
      </c>
      <c r="H97" s="270">
        <v>1624654.726634444</v>
      </c>
      <c r="I97" s="270">
        <v>1624654.726634444</v>
      </c>
      <c r="J97" s="270">
        <v>1624654.726634444</v>
      </c>
      <c r="K97" s="270">
        <v>1624654.726634444</v>
      </c>
      <c r="L97" s="270">
        <v>1624654.726634444</v>
      </c>
      <c r="M97" s="270">
        <v>1624654.726634444</v>
      </c>
      <c r="N97" s="270">
        <v>1624654.726634444</v>
      </c>
      <c r="O97" s="270">
        <v>1624654.726634444</v>
      </c>
      <c r="P97" s="270">
        <v>1624654.726634444</v>
      </c>
      <c r="Q97" s="270">
        <v>1624654.726634444</v>
      </c>
      <c r="R97" s="270">
        <v>1624654.726634444</v>
      </c>
      <c r="S97" s="270">
        <v>1624654.726634444</v>
      </c>
      <c r="T97" s="270">
        <v>1624654.726634444</v>
      </c>
      <c r="U97" s="270">
        <v>1624654.726634444</v>
      </c>
      <c r="V97" s="270">
        <v>1624654.726634444</v>
      </c>
    </row>
    <row r="98" spans="1:22" x14ac:dyDescent="0.2">
      <c r="A98" s="261"/>
      <c r="B98" s="264" t="s">
        <v>91</v>
      </c>
      <c r="C98" s="269">
        <v>0</v>
      </c>
      <c r="D98" s="271">
        <v>0.8128988311955524</v>
      </c>
      <c r="E98" s="271">
        <v>0.8128988311955524</v>
      </c>
      <c r="F98" s="271">
        <v>0.8128988311955524</v>
      </c>
      <c r="G98" s="271">
        <v>0.8128988311955524</v>
      </c>
      <c r="H98" s="271">
        <v>0.8128988311955524</v>
      </c>
      <c r="I98" s="271">
        <v>0.8128988311955524</v>
      </c>
      <c r="J98" s="271">
        <v>0.8128988311955524</v>
      </c>
      <c r="K98" s="271">
        <v>0.8128988311955524</v>
      </c>
      <c r="L98" s="271">
        <v>0.8128988311955524</v>
      </c>
      <c r="M98" s="271">
        <v>0.8128988311955524</v>
      </c>
      <c r="N98" s="271">
        <v>0.8128988311955524</v>
      </c>
      <c r="O98" s="271">
        <v>0.8128988311955524</v>
      </c>
      <c r="P98" s="271">
        <v>0.8128988311955524</v>
      </c>
      <c r="Q98" s="271">
        <v>0.8128988311955524</v>
      </c>
      <c r="R98" s="271">
        <v>0.8128988311955524</v>
      </c>
      <c r="S98" s="271">
        <v>0.8128988311955524</v>
      </c>
      <c r="T98" s="271">
        <v>0.8128988311955524</v>
      </c>
      <c r="U98" s="271">
        <v>0.8128988311955524</v>
      </c>
      <c r="V98" s="271">
        <v>0.8128988311955524</v>
      </c>
    </row>
    <row r="99" spans="1:22" x14ac:dyDescent="0.2">
      <c r="A99" s="263" t="s">
        <v>93</v>
      </c>
      <c r="B99" s="264"/>
      <c r="C99" s="267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</row>
    <row r="100" spans="1:22" x14ac:dyDescent="0.2">
      <c r="A100" s="261"/>
      <c r="B100" s="264" t="s">
        <v>27</v>
      </c>
      <c r="C100" s="272">
        <v>0</v>
      </c>
      <c r="D100" s="273">
        <v>39.483047960013877</v>
      </c>
      <c r="E100" s="273">
        <v>38.935467327251096</v>
      </c>
      <c r="F100" s="273">
        <v>39.684908261352298</v>
      </c>
      <c r="G100" s="273">
        <v>39.122421811677334</v>
      </c>
      <c r="H100" s="273">
        <v>39.417099156105998</v>
      </c>
      <c r="I100" s="273">
        <v>42.078614925257817</v>
      </c>
      <c r="J100" s="273">
        <v>45.119014026963725</v>
      </c>
      <c r="K100" s="273">
        <v>46.286592945186761</v>
      </c>
      <c r="L100" s="273">
        <v>47.25540841790729</v>
      </c>
      <c r="M100" s="273">
        <v>47.42410761486898</v>
      </c>
      <c r="N100" s="273">
        <v>48.448702322124539</v>
      </c>
      <c r="O100" s="273">
        <v>48.992770934223167</v>
      </c>
      <c r="P100" s="273">
        <v>49.569320079245472</v>
      </c>
      <c r="Q100" s="273">
        <v>51.314220662476146</v>
      </c>
      <c r="R100" s="273">
        <v>54.954913135529232</v>
      </c>
      <c r="S100" s="273">
        <v>54.638332925743072</v>
      </c>
      <c r="T100" s="273">
        <v>55.334688595910009</v>
      </c>
      <c r="U100" s="273">
        <v>57.993820916206097</v>
      </c>
      <c r="V100" s="273">
        <v>59.755300551829357</v>
      </c>
    </row>
    <row r="101" spans="1:22" x14ac:dyDescent="0.2">
      <c r="A101" s="261"/>
      <c r="B101" s="264" t="s">
        <v>20</v>
      </c>
      <c r="C101" s="272">
        <v>0</v>
      </c>
      <c r="D101" s="273">
        <v>11.513465600000002</v>
      </c>
      <c r="E101" s="273">
        <v>11.6784122</v>
      </c>
      <c r="F101" s="273">
        <v>11.880978199999998</v>
      </c>
      <c r="G101" s="273">
        <v>12.222446599999998</v>
      </c>
      <c r="H101" s="273">
        <v>12.649764399999999</v>
      </c>
      <c r="I101" s="273">
        <v>13.138816600000002</v>
      </c>
      <c r="J101" s="273">
        <v>13.441701</v>
      </c>
      <c r="K101" s="273">
        <v>13.731081000000003</v>
      </c>
      <c r="L101" s="273">
        <v>13.954868200000005</v>
      </c>
      <c r="M101" s="273">
        <v>14.0629034</v>
      </c>
      <c r="N101" s="273">
        <v>14.251965</v>
      </c>
      <c r="O101" s="273">
        <v>14.560637</v>
      </c>
      <c r="P101" s="273">
        <v>14.891494800000004</v>
      </c>
      <c r="Q101" s="273">
        <v>15.206919000000001</v>
      </c>
      <c r="R101" s="273">
        <v>15.420095600000002</v>
      </c>
      <c r="S101" s="273">
        <v>15.735519800000001</v>
      </c>
      <c r="T101" s="273">
        <v>16.094351</v>
      </c>
      <c r="U101" s="273">
        <v>16.489837000000009</v>
      </c>
      <c r="V101" s="273">
        <v>16.896898199999999</v>
      </c>
    </row>
    <row r="102" spans="1:22" x14ac:dyDescent="0.2">
      <c r="A102" s="261"/>
      <c r="B102" s="264" t="s">
        <v>92</v>
      </c>
      <c r="C102" s="272">
        <v>0</v>
      </c>
      <c r="D102" s="273">
        <v>0.85256029442868153</v>
      </c>
      <c r="E102" s="273">
        <v>0.86976867465135577</v>
      </c>
      <c r="F102" s="273">
        <v>1.461324394941147</v>
      </c>
      <c r="G102" s="273">
        <v>1.4935844661335125</v>
      </c>
      <c r="H102" s="273">
        <v>1.5265647905731055</v>
      </c>
      <c r="I102" s="273">
        <v>1.5602816337200489</v>
      </c>
      <c r="J102" s="273">
        <v>1.5947516325326059</v>
      </c>
      <c r="K102" s="273">
        <v>1.6299918040453927</v>
      </c>
      <c r="L102" s="273">
        <v>1.6660195541477232</v>
      </c>
      <c r="M102" s="273">
        <v>1.7028526865668117</v>
      </c>
      <c r="N102" s="273">
        <v>1.740509412060657</v>
      </c>
      <c r="O102" s="273">
        <v>1.7790083578255456</v>
      </c>
      <c r="P102" s="273">
        <v>1.8183685771232363</v>
      </c>
      <c r="Q102" s="273">
        <v>1.8586095591330076</v>
      </c>
      <c r="R102" s="273">
        <v>1.8997512390338636</v>
      </c>
      <c r="S102" s="273">
        <v>1.9418140083223301</v>
      </c>
      <c r="T102" s="273">
        <v>1.9848187253713998</v>
      </c>
      <c r="U102" s="273">
        <v>2.028786726236314</v>
      </c>
      <c r="V102" s="273">
        <v>2.0737398357130079</v>
      </c>
    </row>
    <row r="103" spans="1:22" x14ac:dyDescent="0.2">
      <c r="A103" s="261"/>
      <c r="B103" s="264" t="s">
        <v>22</v>
      </c>
      <c r="C103" s="272">
        <v>0</v>
      </c>
      <c r="D103" s="273">
        <v>0</v>
      </c>
      <c r="E103" s="273">
        <v>0</v>
      </c>
      <c r="F103" s="273">
        <v>0</v>
      </c>
      <c r="G103" s="273">
        <v>0</v>
      </c>
      <c r="H103" s="273">
        <v>0</v>
      </c>
      <c r="I103" s="273">
        <v>0.34611622039139117</v>
      </c>
      <c r="J103" s="273">
        <v>0.38364218117105753</v>
      </c>
      <c r="K103" s="273">
        <v>0.50668983109495169</v>
      </c>
      <c r="L103" s="273">
        <v>0.46496462090291873</v>
      </c>
      <c r="M103" s="273">
        <v>0.51711214698071795</v>
      </c>
      <c r="N103" s="273">
        <v>0.56963813586464707</v>
      </c>
      <c r="O103" s="273">
        <v>0.63114197627028479</v>
      </c>
      <c r="P103" s="273">
        <v>0.70767618343558503</v>
      </c>
      <c r="Q103" s="273">
        <v>0.78775402292212349</v>
      </c>
      <c r="R103" s="273">
        <v>0.87259081246428527</v>
      </c>
      <c r="S103" s="273">
        <v>0.95810363900800599</v>
      </c>
      <c r="T103" s="273">
        <v>0.94129011552133213</v>
      </c>
      <c r="U103" s="273">
        <v>0.80532460587298982</v>
      </c>
      <c r="V103" s="273">
        <v>0.83497303668912048</v>
      </c>
    </row>
    <row r="104" spans="1:22" x14ac:dyDescent="0.2">
      <c r="A104" s="261"/>
      <c r="B104" s="264" t="s">
        <v>23</v>
      </c>
      <c r="C104" s="272">
        <v>0</v>
      </c>
      <c r="D104" s="273">
        <v>0</v>
      </c>
      <c r="E104" s="273">
        <v>0</v>
      </c>
      <c r="F104" s="273">
        <v>0.91547670373932155</v>
      </c>
      <c r="G104" s="273">
        <v>0.78004353652553482</v>
      </c>
      <c r="H104" s="273">
        <v>0.80979176069750936</v>
      </c>
      <c r="I104" s="273">
        <v>0.84104004350869088</v>
      </c>
      <c r="J104" s="273">
        <v>1.0565299818441802</v>
      </c>
      <c r="K104" s="273">
        <v>0.92286709849493798</v>
      </c>
      <c r="L104" s="273">
        <v>0.97678961780196938</v>
      </c>
      <c r="M104" s="273">
        <v>0.92945273136506634</v>
      </c>
      <c r="N104" s="273">
        <v>0.95607302362587554</v>
      </c>
      <c r="O104" s="273">
        <v>0.98086483078883879</v>
      </c>
      <c r="P104" s="273">
        <v>0.87611808619458131</v>
      </c>
      <c r="Q104" s="273">
        <v>0.90744340672032386</v>
      </c>
      <c r="R104" s="273">
        <v>0.92619607063910847</v>
      </c>
      <c r="S104" s="273">
        <v>0.98355515410528371</v>
      </c>
      <c r="T104" s="273">
        <v>0.92464385587016407</v>
      </c>
      <c r="U104" s="273">
        <v>1.0183815141733581</v>
      </c>
      <c r="V104" s="273">
        <v>0.55445837996959735</v>
      </c>
    </row>
    <row r="105" spans="1:22" x14ac:dyDescent="0.2">
      <c r="A105" s="263" t="s">
        <v>94</v>
      </c>
      <c r="B105" s="264"/>
      <c r="C105" s="267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</row>
    <row r="106" spans="1:22" x14ac:dyDescent="0.2">
      <c r="A106" s="261"/>
      <c r="B106" s="264" t="s">
        <v>34</v>
      </c>
      <c r="C106" s="272">
        <v>0</v>
      </c>
      <c r="D106" s="273">
        <v>12.31547771220913</v>
      </c>
      <c r="E106" s="273">
        <v>12.561787266453315</v>
      </c>
      <c r="F106" s="273">
        <v>12.99710804355972</v>
      </c>
      <c r="G106" s="273">
        <v>13.257970629589803</v>
      </c>
      <c r="H106" s="273">
        <v>13.524073477969457</v>
      </c>
      <c r="I106" s="273">
        <v>13.795521969211402</v>
      </c>
      <c r="J106" s="273">
        <v>14.07242360582025</v>
      </c>
      <c r="K106" s="273">
        <v>14.354888055091889</v>
      </c>
      <c r="L106" s="273">
        <v>14.643027192777845</v>
      </c>
      <c r="M106" s="273">
        <v>14.936955147632119</v>
      </c>
      <c r="N106" s="273">
        <v>15.236788346858447</v>
      </c>
      <c r="O106" s="273">
        <v>15.542645562476146</v>
      </c>
      <c r="P106" s="273">
        <v>15.854647958623211</v>
      </c>
      <c r="Q106" s="273">
        <v>16.172919139815654</v>
      </c>
      <c r="R106" s="273">
        <v>16.497585200182449</v>
      </c>
      <c r="S106" s="273">
        <v>16.828774773695837</v>
      </c>
      <c r="T106" s="273">
        <v>17.166619085417246</v>
      </c>
      <c r="U106" s="273">
        <v>17.511252003779259</v>
      </c>
      <c r="V106" s="273">
        <v>17.86281009392486</v>
      </c>
    </row>
    <row r="107" spans="1:22" x14ac:dyDescent="0.2">
      <c r="A107" s="261"/>
      <c r="B107" s="264" t="s">
        <v>95</v>
      </c>
      <c r="C107" s="272">
        <v>0</v>
      </c>
      <c r="D107" s="273">
        <v>1.7019495601836765</v>
      </c>
      <c r="E107" s="273">
        <v>1.7412952806756254</v>
      </c>
      <c r="F107" s="273">
        <v>1.7815026724463481</v>
      </c>
      <c r="G107" s="273">
        <v>1.8226187512710887</v>
      </c>
      <c r="H107" s="273">
        <v>1.8647133927718584</v>
      </c>
      <c r="I107" s="273">
        <v>1.9096245461898687</v>
      </c>
      <c r="J107" s="273">
        <v>1.9538443123762967</v>
      </c>
      <c r="K107" s="273">
        <v>2.0010337367993438</v>
      </c>
      <c r="L107" s="273">
        <v>2.0474926714297239</v>
      </c>
      <c r="M107" s="273">
        <v>2.0951363088931783</v>
      </c>
      <c r="N107" s="273">
        <v>2.1439329223832488</v>
      </c>
      <c r="O107" s="273">
        <v>2.1939592105332686</v>
      </c>
      <c r="P107" s="273">
        <v>2.245256166402299</v>
      </c>
      <c r="Q107" s="273">
        <v>2.2978355461680549</v>
      </c>
      <c r="R107" s="273">
        <v>2.3517346683659319</v>
      </c>
      <c r="S107" s="273">
        <v>2.4069812686187553</v>
      </c>
      <c r="T107" s="273">
        <v>2.4635979845578486</v>
      </c>
      <c r="U107" s="273">
        <v>2.5216357800670135</v>
      </c>
      <c r="V107" s="273">
        <v>2.5811303242434582</v>
      </c>
    </row>
    <row r="108" spans="1:22" x14ac:dyDescent="0.2">
      <c r="A108" s="261"/>
      <c r="B108" s="264" t="s">
        <v>36</v>
      </c>
      <c r="C108" s="272">
        <v>0</v>
      </c>
      <c r="D108" s="273">
        <v>2.3467251972439493</v>
      </c>
      <c r="E108" s="273">
        <v>2.3962410989058123</v>
      </c>
      <c r="F108" s="273">
        <v>2.4487187789718519</v>
      </c>
      <c r="G108" s="273">
        <v>2.5040598233765943</v>
      </c>
      <c r="H108" s="273">
        <v>2.5636564471729653</v>
      </c>
      <c r="I108" s="273">
        <v>2.6279019354681088</v>
      </c>
      <c r="J108" s="273">
        <v>2.6930812244652205</v>
      </c>
      <c r="K108" s="273">
        <v>2.7612486757086261</v>
      </c>
      <c r="L108" s="273">
        <v>2.8294515179986321</v>
      </c>
      <c r="M108" s="273">
        <v>2.9016025317075869</v>
      </c>
      <c r="N108" s="273">
        <v>2.9718213129749245</v>
      </c>
      <c r="O108" s="273">
        <v>3.0467112100618845</v>
      </c>
      <c r="P108" s="273">
        <v>3.1240976747974494</v>
      </c>
      <c r="Q108" s="273">
        <v>3.2022001166673855</v>
      </c>
      <c r="R108" s="273">
        <v>3.2825753395957351</v>
      </c>
      <c r="S108" s="273">
        <v>3.3646397230856366</v>
      </c>
      <c r="T108" s="273">
        <v>3.4480827882181546</v>
      </c>
      <c r="U108" s="273">
        <v>3.534629666202437</v>
      </c>
      <c r="V108" s="273">
        <v>3.6233488708241199</v>
      </c>
    </row>
    <row r="109" spans="1:22" x14ac:dyDescent="0.2">
      <c r="A109" s="261"/>
      <c r="B109" s="264" t="s">
        <v>39</v>
      </c>
      <c r="C109" s="272">
        <v>0</v>
      </c>
      <c r="D109" s="273">
        <v>22.33264080648696</v>
      </c>
      <c r="E109" s="273">
        <v>2.4619588866973485</v>
      </c>
      <c r="F109" s="273">
        <v>8.8756567609029151</v>
      </c>
      <c r="G109" s="273">
        <v>0.9342907297830374</v>
      </c>
      <c r="H109" s="273">
        <v>9.6076287004163916</v>
      </c>
      <c r="I109" s="273">
        <v>9.8958575614288851</v>
      </c>
      <c r="J109" s="273">
        <v>10.19273328827175</v>
      </c>
      <c r="K109" s="273">
        <v>10.498515286919902</v>
      </c>
      <c r="L109" s="273">
        <v>10.8134707455275</v>
      </c>
      <c r="M109" s="273">
        <v>11.137874867893325</v>
      </c>
      <c r="N109" s="273">
        <v>11.472011113930126</v>
      </c>
      <c r="O109" s="273">
        <v>11.816171447348029</v>
      </c>
      <c r="P109" s="273">
        <v>12.170656590768472</v>
      </c>
      <c r="Q109" s="273">
        <v>12.535776288491526</v>
      </c>
      <c r="R109" s="273">
        <v>12.911849577146272</v>
      </c>
      <c r="S109" s="273">
        <v>13.299205064460661</v>
      </c>
      <c r="T109" s="273">
        <v>13.698181216394481</v>
      </c>
      <c r="U109" s="273">
        <v>14.109126652886317</v>
      </c>
      <c r="V109" s="273">
        <v>14.532400452472906</v>
      </c>
    </row>
    <row r="110" spans="1:22" x14ac:dyDescent="0.2">
      <c r="A110" s="261"/>
      <c r="B110" s="264" t="s">
        <v>96</v>
      </c>
      <c r="C110" s="274">
        <v>0</v>
      </c>
      <c r="D110" s="275">
        <v>27.284786324786324</v>
      </c>
      <c r="E110" s="275">
        <v>17.78718912995836</v>
      </c>
      <c r="F110" s="275">
        <v>9.6431807582730649</v>
      </c>
      <c r="G110" s="275">
        <v>0</v>
      </c>
      <c r="H110" s="275">
        <v>0</v>
      </c>
      <c r="I110" s="275">
        <v>0</v>
      </c>
      <c r="J110" s="275">
        <v>0</v>
      </c>
      <c r="K110" s="275">
        <v>0</v>
      </c>
      <c r="L110" s="275">
        <v>0</v>
      </c>
      <c r="M110" s="275">
        <v>0</v>
      </c>
      <c r="N110" s="275">
        <v>0</v>
      </c>
      <c r="O110" s="275">
        <v>0</v>
      </c>
      <c r="P110" s="275">
        <v>0</v>
      </c>
      <c r="Q110" s="275">
        <v>0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</row>
    <row r="111" spans="1:22" x14ac:dyDescent="0.2">
      <c r="A111" s="261"/>
      <c r="B111" s="264"/>
      <c r="C111" s="261"/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</row>
    <row r="112" spans="1:22" x14ac:dyDescent="0.2">
      <c r="A112" s="261"/>
      <c r="B112" s="264"/>
      <c r="C112" s="261"/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</row>
    <row r="113" spans="1:22" x14ac:dyDescent="0.2">
      <c r="A113" s="24"/>
      <c r="B113" s="289"/>
      <c r="C113" s="290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  <c r="V113" s="291"/>
    </row>
    <row r="114" spans="1:22" x14ac:dyDescent="0.2">
      <c r="A114" s="292"/>
      <c r="B114" s="289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 x14ac:dyDescent="0.2">
      <c r="A115" s="259" t="s">
        <v>98</v>
      </c>
      <c r="B115" s="260"/>
      <c r="C115" s="261"/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</row>
    <row r="116" spans="1:22" x14ac:dyDescent="0.2">
      <c r="A116" s="262" t="s">
        <v>59</v>
      </c>
      <c r="B116" s="260"/>
      <c r="C116" s="261"/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</row>
    <row r="117" spans="1:22" x14ac:dyDescent="0.2">
      <c r="A117" s="261"/>
      <c r="B117" s="260"/>
      <c r="C117" s="261"/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</row>
    <row r="118" spans="1:22" x14ac:dyDescent="0.2">
      <c r="A118" s="261"/>
      <c r="B118" s="260"/>
      <c r="C118" s="265">
        <v>2000</v>
      </c>
      <c r="D118" s="266">
        <v>2001</v>
      </c>
      <c r="E118" s="266">
        <v>2002</v>
      </c>
      <c r="F118" s="266">
        <v>2003</v>
      </c>
      <c r="G118" s="266">
        <v>2004</v>
      </c>
      <c r="H118" s="266">
        <v>2005</v>
      </c>
      <c r="I118" s="266">
        <v>2006</v>
      </c>
      <c r="J118" s="266">
        <v>2007</v>
      </c>
      <c r="K118" s="266">
        <v>2008</v>
      </c>
      <c r="L118" s="266">
        <v>2009</v>
      </c>
      <c r="M118" s="266">
        <v>2010</v>
      </c>
      <c r="N118" s="266">
        <v>2011</v>
      </c>
      <c r="O118" s="266">
        <v>2012</v>
      </c>
      <c r="P118" s="266">
        <v>2013</v>
      </c>
      <c r="Q118" s="266">
        <v>2014</v>
      </c>
      <c r="R118" s="266">
        <v>2015</v>
      </c>
      <c r="S118" s="266">
        <v>2016</v>
      </c>
      <c r="T118" s="266">
        <v>2017</v>
      </c>
      <c r="U118" s="266">
        <v>2018</v>
      </c>
      <c r="V118" s="266">
        <v>2019</v>
      </c>
    </row>
    <row r="119" spans="1:22" x14ac:dyDescent="0.2">
      <c r="A119" s="263" t="s">
        <v>129</v>
      </c>
      <c r="B119" s="260"/>
      <c r="C119" s="267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</row>
    <row r="120" spans="1:22" x14ac:dyDescent="0.2">
      <c r="A120" s="261"/>
      <c r="B120" s="264" t="s">
        <v>97</v>
      </c>
      <c r="C120" s="269">
        <v>0</v>
      </c>
      <c r="D120" s="270">
        <v>1624654.726634444</v>
      </c>
      <c r="E120" s="270">
        <v>1624654.726634444</v>
      </c>
      <c r="F120" s="270">
        <v>1624654.726634444</v>
      </c>
      <c r="G120" s="270">
        <v>1624654.726634444</v>
      </c>
      <c r="H120" s="270">
        <v>1624654.726634444</v>
      </c>
      <c r="I120" s="270">
        <v>1624654.726634444</v>
      </c>
      <c r="J120" s="270">
        <v>1624654.726634444</v>
      </c>
      <c r="K120" s="270">
        <v>1624654.726634444</v>
      </c>
      <c r="L120" s="270">
        <v>1624654.726634444</v>
      </c>
      <c r="M120" s="270">
        <v>1624654.726634444</v>
      </c>
      <c r="N120" s="270">
        <v>1624654.726634444</v>
      </c>
      <c r="O120" s="270">
        <v>1624654.726634444</v>
      </c>
      <c r="P120" s="270">
        <v>1624654.726634444</v>
      </c>
      <c r="Q120" s="270">
        <v>1624654.726634444</v>
      </c>
      <c r="R120" s="270">
        <v>1624654.726634444</v>
      </c>
      <c r="S120" s="270">
        <v>1624654.726634444</v>
      </c>
      <c r="T120" s="270">
        <v>1624654.726634444</v>
      </c>
      <c r="U120" s="270">
        <v>1624654.726634444</v>
      </c>
      <c r="V120" s="270">
        <v>1624654.726634444</v>
      </c>
    </row>
    <row r="121" spans="1:22" x14ac:dyDescent="0.2">
      <c r="A121" s="261"/>
      <c r="B121" s="264" t="s">
        <v>91</v>
      </c>
      <c r="C121" s="269">
        <v>0</v>
      </c>
      <c r="D121" s="271">
        <v>0.8128988311955524</v>
      </c>
      <c r="E121" s="271">
        <v>0.8128988311955524</v>
      </c>
      <c r="F121" s="271">
        <v>0.8128988311955524</v>
      </c>
      <c r="G121" s="271">
        <v>0.8128988311955524</v>
      </c>
      <c r="H121" s="271">
        <v>0.8128988311955524</v>
      </c>
      <c r="I121" s="271">
        <v>0.8128988311955524</v>
      </c>
      <c r="J121" s="271">
        <v>0.8128988311955524</v>
      </c>
      <c r="K121" s="271">
        <v>0.8128988311955524</v>
      </c>
      <c r="L121" s="271">
        <v>0.8128988311955524</v>
      </c>
      <c r="M121" s="271">
        <v>0.8128988311955524</v>
      </c>
      <c r="N121" s="271">
        <v>0.8128988311955524</v>
      </c>
      <c r="O121" s="271">
        <v>0.8128988311955524</v>
      </c>
      <c r="P121" s="271">
        <v>0.8128988311955524</v>
      </c>
      <c r="Q121" s="271">
        <v>0.8128988311955524</v>
      </c>
      <c r="R121" s="271">
        <v>0.8128988311955524</v>
      </c>
      <c r="S121" s="271">
        <v>0.8128988311955524</v>
      </c>
      <c r="T121" s="271">
        <v>0.8128988311955524</v>
      </c>
      <c r="U121" s="271">
        <v>0.8128988311955524</v>
      </c>
      <c r="V121" s="271">
        <v>0.8128988311955524</v>
      </c>
    </row>
    <row r="122" spans="1:22" x14ac:dyDescent="0.2">
      <c r="A122" s="263" t="s">
        <v>93</v>
      </c>
      <c r="B122" s="264"/>
      <c r="C122" s="267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</row>
    <row r="123" spans="1:22" x14ac:dyDescent="0.2">
      <c r="A123" s="261"/>
      <c r="B123" s="264" t="s">
        <v>27</v>
      </c>
      <c r="C123" s="272">
        <v>0</v>
      </c>
      <c r="D123" s="273">
        <v>39.483047960013877</v>
      </c>
      <c r="E123" s="273">
        <v>38.935467327251096</v>
      </c>
      <c r="F123" s="273">
        <v>39.684908261352298</v>
      </c>
      <c r="G123" s="273">
        <v>39.122421811677334</v>
      </c>
      <c r="H123" s="273">
        <v>39.417099156105998</v>
      </c>
      <c r="I123" s="273">
        <v>42.078614925257817</v>
      </c>
      <c r="J123" s="273">
        <v>45.119014026963725</v>
      </c>
      <c r="K123" s="273">
        <v>46.286592945186761</v>
      </c>
      <c r="L123" s="273">
        <v>47.25540841790729</v>
      </c>
      <c r="M123" s="273">
        <v>47.42410761486898</v>
      </c>
      <c r="N123" s="273">
        <v>48.448702322124539</v>
      </c>
      <c r="O123" s="273">
        <v>48.992770934223167</v>
      </c>
      <c r="P123" s="273">
        <v>49.569320079245472</v>
      </c>
      <c r="Q123" s="273">
        <v>51.314220662476146</v>
      </c>
      <c r="R123" s="273">
        <v>54.954913135529232</v>
      </c>
      <c r="S123" s="273">
        <v>54.638332925743072</v>
      </c>
      <c r="T123" s="273">
        <v>55.334688595910009</v>
      </c>
      <c r="U123" s="273">
        <v>57.993820916206097</v>
      </c>
      <c r="V123" s="273">
        <v>59.755300551829357</v>
      </c>
    </row>
    <row r="124" spans="1:22" x14ac:dyDescent="0.2">
      <c r="A124" s="261"/>
      <c r="B124" s="264" t="s">
        <v>20</v>
      </c>
      <c r="C124" s="272">
        <v>0</v>
      </c>
      <c r="D124" s="273">
        <v>11.6996672</v>
      </c>
      <c r="E124" s="273">
        <v>11.867281400000003</v>
      </c>
      <c r="F124" s="273">
        <v>12.073123400000002</v>
      </c>
      <c r="G124" s="273">
        <v>12.420114199999997</v>
      </c>
      <c r="H124" s="273">
        <v>12.8543428</v>
      </c>
      <c r="I124" s="273">
        <v>13.351304200000005</v>
      </c>
      <c r="J124" s="273">
        <v>13.659087000000003</v>
      </c>
      <c r="K124" s="273">
        <v>13.953146999999996</v>
      </c>
      <c r="L124" s="273">
        <v>14.180553399999999</v>
      </c>
      <c r="M124" s="273">
        <v>14.290335800000001</v>
      </c>
      <c r="N124" s="273">
        <v>14.482455000000002</v>
      </c>
      <c r="O124" s="273">
        <v>14.796118999999999</v>
      </c>
      <c r="P124" s="273">
        <v>15.1323276</v>
      </c>
      <c r="Q124" s="273">
        <v>15.452853000000001</v>
      </c>
      <c r="R124" s="273">
        <v>15.669477200000003</v>
      </c>
      <c r="S124" s="273">
        <v>15.990002600000004</v>
      </c>
      <c r="T124" s="273">
        <v>16.354637</v>
      </c>
      <c r="U124" s="273">
        <v>16.756519000000004</v>
      </c>
      <c r="V124" s="273">
        <v>17.170163400000007</v>
      </c>
    </row>
    <row r="125" spans="1:22" x14ac:dyDescent="0.2">
      <c r="A125" s="261"/>
      <c r="B125" s="264" t="s">
        <v>92</v>
      </c>
      <c r="C125" s="272">
        <v>0</v>
      </c>
      <c r="D125" s="273">
        <v>0.86182725415073247</v>
      </c>
      <c r="E125" s="273">
        <v>0.87922268198452258</v>
      </c>
      <c r="F125" s="273">
        <v>1.4709692253209417</v>
      </c>
      <c r="G125" s="273">
        <v>1.5034239712001802</v>
      </c>
      <c r="H125" s="273">
        <v>1.5366028997097689</v>
      </c>
      <c r="I125" s="273">
        <v>1.5705223556218966</v>
      </c>
      <c r="J125" s="273">
        <v>1.6051990568077559</v>
      </c>
      <c r="K125" s="273">
        <v>1.6406501028480673</v>
      </c>
      <c r="L125" s="273">
        <v>1.6768929838443907</v>
      </c>
      <c r="M125" s="273">
        <v>1.7139455894359545</v>
      </c>
      <c r="N125" s="273">
        <v>1.7518262180268513</v>
      </c>
      <c r="O125" s="273">
        <v>1.7905535862285396</v>
      </c>
      <c r="P125" s="273">
        <v>1.8301468385227406</v>
      </c>
      <c r="Q125" s="273">
        <v>1.8706255571499093</v>
      </c>
      <c r="R125" s="273">
        <v>1.9120097722286067</v>
      </c>
      <c r="S125" s="273">
        <v>1.954319972111209</v>
      </c>
      <c r="T125" s="273">
        <v>1.9975771139815337</v>
      </c>
      <c r="U125" s="273">
        <v>2.0418026347000784</v>
      </c>
      <c r="V125" s="273">
        <v>2.0870184619027237</v>
      </c>
    </row>
    <row r="126" spans="1:22" x14ac:dyDescent="0.2">
      <c r="A126" s="261"/>
      <c r="B126" s="264" t="s">
        <v>22</v>
      </c>
      <c r="C126" s="272">
        <v>0</v>
      </c>
      <c r="D126" s="273">
        <v>0</v>
      </c>
      <c r="E126" s="273">
        <v>0</v>
      </c>
      <c r="F126" s="273">
        <v>0</v>
      </c>
      <c r="G126" s="273">
        <v>0</v>
      </c>
      <c r="H126" s="273">
        <v>0</v>
      </c>
      <c r="I126" s="273">
        <v>0.41264390587571226</v>
      </c>
      <c r="J126" s="273">
        <v>0.45738280603575016</v>
      </c>
      <c r="K126" s="273">
        <v>0.58940763194092949</v>
      </c>
      <c r="L126" s="273">
        <v>0.55433639326824224</v>
      </c>
      <c r="M126" s="273">
        <v>0.61650729880443833</v>
      </c>
      <c r="N126" s="273">
        <v>0.67912941223367884</v>
      </c>
      <c r="O126" s="273">
        <v>0.75245502783944118</v>
      </c>
      <c r="P126" s="273">
        <v>0.84370002682295353</v>
      </c>
      <c r="Q126" s="273">
        <v>0.93916978672743778</v>
      </c>
      <c r="R126" s="273">
        <v>1.0403132239204336</v>
      </c>
      <c r="S126" s="273">
        <v>1.1422626405284471</v>
      </c>
      <c r="T126" s="273">
        <v>1.12221735633105</v>
      </c>
      <c r="U126" s="273">
        <v>0.9601176462907961</v>
      </c>
      <c r="V126" s="273">
        <v>0.9954648608224318</v>
      </c>
    </row>
    <row r="127" spans="1:22" x14ac:dyDescent="0.2">
      <c r="A127" s="261"/>
      <c r="B127" s="264" t="s">
        <v>23</v>
      </c>
      <c r="C127" s="272">
        <v>0</v>
      </c>
      <c r="D127" s="273">
        <v>0</v>
      </c>
      <c r="E127" s="273">
        <v>0</v>
      </c>
      <c r="F127" s="273">
        <v>0.93028225689952637</v>
      </c>
      <c r="G127" s="273">
        <v>0.79265879587635224</v>
      </c>
      <c r="H127" s="273">
        <v>0.82288812340420781</v>
      </c>
      <c r="I127" s="273">
        <v>0.85464176927972091</v>
      </c>
      <c r="J127" s="273">
        <v>1.0736167200950297</v>
      </c>
      <c r="K127" s="273">
        <v>0.93779217286412841</v>
      </c>
      <c r="L127" s="273">
        <v>0.99258675447801181</v>
      </c>
      <c r="M127" s="273">
        <v>0.94448431192622651</v>
      </c>
      <c r="N127" s="273">
        <v>0.97153512104300532</v>
      </c>
      <c r="O127" s="273">
        <v>0.99672787387437234</v>
      </c>
      <c r="P127" s="273">
        <v>0.89028711184732379</v>
      </c>
      <c r="Q127" s="273">
        <v>0.92211904133035627</v>
      </c>
      <c r="R127" s="273">
        <v>0.94117498283273293</v>
      </c>
      <c r="S127" s="273">
        <v>0.99946170646278154</v>
      </c>
      <c r="T127" s="273">
        <v>0.93959766485997798</v>
      </c>
      <c r="U127" s="273">
        <v>1.0348512960737357</v>
      </c>
      <c r="V127" s="273">
        <v>0.5634253618558982</v>
      </c>
    </row>
    <row r="128" spans="1:22" x14ac:dyDescent="0.2">
      <c r="A128" s="263" t="s">
        <v>94</v>
      </c>
      <c r="B128" s="264"/>
      <c r="C128" s="267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</row>
    <row r="129" spans="1:22" x14ac:dyDescent="0.2">
      <c r="A129" s="261"/>
      <c r="B129" s="264" t="s">
        <v>34</v>
      </c>
      <c r="C129" s="272">
        <v>0</v>
      </c>
      <c r="D129" s="273">
        <v>12.249558377959268</v>
      </c>
      <c r="E129" s="273">
        <v>12.494549545518453</v>
      </c>
      <c r="F129" s="273">
        <v>12.928525568206162</v>
      </c>
      <c r="G129" s="273">
        <v>13.188016504729173</v>
      </c>
      <c r="H129" s="273">
        <v>13.452720270611614</v>
      </c>
      <c r="I129" s="273">
        <v>13.722741697706404</v>
      </c>
      <c r="J129" s="273">
        <v>13.998187728885153</v>
      </c>
      <c r="K129" s="273">
        <v>14.279167460618089</v>
      </c>
      <c r="L129" s="273">
        <v>14.565792186414566</v>
      </c>
      <c r="M129" s="273">
        <v>14.858175441141576</v>
      </c>
      <c r="N129" s="273">
        <v>15.156433046238094</v>
      </c>
      <c r="O129" s="273">
        <v>15.460683155843384</v>
      </c>
      <c r="P129" s="273">
        <v>15.771046303857794</v>
      </c>
      <c r="Q129" s="273">
        <v>16.087645451954931</v>
      </c>
      <c r="R129" s="273">
        <v>16.410606038564509</v>
      </c>
      <c r="S129" s="273">
        <v>16.74005602884554</v>
      </c>
      <c r="T129" s="273">
        <v>17.076125965669938</v>
      </c>
      <c r="U129" s="273">
        <v>17.418949021637008</v>
      </c>
      <c r="V129" s="273">
        <v>17.768661052139766</v>
      </c>
    </row>
    <row r="130" spans="1:22" x14ac:dyDescent="0.2">
      <c r="A130" s="261"/>
      <c r="B130" s="264" t="s">
        <v>95</v>
      </c>
      <c r="C130" s="272">
        <v>0</v>
      </c>
      <c r="D130" s="273">
        <v>1.7019495601836765</v>
      </c>
      <c r="E130" s="273">
        <v>1.7412952806756254</v>
      </c>
      <c r="F130" s="273">
        <v>1.7815026724463481</v>
      </c>
      <c r="G130" s="273">
        <v>1.8226187512710887</v>
      </c>
      <c r="H130" s="273">
        <v>1.8647133927718584</v>
      </c>
      <c r="I130" s="273">
        <v>1.9096245461898687</v>
      </c>
      <c r="J130" s="273">
        <v>1.9538443123762967</v>
      </c>
      <c r="K130" s="273">
        <v>2.0010337367993438</v>
      </c>
      <c r="L130" s="273">
        <v>2.0474926714297239</v>
      </c>
      <c r="M130" s="273">
        <v>2.0951363088931783</v>
      </c>
      <c r="N130" s="273">
        <v>2.1439329223832488</v>
      </c>
      <c r="O130" s="273">
        <v>2.1939592105332686</v>
      </c>
      <c r="P130" s="273">
        <v>2.245256166402299</v>
      </c>
      <c r="Q130" s="273">
        <v>2.2978355461680549</v>
      </c>
      <c r="R130" s="273">
        <v>2.3517346683659319</v>
      </c>
      <c r="S130" s="273">
        <v>2.4069812686187553</v>
      </c>
      <c r="T130" s="273">
        <v>2.4635979845578486</v>
      </c>
      <c r="U130" s="273">
        <v>2.5216357800670135</v>
      </c>
      <c r="V130" s="273">
        <v>2.5811303242434582</v>
      </c>
    </row>
    <row r="131" spans="1:22" x14ac:dyDescent="0.2">
      <c r="A131" s="261"/>
      <c r="B131" s="264" t="s">
        <v>36</v>
      </c>
      <c r="C131" s="272">
        <v>0</v>
      </c>
      <c r="D131" s="273">
        <v>2.3467251972439493</v>
      </c>
      <c r="E131" s="273">
        <v>2.3962410989058123</v>
      </c>
      <c r="F131" s="273">
        <v>2.4487187789718519</v>
      </c>
      <c r="G131" s="273">
        <v>2.5040598233765943</v>
      </c>
      <c r="H131" s="273">
        <v>2.5636564471729653</v>
      </c>
      <c r="I131" s="273">
        <v>2.6279019354681088</v>
      </c>
      <c r="J131" s="273">
        <v>2.6930812244652205</v>
      </c>
      <c r="K131" s="273">
        <v>2.7612486757086261</v>
      </c>
      <c r="L131" s="273">
        <v>2.8294515179986321</v>
      </c>
      <c r="M131" s="273">
        <v>2.9016025317075869</v>
      </c>
      <c r="N131" s="273">
        <v>2.9718213129749245</v>
      </c>
      <c r="O131" s="273">
        <v>3.0467112100618845</v>
      </c>
      <c r="P131" s="273">
        <v>3.1240976747974494</v>
      </c>
      <c r="Q131" s="273">
        <v>3.2022001166673855</v>
      </c>
      <c r="R131" s="273">
        <v>3.2825753395957351</v>
      </c>
      <c r="S131" s="273">
        <v>3.3646397230856366</v>
      </c>
      <c r="T131" s="273">
        <v>3.4480827882181546</v>
      </c>
      <c r="U131" s="273">
        <v>3.534629666202437</v>
      </c>
      <c r="V131" s="273">
        <v>3.6233488708241199</v>
      </c>
    </row>
    <row r="132" spans="1:22" x14ac:dyDescent="0.2">
      <c r="A132" s="261"/>
      <c r="B132" s="264" t="s">
        <v>39</v>
      </c>
      <c r="C132" s="272">
        <v>0</v>
      </c>
      <c r="D132" s="273">
        <v>3.1344992329607715</v>
      </c>
      <c r="E132" s="273">
        <v>6.4268942362480823</v>
      </c>
      <c r="F132" s="273">
        <v>1.3740131054131055</v>
      </c>
      <c r="G132" s="273">
        <v>12.328987201402587</v>
      </c>
      <c r="H132" s="273">
        <v>9.4912526320403234</v>
      </c>
      <c r="I132" s="273">
        <v>9.7759902110015346</v>
      </c>
      <c r="J132" s="273">
        <v>10.06926991733158</v>
      </c>
      <c r="K132" s="273">
        <v>10.371348014851529</v>
      </c>
      <c r="L132" s="273">
        <v>10.682488455297074</v>
      </c>
      <c r="M132" s="273">
        <v>11.002963108955987</v>
      </c>
      <c r="N132" s="273">
        <v>11.333052002224667</v>
      </c>
      <c r="O132" s="273">
        <v>11.673043562291406</v>
      </c>
      <c r="P132" s="273">
        <v>12.023234869160149</v>
      </c>
      <c r="Q132" s="273">
        <v>12.383931915234955</v>
      </c>
      <c r="R132" s="273">
        <v>12.755449872692003</v>
      </c>
      <c r="S132" s="273">
        <v>13.138113368872762</v>
      </c>
      <c r="T132" s="273">
        <v>13.532256769938945</v>
      </c>
      <c r="U132" s="273">
        <v>13.938224473037113</v>
      </c>
      <c r="V132" s="273">
        <v>14.356371207228227</v>
      </c>
    </row>
    <row r="133" spans="1:22" x14ac:dyDescent="0.2">
      <c r="A133" s="261"/>
      <c r="B133" s="264" t="s">
        <v>96</v>
      </c>
      <c r="C133" s="274">
        <v>0</v>
      </c>
      <c r="D133" s="275">
        <v>27.284786324786324</v>
      </c>
      <c r="E133" s="275">
        <v>17.78718912995836</v>
      </c>
      <c r="F133" s="275">
        <v>9.6431807582730649</v>
      </c>
      <c r="G133" s="275">
        <v>0</v>
      </c>
      <c r="H133" s="275">
        <v>0</v>
      </c>
      <c r="I133" s="275">
        <v>0</v>
      </c>
      <c r="J133" s="275">
        <v>0</v>
      </c>
      <c r="K133" s="275">
        <v>0</v>
      </c>
      <c r="L133" s="275">
        <v>0</v>
      </c>
      <c r="M133" s="275">
        <v>0</v>
      </c>
      <c r="N133" s="275">
        <v>0</v>
      </c>
      <c r="O133" s="275">
        <v>0</v>
      </c>
      <c r="P133" s="275">
        <v>0</v>
      </c>
      <c r="Q133" s="275">
        <v>0</v>
      </c>
      <c r="R133" s="275">
        <v>0</v>
      </c>
      <c r="S133" s="275">
        <v>0</v>
      </c>
      <c r="T133" s="275">
        <v>0</v>
      </c>
      <c r="U133" s="275">
        <v>0</v>
      </c>
      <c r="V133" s="275">
        <v>0</v>
      </c>
    </row>
    <row r="134" spans="1:22" x14ac:dyDescent="0.2">
      <c r="A134" s="261"/>
      <c r="B134" s="264"/>
      <c r="C134" s="261"/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</row>
    <row r="135" spans="1:22" x14ac:dyDescent="0.2">
      <c r="A135" s="261"/>
      <c r="B135" s="264"/>
      <c r="C135" s="261"/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</row>
    <row r="136" spans="1:22" x14ac:dyDescent="0.2">
      <c r="A136" s="24"/>
      <c r="B136" s="289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</row>
    <row r="137" spans="1:22" x14ac:dyDescent="0.2">
      <c r="A137" s="24"/>
      <c r="B137" s="289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</row>
    <row r="138" spans="1:22" x14ac:dyDescent="0.2">
      <c r="A138" s="259" t="s">
        <v>98</v>
      </c>
      <c r="B138" s="260"/>
      <c r="C138" s="261"/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</row>
    <row r="139" spans="1:22" x14ac:dyDescent="0.2">
      <c r="A139" s="262" t="s">
        <v>60</v>
      </c>
      <c r="B139" s="260"/>
      <c r="C139" s="261"/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</row>
    <row r="140" spans="1:22" x14ac:dyDescent="0.2">
      <c r="A140" s="261"/>
      <c r="B140" s="260"/>
      <c r="C140" s="261"/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</row>
    <row r="141" spans="1:22" x14ac:dyDescent="0.2">
      <c r="A141" s="261"/>
      <c r="B141" s="260"/>
      <c r="C141" s="265">
        <v>2000</v>
      </c>
      <c r="D141" s="266">
        <v>2001</v>
      </c>
      <c r="E141" s="266">
        <v>2002</v>
      </c>
      <c r="F141" s="266">
        <v>2003</v>
      </c>
      <c r="G141" s="266">
        <v>2004</v>
      </c>
      <c r="H141" s="266">
        <v>2005</v>
      </c>
      <c r="I141" s="266">
        <v>2006</v>
      </c>
      <c r="J141" s="266">
        <v>2007</v>
      </c>
      <c r="K141" s="266">
        <v>2008</v>
      </c>
      <c r="L141" s="266">
        <v>2009</v>
      </c>
      <c r="M141" s="266">
        <v>2010</v>
      </c>
      <c r="N141" s="266">
        <v>2011</v>
      </c>
      <c r="O141" s="266">
        <v>2012</v>
      </c>
      <c r="P141" s="266">
        <v>2013</v>
      </c>
      <c r="Q141" s="266">
        <v>2014</v>
      </c>
      <c r="R141" s="266">
        <v>2015</v>
      </c>
      <c r="S141" s="266">
        <v>2016</v>
      </c>
      <c r="T141" s="266">
        <v>2017</v>
      </c>
      <c r="U141" s="266">
        <v>2018</v>
      </c>
      <c r="V141" s="266">
        <v>2019</v>
      </c>
    </row>
    <row r="142" spans="1:22" x14ac:dyDescent="0.2">
      <c r="A142" s="263" t="s">
        <v>129</v>
      </c>
      <c r="B142" s="260"/>
      <c r="C142" s="267"/>
      <c r="D142" s="268"/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  <c r="P142" s="268"/>
      <c r="Q142" s="268"/>
      <c r="R142" s="268"/>
      <c r="S142" s="268"/>
      <c r="T142" s="268"/>
      <c r="U142" s="268"/>
      <c r="V142" s="268"/>
    </row>
    <row r="143" spans="1:22" x14ac:dyDescent="0.2">
      <c r="A143" s="261"/>
      <c r="B143" s="264" t="s">
        <v>97</v>
      </c>
      <c r="C143" s="269">
        <v>0</v>
      </c>
      <c r="D143" s="270">
        <v>1624654.726634444</v>
      </c>
      <c r="E143" s="270">
        <v>1624654.726634444</v>
      </c>
      <c r="F143" s="270">
        <v>1624654.726634444</v>
      </c>
      <c r="G143" s="270">
        <v>1624654.726634444</v>
      </c>
      <c r="H143" s="270">
        <v>1624654.726634444</v>
      </c>
      <c r="I143" s="270">
        <v>1624654.726634444</v>
      </c>
      <c r="J143" s="270">
        <v>1624654.726634444</v>
      </c>
      <c r="K143" s="270">
        <v>1624654.726634444</v>
      </c>
      <c r="L143" s="270">
        <v>1624654.726634444</v>
      </c>
      <c r="M143" s="270">
        <v>1624654.726634444</v>
      </c>
      <c r="N143" s="270">
        <v>1624654.726634444</v>
      </c>
      <c r="O143" s="270">
        <v>1624654.726634444</v>
      </c>
      <c r="P143" s="270">
        <v>1624654.726634444</v>
      </c>
      <c r="Q143" s="270">
        <v>1624654.726634444</v>
      </c>
      <c r="R143" s="270">
        <v>1624654.726634444</v>
      </c>
      <c r="S143" s="270">
        <v>1624654.726634444</v>
      </c>
      <c r="T143" s="270">
        <v>1624654.726634444</v>
      </c>
      <c r="U143" s="270">
        <v>1624654.726634444</v>
      </c>
      <c r="V143" s="270">
        <v>1624654.726634444</v>
      </c>
    </row>
    <row r="144" spans="1:22" x14ac:dyDescent="0.2">
      <c r="A144" s="261"/>
      <c r="B144" s="264" t="s">
        <v>91</v>
      </c>
      <c r="C144" s="269">
        <v>0</v>
      </c>
      <c r="D144" s="271">
        <v>0.8128988311955524</v>
      </c>
      <c r="E144" s="271">
        <v>0.8128988311955524</v>
      </c>
      <c r="F144" s="271">
        <v>0.8128988311955524</v>
      </c>
      <c r="G144" s="271">
        <v>0.8128988311955524</v>
      </c>
      <c r="H144" s="271">
        <v>0.8128988311955524</v>
      </c>
      <c r="I144" s="271">
        <v>0.8128988311955524</v>
      </c>
      <c r="J144" s="271">
        <v>0.8128988311955524</v>
      </c>
      <c r="K144" s="271">
        <v>0.8128988311955524</v>
      </c>
      <c r="L144" s="271">
        <v>0.8128988311955524</v>
      </c>
      <c r="M144" s="271">
        <v>0.8128988311955524</v>
      </c>
      <c r="N144" s="271">
        <v>0.8128988311955524</v>
      </c>
      <c r="O144" s="271">
        <v>0.8128988311955524</v>
      </c>
      <c r="P144" s="271">
        <v>0.8128988311955524</v>
      </c>
      <c r="Q144" s="271">
        <v>0.8128988311955524</v>
      </c>
      <c r="R144" s="271">
        <v>0.8128988311955524</v>
      </c>
      <c r="S144" s="271">
        <v>0.8128988311955524</v>
      </c>
      <c r="T144" s="271">
        <v>0.8128988311955524</v>
      </c>
      <c r="U144" s="271">
        <v>0.8128988311955524</v>
      </c>
      <c r="V144" s="271">
        <v>0.8128988311955524</v>
      </c>
    </row>
    <row r="145" spans="1:22" x14ac:dyDescent="0.2">
      <c r="A145" s="263" t="s">
        <v>93</v>
      </c>
      <c r="B145" s="264"/>
      <c r="C145" s="267"/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  <c r="P145" s="268"/>
      <c r="Q145" s="268"/>
      <c r="R145" s="268"/>
      <c r="S145" s="268"/>
      <c r="T145" s="268"/>
      <c r="U145" s="268"/>
      <c r="V145" s="268"/>
    </row>
    <row r="146" spans="1:22" x14ac:dyDescent="0.2">
      <c r="A146" s="261"/>
      <c r="B146" s="264" t="s">
        <v>27</v>
      </c>
      <c r="C146" s="272">
        <v>0</v>
      </c>
      <c r="D146" s="273">
        <v>39.483047960013877</v>
      </c>
      <c r="E146" s="273">
        <v>38.935467327251096</v>
      </c>
      <c r="F146" s="273">
        <v>39.684908261352298</v>
      </c>
      <c r="G146" s="273">
        <v>39.122421811677334</v>
      </c>
      <c r="H146" s="273">
        <v>39.417099156105998</v>
      </c>
      <c r="I146" s="273">
        <v>42.078614925257817</v>
      </c>
      <c r="J146" s="273">
        <v>45.119014026963725</v>
      </c>
      <c r="K146" s="273">
        <v>46.286592945186761</v>
      </c>
      <c r="L146" s="273">
        <v>47.25540841790729</v>
      </c>
      <c r="M146" s="273">
        <v>47.42410761486898</v>
      </c>
      <c r="N146" s="273">
        <v>48.448702322124539</v>
      </c>
      <c r="O146" s="273">
        <v>48.992770934223167</v>
      </c>
      <c r="P146" s="273">
        <v>49.569320079245472</v>
      </c>
      <c r="Q146" s="273">
        <v>51.314220662476146</v>
      </c>
      <c r="R146" s="273">
        <v>54.954913135529232</v>
      </c>
      <c r="S146" s="273">
        <v>54.638332925743072</v>
      </c>
      <c r="T146" s="273">
        <v>55.334688595910009</v>
      </c>
      <c r="U146" s="273">
        <v>57.993820916206097</v>
      </c>
      <c r="V146" s="273">
        <v>59.755300551829357</v>
      </c>
    </row>
    <row r="147" spans="1:22" x14ac:dyDescent="0.2">
      <c r="A147" s="261"/>
      <c r="B147" s="264" t="s">
        <v>20</v>
      </c>
      <c r="C147" s="272">
        <v>0</v>
      </c>
      <c r="D147" s="273">
        <v>11.679376000000001</v>
      </c>
      <c r="E147" s="273">
        <v>11.846699500000001</v>
      </c>
      <c r="F147" s="273">
        <v>12.052184499999997</v>
      </c>
      <c r="G147" s="273">
        <v>12.398573499999998</v>
      </c>
      <c r="H147" s="273">
        <v>12.832048999999998</v>
      </c>
      <c r="I147" s="273">
        <v>13.328148500000005</v>
      </c>
      <c r="J147" s="273">
        <v>13.635397500000002</v>
      </c>
      <c r="K147" s="273">
        <v>13.928947500000001</v>
      </c>
      <c r="L147" s="273">
        <v>14.155959500000002</v>
      </c>
      <c r="M147" s="273">
        <v>14.265551500000003</v>
      </c>
      <c r="N147" s="273">
        <v>14.457337500000001</v>
      </c>
      <c r="O147" s="273">
        <v>14.770457500000003</v>
      </c>
      <c r="P147" s="273">
        <v>15.106083000000002</v>
      </c>
      <c r="Q147" s="273">
        <v>15.426052500000006</v>
      </c>
      <c r="R147" s="273">
        <v>15.642301000000002</v>
      </c>
      <c r="S147" s="273">
        <v>15.962270500000001</v>
      </c>
      <c r="T147" s="273">
        <v>16.326272499999998</v>
      </c>
      <c r="U147" s="273">
        <v>16.727457500000007</v>
      </c>
      <c r="V147" s="273">
        <v>17.1403845</v>
      </c>
    </row>
    <row r="148" spans="1:22" x14ac:dyDescent="0.2">
      <c r="A148" s="261"/>
      <c r="B148" s="264" t="s">
        <v>92</v>
      </c>
      <c r="C148" s="272">
        <v>0</v>
      </c>
      <c r="D148" s="273">
        <v>0.86182725415073247</v>
      </c>
      <c r="E148" s="273">
        <v>0.87922268198452258</v>
      </c>
      <c r="F148" s="273">
        <v>1.4709692253209417</v>
      </c>
      <c r="G148" s="273">
        <v>1.5034239712001802</v>
      </c>
      <c r="H148" s="273">
        <v>1.5366028997097689</v>
      </c>
      <c r="I148" s="273">
        <v>1.5705223556218966</v>
      </c>
      <c r="J148" s="273">
        <v>1.6051990568077559</v>
      </c>
      <c r="K148" s="273">
        <v>1.6406501028480673</v>
      </c>
      <c r="L148" s="273">
        <v>1.6768929838443907</v>
      </c>
      <c r="M148" s="273">
        <v>1.7139455894359545</v>
      </c>
      <c r="N148" s="273">
        <v>1.7518262180268513</v>
      </c>
      <c r="O148" s="273">
        <v>1.7905535862285396</v>
      </c>
      <c r="P148" s="273">
        <v>1.8301468385227406</v>
      </c>
      <c r="Q148" s="273">
        <v>1.8706255571499093</v>
      </c>
      <c r="R148" s="273">
        <v>1.9120097722286067</v>
      </c>
      <c r="S148" s="273">
        <v>1.954319972111209</v>
      </c>
      <c r="T148" s="273">
        <v>1.9975771139815337</v>
      </c>
      <c r="U148" s="273">
        <v>2.0418026347000784</v>
      </c>
      <c r="V148" s="273">
        <v>2.0870184619027237</v>
      </c>
    </row>
    <row r="149" spans="1:22" x14ac:dyDescent="0.2">
      <c r="A149" s="261"/>
      <c r="B149" s="264" t="s">
        <v>22</v>
      </c>
      <c r="C149" s="272">
        <v>0</v>
      </c>
      <c r="D149" s="273">
        <v>0</v>
      </c>
      <c r="E149" s="273">
        <v>0</v>
      </c>
      <c r="F149" s="273">
        <v>0</v>
      </c>
      <c r="G149" s="273">
        <v>0</v>
      </c>
      <c r="H149" s="273">
        <v>0</v>
      </c>
      <c r="I149" s="273">
        <v>0.27970196020982979</v>
      </c>
      <c r="J149" s="273">
        <v>0.31002727919361184</v>
      </c>
      <c r="K149" s="273">
        <v>0.42666002467186048</v>
      </c>
      <c r="L149" s="273">
        <v>0.37574522149728579</v>
      </c>
      <c r="M149" s="273">
        <v>0.41788645731558988</v>
      </c>
      <c r="N149" s="273">
        <v>0.46033353487867423</v>
      </c>
      <c r="O149" s="273">
        <v>0.51003575542885804</v>
      </c>
      <c r="P149" s="273">
        <v>0.57188425170283363</v>
      </c>
      <c r="Q149" s="273">
        <v>0.63659641297752168</v>
      </c>
      <c r="R149" s="273">
        <v>0.70515435662436765</v>
      </c>
      <c r="S149" s="273">
        <v>0.77425861640252525</v>
      </c>
      <c r="T149" s="273">
        <v>0.76067134368835188</v>
      </c>
      <c r="U149" s="273">
        <v>0.65079547734910659</v>
      </c>
      <c r="V149" s="273">
        <v>0.67475484049897361</v>
      </c>
    </row>
    <row r="150" spans="1:22" x14ac:dyDescent="0.2">
      <c r="A150" s="261"/>
      <c r="B150" s="264" t="s">
        <v>23</v>
      </c>
      <c r="C150" s="272">
        <v>0</v>
      </c>
      <c r="D150" s="273">
        <v>0</v>
      </c>
      <c r="E150" s="273">
        <v>0</v>
      </c>
      <c r="F150" s="273">
        <v>0.92866883123463195</v>
      </c>
      <c r="G150" s="273">
        <v>0.79128405607530183</v>
      </c>
      <c r="H150" s="273">
        <v>0.82146095567334942</v>
      </c>
      <c r="I150" s="273">
        <v>0.85315952993287802</v>
      </c>
      <c r="J150" s="273">
        <v>1.0717547037471808</v>
      </c>
      <c r="K150" s="273">
        <v>0.93616572245210128</v>
      </c>
      <c r="L150" s="273">
        <v>0.99086527163510951</v>
      </c>
      <c r="M150" s="273">
        <v>0.94284625507020281</v>
      </c>
      <c r="N150" s="273">
        <v>0.96985014888857479</v>
      </c>
      <c r="O150" s="273">
        <v>0.99499920892274352</v>
      </c>
      <c r="P150" s="273">
        <v>0.88874305135952469</v>
      </c>
      <c r="Q150" s="273">
        <v>0.92051977345618596</v>
      </c>
      <c r="R150" s="273">
        <v>0.93954266547829923</v>
      </c>
      <c r="S150" s="273">
        <v>0.99772830011613145</v>
      </c>
      <c r="T150" s="273">
        <v>0.93796808311108792</v>
      </c>
      <c r="U150" s="273">
        <v>1.033056512148695</v>
      </c>
      <c r="V150" s="273">
        <v>0.56244819075290386</v>
      </c>
    </row>
    <row r="151" spans="1:22" x14ac:dyDescent="0.2">
      <c r="A151" s="263" t="s">
        <v>94</v>
      </c>
      <c r="B151" s="264"/>
      <c r="C151" s="267"/>
      <c r="D151" s="268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</row>
    <row r="152" spans="1:22" x14ac:dyDescent="0.2">
      <c r="A152" s="261"/>
      <c r="B152" s="264" t="s">
        <v>34</v>
      </c>
      <c r="C152" s="272">
        <v>0</v>
      </c>
      <c r="D152" s="273">
        <v>12.249558377959268</v>
      </c>
      <c r="E152" s="273">
        <v>12.494549545518453</v>
      </c>
      <c r="F152" s="273">
        <v>12.928525568206162</v>
      </c>
      <c r="G152" s="273">
        <v>13.188016504729173</v>
      </c>
      <c r="H152" s="273">
        <v>13.452720270611614</v>
      </c>
      <c r="I152" s="273">
        <v>13.722741697706404</v>
      </c>
      <c r="J152" s="273">
        <v>13.998187728885153</v>
      </c>
      <c r="K152" s="273">
        <v>14.279167460618089</v>
      </c>
      <c r="L152" s="273">
        <v>14.565792186414566</v>
      </c>
      <c r="M152" s="273">
        <v>14.858175441141576</v>
      </c>
      <c r="N152" s="273">
        <v>15.156433046238094</v>
      </c>
      <c r="O152" s="273">
        <v>15.460683155843384</v>
      </c>
      <c r="P152" s="273">
        <v>15.771046303857794</v>
      </c>
      <c r="Q152" s="273">
        <v>16.087645451954931</v>
      </c>
      <c r="R152" s="273">
        <v>16.410606038564509</v>
      </c>
      <c r="S152" s="273">
        <v>16.74005602884554</v>
      </c>
      <c r="T152" s="273">
        <v>17.076125965669938</v>
      </c>
      <c r="U152" s="273">
        <v>17.418949021637008</v>
      </c>
      <c r="V152" s="273">
        <v>17.768661052139766</v>
      </c>
    </row>
    <row r="153" spans="1:22" x14ac:dyDescent="0.2">
      <c r="A153" s="261"/>
      <c r="B153" s="264" t="s">
        <v>95</v>
      </c>
      <c r="C153" s="272">
        <v>0</v>
      </c>
      <c r="D153" s="273">
        <v>1.7019495601836765</v>
      </c>
      <c r="E153" s="273">
        <v>1.7412952806756254</v>
      </c>
      <c r="F153" s="273">
        <v>1.7815026724463481</v>
      </c>
      <c r="G153" s="273">
        <v>1.8226187512710887</v>
      </c>
      <c r="H153" s="273">
        <v>1.8647133927718584</v>
      </c>
      <c r="I153" s="273">
        <v>1.9096245461898687</v>
      </c>
      <c r="J153" s="273">
        <v>1.9538443123762967</v>
      </c>
      <c r="K153" s="273">
        <v>2.0010337367993438</v>
      </c>
      <c r="L153" s="273">
        <v>2.0474926714297239</v>
      </c>
      <c r="M153" s="273">
        <v>2.0951363088931783</v>
      </c>
      <c r="N153" s="273">
        <v>2.1439329223832488</v>
      </c>
      <c r="O153" s="273">
        <v>2.1939592105332686</v>
      </c>
      <c r="P153" s="273">
        <v>2.245256166402299</v>
      </c>
      <c r="Q153" s="273">
        <v>2.2978355461680549</v>
      </c>
      <c r="R153" s="273">
        <v>2.3517346683659319</v>
      </c>
      <c r="S153" s="273">
        <v>2.4069812686187553</v>
      </c>
      <c r="T153" s="273">
        <v>2.4635979845578486</v>
      </c>
      <c r="U153" s="273">
        <v>2.5216357800670135</v>
      </c>
      <c r="V153" s="273">
        <v>2.5811303242434582</v>
      </c>
    </row>
    <row r="154" spans="1:22" x14ac:dyDescent="0.2">
      <c r="A154" s="261"/>
      <c r="B154" s="264" t="s">
        <v>36</v>
      </c>
      <c r="C154" s="272">
        <v>0</v>
      </c>
      <c r="D154" s="273">
        <v>2.3467251972439493</v>
      </c>
      <c r="E154" s="273">
        <v>2.3962410989058123</v>
      </c>
      <c r="F154" s="273">
        <v>2.4487187789718519</v>
      </c>
      <c r="G154" s="273">
        <v>2.5040598233765943</v>
      </c>
      <c r="H154" s="273">
        <v>2.5636564471729653</v>
      </c>
      <c r="I154" s="273">
        <v>2.6279019354681088</v>
      </c>
      <c r="J154" s="273">
        <v>2.6930812244652205</v>
      </c>
      <c r="K154" s="273">
        <v>2.7612486757086261</v>
      </c>
      <c r="L154" s="273">
        <v>2.8294515179986321</v>
      </c>
      <c r="M154" s="273">
        <v>2.9016025317075869</v>
      </c>
      <c r="N154" s="273">
        <v>2.9718213129749245</v>
      </c>
      <c r="O154" s="273">
        <v>3.0467112100618845</v>
      </c>
      <c r="P154" s="273">
        <v>3.1240976747974494</v>
      </c>
      <c r="Q154" s="273">
        <v>3.2022001166673855</v>
      </c>
      <c r="R154" s="273">
        <v>3.2825753395957351</v>
      </c>
      <c r="S154" s="273">
        <v>3.3646397230856366</v>
      </c>
      <c r="T154" s="273">
        <v>3.4480827882181546</v>
      </c>
      <c r="U154" s="273">
        <v>3.534629666202437</v>
      </c>
      <c r="V154" s="273">
        <v>3.6233488708241199</v>
      </c>
    </row>
    <row r="155" spans="1:22" x14ac:dyDescent="0.2">
      <c r="A155" s="261"/>
      <c r="B155" s="264" t="s">
        <v>39</v>
      </c>
      <c r="C155" s="272">
        <v>0</v>
      </c>
      <c r="D155" s="273">
        <v>4.2712776682007449</v>
      </c>
      <c r="E155" s="273">
        <v>7.3653119438965593</v>
      </c>
      <c r="F155" s="273">
        <v>1.3740131054131055</v>
      </c>
      <c r="G155" s="273">
        <v>4.1273654613193074</v>
      </c>
      <c r="H155" s="273">
        <v>8.6761362612316457</v>
      </c>
      <c r="I155" s="273">
        <v>8.9364203490685945</v>
      </c>
      <c r="J155" s="273">
        <v>9.2045129595406525</v>
      </c>
      <c r="K155" s="273">
        <v>9.4806483483268735</v>
      </c>
      <c r="L155" s="273">
        <v>9.7650677987766787</v>
      </c>
      <c r="M155" s="273">
        <v>10.05801983273998</v>
      </c>
      <c r="N155" s="273">
        <v>10.359760427722179</v>
      </c>
      <c r="O155" s="273">
        <v>10.670553240553845</v>
      </c>
      <c r="P155" s="273">
        <v>10.990669837770461</v>
      </c>
      <c r="Q155" s="273">
        <v>11.320389932903575</v>
      </c>
      <c r="R155" s="273">
        <v>11.660001630890681</v>
      </c>
      <c r="S155" s="273">
        <v>12.009801679817404</v>
      </c>
      <c r="T155" s="273">
        <v>12.370095730211926</v>
      </c>
      <c r="U155" s="273">
        <v>12.741198602118283</v>
      </c>
      <c r="V155" s="273">
        <v>13.123434560181831</v>
      </c>
    </row>
    <row r="156" spans="1:22" x14ac:dyDescent="0.2">
      <c r="A156" s="261"/>
      <c r="B156" s="264" t="s">
        <v>96</v>
      </c>
      <c r="C156" s="274">
        <v>0</v>
      </c>
      <c r="D156" s="275">
        <v>27.284786324786324</v>
      </c>
      <c r="E156" s="275">
        <v>17.78718912995836</v>
      </c>
      <c r="F156" s="275">
        <v>9.6431807582730649</v>
      </c>
      <c r="G156" s="275">
        <v>0</v>
      </c>
      <c r="H156" s="275">
        <v>0</v>
      </c>
      <c r="I156" s="275">
        <v>0</v>
      </c>
      <c r="J156" s="275">
        <v>0</v>
      </c>
      <c r="K156" s="275">
        <v>0</v>
      </c>
      <c r="L156" s="275">
        <v>0</v>
      </c>
      <c r="M156" s="275">
        <v>0</v>
      </c>
      <c r="N156" s="275">
        <v>0</v>
      </c>
      <c r="O156" s="275">
        <v>0</v>
      </c>
      <c r="P156" s="275">
        <v>0</v>
      </c>
      <c r="Q156" s="275">
        <v>0</v>
      </c>
      <c r="R156" s="275">
        <v>0</v>
      </c>
      <c r="S156" s="275">
        <v>0</v>
      </c>
      <c r="T156" s="275">
        <v>0</v>
      </c>
      <c r="U156" s="275">
        <v>0</v>
      </c>
      <c r="V156" s="275">
        <v>0</v>
      </c>
    </row>
    <row r="157" spans="1:22" x14ac:dyDescent="0.2">
      <c r="A157" s="261"/>
      <c r="B157" s="264"/>
      <c r="C157" s="261"/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</row>
    <row r="158" spans="1:22" x14ac:dyDescent="0.2">
      <c r="A158" s="261"/>
      <c r="B158" s="264"/>
      <c r="C158" s="261"/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</row>
    <row r="159" spans="1:22" x14ac:dyDescent="0.2">
      <c r="A159" s="24"/>
      <c r="B159" s="289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</row>
    <row r="160" spans="1:22" x14ac:dyDescent="0.2">
      <c r="A160" s="24"/>
      <c r="B160" s="289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</row>
    <row r="161" spans="1:22" x14ac:dyDescent="0.2">
      <c r="A161" s="259" t="s">
        <v>98</v>
      </c>
      <c r="B161" s="260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</row>
    <row r="162" spans="1:22" x14ac:dyDescent="0.2">
      <c r="A162" s="262" t="s">
        <v>61</v>
      </c>
      <c r="B162" s="260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</row>
    <row r="163" spans="1:22" x14ac:dyDescent="0.2">
      <c r="A163" s="261"/>
      <c r="B163" s="260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</row>
    <row r="164" spans="1:22" x14ac:dyDescent="0.2">
      <c r="A164" s="261"/>
      <c r="B164" s="260"/>
      <c r="C164" s="265">
        <v>2000</v>
      </c>
      <c r="D164" s="266">
        <v>2001</v>
      </c>
      <c r="E164" s="266">
        <v>2002</v>
      </c>
      <c r="F164" s="266">
        <v>2003</v>
      </c>
      <c r="G164" s="266">
        <v>2004</v>
      </c>
      <c r="H164" s="266">
        <v>2005</v>
      </c>
      <c r="I164" s="266">
        <v>2006</v>
      </c>
      <c r="J164" s="266">
        <v>2007</v>
      </c>
      <c r="K164" s="266">
        <v>2008</v>
      </c>
      <c r="L164" s="266">
        <v>2009</v>
      </c>
      <c r="M164" s="266">
        <v>2010</v>
      </c>
      <c r="N164" s="266">
        <v>2011</v>
      </c>
      <c r="O164" s="266">
        <v>2012</v>
      </c>
      <c r="P164" s="266">
        <v>2013</v>
      </c>
      <c r="Q164" s="266">
        <v>2014</v>
      </c>
      <c r="R164" s="266">
        <v>2015</v>
      </c>
      <c r="S164" s="266">
        <v>2016</v>
      </c>
      <c r="T164" s="266">
        <v>2017</v>
      </c>
      <c r="U164" s="266">
        <v>2018</v>
      </c>
      <c r="V164" s="266">
        <v>2019</v>
      </c>
    </row>
    <row r="165" spans="1:22" x14ac:dyDescent="0.2">
      <c r="A165" s="263" t="s">
        <v>129</v>
      </c>
      <c r="B165" s="260"/>
      <c r="C165" s="267"/>
      <c r="D165" s="268"/>
      <c r="E165" s="268"/>
      <c r="F165" s="268"/>
      <c r="G165" s="268"/>
      <c r="H165" s="268"/>
      <c r="I165" s="268"/>
      <c r="J165" s="268"/>
      <c r="K165" s="268"/>
      <c r="L165" s="268"/>
      <c r="M165" s="268"/>
      <c r="N165" s="268"/>
      <c r="O165" s="268"/>
      <c r="P165" s="268"/>
      <c r="Q165" s="268"/>
      <c r="R165" s="268"/>
      <c r="S165" s="268"/>
      <c r="T165" s="268"/>
      <c r="U165" s="268"/>
      <c r="V165" s="268"/>
    </row>
    <row r="166" spans="1:22" x14ac:dyDescent="0.2">
      <c r="A166" s="261"/>
      <c r="B166" s="264" t="s">
        <v>97</v>
      </c>
      <c r="C166" s="269">
        <v>0</v>
      </c>
      <c r="D166" s="270">
        <v>1495054.5842883359</v>
      </c>
      <c r="E166" s="270">
        <v>1495054.5842883359</v>
      </c>
      <c r="F166" s="270">
        <v>1495054.5842883359</v>
      </c>
      <c r="G166" s="270">
        <v>1495054.5842883359</v>
      </c>
      <c r="H166" s="270">
        <v>1495054.5842883359</v>
      </c>
      <c r="I166" s="270">
        <v>1495054.5842883356</v>
      </c>
      <c r="J166" s="270">
        <v>1495054.5842883356</v>
      </c>
      <c r="K166" s="270">
        <v>1495054.5842883356</v>
      </c>
      <c r="L166" s="270">
        <v>1495054.5842883356</v>
      </c>
      <c r="M166" s="270">
        <v>1495054.5842883356</v>
      </c>
      <c r="N166" s="270">
        <v>1495054.5842883356</v>
      </c>
      <c r="O166" s="270">
        <v>1495054.5842883356</v>
      </c>
      <c r="P166" s="270">
        <v>1495054.5842883356</v>
      </c>
      <c r="Q166" s="270">
        <v>1495054.5842883356</v>
      </c>
      <c r="R166" s="270">
        <v>1495054.5842883356</v>
      </c>
      <c r="S166" s="270">
        <v>1495054.5842883356</v>
      </c>
      <c r="T166" s="270">
        <v>1495054.5842883356</v>
      </c>
      <c r="U166" s="270">
        <v>1495054.5842883356</v>
      </c>
      <c r="V166" s="270">
        <v>1495054.5842883356</v>
      </c>
    </row>
    <row r="167" spans="1:22" x14ac:dyDescent="0.2">
      <c r="A167" s="261"/>
      <c r="B167" s="264" t="s">
        <v>91</v>
      </c>
      <c r="C167" s="269">
        <v>0</v>
      </c>
      <c r="D167" s="271">
        <v>0.86196127040285031</v>
      </c>
      <c r="E167" s="271">
        <v>0.86196127040285031</v>
      </c>
      <c r="F167" s="271">
        <v>0.86196127040285031</v>
      </c>
      <c r="G167" s="271">
        <v>0.86196127040285031</v>
      </c>
      <c r="H167" s="271">
        <v>0.86196127040285031</v>
      </c>
      <c r="I167" s="271">
        <v>0.8619612704028502</v>
      </c>
      <c r="J167" s="271">
        <v>0.8619612704028502</v>
      </c>
      <c r="K167" s="271">
        <v>0.8619612704028502</v>
      </c>
      <c r="L167" s="271">
        <v>0.8619612704028502</v>
      </c>
      <c r="M167" s="271">
        <v>0.8619612704028502</v>
      </c>
      <c r="N167" s="271">
        <v>0.8619612704028502</v>
      </c>
      <c r="O167" s="271">
        <v>0.8619612704028502</v>
      </c>
      <c r="P167" s="271">
        <v>0.8619612704028502</v>
      </c>
      <c r="Q167" s="271">
        <v>0.8619612704028502</v>
      </c>
      <c r="R167" s="271">
        <v>0.8619612704028502</v>
      </c>
      <c r="S167" s="271">
        <v>0.8619612704028502</v>
      </c>
      <c r="T167" s="271">
        <v>0.8619612704028502</v>
      </c>
      <c r="U167" s="271">
        <v>0.8619612704028502</v>
      </c>
      <c r="V167" s="271">
        <v>0.8619612704028502</v>
      </c>
    </row>
    <row r="168" spans="1:22" x14ac:dyDescent="0.2">
      <c r="A168" s="263" t="s">
        <v>93</v>
      </c>
      <c r="B168" s="264"/>
      <c r="C168" s="267"/>
      <c r="D168" s="268"/>
      <c r="E168" s="268"/>
      <c r="F168" s="268"/>
      <c r="G168" s="268"/>
      <c r="H168" s="268"/>
      <c r="I168" s="268"/>
      <c r="J168" s="268"/>
      <c r="K168" s="268"/>
      <c r="L168" s="268"/>
      <c r="M168" s="268"/>
      <c r="N168" s="268"/>
      <c r="O168" s="268"/>
      <c r="P168" s="268"/>
      <c r="Q168" s="268"/>
      <c r="R168" s="268"/>
      <c r="S168" s="268"/>
      <c r="T168" s="268"/>
      <c r="U168" s="268"/>
      <c r="V168" s="268"/>
    </row>
    <row r="169" spans="1:22" x14ac:dyDescent="0.2">
      <c r="A169" s="261"/>
      <c r="B169" s="264" t="s">
        <v>27</v>
      </c>
      <c r="C169" s="272">
        <v>0</v>
      </c>
      <c r="D169" s="273">
        <v>39.483047960013884</v>
      </c>
      <c r="E169" s="273">
        <v>38.935467327251096</v>
      </c>
      <c r="F169" s="273">
        <v>39.684908261352305</v>
      </c>
      <c r="G169" s="273">
        <v>39.122421811677349</v>
      </c>
      <c r="H169" s="273">
        <v>39.417099156105998</v>
      </c>
      <c r="I169" s="273">
        <v>42.078614925257824</v>
      </c>
      <c r="J169" s="273">
        <v>45.119014026963711</v>
      </c>
      <c r="K169" s="273">
        <v>46.286592945186769</v>
      </c>
      <c r="L169" s="273">
        <v>47.255408417907297</v>
      </c>
      <c r="M169" s="273">
        <v>47.42410761486903</v>
      </c>
      <c r="N169" s="273">
        <v>48.448702322124575</v>
      </c>
      <c r="O169" s="273">
        <v>48.992770934223152</v>
      </c>
      <c r="P169" s="273">
        <v>49.569320079245443</v>
      </c>
      <c r="Q169" s="273">
        <v>51.314220662476103</v>
      </c>
      <c r="R169" s="273">
        <v>54.954913135529168</v>
      </c>
      <c r="S169" s="273">
        <v>54.638332925743093</v>
      </c>
      <c r="T169" s="273">
        <v>55.334688595910023</v>
      </c>
      <c r="U169" s="273">
        <v>57.993820916206055</v>
      </c>
      <c r="V169" s="273">
        <v>59.755300551829329</v>
      </c>
    </row>
    <row r="170" spans="1:22" x14ac:dyDescent="0.2">
      <c r="A170" s="261"/>
      <c r="B170" s="264" t="s">
        <v>20</v>
      </c>
      <c r="C170" s="272">
        <v>0</v>
      </c>
      <c r="D170" s="273">
        <v>11.8088517</v>
      </c>
      <c r="E170" s="273">
        <v>11.9780187</v>
      </c>
      <c r="F170" s="273">
        <v>12.1849995</v>
      </c>
      <c r="G170" s="273">
        <v>12.536269799999998</v>
      </c>
      <c r="H170" s="273">
        <v>12.975108899999999</v>
      </c>
      <c r="I170" s="273">
        <v>13.4786295</v>
      </c>
      <c r="J170" s="273">
        <v>13.789100700000001</v>
      </c>
      <c r="K170" s="273">
        <v>14.084645399999998</v>
      </c>
      <c r="L170" s="273">
        <v>14.3145135</v>
      </c>
      <c r="M170" s="273">
        <v>14.4239745</v>
      </c>
      <c r="N170" s="273">
        <v>14.617023899999998</v>
      </c>
      <c r="O170" s="273">
        <v>14.933465700000001</v>
      </c>
      <c r="P170" s="273">
        <v>15.271799700000001</v>
      </c>
      <c r="Q170" s="273">
        <v>15.596202299999996</v>
      </c>
      <c r="R170" s="273">
        <v>15.814129200000005</v>
      </c>
      <c r="S170" s="273">
        <v>16.136541599999997</v>
      </c>
      <c r="T170" s="273">
        <v>16.504728600000004</v>
      </c>
      <c r="U170" s="273">
        <v>16.909734300000004</v>
      </c>
      <c r="V170" s="273">
        <v>17.3276763</v>
      </c>
    </row>
    <row r="171" spans="1:22" x14ac:dyDescent="0.2">
      <c r="A171" s="261"/>
      <c r="B171" s="264" t="s">
        <v>92</v>
      </c>
      <c r="C171" s="272">
        <v>0</v>
      </c>
      <c r="D171" s="273">
        <v>0.80622549581842695</v>
      </c>
      <c r="E171" s="273">
        <v>0.82249863798552103</v>
      </c>
      <c r="F171" s="273">
        <v>1.3715002430421717</v>
      </c>
      <c r="G171" s="273">
        <v>1.4017469408001693</v>
      </c>
      <c r="H171" s="273">
        <v>1.4326682448897845</v>
      </c>
      <c r="I171" s="273">
        <v>1.4642793742108069</v>
      </c>
      <c r="J171" s="273">
        <v>1.4965958949068527</v>
      </c>
      <c r="K171" s="273">
        <v>1.5296337283757635</v>
      </c>
      <c r="L171" s="273">
        <v>1.563409159466723</v>
      </c>
      <c r="M171" s="273">
        <v>1.5979388448684935</v>
      </c>
      <c r="N171" s="273">
        <v>1.6332398216932675</v>
      </c>
      <c r="O171" s="273">
        <v>1.6693295162607447</v>
      </c>
      <c r="P171" s="273">
        <v>1.7062257530871383</v>
      </c>
      <c r="Q171" s="273">
        <v>1.7439467640839597</v>
      </c>
      <c r="R171" s="273">
        <v>1.7825111979714954</v>
      </c>
      <c r="S171" s="273">
        <v>1.8219381299120652</v>
      </c>
      <c r="T171" s="273">
        <v>1.8622470713682144</v>
      </c>
      <c r="U171" s="273">
        <v>1.9034579801911675</v>
      </c>
      <c r="V171" s="273">
        <v>1.9455912709449508</v>
      </c>
    </row>
    <row r="172" spans="1:22" x14ac:dyDescent="0.2">
      <c r="A172" s="261"/>
      <c r="B172" s="264" t="s">
        <v>22</v>
      </c>
      <c r="C172" s="272">
        <v>0</v>
      </c>
      <c r="D172" s="273">
        <v>0</v>
      </c>
      <c r="E172" s="273">
        <v>0</v>
      </c>
      <c r="F172" s="273">
        <v>0</v>
      </c>
      <c r="G172" s="273">
        <v>0</v>
      </c>
      <c r="H172" s="273">
        <v>0</v>
      </c>
      <c r="I172" s="273">
        <v>0.83913903167650605</v>
      </c>
      <c r="J172" s="273">
        <v>0.93011858286821514</v>
      </c>
      <c r="K172" s="273">
        <v>1.1123395117009593</v>
      </c>
      <c r="L172" s="273">
        <v>1.1272801988508381</v>
      </c>
      <c r="M172" s="273">
        <v>1.2537089010011355</v>
      </c>
      <c r="N172" s="273">
        <v>1.3810551646349791</v>
      </c>
      <c r="O172" s="273">
        <v>1.5301677171296628</v>
      </c>
      <c r="P172" s="273">
        <v>1.7157205364057833</v>
      </c>
      <c r="Q172" s="273">
        <v>1.9098646900935099</v>
      </c>
      <c r="R172" s="273">
        <v>2.1155466467104258</v>
      </c>
      <c r="S172" s="273">
        <v>2.3228676164721871</v>
      </c>
      <c r="T172" s="273">
        <v>2.2821041879286668</v>
      </c>
      <c r="U172" s="273">
        <v>1.9524635661204992</v>
      </c>
      <c r="V172" s="273">
        <v>2.0243444952998382</v>
      </c>
    </row>
    <row r="173" spans="1:22" x14ac:dyDescent="0.2">
      <c r="A173" s="261"/>
      <c r="B173" s="264" t="s">
        <v>23</v>
      </c>
      <c r="C173" s="272">
        <v>0</v>
      </c>
      <c r="D173" s="273">
        <v>0</v>
      </c>
      <c r="E173" s="273">
        <v>0</v>
      </c>
      <c r="F173" s="273">
        <v>0.6388746923898041</v>
      </c>
      <c r="G173" s="273">
        <v>0.54436128457760224</v>
      </c>
      <c r="H173" s="273">
        <v>0.56512138419497571</v>
      </c>
      <c r="I173" s="273">
        <v>0.586928314930799</v>
      </c>
      <c r="J173" s="273">
        <v>0.73731015152462798</v>
      </c>
      <c r="K173" s="273">
        <v>0.6440321542420262</v>
      </c>
      <c r="L173" s="273">
        <v>0.68166253062894133</v>
      </c>
      <c r="M173" s="273">
        <v>0.64862800485942607</v>
      </c>
      <c r="N173" s="273">
        <v>0.6672052455035461</v>
      </c>
      <c r="O173" s="273">
        <v>0.6845064592977701</v>
      </c>
      <c r="P173" s="273">
        <v>0.61140788239444677</v>
      </c>
      <c r="Q173" s="273">
        <v>0.63326857467984499</v>
      </c>
      <c r="R173" s="273">
        <v>0.64635531117861911</v>
      </c>
      <c r="S173" s="273">
        <v>0.68638392867979003</v>
      </c>
      <c r="T173" s="273">
        <v>0.64527208237663902</v>
      </c>
      <c r="U173" s="273">
        <v>0.71068785687880076</v>
      </c>
      <c r="V173" s="273">
        <v>0.386934397674079</v>
      </c>
    </row>
    <row r="174" spans="1:22" x14ac:dyDescent="0.2">
      <c r="A174" s="263" t="s">
        <v>94</v>
      </c>
      <c r="B174" s="264"/>
      <c r="C174" s="267"/>
      <c r="D174" s="268"/>
      <c r="E174" s="268"/>
      <c r="F174" s="268"/>
      <c r="G174" s="268"/>
      <c r="H174" s="268"/>
      <c r="I174" s="268"/>
      <c r="J174" s="268"/>
      <c r="K174" s="268"/>
      <c r="L174" s="268"/>
      <c r="M174" s="268"/>
      <c r="N174" s="268"/>
      <c r="O174" s="268"/>
      <c r="P174" s="268"/>
      <c r="Q174" s="268"/>
      <c r="R174" s="268"/>
      <c r="S174" s="268"/>
      <c r="T174" s="268"/>
      <c r="U174" s="268"/>
      <c r="V174" s="268"/>
    </row>
    <row r="175" spans="1:22" x14ac:dyDescent="0.2">
      <c r="A175" s="261"/>
      <c r="B175" s="264" t="s">
        <v>34</v>
      </c>
      <c r="C175" s="272">
        <v>0</v>
      </c>
      <c r="D175" s="273">
        <v>11.731257271103535</v>
      </c>
      <c r="E175" s="273">
        <v>11.965882416525606</v>
      </c>
      <c r="F175" s="273">
        <v>12.384679862835917</v>
      </c>
      <c r="G175" s="273">
        <v>12.633270859082533</v>
      </c>
      <c r="H175" s="273">
        <v>12.88685611022883</v>
      </c>
      <c r="I175" s="273">
        <v>13.145536062247169</v>
      </c>
      <c r="J175" s="273">
        <v>13.409413184051221</v>
      </c>
      <c r="K175" s="273">
        <v>13.67859200830533</v>
      </c>
      <c r="L175" s="273">
        <v>13.953179173058846</v>
      </c>
      <c r="M175" s="273">
        <v>14.23328346422212</v>
      </c>
      <c r="N175" s="273">
        <v>14.519015858901213</v>
      </c>
      <c r="O175" s="273">
        <v>14.810489569608755</v>
      </c>
      <c r="P175" s="273">
        <v>15.107820089368683</v>
      </c>
      <c r="Q175" s="273">
        <v>15.411125237733003</v>
      </c>
      <c r="R175" s="273">
        <v>15.720525207729033</v>
      </c>
      <c r="S175" s="273">
        <v>16.03614261375602</v>
      </c>
      <c r="T175" s="273">
        <v>16.358102540450354</v>
      </c>
      <c r="U175" s="273">
        <v>16.686532592539056</v>
      </c>
      <c r="V175" s="273">
        <v>17.021562945701529</v>
      </c>
    </row>
    <row r="176" spans="1:22" x14ac:dyDescent="0.2">
      <c r="A176" s="261"/>
      <c r="B176" s="264" t="s">
        <v>95</v>
      </c>
      <c r="C176" s="272">
        <v>0</v>
      </c>
      <c r="D176" s="273">
        <v>3.9603392359237493</v>
      </c>
      <c r="E176" s="273">
        <v>3.9991203424776001</v>
      </c>
      <c r="F176" s="273">
        <v>4.0387507552649797</v>
      </c>
      <c r="G176" s="273">
        <v>4.0792768153813546</v>
      </c>
      <c r="H176" s="273">
        <v>4.1207673957284987</v>
      </c>
      <c r="I176" s="273">
        <v>4.165043402452385</v>
      </c>
      <c r="J176" s="273">
        <v>4.2086286117920668</v>
      </c>
      <c r="K176" s="273">
        <v>4.2551506662850489</v>
      </c>
      <c r="L176" s="273">
        <v>4.3009429118393738</v>
      </c>
      <c r="M176" s="273">
        <v>4.347902859655334</v>
      </c>
      <c r="N176" s="273">
        <v>4.3959992382084394</v>
      </c>
      <c r="O176" s="273">
        <v>4.4453076455010843</v>
      </c>
      <c r="P176" s="273">
        <v>4.4958684863389609</v>
      </c>
      <c r="Q176" s="273">
        <v>4.5476933481977859</v>
      </c>
      <c r="R176" s="273">
        <v>4.6008190140892671</v>
      </c>
      <c r="S176" s="273">
        <v>4.655272821628035</v>
      </c>
      <c r="T176" s="273">
        <v>4.7110770835937643</v>
      </c>
      <c r="U176" s="273">
        <v>4.7682820325348336</v>
      </c>
      <c r="V176" s="273">
        <v>4.8269228256943233</v>
      </c>
    </row>
    <row r="177" spans="1:22" x14ac:dyDescent="0.2">
      <c r="A177" s="261"/>
      <c r="B177" s="264" t="s">
        <v>36</v>
      </c>
      <c r="C177" s="272">
        <v>0</v>
      </c>
      <c r="D177" s="273">
        <v>2.3636323282321161</v>
      </c>
      <c r="E177" s="273">
        <v>2.4135049703578284</v>
      </c>
      <c r="F177" s="273">
        <v>2.4663607292086667</v>
      </c>
      <c r="G177" s="273">
        <v>2.5221004816887627</v>
      </c>
      <c r="H177" s="273">
        <v>2.5821264731529596</v>
      </c>
      <c r="I177" s="273">
        <v>2.6468348221559901</v>
      </c>
      <c r="J177" s="273">
        <v>2.7124836994875556</v>
      </c>
      <c r="K177" s="273">
        <v>2.7811422674704289</v>
      </c>
      <c r="L177" s="273">
        <v>2.8498364814769546</v>
      </c>
      <c r="M177" s="273">
        <v>2.9225073117546061</v>
      </c>
      <c r="N177" s="273">
        <v>2.9932319886990806</v>
      </c>
      <c r="O177" s="273">
        <v>3.0686614348142882</v>
      </c>
      <c r="P177" s="273">
        <v>3.1466054352585653</v>
      </c>
      <c r="Q177" s="273">
        <v>3.2252705711400251</v>
      </c>
      <c r="R177" s="273">
        <v>3.3062248624756414</v>
      </c>
      <c r="S177" s="273">
        <v>3.3888804840375406</v>
      </c>
      <c r="T177" s="273">
        <v>3.4729247200416666</v>
      </c>
      <c r="U177" s="273">
        <v>3.5600951305147173</v>
      </c>
      <c r="V177" s="273">
        <v>3.6494535182906365</v>
      </c>
    </row>
    <row r="178" spans="1:22" x14ac:dyDescent="0.2">
      <c r="A178" s="261"/>
      <c r="B178" s="264" t="s">
        <v>39</v>
      </c>
      <c r="C178" s="272">
        <v>0</v>
      </c>
      <c r="D178" s="273">
        <v>11.918521111111112</v>
      </c>
      <c r="E178" s="273">
        <v>0.26240000000000097</v>
      </c>
      <c r="F178" s="273">
        <v>2.2928666666666664</v>
      </c>
      <c r="G178" s="273">
        <v>0.27675</v>
      </c>
      <c r="H178" s="273">
        <v>3.000107555555557</v>
      </c>
      <c r="I178" s="273">
        <v>3.0901107822222236</v>
      </c>
      <c r="J178" s="273">
        <v>3.1828141056888906</v>
      </c>
      <c r="K178" s="273">
        <v>3.2782985288595574</v>
      </c>
      <c r="L178" s="273">
        <v>3.376647484725344</v>
      </c>
      <c r="M178" s="273">
        <v>3.4779469092671045</v>
      </c>
      <c r="N178" s="273">
        <v>3.5822853165451178</v>
      </c>
      <c r="O178" s="273">
        <v>3.689753876041471</v>
      </c>
      <c r="P178" s="273">
        <v>3.8004464923227155</v>
      </c>
      <c r="Q178" s="273">
        <v>3.9144598870923968</v>
      </c>
      <c r="R178" s="273">
        <v>4.0318936837051691</v>
      </c>
      <c r="S178" s="273">
        <v>4.1528504942163247</v>
      </c>
      <c r="T178" s="273">
        <v>4.2774360090428143</v>
      </c>
      <c r="U178" s="273">
        <v>4.4057590893140981</v>
      </c>
      <c r="V178" s="273">
        <v>4.5379318619935214</v>
      </c>
    </row>
    <row r="179" spans="1:22" x14ac:dyDescent="0.2">
      <c r="A179" s="261"/>
      <c r="B179" s="264" t="s">
        <v>96</v>
      </c>
      <c r="C179" s="274">
        <v>0</v>
      </c>
      <c r="D179" s="275">
        <v>36.763151515151513</v>
      </c>
      <c r="E179" s="275">
        <v>8.9200096969696965</v>
      </c>
      <c r="F179" s="275">
        <v>7.4550766666666659</v>
      </c>
      <c r="G179" s="275">
        <v>0</v>
      </c>
      <c r="H179" s="275">
        <v>0</v>
      </c>
      <c r="I179" s="275">
        <v>0</v>
      </c>
      <c r="J179" s="275">
        <v>0</v>
      </c>
      <c r="K179" s="275">
        <v>0</v>
      </c>
      <c r="L179" s="275">
        <v>0</v>
      </c>
      <c r="M179" s="275">
        <v>0</v>
      </c>
      <c r="N179" s="275">
        <v>0</v>
      </c>
      <c r="O179" s="275">
        <v>0</v>
      </c>
      <c r="P179" s="275">
        <v>0</v>
      </c>
      <c r="Q179" s="275">
        <v>0</v>
      </c>
      <c r="R179" s="275">
        <v>0</v>
      </c>
      <c r="S179" s="275">
        <v>0</v>
      </c>
      <c r="T179" s="275">
        <v>0</v>
      </c>
      <c r="U179" s="275">
        <v>0</v>
      </c>
      <c r="V179" s="275">
        <v>0</v>
      </c>
    </row>
    <row r="180" spans="1:22" x14ac:dyDescent="0.2">
      <c r="A180" s="261"/>
      <c r="B180" s="264"/>
      <c r="C180" s="261"/>
      <c r="D180" s="261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</row>
    <row r="181" spans="1:22" x14ac:dyDescent="0.2">
      <c r="A181" s="261"/>
      <c r="B181" s="264"/>
      <c r="C181" s="261"/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</row>
    <row r="182" spans="1:22" x14ac:dyDescent="0.2">
      <c r="A182" s="24"/>
      <c r="B182" s="289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</row>
    <row r="183" spans="1:22" x14ac:dyDescent="0.2">
      <c r="A183" s="24"/>
      <c r="B183" s="289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</row>
    <row r="184" spans="1:22" x14ac:dyDescent="0.2">
      <c r="A184" s="259" t="s">
        <v>98</v>
      </c>
      <c r="B184" s="260"/>
      <c r="C184" s="261"/>
      <c r="D184" s="261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</row>
    <row r="185" spans="1:22" x14ac:dyDescent="0.2">
      <c r="A185" s="262" t="s">
        <v>62</v>
      </c>
      <c r="B185" s="260"/>
      <c r="C185" s="261"/>
      <c r="D185" s="261"/>
      <c r="E185" s="261"/>
      <c r="F185" s="261"/>
      <c r="G185" s="261"/>
      <c r="H185" s="261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</row>
    <row r="186" spans="1:22" x14ac:dyDescent="0.2">
      <c r="A186" s="261"/>
      <c r="B186" s="260"/>
      <c r="C186" s="261"/>
      <c r="D186" s="261"/>
      <c r="E186" s="261"/>
      <c r="F186" s="261"/>
      <c r="G186" s="261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</row>
    <row r="187" spans="1:22" x14ac:dyDescent="0.2">
      <c r="A187" s="261"/>
      <c r="B187" s="260"/>
      <c r="C187" s="265">
        <v>2000</v>
      </c>
      <c r="D187" s="266">
        <v>2001</v>
      </c>
      <c r="E187" s="266">
        <v>2002</v>
      </c>
      <c r="F187" s="266">
        <v>2003</v>
      </c>
      <c r="G187" s="266">
        <v>2004</v>
      </c>
      <c r="H187" s="266">
        <v>2005</v>
      </c>
      <c r="I187" s="266">
        <v>2006</v>
      </c>
      <c r="J187" s="266">
        <v>2007</v>
      </c>
      <c r="K187" s="266">
        <v>2008</v>
      </c>
      <c r="L187" s="266">
        <v>2009</v>
      </c>
      <c r="M187" s="266">
        <v>2010</v>
      </c>
      <c r="N187" s="266">
        <v>2011</v>
      </c>
      <c r="O187" s="266">
        <v>2012</v>
      </c>
      <c r="P187" s="266">
        <v>2013</v>
      </c>
      <c r="Q187" s="266">
        <v>2014</v>
      </c>
      <c r="R187" s="266">
        <v>2015</v>
      </c>
      <c r="S187" s="266">
        <v>2016</v>
      </c>
      <c r="T187" s="266">
        <v>2017</v>
      </c>
      <c r="U187" s="266">
        <v>2018</v>
      </c>
      <c r="V187" s="266">
        <v>2019</v>
      </c>
    </row>
    <row r="188" spans="1:22" x14ac:dyDescent="0.2">
      <c r="A188" s="263" t="s">
        <v>129</v>
      </c>
      <c r="B188" s="260"/>
      <c r="C188" s="267"/>
      <c r="D188" s="268"/>
      <c r="E188" s="268"/>
      <c r="F188" s="268"/>
      <c r="G188" s="268"/>
      <c r="H188" s="268"/>
      <c r="I188" s="268"/>
      <c r="J188" s="268"/>
      <c r="K188" s="268"/>
      <c r="L188" s="268"/>
      <c r="M188" s="268"/>
      <c r="N188" s="268"/>
      <c r="O188" s="268"/>
      <c r="P188" s="268"/>
      <c r="Q188" s="268"/>
      <c r="R188" s="268"/>
      <c r="S188" s="268"/>
      <c r="T188" s="268"/>
      <c r="U188" s="268"/>
      <c r="V188" s="268"/>
    </row>
    <row r="189" spans="1:22" x14ac:dyDescent="0.2">
      <c r="A189" s="261"/>
      <c r="B189" s="264" t="s">
        <v>97</v>
      </c>
      <c r="C189" s="269">
        <v>0</v>
      </c>
      <c r="D189" s="270">
        <v>556292.92136622057</v>
      </c>
      <c r="E189" s="270">
        <v>556292.92136622057</v>
      </c>
      <c r="F189" s="270">
        <v>508988.34815268492</v>
      </c>
      <c r="G189" s="270">
        <v>508281.62703903153</v>
      </c>
      <c r="H189" s="270">
        <v>506826.72491630254</v>
      </c>
      <c r="I189" s="270">
        <v>355113.51085232571</v>
      </c>
      <c r="J189" s="270">
        <v>261866.10455990423</v>
      </c>
      <c r="K189" s="270">
        <v>263337.10498530313</v>
      </c>
      <c r="L189" s="270">
        <v>261565.28847778597</v>
      </c>
      <c r="M189" s="270">
        <v>274836.58653619501</v>
      </c>
      <c r="N189" s="270">
        <v>311654.75863117765</v>
      </c>
      <c r="O189" s="270">
        <v>275438.2187004314</v>
      </c>
      <c r="P189" s="270">
        <v>269351.56717429333</v>
      </c>
      <c r="Q189" s="270">
        <v>294823.28756513831</v>
      </c>
      <c r="R189" s="270">
        <v>407487.75028841925</v>
      </c>
      <c r="S189" s="270">
        <v>288808.82537614804</v>
      </c>
      <c r="T189" s="270">
        <v>290638.03909868025</v>
      </c>
      <c r="U189" s="270">
        <v>336269.43791888736</v>
      </c>
      <c r="V189" s="270">
        <v>495972.65482218756</v>
      </c>
    </row>
    <row r="190" spans="1:22" x14ac:dyDescent="0.2">
      <c r="A190" s="261"/>
      <c r="B190" s="264" t="s">
        <v>91</v>
      </c>
      <c r="C190" s="269">
        <v>0</v>
      </c>
      <c r="D190" s="271">
        <v>0.79379697683536043</v>
      </c>
      <c r="E190" s="271">
        <v>0.79379697683536043</v>
      </c>
      <c r="F190" s="271">
        <v>0.72629615889367138</v>
      </c>
      <c r="G190" s="271">
        <v>0.72528770981596968</v>
      </c>
      <c r="H190" s="271">
        <v>0.72321165085088834</v>
      </c>
      <c r="I190" s="271">
        <v>0.50672590018882091</v>
      </c>
      <c r="J190" s="271">
        <v>0.37366738664369897</v>
      </c>
      <c r="K190" s="271">
        <v>0.37576641693108326</v>
      </c>
      <c r="L190" s="271">
        <v>0.3732381399511786</v>
      </c>
      <c r="M190" s="271">
        <v>0.39217549448657968</v>
      </c>
      <c r="N190" s="271">
        <v>0.44471284051252519</v>
      </c>
      <c r="O190" s="271">
        <v>0.39303398787162019</v>
      </c>
      <c r="P190" s="271">
        <v>0.38434869745190259</v>
      </c>
      <c r="Q190" s="271">
        <v>0.42069533042970647</v>
      </c>
      <c r="R190" s="271">
        <v>0.58146083089100919</v>
      </c>
      <c r="S190" s="271">
        <v>0.41211304990888709</v>
      </c>
      <c r="T190" s="271">
        <v>0.41472322930747757</v>
      </c>
      <c r="U190" s="271">
        <v>0.47983652671074106</v>
      </c>
      <c r="V190" s="271">
        <v>0.70772353713211689</v>
      </c>
    </row>
    <row r="191" spans="1:22" x14ac:dyDescent="0.2">
      <c r="A191" s="263" t="s">
        <v>93</v>
      </c>
      <c r="B191" s="264"/>
      <c r="C191" s="267"/>
      <c r="D191" s="268"/>
      <c r="E191" s="268"/>
      <c r="F191" s="268"/>
      <c r="G191" s="268"/>
      <c r="H191" s="268"/>
      <c r="I191" s="268"/>
      <c r="J191" s="268"/>
      <c r="K191" s="268"/>
      <c r="L191" s="268"/>
      <c r="M191" s="268"/>
      <c r="N191" s="268"/>
      <c r="O191" s="268"/>
      <c r="P191" s="268"/>
      <c r="Q191" s="268"/>
      <c r="R191" s="268"/>
      <c r="S191" s="268"/>
      <c r="T191" s="268"/>
      <c r="U191" s="268"/>
      <c r="V191" s="268"/>
    </row>
    <row r="192" spans="1:22" x14ac:dyDescent="0.2">
      <c r="A192" s="261"/>
      <c r="B192" s="264" t="s">
        <v>27</v>
      </c>
      <c r="C192" s="272">
        <v>0</v>
      </c>
      <c r="D192" s="273">
        <v>39.483047960013899</v>
      </c>
      <c r="E192" s="273">
        <v>38.935467327251104</v>
      </c>
      <c r="F192" s="273">
        <v>40.452417128190028</v>
      </c>
      <c r="G192" s="273">
        <v>40.007988552670511</v>
      </c>
      <c r="H192" s="273">
        <v>40.266522706733461</v>
      </c>
      <c r="I192" s="273">
        <v>47.993857171626338</v>
      </c>
      <c r="J192" s="273">
        <v>61.100185015305073</v>
      </c>
      <c r="K192" s="273">
        <v>62.985049875459111</v>
      </c>
      <c r="L192" s="273">
        <v>63.843291466265875</v>
      </c>
      <c r="M192" s="273">
        <v>63.516715027299398</v>
      </c>
      <c r="N192" s="273">
        <v>60.403209704019766</v>
      </c>
      <c r="O192" s="273">
        <v>63.981182355811271</v>
      </c>
      <c r="P192" s="273">
        <v>65.784628626053504</v>
      </c>
      <c r="Q192" s="273">
        <v>66.335155263079827</v>
      </c>
      <c r="R192" s="273">
        <v>62.047471793471807</v>
      </c>
      <c r="S192" s="273">
        <v>69.243376621491535</v>
      </c>
      <c r="T192" s="273">
        <v>70.995874272829084</v>
      </c>
      <c r="U192" s="273">
        <v>71.28369030749343</v>
      </c>
      <c r="V192" s="273">
        <v>62.699087601134885</v>
      </c>
    </row>
    <row r="193" spans="1:22" x14ac:dyDescent="0.2">
      <c r="A193" s="261"/>
      <c r="B193" s="264" t="s">
        <v>20</v>
      </c>
      <c r="C193" s="272">
        <v>0</v>
      </c>
      <c r="D193" s="273">
        <v>16.780811399999997</v>
      </c>
      <c r="E193" s="273">
        <v>17.024663100000001</v>
      </c>
      <c r="F193" s="273">
        <v>17.320282200000001</v>
      </c>
      <c r="G193" s="273">
        <v>17.814797100000003</v>
      </c>
      <c r="H193" s="273">
        <v>18.4305567</v>
      </c>
      <c r="I193" s="273">
        <v>19.1362281</v>
      </c>
      <c r="J193" s="273">
        <v>19.577613299999996</v>
      </c>
      <c r="K193" s="273">
        <v>19.998563999999998</v>
      </c>
      <c r="L193" s="273">
        <v>20.329602899999998</v>
      </c>
      <c r="M193" s="273">
        <v>20.497165799999994</v>
      </c>
      <c r="N193" s="273">
        <v>20.777799599999998</v>
      </c>
      <c r="O193" s="273">
        <v>21.230083199999999</v>
      </c>
      <c r="P193" s="273">
        <v>21.713699700000006</v>
      </c>
      <c r="Q193" s="273">
        <v>22.176881699999999</v>
      </c>
      <c r="R193" s="273">
        <v>22.492935299999999</v>
      </c>
      <c r="S193" s="273">
        <v>22.954755000000002</v>
      </c>
      <c r="T193" s="273">
        <v>23.479240500000003</v>
      </c>
      <c r="U193" s="273">
        <v>24.055493400000003</v>
      </c>
      <c r="V193" s="273">
        <v>24.650818499999996</v>
      </c>
    </row>
    <row r="194" spans="1:22" x14ac:dyDescent="0.2">
      <c r="A194" s="261"/>
      <c r="B194" s="264" t="s">
        <v>92</v>
      </c>
      <c r="C194" s="272">
        <v>0</v>
      </c>
      <c r="D194" s="273">
        <v>1.297374361087124</v>
      </c>
      <c r="E194" s="273">
        <v>1.3235610266433673</v>
      </c>
      <c r="F194" s="273">
        <v>1.3502015776244498</v>
      </c>
      <c r="G194" s="273">
        <v>1.3774432180205725</v>
      </c>
      <c r="H194" s="273">
        <v>1.4052527428538522</v>
      </c>
      <c r="I194" s="273">
        <v>1.4336394695459762</v>
      </c>
      <c r="J194" s="273">
        <v>1.4633223262980175</v>
      </c>
      <c r="K194" s="273">
        <v>1.4916120098608865</v>
      </c>
      <c r="L194" s="273">
        <v>1.5225203141686616</v>
      </c>
      <c r="M194" s="273">
        <v>1.5528564161439065</v>
      </c>
      <c r="N194" s="273">
        <v>1.5851423575562509</v>
      </c>
      <c r="O194" s="273">
        <v>1.6162594939683901</v>
      </c>
      <c r="P194" s="273">
        <v>1.6481110533266012</v>
      </c>
      <c r="Q194" s="273">
        <v>1.6828859119283475</v>
      </c>
      <c r="R194" s="273">
        <v>1.7160097794031866</v>
      </c>
      <c r="S194" s="273">
        <v>1.751103796826976</v>
      </c>
      <c r="T194" s="273">
        <v>1.7860534727265363</v>
      </c>
      <c r="U194" s="273">
        <v>1.8219543041778041</v>
      </c>
      <c r="V194" s="273">
        <v>1.8589511470943481</v>
      </c>
    </row>
    <row r="195" spans="1:22" x14ac:dyDescent="0.2">
      <c r="A195" s="261"/>
      <c r="B195" s="264" t="s">
        <v>22</v>
      </c>
      <c r="C195" s="272">
        <v>0</v>
      </c>
      <c r="D195" s="273">
        <v>0</v>
      </c>
      <c r="E195" s="273">
        <v>0</v>
      </c>
      <c r="F195" s="273">
        <v>0</v>
      </c>
      <c r="G195" s="273">
        <v>0</v>
      </c>
      <c r="H195" s="273">
        <v>0</v>
      </c>
      <c r="I195" s="273">
        <v>2.2865039281961215</v>
      </c>
      <c r="J195" s="273">
        <v>2.4334210267390741</v>
      </c>
      <c r="K195" s="273">
        <v>2.7998129305336801</v>
      </c>
      <c r="L195" s="273">
        <v>2.9487086902890609</v>
      </c>
      <c r="M195" s="273">
        <v>3.3044778115679603</v>
      </c>
      <c r="N195" s="273">
        <v>3.7044094406797741</v>
      </c>
      <c r="O195" s="273">
        <v>4.0344741010683496</v>
      </c>
      <c r="P195" s="273">
        <v>4.5084657729642155</v>
      </c>
      <c r="Q195" s="273">
        <v>5.0849562173523291</v>
      </c>
      <c r="R195" s="273">
        <v>5.8473935447093091</v>
      </c>
      <c r="S195" s="273">
        <v>6.1667981978434918</v>
      </c>
      <c r="T195" s="273">
        <v>6.0639633793367924</v>
      </c>
      <c r="U195" s="273">
        <v>5.2867536455223778</v>
      </c>
      <c r="V195" s="273">
        <v>5.6912749757487804</v>
      </c>
    </row>
    <row r="196" spans="1:22" x14ac:dyDescent="0.2">
      <c r="A196" s="261"/>
      <c r="B196" s="264" t="s">
        <v>23</v>
      </c>
      <c r="C196" s="272">
        <v>0</v>
      </c>
      <c r="D196" s="273">
        <v>0</v>
      </c>
      <c r="E196" s="273">
        <v>0</v>
      </c>
      <c r="F196" s="273">
        <v>10.033025421813274</v>
      </c>
      <c r="G196" s="273">
        <v>8.5296082632967405</v>
      </c>
      <c r="H196" s="273">
        <v>8.8137794181584432</v>
      </c>
      <c r="I196" s="273">
        <v>4.6002857478548389</v>
      </c>
      <c r="J196" s="273">
        <v>13.165873031183239</v>
      </c>
      <c r="K196" s="273">
        <v>11.480732428418895</v>
      </c>
      <c r="L196" s="273">
        <v>12.17219417068601</v>
      </c>
      <c r="M196" s="273">
        <v>11.582308935785294</v>
      </c>
      <c r="N196" s="273">
        <v>11.914035809590652</v>
      </c>
      <c r="O196" s="273">
        <v>12.222977146732273</v>
      </c>
      <c r="P196" s="273">
        <v>10.917683058105871</v>
      </c>
      <c r="Q196" s="273">
        <v>11.308041306135095</v>
      </c>
      <c r="R196" s="273">
        <v>11.541726290370198</v>
      </c>
      <c r="S196" s="273">
        <v>12.256502418902329</v>
      </c>
      <c r="T196" s="273">
        <v>11.522383476710166</v>
      </c>
      <c r="U196" s="273">
        <v>12.690488621541071</v>
      </c>
      <c r="V196" s="273">
        <v>6.9093435654454378</v>
      </c>
    </row>
    <row r="197" spans="1:22" x14ac:dyDescent="0.2">
      <c r="A197" s="263" t="s">
        <v>94</v>
      </c>
      <c r="B197" s="264"/>
      <c r="C197" s="267"/>
      <c r="D197" s="268"/>
      <c r="E197" s="268"/>
      <c r="F197" s="268"/>
      <c r="G197" s="268"/>
      <c r="H197" s="268"/>
      <c r="I197" s="268"/>
      <c r="J197" s="268"/>
      <c r="K197" s="268"/>
      <c r="L197" s="268"/>
      <c r="M197" s="268"/>
      <c r="N197" s="268"/>
      <c r="O197" s="268"/>
      <c r="P197" s="268"/>
      <c r="Q197" s="268"/>
      <c r="R197" s="268"/>
      <c r="S197" s="268"/>
      <c r="T197" s="268"/>
      <c r="U197" s="268"/>
      <c r="V197" s="268"/>
    </row>
    <row r="198" spans="1:22" x14ac:dyDescent="0.2">
      <c r="A198" s="261"/>
      <c r="B198" s="264" t="s">
        <v>34</v>
      </c>
      <c r="C198" s="272">
        <v>0</v>
      </c>
      <c r="D198" s="273">
        <v>11.645333347370673</v>
      </c>
      <c r="E198" s="273">
        <v>11.878240014318088</v>
      </c>
      <c r="F198" s="273">
        <v>12.115804814604449</v>
      </c>
      <c r="G198" s="273">
        <v>12.358120910896538</v>
      </c>
      <c r="H198" s="273">
        <v>12.605283329114469</v>
      </c>
      <c r="I198" s="273">
        <v>12.857388995696759</v>
      </c>
      <c r="J198" s="273">
        <v>13.114536775610695</v>
      </c>
      <c r="K198" s="273">
        <v>13.37682751112291</v>
      </c>
      <c r="L198" s="273">
        <v>13.644364061345369</v>
      </c>
      <c r="M198" s="273">
        <v>13.917251342572278</v>
      </c>
      <c r="N198" s="273">
        <v>14.195596369423724</v>
      </c>
      <c r="O198" s="273">
        <v>14.479508296812197</v>
      </c>
      <c r="P198" s="273">
        <v>14.769098462748444</v>
      </c>
      <c r="Q198" s="273">
        <v>15.064480432003414</v>
      </c>
      <c r="R198" s="273">
        <v>15.365770040643483</v>
      </c>
      <c r="S198" s="273">
        <v>15.673085441456355</v>
      </c>
      <c r="T198" s="273">
        <v>15.986547150285482</v>
      </c>
      <c r="U198" s="273">
        <v>16.306278093291191</v>
      </c>
      <c r="V198" s="273">
        <v>16.632403655157013</v>
      </c>
    </row>
    <row r="199" spans="1:22" x14ac:dyDescent="0.2">
      <c r="A199" s="261"/>
      <c r="B199" s="264" t="s">
        <v>95</v>
      </c>
      <c r="C199" s="272">
        <v>0</v>
      </c>
      <c r="D199" s="273">
        <v>2.5114709491621623</v>
      </c>
      <c r="E199" s="273">
        <v>2.5705178999052047</v>
      </c>
      <c r="F199" s="273">
        <v>2.7259659757549697</v>
      </c>
      <c r="G199" s="273">
        <v>2.8717529665660937</v>
      </c>
      <c r="H199" s="273">
        <v>3.4670533797553174</v>
      </c>
      <c r="I199" s="273">
        <v>4.3173341713347702</v>
      </c>
      <c r="J199" s="273">
        <v>4.8169181908558922</v>
      </c>
      <c r="K199" s="273">
        <v>5.2663563134724045</v>
      </c>
      <c r="L199" s="273">
        <v>5.6596216586348023</v>
      </c>
      <c r="M199" s="273">
        <v>5.7965502593217444</v>
      </c>
      <c r="N199" s="273">
        <v>5.8697803640739261</v>
      </c>
      <c r="O199" s="273">
        <v>5.9490312818427684</v>
      </c>
      <c r="P199" s="273">
        <v>6.02601370302086</v>
      </c>
      <c r="Q199" s="273">
        <v>6.1049206847284037</v>
      </c>
      <c r="R199" s="273">
        <v>6.1858082316768064</v>
      </c>
      <c r="S199" s="273">
        <v>6.2687179672989197</v>
      </c>
      <c r="T199" s="273">
        <v>6.3536838643644611</v>
      </c>
      <c r="U199" s="273">
        <v>6.4407824054463472</v>
      </c>
      <c r="V199" s="273">
        <v>6.5300671199093889</v>
      </c>
    </row>
    <row r="200" spans="1:22" x14ac:dyDescent="0.2">
      <c r="A200" s="261"/>
      <c r="B200" s="264" t="s">
        <v>36</v>
      </c>
      <c r="C200" s="272">
        <v>0</v>
      </c>
      <c r="D200" s="273">
        <v>2.8048773099475999</v>
      </c>
      <c r="E200" s="273">
        <v>2.8640602211875126</v>
      </c>
      <c r="F200" s="273">
        <v>2.9267831400315254</v>
      </c>
      <c r="G200" s="273">
        <v>2.9929284389962127</v>
      </c>
      <c r="H200" s="273">
        <v>3.0641601358443373</v>
      </c>
      <c r="I200" s="273">
        <v>3.1409482968941123</v>
      </c>
      <c r="J200" s="273">
        <v>3.2188525649359128</v>
      </c>
      <c r="K200" s="273">
        <v>3.300328375352112</v>
      </c>
      <c r="L200" s="273">
        <v>3.3818464862233255</v>
      </c>
      <c r="M200" s="273">
        <v>3.4680835716219995</v>
      </c>
      <c r="N200" s="273">
        <v>3.5520111940552748</v>
      </c>
      <c r="O200" s="273">
        <v>3.6415218761454495</v>
      </c>
      <c r="P200" s="273">
        <v>3.7340165317995373</v>
      </c>
      <c r="Q200" s="273">
        <v>3.8273669450945249</v>
      </c>
      <c r="R200" s="273">
        <v>3.9234338554164001</v>
      </c>
      <c r="S200" s="273">
        <v>4.0215197018018127</v>
      </c>
      <c r="T200" s="273">
        <v>4.1212533904065003</v>
      </c>
      <c r="U200" s="273">
        <v>4.2246968505056994</v>
      </c>
      <c r="V200" s="273">
        <v>4.3307367414533999</v>
      </c>
    </row>
    <row r="201" spans="1:22" x14ac:dyDescent="0.2">
      <c r="A201" s="261"/>
      <c r="B201" s="264" t="s">
        <v>39</v>
      </c>
      <c r="C201" s="272">
        <v>0</v>
      </c>
      <c r="D201" s="273">
        <v>3.7004881249999997</v>
      </c>
      <c r="E201" s="273">
        <v>20.704397125</v>
      </c>
      <c r="F201" s="273">
        <v>9.6032461250000001</v>
      </c>
      <c r="G201" s="273">
        <v>3.3818375000000001</v>
      </c>
      <c r="H201" s="273">
        <v>8.1495509999999989</v>
      </c>
      <c r="I201" s="273">
        <v>8.3940375300000003</v>
      </c>
      <c r="J201" s="273">
        <v>8.6458586558999997</v>
      </c>
      <c r="K201" s="273">
        <v>8.9052344155770005</v>
      </c>
      <c r="L201" s="273">
        <v>9.1723914480443103</v>
      </c>
      <c r="M201" s="273">
        <v>9.4475631914856386</v>
      </c>
      <c r="N201" s="273">
        <v>9.7309900872302073</v>
      </c>
      <c r="O201" s="273">
        <v>10.022919789847114</v>
      </c>
      <c r="P201" s="273">
        <v>10.323607383542528</v>
      </c>
      <c r="Q201" s="273">
        <v>10.633315605048805</v>
      </c>
      <c r="R201" s="273">
        <v>10.952315073200269</v>
      </c>
      <c r="S201" s="273">
        <v>11.280884525396278</v>
      </c>
      <c r="T201" s="273">
        <v>11.619311061158166</v>
      </c>
      <c r="U201" s="273">
        <v>11.967890392992912</v>
      </c>
      <c r="V201" s="273">
        <v>12.326927104782699</v>
      </c>
    </row>
    <row r="202" spans="1:22" x14ac:dyDescent="0.2">
      <c r="A202" s="261"/>
      <c r="B202" s="264" t="s">
        <v>96</v>
      </c>
      <c r="C202" s="274">
        <v>0</v>
      </c>
      <c r="D202" s="275">
        <v>0</v>
      </c>
      <c r="E202" s="275">
        <v>0</v>
      </c>
      <c r="F202" s="275">
        <v>0</v>
      </c>
      <c r="G202" s="275">
        <v>0</v>
      </c>
      <c r="H202" s="275">
        <v>0</v>
      </c>
      <c r="I202" s="275">
        <v>0</v>
      </c>
      <c r="J202" s="275">
        <v>0</v>
      </c>
      <c r="K202" s="275">
        <v>0</v>
      </c>
      <c r="L202" s="275">
        <v>0</v>
      </c>
      <c r="M202" s="275">
        <v>0</v>
      </c>
      <c r="N202" s="275">
        <v>0</v>
      </c>
      <c r="O202" s="275">
        <v>0</v>
      </c>
      <c r="P202" s="275">
        <v>0</v>
      </c>
      <c r="Q202" s="275">
        <v>0</v>
      </c>
      <c r="R202" s="275">
        <v>0</v>
      </c>
      <c r="S202" s="275">
        <v>0</v>
      </c>
      <c r="T202" s="275">
        <v>0</v>
      </c>
      <c r="U202" s="275">
        <v>0</v>
      </c>
      <c r="V202" s="275">
        <v>0</v>
      </c>
    </row>
    <row r="203" spans="1:22" x14ac:dyDescent="0.2">
      <c r="A203" s="261"/>
      <c r="B203" s="264"/>
      <c r="C203" s="261"/>
      <c r="D203" s="261"/>
      <c r="E203" s="261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</row>
    <row r="204" spans="1:22" x14ac:dyDescent="0.2">
      <c r="A204" s="261"/>
      <c r="B204" s="264"/>
      <c r="C204" s="261"/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</row>
    <row r="205" spans="1:22" x14ac:dyDescent="0.2">
      <c r="A205" s="24"/>
      <c r="B205" s="289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</row>
    <row r="206" spans="1:22" x14ac:dyDescent="0.2">
      <c r="A206" s="24"/>
      <c r="B206" s="289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</row>
    <row r="207" spans="1:22" x14ac:dyDescent="0.2">
      <c r="A207" s="259" t="s">
        <v>98</v>
      </c>
      <c r="B207" s="260"/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</row>
    <row r="208" spans="1:22" x14ac:dyDescent="0.2">
      <c r="A208" s="262" t="s">
        <v>63</v>
      </c>
      <c r="B208" s="260"/>
      <c r="C208" s="261"/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</row>
    <row r="209" spans="1:22" x14ac:dyDescent="0.2">
      <c r="A209" s="261"/>
      <c r="B209" s="260"/>
      <c r="C209" s="261"/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</row>
    <row r="210" spans="1:22" x14ac:dyDescent="0.2">
      <c r="A210" s="261"/>
      <c r="B210" s="260"/>
      <c r="C210" s="265">
        <v>2000</v>
      </c>
      <c r="D210" s="266">
        <v>2001</v>
      </c>
      <c r="E210" s="266">
        <v>2002</v>
      </c>
      <c r="F210" s="266">
        <v>2003</v>
      </c>
      <c r="G210" s="266">
        <v>2004</v>
      </c>
      <c r="H210" s="266">
        <v>2005</v>
      </c>
      <c r="I210" s="266">
        <v>2006</v>
      </c>
      <c r="J210" s="266">
        <v>2007</v>
      </c>
      <c r="K210" s="266">
        <v>2008</v>
      </c>
      <c r="L210" s="266">
        <v>2009</v>
      </c>
      <c r="M210" s="266">
        <v>2010</v>
      </c>
      <c r="N210" s="266">
        <v>2011</v>
      </c>
      <c r="O210" s="266">
        <v>2012</v>
      </c>
      <c r="P210" s="266">
        <v>2013</v>
      </c>
      <c r="Q210" s="266">
        <v>2014</v>
      </c>
      <c r="R210" s="266">
        <v>2015</v>
      </c>
      <c r="S210" s="266">
        <v>2016</v>
      </c>
      <c r="T210" s="266">
        <v>2017</v>
      </c>
      <c r="U210" s="266">
        <v>2018</v>
      </c>
      <c r="V210" s="266">
        <v>2019</v>
      </c>
    </row>
    <row r="211" spans="1:22" x14ac:dyDescent="0.2">
      <c r="A211" s="263" t="s">
        <v>129</v>
      </c>
      <c r="B211" s="260"/>
      <c r="C211" s="267"/>
      <c r="D211" s="268"/>
      <c r="E211" s="268"/>
      <c r="F211" s="268"/>
      <c r="G211" s="268"/>
      <c r="H211" s="268"/>
      <c r="I211" s="268"/>
      <c r="J211" s="268"/>
      <c r="K211" s="268"/>
      <c r="L211" s="268"/>
      <c r="M211" s="268"/>
      <c r="N211" s="268"/>
      <c r="O211" s="268"/>
      <c r="P211" s="268"/>
      <c r="Q211" s="268"/>
      <c r="R211" s="268"/>
      <c r="S211" s="268"/>
      <c r="T211" s="268"/>
      <c r="U211" s="268"/>
      <c r="V211" s="268"/>
    </row>
    <row r="212" spans="1:22" x14ac:dyDescent="0.2">
      <c r="A212" s="261"/>
      <c r="B212" s="264" t="s">
        <v>97</v>
      </c>
      <c r="C212" s="269">
        <v>0</v>
      </c>
      <c r="D212" s="270">
        <v>1122751.7973108033</v>
      </c>
      <c r="E212" s="270">
        <v>1122751.7973108033</v>
      </c>
      <c r="F212" s="270">
        <v>1122751.7973108033</v>
      </c>
      <c r="G212" s="270">
        <v>1122751.7973108033</v>
      </c>
      <c r="H212" s="270">
        <v>1122751.7973108033</v>
      </c>
      <c r="I212" s="270">
        <v>1122751.7973108036</v>
      </c>
      <c r="J212" s="270">
        <v>1122751.7973108036</v>
      </c>
      <c r="K212" s="270">
        <v>1122751.7973108036</v>
      </c>
      <c r="L212" s="270">
        <v>1122751.7973108036</v>
      </c>
      <c r="M212" s="270">
        <v>1122751.7973108036</v>
      </c>
      <c r="N212" s="270">
        <v>1122751.7973108036</v>
      </c>
      <c r="O212" s="270">
        <v>1122751.7973108036</v>
      </c>
      <c r="P212" s="270">
        <v>1122751.7973108036</v>
      </c>
      <c r="Q212" s="270">
        <v>1122751.7973108036</v>
      </c>
      <c r="R212" s="270">
        <v>1122751.7973108036</v>
      </c>
      <c r="S212" s="270">
        <v>1122751.7973108036</v>
      </c>
      <c r="T212" s="270">
        <v>1122751.7973108036</v>
      </c>
      <c r="U212" s="270">
        <v>1122751.7973108036</v>
      </c>
      <c r="V212" s="270">
        <v>1122751.7973108036</v>
      </c>
    </row>
    <row r="213" spans="1:22" x14ac:dyDescent="0.2">
      <c r="A213" s="261"/>
      <c r="B213" s="264" t="s">
        <v>91</v>
      </c>
      <c r="C213" s="269">
        <v>0</v>
      </c>
      <c r="D213" s="271">
        <v>0.7863068306235842</v>
      </c>
      <c r="E213" s="271">
        <v>0.7863068306235842</v>
      </c>
      <c r="F213" s="271">
        <v>0.7863068306235842</v>
      </c>
      <c r="G213" s="271">
        <v>0.7863068306235842</v>
      </c>
      <c r="H213" s="271">
        <v>0.7863068306235842</v>
      </c>
      <c r="I213" s="271">
        <v>0.78630683062358431</v>
      </c>
      <c r="J213" s="271">
        <v>0.78630683062358431</v>
      </c>
      <c r="K213" s="271">
        <v>0.78630683062358431</v>
      </c>
      <c r="L213" s="271">
        <v>0.78630683062358431</v>
      </c>
      <c r="M213" s="271">
        <v>0.78630683062358431</v>
      </c>
      <c r="N213" s="271">
        <v>0.78630683062358431</v>
      </c>
      <c r="O213" s="271">
        <v>0.78630683062358431</v>
      </c>
      <c r="P213" s="271">
        <v>0.78630683062358431</v>
      </c>
      <c r="Q213" s="271">
        <v>0.78630683062358431</v>
      </c>
      <c r="R213" s="271">
        <v>0.78630683062358431</v>
      </c>
      <c r="S213" s="271">
        <v>0.78630683062358431</v>
      </c>
      <c r="T213" s="271">
        <v>0.78630683062358431</v>
      </c>
      <c r="U213" s="271">
        <v>0.78630683062358431</v>
      </c>
      <c r="V213" s="271">
        <v>0.78630683062358431</v>
      </c>
    </row>
    <row r="214" spans="1:22" x14ac:dyDescent="0.2">
      <c r="A214" s="263" t="s">
        <v>93</v>
      </c>
      <c r="B214" s="264"/>
      <c r="C214" s="267"/>
      <c r="D214" s="268"/>
      <c r="E214" s="268"/>
      <c r="F214" s="268"/>
      <c r="G214" s="268"/>
      <c r="H214" s="268"/>
      <c r="I214" s="268"/>
      <c r="J214" s="268"/>
      <c r="K214" s="268"/>
      <c r="L214" s="268"/>
      <c r="M214" s="268"/>
      <c r="N214" s="268"/>
      <c r="O214" s="268"/>
      <c r="P214" s="268"/>
      <c r="Q214" s="268"/>
      <c r="R214" s="268"/>
      <c r="S214" s="268"/>
      <c r="T214" s="268"/>
      <c r="U214" s="268"/>
      <c r="V214" s="268"/>
    </row>
    <row r="215" spans="1:22" x14ac:dyDescent="0.2">
      <c r="A215" s="261"/>
      <c r="B215" s="264" t="s">
        <v>27</v>
      </c>
      <c r="C215" s="272">
        <v>0</v>
      </c>
      <c r="D215" s="273">
        <v>39.483047960013891</v>
      </c>
      <c r="E215" s="273">
        <v>38.935467327251096</v>
      </c>
      <c r="F215" s="273">
        <v>39.684908261352312</v>
      </c>
      <c r="G215" s="273">
        <v>39.122421811677341</v>
      </c>
      <c r="H215" s="273">
        <v>39.417099156106005</v>
      </c>
      <c r="I215" s="273">
        <v>42.078614925257781</v>
      </c>
      <c r="J215" s="273">
        <v>45.119014026963661</v>
      </c>
      <c r="K215" s="273">
        <v>46.286592945186754</v>
      </c>
      <c r="L215" s="273">
        <v>47.255408417907269</v>
      </c>
      <c r="M215" s="273">
        <v>47.424107614868987</v>
      </c>
      <c r="N215" s="273">
        <v>48.448702322124539</v>
      </c>
      <c r="O215" s="273">
        <v>48.992770934223152</v>
      </c>
      <c r="P215" s="273">
        <v>49.569320079245436</v>
      </c>
      <c r="Q215" s="273">
        <v>51.314220662476103</v>
      </c>
      <c r="R215" s="273">
        <v>54.954913135529146</v>
      </c>
      <c r="S215" s="273">
        <v>54.638332925743057</v>
      </c>
      <c r="T215" s="273">
        <v>55.334688595910045</v>
      </c>
      <c r="U215" s="273">
        <v>57.993820916206076</v>
      </c>
      <c r="V215" s="273">
        <v>59.755300551829293</v>
      </c>
    </row>
    <row r="216" spans="1:22" x14ac:dyDescent="0.2">
      <c r="A216" s="261"/>
      <c r="B216" s="264" t="s">
        <v>20</v>
      </c>
      <c r="C216" s="272">
        <v>0</v>
      </c>
      <c r="D216" s="273">
        <v>12.250250999999997</v>
      </c>
      <c r="E216" s="273">
        <v>12.428266499999998</v>
      </c>
      <c r="F216" s="273">
        <v>12.644072999999999</v>
      </c>
      <c r="G216" s="273">
        <v>13.005076499999999</v>
      </c>
      <c r="H216" s="273">
        <v>13.454590499999998</v>
      </c>
      <c r="I216" s="273">
        <v>13.969741499999998</v>
      </c>
      <c r="J216" s="273">
        <v>14.291959499999995</v>
      </c>
      <c r="K216" s="273">
        <v>14.599260000000001</v>
      </c>
      <c r="L216" s="273">
        <v>14.840923499999997</v>
      </c>
      <c r="M216" s="273">
        <v>14.963246999999999</v>
      </c>
      <c r="N216" s="273">
        <v>15.168113999999997</v>
      </c>
      <c r="O216" s="273">
        <v>15.498287999999997</v>
      </c>
      <c r="P216" s="273">
        <v>15.851335499999996</v>
      </c>
      <c r="Q216" s="273">
        <v>16.189465499999997</v>
      </c>
      <c r="R216" s="273">
        <v>16.420189499999999</v>
      </c>
      <c r="S216" s="273">
        <v>16.757324999999998</v>
      </c>
      <c r="T216" s="273">
        <v>17.140207499999995</v>
      </c>
      <c r="U216" s="273">
        <v>17.560880999999998</v>
      </c>
      <c r="V216" s="273">
        <v>17.9954775</v>
      </c>
    </row>
    <row r="217" spans="1:22" x14ac:dyDescent="0.2">
      <c r="A217" s="261"/>
      <c r="B217" s="264" t="s">
        <v>92</v>
      </c>
      <c r="C217" s="272">
        <v>0</v>
      </c>
      <c r="D217" s="273">
        <v>0.58381846248920566</v>
      </c>
      <c r="E217" s="273">
        <v>0.59560246198951527</v>
      </c>
      <c r="F217" s="273">
        <v>0.6076243139270896</v>
      </c>
      <c r="G217" s="273">
        <v>0.61988881920012262</v>
      </c>
      <c r="H217" s="273">
        <v>0.63240087560984393</v>
      </c>
      <c r="I217" s="273">
        <v>0.64516547981644612</v>
      </c>
      <c r="J217" s="273">
        <v>0.65818772933448799</v>
      </c>
      <c r="K217" s="273">
        <v>0.67147282456857538</v>
      </c>
      <c r="L217" s="273">
        <v>0.68502607089013035</v>
      </c>
      <c r="M217" s="273">
        <v>0.6988528807560781</v>
      </c>
      <c r="N217" s="273">
        <v>0.71295877587030099</v>
      </c>
      <c r="O217" s="273">
        <v>0.72734938938871552</v>
      </c>
      <c r="P217" s="273">
        <v>0.74203046816886031</v>
      </c>
      <c r="Q217" s="273">
        <v>0.75700787506489176</v>
      </c>
      <c r="R217" s="273">
        <v>0.77228759126889945</v>
      </c>
      <c r="S217" s="273">
        <v>0.78787571869948114</v>
      </c>
      <c r="T217" s="273">
        <v>0.80377848243853023</v>
      </c>
      <c r="U217" s="273">
        <v>0.82000223321720733</v>
      </c>
      <c r="V217" s="273">
        <v>0.83655344995208913</v>
      </c>
    </row>
    <row r="218" spans="1:22" x14ac:dyDescent="0.2">
      <c r="A218" s="261"/>
      <c r="B218" s="264" t="s">
        <v>22</v>
      </c>
      <c r="C218" s="272">
        <v>0</v>
      </c>
      <c r="D218" s="273">
        <v>0</v>
      </c>
      <c r="E218" s="273">
        <v>0</v>
      </c>
      <c r="F218" s="273">
        <v>0</v>
      </c>
      <c r="G218" s="273">
        <v>0</v>
      </c>
      <c r="H218" s="273">
        <v>0</v>
      </c>
      <c r="I218" s="273">
        <v>0.46884146973268842</v>
      </c>
      <c r="J218" s="273">
        <v>0.51967331628751035</v>
      </c>
      <c r="K218" s="273">
        <v>0.65937836665466876</v>
      </c>
      <c r="L218" s="273">
        <v>0.62983091630700294</v>
      </c>
      <c r="M218" s="273">
        <v>0.70046881574318709</v>
      </c>
      <c r="N218" s="273">
        <v>0.771619372627394</v>
      </c>
      <c r="O218" s="273">
        <v>0.85493113102281482</v>
      </c>
      <c r="P218" s="273">
        <v>0.95860269582734448</v>
      </c>
      <c r="Q218" s="273">
        <v>1.0670743875482132</v>
      </c>
      <c r="R218" s="273">
        <v>1.1819924490345297</v>
      </c>
      <c r="S218" s="273">
        <v>1.2978262554722002</v>
      </c>
      <c r="T218" s="273">
        <v>1.2750510239214716</v>
      </c>
      <c r="U218" s="273">
        <v>1.0908751153078928</v>
      </c>
      <c r="V218" s="273">
        <v>1.1310362318929024</v>
      </c>
    </row>
    <row r="219" spans="1:22" x14ac:dyDescent="0.2">
      <c r="A219" s="261"/>
      <c r="B219" s="264" t="s">
        <v>23</v>
      </c>
      <c r="C219" s="272">
        <v>0</v>
      </c>
      <c r="D219" s="273">
        <v>0</v>
      </c>
      <c r="E219" s="273">
        <v>0</v>
      </c>
      <c r="F219" s="273">
        <v>0.74027765801023282</v>
      </c>
      <c r="G219" s="273">
        <v>0.63076296754086358</v>
      </c>
      <c r="H219" s="273">
        <v>0.65481813533491307</v>
      </c>
      <c r="I219" s="273">
        <v>0.68008628855150199</v>
      </c>
      <c r="J219" s="273">
        <v>0.85433691254246358</v>
      </c>
      <c r="K219" s="273">
        <v>0.74625371845951827</v>
      </c>
      <c r="L219" s="273">
        <v>0.78985683380213123</v>
      </c>
      <c r="M219" s="273">
        <v>0.75157902805800469</v>
      </c>
      <c r="N219" s="273">
        <v>0.7731048708565027</v>
      </c>
      <c r="O219" s="273">
        <v>0.79315215427668873</v>
      </c>
      <c r="P219" s="273">
        <v>0.70845128263712731</v>
      </c>
      <c r="Q219" s="273">
        <v>0.73378173050160955</v>
      </c>
      <c r="R219" s="273">
        <v>0.74894560968121959</v>
      </c>
      <c r="S219" s="273">
        <v>0.79532761787489237</v>
      </c>
      <c r="T219" s="273">
        <v>0.74769044949069841</v>
      </c>
      <c r="U219" s="273">
        <v>0.82348909501888756</v>
      </c>
      <c r="V219" s="273">
        <v>0.44834909431503817</v>
      </c>
    </row>
    <row r="220" spans="1:22" x14ac:dyDescent="0.2">
      <c r="A220" s="263" t="s">
        <v>94</v>
      </c>
      <c r="B220" s="264"/>
      <c r="C220" s="267"/>
      <c r="D220" s="268"/>
      <c r="E220" s="268"/>
      <c r="F220" s="268"/>
      <c r="G220" s="268"/>
      <c r="H220" s="268"/>
      <c r="I220" s="268"/>
      <c r="J220" s="268"/>
      <c r="K220" s="268"/>
      <c r="L220" s="268"/>
      <c r="M220" s="268"/>
      <c r="N220" s="268"/>
      <c r="O220" s="268"/>
      <c r="P220" s="268"/>
      <c r="Q220" s="268"/>
      <c r="R220" s="268"/>
      <c r="S220" s="268"/>
      <c r="T220" s="268"/>
      <c r="U220" s="268"/>
      <c r="V220" s="268"/>
    </row>
    <row r="221" spans="1:22" x14ac:dyDescent="0.2">
      <c r="A221" s="261"/>
      <c r="B221" s="264" t="s">
        <v>34</v>
      </c>
      <c r="C221" s="272">
        <v>0</v>
      </c>
      <c r="D221" s="273">
        <v>16.685825360687947</v>
      </c>
      <c r="E221" s="273">
        <v>17.019541867901705</v>
      </c>
      <c r="F221" s="273">
        <v>17.359932705259737</v>
      </c>
      <c r="G221" s="273">
        <v>17.707131359364933</v>
      </c>
      <c r="H221" s="273">
        <v>18.061273986552234</v>
      </c>
      <c r="I221" s="273">
        <v>18.422499466283277</v>
      </c>
      <c r="J221" s="273">
        <v>18.790949455608946</v>
      </c>
      <c r="K221" s="273">
        <v>19.166768444721125</v>
      </c>
      <c r="L221" s="273">
        <v>19.550103813615546</v>
      </c>
      <c r="M221" s="273">
        <v>19.941105889887858</v>
      </c>
      <c r="N221" s="273">
        <v>20.339928007685614</v>
      </c>
      <c r="O221" s="273">
        <v>20.746726567839328</v>
      </c>
      <c r="P221" s="273">
        <v>21.161661099196113</v>
      </c>
      <c r="Q221" s="273">
        <v>21.584894321180037</v>
      </c>
      <c r="R221" s="273">
        <v>22.01659220760364</v>
      </c>
      <c r="S221" s="273">
        <v>22.456924051755713</v>
      </c>
      <c r="T221" s="273">
        <v>22.906062532790827</v>
      </c>
      <c r="U221" s="273">
        <v>23.364183783446645</v>
      </c>
      <c r="V221" s="273">
        <v>23.831467459115576</v>
      </c>
    </row>
    <row r="222" spans="1:22" x14ac:dyDescent="0.2">
      <c r="A222" s="261"/>
      <c r="B222" s="264" t="s">
        <v>95</v>
      </c>
      <c r="C222" s="272">
        <v>0</v>
      </c>
      <c r="D222" s="273">
        <v>2.5050053588281287</v>
      </c>
      <c r="E222" s="273">
        <v>2.5607191151914419</v>
      </c>
      <c r="F222" s="273">
        <v>2.6176530028191118</v>
      </c>
      <c r="G222" s="273">
        <v>2.7324761344603354</v>
      </c>
      <c r="H222" s="273">
        <v>3.0845710026364883</v>
      </c>
      <c r="I222" s="273">
        <v>3.9167969807953198</v>
      </c>
      <c r="J222" s="273">
        <v>4.3444170169587002</v>
      </c>
      <c r="K222" s="273">
        <v>4.7824518141420533</v>
      </c>
      <c r="L222" s="273">
        <v>5.2318341285849623</v>
      </c>
      <c r="M222" s="273">
        <v>5.4955841549289683</v>
      </c>
      <c r="N222" s="273">
        <v>5.5646804276963433</v>
      </c>
      <c r="O222" s="273">
        <v>5.635517926537454</v>
      </c>
      <c r="P222" s="273">
        <v>5.70815469784913</v>
      </c>
      <c r="Q222" s="273">
        <v>5.782607388443596</v>
      </c>
      <c r="R222" s="273">
        <v>5.8589288415719851</v>
      </c>
      <c r="S222" s="273">
        <v>5.9371583310285825</v>
      </c>
      <c r="T222" s="273">
        <v>6.0173279118237035</v>
      </c>
      <c r="U222" s="273">
        <v>6.099509749096784</v>
      </c>
      <c r="V222" s="273">
        <v>6.1837543504854171</v>
      </c>
    </row>
    <row r="223" spans="1:22" x14ac:dyDescent="0.2">
      <c r="A223" s="261"/>
      <c r="B223" s="264" t="s">
        <v>36</v>
      </c>
      <c r="C223" s="272">
        <v>0</v>
      </c>
      <c r="D223" s="273">
        <v>2.8048773099476074</v>
      </c>
      <c r="E223" s="273">
        <v>2.8640602211875152</v>
      </c>
      <c r="F223" s="273">
        <v>2.9267831400315276</v>
      </c>
      <c r="G223" s="273">
        <v>2.992928438996215</v>
      </c>
      <c r="H223" s="273">
        <v>3.0641601358443316</v>
      </c>
      <c r="I223" s="273">
        <v>3.1409482968941167</v>
      </c>
      <c r="J223" s="273">
        <v>3.2188525649359083</v>
      </c>
      <c r="K223" s="273">
        <v>3.3003283753521164</v>
      </c>
      <c r="L223" s="273">
        <v>3.3818464862233188</v>
      </c>
      <c r="M223" s="273">
        <v>3.4680835716220004</v>
      </c>
      <c r="N223" s="273">
        <v>3.5520111940552699</v>
      </c>
      <c r="O223" s="273">
        <v>3.6415218761454544</v>
      </c>
      <c r="P223" s="273">
        <v>3.73401653179954</v>
      </c>
      <c r="Q223" s="273">
        <v>3.8273669450945276</v>
      </c>
      <c r="R223" s="273">
        <v>3.9234338554163988</v>
      </c>
      <c r="S223" s="273">
        <v>4.0215197018018163</v>
      </c>
      <c r="T223" s="273">
        <v>4.1212533904064967</v>
      </c>
      <c r="U223" s="273">
        <v>4.2246968505057056</v>
      </c>
      <c r="V223" s="273">
        <v>4.3307367414533982</v>
      </c>
    </row>
    <row r="224" spans="1:22" x14ac:dyDescent="0.2">
      <c r="A224" s="261"/>
      <c r="B224" s="264" t="s">
        <v>39</v>
      </c>
      <c r="C224" s="272">
        <v>0</v>
      </c>
      <c r="D224" s="273">
        <v>3.8519734969325157</v>
      </c>
      <c r="E224" s="273">
        <v>43.469034110429448</v>
      </c>
      <c r="F224" s="273">
        <v>7.4194984662576688</v>
      </c>
      <c r="G224" s="273">
        <v>2.6664271779141107</v>
      </c>
      <c r="H224" s="273">
        <v>13.637909300613499</v>
      </c>
      <c r="I224" s="273">
        <v>14.047046579631905</v>
      </c>
      <c r="J224" s="273">
        <v>14.468457977020861</v>
      </c>
      <c r="K224" s="273">
        <v>14.902511716331487</v>
      </c>
      <c r="L224" s="273">
        <v>15.349587067821432</v>
      </c>
      <c r="M224" s="273">
        <v>15.810074679856074</v>
      </c>
      <c r="N224" s="273">
        <v>16.284376920251756</v>
      </c>
      <c r="O224" s="273">
        <v>16.772908227859308</v>
      </c>
      <c r="P224" s="273">
        <v>17.276095474695087</v>
      </c>
      <c r="Q224" s="273">
        <v>17.794378338935939</v>
      </c>
      <c r="R224" s="273">
        <v>18.328209689104018</v>
      </c>
      <c r="S224" s="273">
        <v>18.878055979777137</v>
      </c>
      <c r="T224" s="273">
        <v>19.444397659170452</v>
      </c>
      <c r="U224" s="273">
        <v>20.027729588945569</v>
      </c>
      <c r="V224" s="273">
        <v>20.628561476613935</v>
      </c>
    </row>
    <row r="225" spans="1:22" x14ac:dyDescent="0.2">
      <c r="A225" s="261"/>
      <c r="B225" s="264" t="s">
        <v>96</v>
      </c>
      <c r="C225" s="274">
        <v>0</v>
      </c>
      <c r="D225" s="275">
        <v>0</v>
      </c>
      <c r="E225" s="275">
        <v>0</v>
      </c>
      <c r="F225" s="275">
        <v>0</v>
      </c>
      <c r="G225" s="275">
        <v>0</v>
      </c>
      <c r="H225" s="275">
        <v>0</v>
      </c>
      <c r="I225" s="275">
        <v>0</v>
      </c>
      <c r="J225" s="275">
        <v>0</v>
      </c>
      <c r="K225" s="275">
        <v>0</v>
      </c>
      <c r="L225" s="275">
        <v>0</v>
      </c>
      <c r="M225" s="275">
        <v>0</v>
      </c>
      <c r="N225" s="275">
        <v>0</v>
      </c>
      <c r="O225" s="275">
        <v>0</v>
      </c>
      <c r="P225" s="275">
        <v>0</v>
      </c>
      <c r="Q225" s="275">
        <v>0</v>
      </c>
      <c r="R225" s="275">
        <v>0</v>
      </c>
      <c r="S225" s="275">
        <v>0</v>
      </c>
      <c r="T225" s="275">
        <v>0</v>
      </c>
      <c r="U225" s="275">
        <v>0</v>
      </c>
      <c r="V225" s="275">
        <v>0</v>
      </c>
    </row>
    <row r="226" spans="1:22" x14ac:dyDescent="0.2">
      <c r="A226" s="261"/>
      <c r="B226" s="264"/>
      <c r="C226" s="261"/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</row>
    <row r="227" spans="1:22" x14ac:dyDescent="0.2">
      <c r="A227" s="261"/>
      <c r="B227" s="264"/>
      <c r="C227" s="261"/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</row>
    <row r="228" spans="1:22" x14ac:dyDescent="0.2">
      <c r="A228" s="106"/>
      <c r="B228" s="10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x14ac:dyDescent="0.2">
      <c r="A229" s="106"/>
      <c r="B229" s="10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x14ac:dyDescent="0.2">
      <c r="A230" s="259" t="s">
        <v>98</v>
      </c>
      <c r="B230" s="260"/>
      <c r="C230" s="261"/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</row>
    <row r="231" spans="1:22" x14ac:dyDescent="0.2">
      <c r="A231" s="262" t="s">
        <v>64</v>
      </c>
      <c r="B231" s="260"/>
      <c r="C231" s="261"/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</row>
    <row r="232" spans="1:22" x14ac:dyDescent="0.2">
      <c r="A232" s="261"/>
      <c r="B232" s="260"/>
      <c r="C232" s="261"/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</row>
    <row r="233" spans="1:22" x14ac:dyDescent="0.2">
      <c r="A233" s="261"/>
      <c r="B233" s="260"/>
      <c r="C233" s="265">
        <v>2000</v>
      </c>
      <c r="D233" s="266">
        <v>2001</v>
      </c>
      <c r="E233" s="266">
        <v>2002</v>
      </c>
      <c r="F233" s="266">
        <v>2003</v>
      </c>
      <c r="G233" s="266">
        <v>2004</v>
      </c>
      <c r="H233" s="266">
        <v>2005</v>
      </c>
      <c r="I233" s="266">
        <v>2006</v>
      </c>
      <c r="J233" s="266">
        <v>2007</v>
      </c>
      <c r="K233" s="266">
        <v>2008</v>
      </c>
      <c r="L233" s="266">
        <v>2009</v>
      </c>
      <c r="M233" s="266">
        <v>2010</v>
      </c>
      <c r="N233" s="266">
        <v>2011</v>
      </c>
      <c r="O233" s="266">
        <v>2012</v>
      </c>
      <c r="P233" s="266">
        <v>2013</v>
      </c>
      <c r="Q233" s="266">
        <v>2014</v>
      </c>
      <c r="R233" s="266">
        <v>2015</v>
      </c>
      <c r="S233" s="266">
        <v>2016</v>
      </c>
      <c r="T233" s="266">
        <v>2017</v>
      </c>
      <c r="U233" s="266">
        <v>2018</v>
      </c>
      <c r="V233" s="266">
        <v>2019</v>
      </c>
    </row>
    <row r="234" spans="1:22" x14ac:dyDescent="0.2">
      <c r="A234" s="263" t="s">
        <v>129</v>
      </c>
      <c r="B234" s="260"/>
      <c r="C234" s="267"/>
      <c r="D234" s="268"/>
      <c r="E234" s="268"/>
      <c r="F234" s="268"/>
      <c r="G234" s="268"/>
      <c r="H234" s="268"/>
      <c r="I234" s="268"/>
      <c r="J234" s="268"/>
      <c r="K234" s="268"/>
      <c r="L234" s="268"/>
      <c r="M234" s="268"/>
      <c r="N234" s="268"/>
      <c r="O234" s="268"/>
      <c r="P234" s="268"/>
      <c r="Q234" s="268"/>
      <c r="R234" s="268"/>
      <c r="S234" s="268"/>
      <c r="T234" s="268"/>
      <c r="U234" s="268"/>
      <c r="V234" s="268"/>
    </row>
    <row r="235" spans="1:22" x14ac:dyDescent="0.2">
      <c r="A235" s="261"/>
      <c r="B235" s="264" t="s">
        <v>97</v>
      </c>
      <c r="C235" s="269">
        <v>0</v>
      </c>
      <c r="D235" s="270">
        <v>2374368.1694179191</v>
      </c>
      <c r="E235" s="270">
        <v>2374368.1694179191</v>
      </c>
      <c r="F235" s="270">
        <v>2374368.1694179191</v>
      </c>
      <c r="G235" s="270">
        <v>2374368.1694179191</v>
      </c>
      <c r="H235" s="270">
        <v>2374368.1694179191</v>
      </c>
      <c r="I235" s="270">
        <v>2374368.1694179191</v>
      </c>
      <c r="J235" s="270">
        <v>2374368.1694179191</v>
      </c>
      <c r="K235" s="270">
        <v>2374368.1694179191</v>
      </c>
      <c r="L235" s="270">
        <v>2374368.1694179191</v>
      </c>
      <c r="M235" s="270">
        <v>2374368.1694179191</v>
      </c>
      <c r="N235" s="270">
        <v>2374368.1694179191</v>
      </c>
      <c r="O235" s="270">
        <v>2374368.1694179191</v>
      </c>
      <c r="P235" s="270">
        <v>2374368.1694179191</v>
      </c>
      <c r="Q235" s="270">
        <v>2374368.1694179191</v>
      </c>
      <c r="R235" s="270">
        <v>2374368.1694179191</v>
      </c>
      <c r="S235" s="270">
        <v>2374368.1694179191</v>
      </c>
      <c r="T235" s="270">
        <v>2374368.1694179191</v>
      </c>
      <c r="U235" s="270">
        <v>2374368.1694179191</v>
      </c>
      <c r="V235" s="270">
        <v>2374368.1694179191</v>
      </c>
    </row>
    <row r="236" spans="1:22" x14ac:dyDescent="0.2">
      <c r="A236" s="261"/>
      <c r="B236" s="264" t="s">
        <v>91</v>
      </c>
      <c r="C236" s="269">
        <v>0</v>
      </c>
      <c r="D236" s="271">
        <v>0.8470206083825339</v>
      </c>
      <c r="E236" s="271">
        <v>0.8470206083825339</v>
      </c>
      <c r="F236" s="271">
        <v>0.8470206083825339</v>
      </c>
      <c r="G236" s="271">
        <v>0.8470206083825339</v>
      </c>
      <c r="H236" s="271">
        <v>0.8470206083825339</v>
      </c>
      <c r="I236" s="271">
        <v>0.8470206083825339</v>
      </c>
      <c r="J236" s="271">
        <v>0.8470206083825339</v>
      </c>
      <c r="K236" s="271">
        <v>0.8470206083825339</v>
      </c>
      <c r="L236" s="271">
        <v>0.8470206083825339</v>
      </c>
      <c r="M236" s="271">
        <v>0.8470206083825339</v>
      </c>
      <c r="N236" s="271">
        <v>0.8470206083825339</v>
      </c>
      <c r="O236" s="271">
        <v>0.8470206083825339</v>
      </c>
      <c r="P236" s="271">
        <v>0.8470206083825339</v>
      </c>
      <c r="Q236" s="271">
        <v>0.8470206083825339</v>
      </c>
      <c r="R236" s="271">
        <v>0.8470206083825339</v>
      </c>
      <c r="S236" s="271">
        <v>0.8470206083825339</v>
      </c>
      <c r="T236" s="271">
        <v>0.8470206083825339</v>
      </c>
      <c r="U236" s="271">
        <v>0.8470206083825339</v>
      </c>
      <c r="V236" s="271">
        <v>0.8470206083825339</v>
      </c>
    </row>
    <row r="237" spans="1:22" x14ac:dyDescent="0.2">
      <c r="A237" s="263" t="s">
        <v>93</v>
      </c>
      <c r="B237" s="264"/>
      <c r="C237" s="267"/>
      <c r="D237" s="268"/>
      <c r="E237" s="268"/>
      <c r="F237" s="268"/>
      <c r="G237" s="268"/>
      <c r="H237" s="268"/>
      <c r="I237" s="268"/>
      <c r="J237" s="268"/>
      <c r="K237" s="268"/>
      <c r="L237" s="268"/>
      <c r="M237" s="268"/>
      <c r="N237" s="268"/>
      <c r="O237" s="268"/>
      <c r="P237" s="268"/>
      <c r="Q237" s="268"/>
      <c r="R237" s="268"/>
      <c r="S237" s="268"/>
      <c r="T237" s="268"/>
      <c r="U237" s="268"/>
      <c r="V237" s="268"/>
    </row>
    <row r="238" spans="1:22" x14ac:dyDescent="0.2">
      <c r="A238" s="261"/>
      <c r="B238" s="264" t="s">
        <v>27</v>
      </c>
      <c r="C238" s="272">
        <v>0</v>
      </c>
      <c r="D238" s="273">
        <v>39.483047960013891</v>
      </c>
      <c r="E238" s="273">
        <v>38.935467327251111</v>
      </c>
      <c r="F238" s="273">
        <v>39.684908261352312</v>
      </c>
      <c r="G238" s="273">
        <v>39.122421811677349</v>
      </c>
      <c r="H238" s="273">
        <v>39.417099156106012</v>
      </c>
      <c r="I238" s="273">
        <v>42.078614925257838</v>
      </c>
      <c r="J238" s="273">
        <v>45.119014026963733</v>
      </c>
      <c r="K238" s="273">
        <v>46.286592945186825</v>
      </c>
      <c r="L238" s="273">
        <v>47.255408417907297</v>
      </c>
      <c r="M238" s="273">
        <v>47.424107614868987</v>
      </c>
      <c r="N238" s="273">
        <v>48.448702322124568</v>
      </c>
      <c r="O238" s="273">
        <v>48.992770934223223</v>
      </c>
      <c r="P238" s="273">
        <v>49.569320079245486</v>
      </c>
      <c r="Q238" s="273">
        <v>51.314220662476174</v>
      </c>
      <c r="R238" s="273">
        <v>54.954913135529175</v>
      </c>
      <c r="S238" s="273">
        <v>54.638332925743065</v>
      </c>
      <c r="T238" s="273">
        <v>55.334688595910045</v>
      </c>
      <c r="U238" s="273">
        <v>57.993820916206147</v>
      </c>
      <c r="V238" s="273">
        <v>59.755300551829365</v>
      </c>
    </row>
    <row r="239" spans="1:22" x14ac:dyDescent="0.2">
      <c r="A239" s="261"/>
      <c r="B239" s="264" t="s">
        <v>20</v>
      </c>
      <c r="C239" s="272">
        <v>0</v>
      </c>
      <c r="D239" s="273">
        <v>12.463352400000002</v>
      </c>
      <c r="E239" s="273">
        <v>12.644464600000001</v>
      </c>
      <c r="F239" s="273">
        <v>12.864025200000004</v>
      </c>
      <c r="G239" s="273">
        <v>13.231308600000004</v>
      </c>
      <c r="H239" s="273">
        <v>13.688642199999999</v>
      </c>
      <c r="I239" s="273">
        <v>14.212754600000004</v>
      </c>
      <c r="J239" s="273">
        <v>14.540577800000003</v>
      </c>
      <c r="K239" s="273">
        <v>14.853224000000001</v>
      </c>
      <c r="L239" s="273">
        <v>15.099091400000002</v>
      </c>
      <c r="M239" s="273">
        <v>15.223542799999999</v>
      </c>
      <c r="N239" s="273">
        <v>15.431973599999999</v>
      </c>
      <c r="O239" s="273">
        <v>15.767891199999998</v>
      </c>
      <c r="P239" s="273">
        <v>16.127080200000002</v>
      </c>
      <c r="Q239" s="273">
        <v>16.471092200000001</v>
      </c>
      <c r="R239" s="273">
        <v>16.7058298</v>
      </c>
      <c r="S239" s="273">
        <v>17.048829999999995</v>
      </c>
      <c r="T239" s="273">
        <v>17.438373000000002</v>
      </c>
      <c r="U239" s="273">
        <v>17.866364400000002</v>
      </c>
      <c r="V239" s="273">
        <v>18.308521000000002</v>
      </c>
    </row>
    <row r="240" spans="1:22" x14ac:dyDescent="0.2">
      <c r="A240" s="261"/>
      <c r="B240" s="264" t="s">
        <v>92</v>
      </c>
      <c r="C240" s="272">
        <v>0</v>
      </c>
      <c r="D240" s="273">
        <v>0.78769157637432541</v>
      </c>
      <c r="E240" s="273">
        <v>0.80359062331918774</v>
      </c>
      <c r="F240" s="273">
        <v>1.4326105822825819</v>
      </c>
      <c r="G240" s="273">
        <v>1.4644779306668327</v>
      </c>
      <c r="H240" s="273">
        <v>1.4970622766164567</v>
      </c>
      <c r="I240" s="273">
        <v>1.5303799366571103</v>
      </c>
      <c r="J240" s="273">
        <v>1.564447602762802</v>
      </c>
      <c r="K240" s="273">
        <v>1.5992823510868184</v>
      </c>
      <c r="L240" s="273">
        <v>1.6349016508977019</v>
      </c>
      <c r="M240" s="273">
        <v>1.6713233737251294</v>
      </c>
      <c r="N240" s="273">
        <v>1.7085658027206752</v>
      </c>
      <c r="O240" s="273">
        <v>1.7466476422385462</v>
      </c>
      <c r="P240" s="273">
        <v>1.7855880276415141</v>
      </c>
      <c r="Q240" s="273">
        <v>1.8254065353373756</v>
      </c>
      <c r="R240" s="273">
        <v>1.8661231930514088</v>
      </c>
      <c r="S240" s="273">
        <v>1.9077584903404408</v>
      </c>
      <c r="T240" s="273">
        <v>1.9503333893542338</v>
      </c>
      <c r="U240" s="273">
        <v>1.9938693358500845</v>
      </c>
      <c r="V240" s="273">
        <v>2.0383882704666285</v>
      </c>
    </row>
    <row r="241" spans="1:22" x14ac:dyDescent="0.2">
      <c r="A241" s="261"/>
      <c r="B241" s="264" t="s">
        <v>22</v>
      </c>
      <c r="C241" s="272">
        <v>0</v>
      </c>
      <c r="D241" s="273">
        <v>0</v>
      </c>
      <c r="E241" s="273">
        <v>0</v>
      </c>
      <c r="F241" s="273">
        <v>0</v>
      </c>
      <c r="G241" s="273">
        <v>0</v>
      </c>
      <c r="H241" s="273">
        <v>0</v>
      </c>
      <c r="I241" s="273">
        <v>0.46646210778525926</v>
      </c>
      <c r="J241" s="273">
        <v>0.51703598364162873</v>
      </c>
      <c r="K241" s="273">
        <v>0.65796317204164689</v>
      </c>
      <c r="L241" s="273">
        <v>0.6266345358408496</v>
      </c>
      <c r="M241" s="273">
        <v>0.69691394921977312</v>
      </c>
      <c r="N241" s="273">
        <v>0.76770341831947808</v>
      </c>
      <c r="O241" s="273">
        <v>0.85059237105350349</v>
      </c>
      <c r="P241" s="273">
        <v>0.95373780454872858</v>
      </c>
      <c r="Q241" s="273">
        <v>1.0616590044033365</v>
      </c>
      <c r="R241" s="273">
        <v>1.1759938588138621</v>
      </c>
      <c r="S241" s="273">
        <v>1.2912398107867369</v>
      </c>
      <c r="T241" s="273">
        <v>1.2685801631226596</v>
      </c>
      <c r="U241" s="273">
        <v>1.0853389439017207</v>
      </c>
      <c r="V241" s="273">
        <v>1.1252962435491565</v>
      </c>
    </row>
    <row r="242" spans="1:22" x14ac:dyDescent="0.2">
      <c r="A242" s="261"/>
      <c r="B242" s="264" t="s">
        <v>23</v>
      </c>
      <c r="C242" s="272">
        <v>0</v>
      </c>
      <c r="D242" s="273">
        <v>0</v>
      </c>
      <c r="E242" s="273">
        <v>0</v>
      </c>
      <c r="F242" s="273">
        <v>0.70608308293246025</v>
      </c>
      <c r="G242" s="273">
        <v>0.60162704615181584</v>
      </c>
      <c r="H242" s="273">
        <v>0.62457106837468446</v>
      </c>
      <c r="I242" s="273">
        <v>0.64867204633899855</v>
      </c>
      <c r="J242" s="273">
        <v>0.81487376330172057</v>
      </c>
      <c r="K242" s="273">
        <v>0.71178309986551747</v>
      </c>
      <c r="L242" s="273">
        <v>0.75337211957107519</v>
      </c>
      <c r="M242" s="273">
        <v>0.71686242514054432</v>
      </c>
      <c r="N242" s="273">
        <v>0.73739395581882539</v>
      </c>
      <c r="O242" s="273">
        <v>0.75651522407348593</v>
      </c>
      <c r="P242" s="273">
        <v>0.67572681728152884</v>
      </c>
      <c r="Q242" s="273">
        <v>0.69988721240717255</v>
      </c>
      <c r="R242" s="273">
        <v>0.71435064844971541</v>
      </c>
      <c r="S242" s="273">
        <v>0.75859019962840901</v>
      </c>
      <c r="T242" s="273">
        <v>0.71315346605834151</v>
      </c>
      <c r="U242" s="273">
        <v>0.78545085439301543</v>
      </c>
      <c r="V242" s="273">
        <v>0.42763915311835937</v>
      </c>
    </row>
    <row r="243" spans="1:22" x14ac:dyDescent="0.2">
      <c r="A243" s="263" t="s">
        <v>94</v>
      </c>
      <c r="B243" s="264"/>
      <c r="C243" s="267"/>
      <c r="D243" s="268"/>
      <c r="E243" s="268"/>
      <c r="F243" s="268"/>
      <c r="G243" s="268"/>
      <c r="H243" s="268"/>
      <c r="I243" s="268"/>
      <c r="J243" s="268"/>
      <c r="K243" s="268"/>
      <c r="L243" s="268"/>
      <c r="M243" s="268"/>
      <c r="N243" s="268"/>
      <c r="O243" s="268"/>
      <c r="P243" s="268"/>
      <c r="Q243" s="268"/>
      <c r="R243" s="268"/>
      <c r="S243" s="268"/>
      <c r="T243" s="268"/>
      <c r="U243" s="268"/>
      <c r="V243" s="268"/>
    </row>
    <row r="244" spans="1:22" x14ac:dyDescent="0.2">
      <c r="A244" s="261"/>
      <c r="B244" s="264" t="s">
        <v>34</v>
      </c>
      <c r="C244" s="272">
        <v>0</v>
      </c>
      <c r="D244" s="273">
        <v>11.949817734099391</v>
      </c>
      <c r="E244" s="273">
        <v>12.188814088781379</v>
      </c>
      <c r="F244" s="273">
        <v>12.647968495557006</v>
      </c>
      <c r="G244" s="273">
        <v>12.902004756093145</v>
      </c>
      <c r="H244" s="273">
        <v>13.161148664105633</v>
      </c>
      <c r="I244" s="273">
        <v>13.425503045600639</v>
      </c>
      <c r="J244" s="273">
        <v>13.695172799930864</v>
      </c>
      <c r="K244" s="273">
        <v>13.970264941683153</v>
      </c>
      <c r="L244" s="273">
        <v>14.250888643414324</v>
      </c>
      <c r="M244" s="273">
        <v>14.537155279252559</v>
      </c>
      <c r="N244" s="273">
        <v>14.829178469381805</v>
      </c>
      <c r="O244" s="273">
        <v>15.127074125427244</v>
      </c>
      <c r="P244" s="273">
        <v>15.430960496760035</v>
      </c>
      <c r="Q244" s="273">
        <v>15.740958217740092</v>
      </c>
      <c r="R244" s="273">
        <v>16.057190355915864</v>
      </c>
      <c r="S244" s="273">
        <v>16.37978246120068</v>
      </c>
      <c r="T244" s="273">
        <v>16.708862616045355</v>
      </c>
      <c r="U244" s="273">
        <v>17.044561486627437</v>
      </c>
      <c r="V244" s="273">
        <v>17.387012375077692</v>
      </c>
    </row>
    <row r="245" spans="1:22" x14ac:dyDescent="0.2">
      <c r="A245" s="261"/>
      <c r="B245" s="264" t="s">
        <v>95</v>
      </c>
      <c r="C245" s="272">
        <v>0</v>
      </c>
      <c r="D245" s="273">
        <v>2.1737259732476195</v>
      </c>
      <c r="E245" s="273">
        <v>2.2162929970220846</v>
      </c>
      <c r="F245" s="273">
        <v>2.2597922386172105</v>
      </c>
      <c r="G245" s="273">
        <v>2.3042745630723855</v>
      </c>
      <c r="H245" s="273">
        <v>2.3498155668495944</v>
      </c>
      <c r="I245" s="273">
        <v>2.3983616512054398</v>
      </c>
      <c r="J245" s="273">
        <v>2.4462017673609977</v>
      </c>
      <c r="K245" s="273">
        <v>2.4972105316361914</v>
      </c>
      <c r="L245" s="273">
        <v>2.5474731408913036</v>
      </c>
      <c r="M245" s="273">
        <v>2.5990174466824212</v>
      </c>
      <c r="N245" s="273">
        <v>2.6518091246736843</v>
      </c>
      <c r="O245" s="273">
        <v>2.7059311529503272</v>
      </c>
      <c r="P245" s="273">
        <v>2.7614278807451962</v>
      </c>
      <c r="Q245" s="273">
        <v>2.8183120267349371</v>
      </c>
      <c r="R245" s="273">
        <v>2.8766239647890206</v>
      </c>
      <c r="S245" s="273">
        <v>2.9363937012944561</v>
      </c>
      <c r="T245" s="273">
        <v>2.9976457272652262</v>
      </c>
      <c r="U245" s="273">
        <v>3.0604351790878632</v>
      </c>
      <c r="V245" s="273">
        <v>3.1248006461512481</v>
      </c>
    </row>
    <row r="246" spans="1:22" x14ac:dyDescent="0.2">
      <c r="A246" s="261"/>
      <c r="B246" s="264" t="s">
        <v>36</v>
      </c>
      <c r="C246" s="272">
        <v>0</v>
      </c>
      <c r="D246" s="273">
        <v>2.0531615456764563</v>
      </c>
      <c r="E246" s="273">
        <v>2.096483254290241</v>
      </c>
      <c r="F246" s="273">
        <v>2.1423962375592001</v>
      </c>
      <c r="G246" s="273">
        <v>2.1908143925280221</v>
      </c>
      <c r="H246" s="273">
        <v>2.2429557750701936</v>
      </c>
      <c r="I246" s="273">
        <v>2.2991644722818281</v>
      </c>
      <c r="J246" s="273">
        <v>2.3561901563715408</v>
      </c>
      <c r="K246" s="273">
        <v>2.4158301984711064</v>
      </c>
      <c r="L246" s="273">
        <v>2.4755012043733435</v>
      </c>
      <c r="M246" s="273">
        <v>2.5386264850848561</v>
      </c>
      <c r="N246" s="273">
        <v>2.6000612460239219</v>
      </c>
      <c r="O246" s="273">
        <v>2.6655827894237158</v>
      </c>
      <c r="P246" s="273">
        <v>2.733288592275072</v>
      </c>
      <c r="Q246" s="273">
        <v>2.8016208070819499</v>
      </c>
      <c r="R246" s="273">
        <v>2.8719414893397062</v>
      </c>
      <c r="S246" s="273">
        <v>2.9437400265732032</v>
      </c>
      <c r="T246" s="273">
        <v>3.0167447792322157</v>
      </c>
      <c r="U246" s="273">
        <v>3.09246507319095</v>
      </c>
      <c r="V246" s="273">
        <v>3.1700859465280313</v>
      </c>
    </row>
    <row r="247" spans="1:22" x14ac:dyDescent="0.2">
      <c r="A247" s="261"/>
      <c r="B247" s="264" t="s">
        <v>39</v>
      </c>
      <c r="C247" s="272">
        <v>0</v>
      </c>
      <c r="D247" s="273">
        <v>6.6898011874999996</v>
      </c>
      <c r="E247" s="273">
        <v>6.5340365624999999</v>
      </c>
      <c r="F247" s="273">
        <v>11.748547625</v>
      </c>
      <c r="G247" s="273">
        <v>5.2164436562500001</v>
      </c>
      <c r="H247" s="273">
        <v>7.0478152250000017</v>
      </c>
      <c r="I247" s="273">
        <v>7.259249681750001</v>
      </c>
      <c r="J247" s="273">
        <v>7.4770271722025017</v>
      </c>
      <c r="K247" s="273">
        <v>7.7013379873685768</v>
      </c>
      <c r="L247" s="273">
        <v>7.9323781269896356</v>
      </c>
      <c r="M247" s="273">
        <v>8.1703494707993247</v>
      </c>
      <c r="N247" s="273">
        <v>8.4154599549233033</v>
      </c>
      <c r="O247" s="273">
        <v>8.6679237535710048</v>
      </c>
      <c r="P247" s="273">
        <v>8.9279614661781341</v>
      </c>
      <c r="Q247" s="273">
        <v>9.1958003101634773</v>
      </c>
      <c r="R247" s="273">
        <v>9.4716743194683826</v>
      </c>
      <c r="S247" s="273">
        <v>9.7558245490524342</v>
      </c>
      <c r="T247" s="273">
        <v>10.048499285524006</v>
      </c>
      <c r="U247" s="273">
        <v>10.349954264089726</v>
      </c>
      <c r="V247" s="273">
        <v>10.660452892012421</v>
      </c>
    </row>
    <row r="248" spans="1:22" x14ac:dyDescent="0.2">
      <c r="A248" s="261"/>
      <c r="B248" s="264" t="s">
        <v>96</v>
      </c>
      <c r="C248" s="274">
        <v>0</v>
      </c>
      <c r="D248" s="275">
        <v>86.210603781249986</v>
      </c>
      <c r="E248" s="275">
        <v>11.73684453125</v>
      </c>
      <c r="F248" s="275">
        <v>0</v>
      </c>
      <c r="G248" s="275">
        <v>0</v>
      </c>
      <c r="H248" s="275">
        <v>0</v>
      </c>
      <c r="I248" s="275">
        <v>0</v>
      </c>
      <c r="J248" s="275">
        <v>0</v>
      </c>
      <c r="K248" s="275">
        <v>0</v>
      </c>
      <c r="L248" s="275">
        <v>0</v>
      </c>
      <c r="M248" s="275">
        <v>0</v>
      </c>
      <c r="N248" s="275">
        <v>0</v>
      </c>
      <c r="O248" s="275">
        <v>0</v>
      </c>
      <c r="P248" s="275">
        <v>0</v>
      </c>
      <c r="Q248" s="275">
        <v>0</v>
      </c>
      <c r="R248" s="275">
        <v>0</v>
      </c>
      <c r="S248" s="275">
        <v>0</v>
      </c>
      <c r="T248" s="275">
        <v>0</v>
      </c>
      <c r="U248" s="275">
        <v>0</v>
      </c>
      <c r="V248" s="275">
        <v>0</v>
      </c>
    </row>
    <row r="249" spans="1:22" x14ac:dyDescent="0.2">
      <c r="A249" s="261"/>
      <c r="B249" s="264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</row>
    <row r="250" spans="1:22" x14ac:dyDescent="0.2">
      <c r="A250" s="261"/>
      <c r="B250" s="264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</row>
    <row r="251" spans="1:22" x14ac:dyDescent="0.2">
      <c r="A251" s="106"/>
      <c r="B251" s="10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x14ac:dyDescent="0.2">
      <c r="A252" s="262" t="s">
        <v>66</v>
      </c>
      <c r="B252" s="260"/>
      <c r="C252" s="261"/>
      <c r="D252" s="261"/>
      <c r="E252" s="261"/>
      <c r="F252" s="261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</row>
    <row r="253" spans="1:22" x14ac:dyDescent="0.2">
      <c r="A253" s="259" t="s">
        <v>98</v>
      </c>
      <c r="B253" s="260"/>
      <c r="C253" s="261"/>
      <c r="D253" s="261"/>
      <c r="E253" s="261"/>
      <c r="F253" s="261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</row>
    <row r="254" spans="1:22" x14ac:dyDescent="0.2">
      <c r="A254" s="262" t="s">
        <v>65</v>
      </c>
      <c r="B254" s="260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</row>
    <row r="255" spans="1:22" x14ac:dyDescent="0.2">
      <c r="A255" s="261"/>
      <c r="B255" s="260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</row>
    <row r="256" spans="1:22" x14ac:dyDescent="0.2">
      <c r="A256" s="261"/>
      <c r="B256" s="260"/>
      <c r="C256" s="265">
        <v>2000</v>
      </c>
      <c r="D256" s="266">
        <v>2001</v>
      </c>
      <c r="E256" s="266">
        <v>2002</v>
      </c>
      <c r="F256" s="266">
        <v>2003</v>
      </c>
      <c r="G256" s="266">
        <v>2004</v>
      </c>
      <c r="H256" s="266">
        <v>2005</v>
      </c>
      <c r="I256" s="266">
        <v>2006</v>
      </c>
      <c r="J256" s="266">
        <v>2007</v>
      </c>
      <c r="K256" s="266">
        <v>2008</v>
      </c>
      <c r="L256" s="266">
        <v>2009</v>
      </c>
      <c r="M256" s="266">
        <v>2010</v>
      </c>
      <c r="N256" s="266">
        <v>2011</v>
      </c>
      <c r="O256" s="266">
        <v>2012</v>
      </c>
      <c r="P256" s="266">
        <v>2013</v>
      </c>
      <c r="Q256" s="266">
        <v>2014</v>
      </c>
      <c r="R256" s="266">
        <v>2015</v>
      </c>
      <c r="S256" s="266">
        <v>2016</v>
      </c>
      <c r="T256" s="266">
        <v>2017</v>
      </c>
      <c r="U256" s="266">
        <v>2018</v>
      </c>
      <c r="V256" s="266">
        <v>2019</v>
      </c>
    </row>
    <row r="257" spans="1:22" x14ac:dyDescent="0.2">
      <c r="A257" s="263" t="s">
        <v>129</v>
      </c>
      <c r="B257" s="260"/>
      <c r="C257" s="267"/>
      <c r="D257" s="26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</row>
    <row r="258" spans="1:22" x14ac:dyDescent="0.2">
      <c r="A258" s="261"/>
      <c r="B258" s="264" t="s">
        <v>97</v>
      </c>
      <c r="C258" s="269">
        <v>0</v>
      </c>
      <c r="D258" s="270">
        <v>2546394.0483466457</v>
      </c>
      <c r="E258" s="270">
        <v>2546394.0483466457</v>
      </c>
      <c r="F258" s="270">
        <v>2546394.0483466457</v>
      </c>
      <c r="G258" s="270">
        <v>2546394.0483466457</v>
      </c>
      <c r="H258" s="270">
        <v>2546394.0483466457</v>
      </c>
      <c r="I258" s="270">
        <v>2546394.0483466447</v>
      </c>
      <c r="J258" s="270">
        <v>2546394.0483466447</v>
      </c>
      <c r="K258" s="270">
        <v>2546394.0483466447</v>
      </c>
      <c r="L258" s="270">
        <v>2546394.0483466447</v>
      </c>
      <c r="M258" s="270">
        <v>2546394.0483466447</v>
      </c>
      <c r="N258" s="270">
        <v>2546394.0483466447</v>
      </c>
      <c r="O258" s="270">
        <v>2546394.0483466447</v>
      </c>
      <c r="P258" s="270">
        <v>2546394.0483466447</v>
      </c>
      <c r="Q258" s="270">
        <v>2546394.0483466447</v>
      </c>
      <c r="R258" s="270">
        <v>2546394.0483466447</v>
      </c>
      <c r="S258" s="270">
        <v>2546394.0483466447</v>
      </c>
      <c r="T258" s="270">
        <v>2546394.0483466447</v>
      </c>
      <c r="U258" s="270">
        <v>2546394.0483466447</v>
      </c>
      <c r="V258" s="270">
        <v>2546394.0483466447</v>
      </c>
    </row>
    <row r="259" spans="1:22" x14ac:dyDescent="0.2">
      <c r="A259" s="261"/>
      <c r="B259" s="264" t="s">
        <v>91</v>
      </c>
      <c r="C259" s="269">
        <v>0</v>
      </c>
      <c r="D259" s="271">
        <v>0.90838828779489356</v>
      </c>
      <c r="E259" s="271">
        <v>0.90838828779489356</v>
      </c>
      <c r="F259" s="271">
        <v>0.90838828779489356</v>
      </c>
      <c r="G259" s="271">
        <v>0.90838828779489356</v>
      </c>
      <c r="H259" s="271">
        <v>0.90838828779489356</v>
      </c>
      <c r="I259" s="271">
        <v>0.90838828779489333</v>
      </c>
      <c r="J259" s="271">
        <v>0.90838828779489333</v>
      </c>
      <c r="K259" s="271">
        <v>0.90838828779489333</v>
      </c>
      <c r="L259" s="271">
        <v>0.90838828779489333</v>
      </c>
      <c r="M259" s="271">
        <v>0.90838828779489333</v>
      </c>
      <c r="N259" s="271">
        <v>0.90838828779489333</v>
      </c>
      <c r="O259" s="271">
        <v>0.90838828779489333</v>
      </c>
      <c r="P259" s="271">
        <v>0.90838828779489333</v>
      </c>
      <c r="Q259" s="271">
        <v>0.90838828779489333</v>
      </c>
      <c r="R259" s="271">
        <v>0.90838828779489333</v>
      </c>
      <c r="S259" s="271">
        <v>0.90838828779489333</v>
      </c>
      <c r="T259" s="271">
        <v>0.90838828779489333</v>
      </c>
      <c r="U259" s="271">
        <v>0.90838828779489333</v>
      </c>
      <c r="V259" s="271">
        <v>0.90838828779489333</v>
      </c>
    </row>
    <row r="260" spans="1:22" x14ac:dyDescent="0.2">
      <c r="A260" s="263" t="s">
        <v>93</v>
      </c>
      <c r="B260" s="264"/>
      <c r="C260" s="267"/>
      <c r="D260" s="26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</row>
    <row r="261" spans="1:22" x14ac:dyDescent="0.2">
      <c r="A261" s="261"/>
      <c r="B261" s="264" t="s">
        <v>27</v>
      </c>
      <c r="C261" s="272">
        <v>0</v>
      </c>
      <c r="D261" s="273">
        <v>39.483047960013884</v>
      </c>
      <c r="E261" s="273">
        <v>38.935467327251096</v>
      </c>
      <c r="F261" s="273">
        <v>39.684908261352312</v>
      </c>
      <c r="G261" s="273">
        <v>39.122421811677341</v>
      </c>
      <c r="H261" s="273">
        <v>39.417099156106005</v>
      </c>
      <c r="I261" s="273">
        <v>42.078614925257817</v>
      </c>
      <c r="J261" s="273">
        <v>45.119014026963704</v>
      </c>
      <c r="K261" s="273">
        <v>46.286592945186797</v>
      </c>
      <c r="L261" s="273">
        <v>47.255408417907269</v>
      </c>
      <c r="M261" s="273">
        <v>47.424107614868994</v>
      </c>
      <c r="N261" s="273">
        <v>48.448702322124554</v>
      </c>
      <c r="O261" s="273">
        <v>48.992770934223188</v>
      </c>
      <c r="P261" s="273">
        <v>49.569320079245493</v>
      </c>
      <c r="Q261" s="273">
        <v>51.31422066247616</v>
      </c>
      <c r="R261" s="273">
        <v>54.954913135529189</v>
      </c>
      <c r="S261" s="273">
        <v>54.63833292574315</v>
      </c>
      <c r="T261" s="273">
        <v>55.334688595910016</v>
      </c>
      <c r="U261" s="273">
        <v>57.993820916206076</v>
      </c>
      <c r="V261" s="273">
        <v>59.755300551829343</v>
      </c>
    </row>
    <row r="262" spans="1:22" x14ac:dyDescent="0.2">
      <c r="A262" s="261"/>
      <c r="B262" s="264" t="s">
        <v>20</v>
      </c>
      <c r="C262" s="272">
        <v>0</v>
      </c>
      <c r="D262" s="273">
        <v>12.221919599999998</v>
      </c>
      <c r="E262" s="273">
        <v>12.399523399999998</v>
      </c>
      <c r="F262" s="273">
        <v>12.6148308</v>
      </c>
      <c r="G262" s="273">
        <v>12.974999399999998</v>
      </c>
      <c r="H262" s="273">
        <v>13.4234738</v>
      </c>
      <c r="I262" s="273">
        <v>13.9374334</v>
      </c>
      <c r="J262" s="273">
        <v>14.258906200000004</v>
      </c>
      <c r="K262" s="273">
        <v>14.565496000000003</v>
      </c>
      <c r="L262" s="273">
        <v>14.806600600000001</v>
      </c>
      <c r="M262" s="273">
        <v>14.9286412</v>
      </c>
      <c r="N262" s="273">
        <v>15.133034400000003</v>
      </c>
      <c r="O262" s="273">
        <v>15.4624448</v>
      </c>
      <c r="P262" s="273">
        <v>15.814675800000007</v>
      </c>
      <c r="Q262" s="273">
        <v>16.152023800000006</v>
      </c>
      <c r="R262" s="273">
        <v>16.382214200000004</v>
      </c>
      <c r="S262" s="273">
        <v>16.718570000000007</v>
      </c>
      <c r="T262" s="273">
        <v>17.100567000000005</v>
      </c>
      <c r="U262" s="273">
        <v>17.5202676</v>
      </c>
      <c r="V262" s="273">
        <v>17.953859000000001</v>
      </c>
    </row>
    <row r="263" spans="1:22" x14ac:dyDescent="0.2">
      <c r="A263" s="261"/>
      <c r="B263" s="264" t="s">
        <v>92</v>
      </c>
      <c r="C263" s="272">
        <v>0</v>
      </c>
      <c r="D263" s="273">
        <v>0.66722109998766355</v>
      </c>
      <c r="E263" s="273">
        <v>0.68068852798801704</v>
      </c>
      <c r="F263" s="273">
        <v>1.2608277873452449</v>
      </c>
      <c r="G263" s="273">
        <v>1.2890043648001401</v>
      </c>
      <c r="H263" s="273">
        <v>1.3178178578398221</v>
      </c>
      <c r="I263" s="273">
        <v>1.3472828269330817</v>
      </c>
      <c r="J263" s="273">
        <v>1.3774141690608439</v>
      </c>
      <c r="K263" s="273">
        <v>1.4082271255739081</v>
      </c>
      <c r="L263" s="273">
        <v>1.4397372902359304</v>
      </c>
      <c r="M263" s="273">
        <v>1.4719606174560513</v>
      </c>
      <c r="N263" s="273">
        <v>1.5049134307156762</v>
      </c>
      <c r="O263" s="273">
        <v>1.538612431194033</v>
      </c>
      <c r="P263" s="273">
        <v>1.573074706597229</v>
      </c>
      <c r="Q263" s="273">
        <v>1.6083177401956563</v>
      </c>
      <c r="R263" s="273">
        <v>1.6443594200747027</v>
      </c>
      <c r="S263" s="273">
        <v>1.6812180486038377</v>
      </c>
      <c r="T263" s="273">
        <v>1.7189123521292902</v>
      </c>
      <c r="U263" s="273">
        <v>1.7574614908956234</v>
      </c>
      <c r="V263" s="273">
        <v>1.7968850692016731</v>
      </c>
    </row>
    <row r="264" spans="1:22" x14ac:dyDescent="0.2">
      <c r="A264" s="261"/>
      <c r="B264" s="264" t="s">
        <v>22</v>
      </c>
      <c r="C264" s="272">
        <v>0</v>
      </c>
      <c r="D264" s="273">
        <v>0</v>
      </c>
      <c r="E264" s="273">
        <v>0</v>
      </c>
      <c r="F264" s="273">
        <v>0</v>
      </c>
      <c r="G264" s="273">
        <v>0</v>
      </c>
      <c r="H264" s="273">
        <v>0</v>
      </c>
      <c r="I264" s="273">
        <v>0.40318656472228531</v>
      </c>
      <c r="J264" s="273">
        <v>0.4469000988569975</v>
      </c>
      <c r="K264" s="273">
        <v>0.57887738910379705</v>
      </c>
      <c r="L264" s="273">
        <v>0.54163161728524978</v>
      </c>
      <c r="M264" s="273">
        <v>0.60237763454586302</v>
      </c>
      <c r="N264" s="273">
        <v>0.66356451851450371</v>
      </c>
      <c r="O264" s="273">
        <v>0.73520959224822113</v>
      </c>
      <c r="P264" s="273">
        <v>0.8243633569456007</v>
      </c>
      <c r="Q264" s="273">
        <v>0.91764505572426636</v>
      </c>
      <c r="R264" s="273">
        <v>1.0164703973938727</v>
      </c>
      <c r="S264" s="273">
        <v>1.1160832463232515</v>
      </c>
      <c r="T264" s="273">
        <v>1.0964973778314351</v>
      </c>
      <c r="U264" s="273">
        <v>0.93811281355462128</v>
      </c>
      <c r="V264" s="273">
        <v>0.97264990909046112</v>
      </c>
    </row>
    <row r="265" spans="1:22" x14ac:dyDescent="0.2">
      <c r="A265" s="261"/>
      <c r="B265" s="264" t="s">
        <v>23</v>
      </c>
      <c r="C265" s="272">
        <v>0</v>
      </c>
      <c r="D265" s="273">
        <v>0</v>
      </c>
      <c r="E265" s="273">
        <v>0</v>
      </c>
      <c r="F265" s="273">
        <v>0.67855714784332399</v>
      </c>
      <c r="G265" s="273">
        <v>0.5781732240442724</v>
      </c>
      <c r="H265" s="273">
        <v>0.60022279675878087</v>
      </c>
      <c r="I265" s="273">
        <v>0.6233842224649172</v>
      </c>
      <c r="J265" s="273">
        <v>0.7831067335333145</v>
      </c>
      <c r="K265" s="273">
        <v>0.68403495537935866</v>
      </c>
      <c r="L265" s="273">
        <v>0.7240026692010797</v>
      </c>
      <c r="M265" s="273">
        <v>0.68891626829408914</v>
      </c>
      <c r="N265" s="273">
        <v>0.70864739800767906</v>
      </c>
      <c r="O265" s="273">
        <v>0.72702324295236065</v>
      </c>
      <c r="P265" s="273">
        <v>0.64938429051650359</v>
      </c>
      <c r="Q265" s="273">
        <v>0.67260281706600966</v>
      </c>
      <c r="R265" s="273">
        <v>0.68650241067797135</v>
      </c>
      <c r="S265" s="273">
        <v>0.72901732768321925</v>
      </c>
      <c r="T265" s="273">
        <v>0.68535189923169093</v>
      </c>
      <c r="U265" s="273">
        <v>0.75483084697981317</v>
      </c>
      <c r="V265" s="273">
        <v>0.41096807310689421</v>
      </c>
    </row>
    <row r="266" spans="1:22" x14ac:dyDescent="0.2">
      <c r="A266" s="263" t="s">
        <v>94</v>
      </c>
      <c r="B266" s="264"/>
      <c r="C266" s="267"/>
      <c r="D266" s="26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</row>
    <row r="267" spans="1:22" x14ac:dyDescent="0.2">
      <c r="A267" s="261"/>
      <c r="B267" s="264" t="s">
        <v>34</v>
      </c>
      <c r="C267" s="272">
        <v>0</v>
      </c>
      <c r="D267" s="273">
        <v>14.728115414107913</v>
      </c>
      <c r="E267" s="273">
        <v>15.022677722390071</v>
      </c>
      <c r="F267" s="273">
        <v>15.538509401837873</v>
      </c>
      <c r="G267" s="273">
        <v>15.850356480499633</v>
      </c>
      <c r="H267" s="273">
        <v>16.168467423000251</v>
      </c>
      <c r="I267" s="273">
        <v>16.492968179673145</v>
      </c>
      <c r="J267" s="273">
        <v>16.823987236684818</v>
      </c>
      <c r="K267" s="273">
        <v>17.161655667172187</v>
      </c>
      <c r="L267" s="273">
        <v>17.506107183413139</v>
      </c>
      <c r="M267" s="273">
        <v>17.857478190051349</v>
      </c>
      <c r="N267" s="273">
        <v>18.215907838396575</v>
      </c>
      <c r="O267" s="273">
        <v>18.581538081822309</v>
      </c>
      <c r="P267" s="273">
        <v>18.954513732283001</v>
      </c>
      <c r="Q267" s="273">
        <v>19.334982517973515</v>
      </c>
      <c r="R267" s="273">
        <v>19.723095142153955</v>
      </c>
      <c r="S267" s="273">
        <v>20.119005343163533</v>
      </c>
      <c r="T267" s="273">
        <v>20.522869955647465</v>
      </c>
      <c r="U267" s="273">
        <v>20.934848973021591</v>
      </c>
      <c r="V267" s="273">
        <v>21.355105611199733</v>
      </c>
    </row>
    <row r="268" spans="1:22" x14ac:dyDescent="0.2">
      <c r="A268" s="261"/>
      <c r="B268" s="264" t="s">
        <v>95</v>
      </c>
      <c r="C268" s="272">
        <v>0</v>
      </c>
      <c r="D268" s="273">
        <v>2.1737259732476195</v>
      </c>
      <c r="E268" s="273">
        <v>2.2162929970220846</v>
      </c>
      <c r="F268" s="273">
        <v>2.2597922386172105</v>
      </c>
      <c r="G268" s="273">
        <v>2.3042745630723855</v>
      </c>
      <c r="H268" s="273">
        <v>2.3498155668495944</v>
      </c>
      <c r="I268" s="273">
        <v>2.3983616512054398</v>
      </c>
      <c r="J268" s="273">
        <v>2.448113242729606</v>
      </c>
      <c r="K268" s="273">
        <v>2.4971642910902112</v>
      </c>
      <c r="L268" s="273">
        <v>2.5494357372037868</v>
      </c>
      <c r="M268" s="273">
        <v>2.6009800429949044</v>
      </c>
      <c r="N268" s="273">
        <v>2.6537717209861671</v>
      </c>
      <c r="O268" s="273">
        <v>2.7078937492628099</v>
      </c>
      <c r="P268" s="273">
        <v>2.7633904770576794</v>
      </c>
      <c r="Q268" s="273">
        <v>2.8202746230474198</v>
      </c>
      <c r="R268" s="273">
        <v>2.8785865611015033</v>
      </c>
      <c r="S268" s="273">
        <v>2.9383562976069388</v>
      </c>
      <c r="T268" s="273">
        <v>2.9996083235777093</v>
      </c>
      <c r="U268" s="273">
        <v>3.062397775400346</v>
      </c>
      <c r="V268" s="273">
        <v>3.1267632424637308</v>
      </c>
    </row>
    <row r="269" spans="1:22" x14ac:dyDescent="0.2">
      <c r="A269" s="261"/>
      <c r="B269" s="264" t="s">
        <v>36</v>
      </c>
      <c r="C269" s="272">
        <v>0</v>
      </c>
      <c r="D269" s="273">
        <v>2.0531615456764563</v>
      </c>
      <c r="E269" s="273">
        <v>2.096483254290241</v>
      </c>
      <c r="F269" s="273">
        <v>2.1423962375592001</v>
      </c>
      <c r="G269" s="273">
        <v>2.1908143925280221</v>
      </c>
      <c r="H269" s="273">
        <v>2.2429557750701936</v>
      </c>
      <c r="I269" s="273">
        <v>2.2991644722818281</v>
      </c>
      <c r="J269" s="273">
        <v>2.3561901563715408</v>
      </c>
      <c r="K269" s="273">
        <v>2.4158301984711064</v>
      </c>
      <c r="L269" s="273">
        <v>2.4755012043733435</v>
      </c>
      <c r="M269" s="273">
        <v>2.5386264850848561</v>
      </c>
      <c r="N269" s="273">
        <v>2.6000612460239219</v>
      </c>
      <c r="O269" s="273">
        <v>2.6655827894237158</v>
      </c>
      <c r="P269" s="273">
        <v>2.733288592275072</v>
      </c>
      <c r="Q269" s="273">
        <v>2.8016208070819499</v>
      </c>
      <c r="R269" s="273">
        <v>2.8719414893397062</v>
      </c>
      <c r="S269" s="273">
        <v>2.9437400265732032</v>
      </c>
      <c r="T269" s="273">
        <v>3.0167447792322157</v>
      </c>
      <c r="U269" s="273">
        <v>3.09246507319095</v>
      </c>
      <c r="V269" s="273">
        <v>3.1700859465280313</v>
      </c>
    </row>
    <row r="270" spans="1:22" x14ac:dyDescent="0.2">
      <c r="A270" s="261"/>
      <c r="B270" s="264" t="s">
        <v>39</v>
      </c>
      <c r="C270" s="272">
        <v>0</v>
      </c>
      <c r="D270" s="273">
        <v>54.447382374999975</v>
      </c>
      <c r="E270" s="273">
        <v>7.4509777812500007</v>
      </c>
      <c r="F270" s="273">
        <v>9.8051074062500003</v>
      </c>
      <c r="G270" s="273">
        <v>17.685693625000003</v>
      </c>
      <c r="H270" s="273">
        <v>15</v>
      </c>
      <c r="I270" s="273">
        <v>15.45</v>
      </c>
      <c r="J270" s="273">
        <v>15.913500000000001</v>
      </c>
      <c r="K270" s="273">
        <v>16.390905</v>
      </c>
      <c r="L270" s="273">
        <v>16.882632150000003</v>
      </c>
      <c r="M270" s="273">
        <v>17.389111114500004</v>
      </c>
      <c r="N270" s="273">
        <v>17.910784447935001</v>
      </c>
      <c r="O270" s="273">
        <v>18.448107981373052</v>
      </c>
      <c r="P270" s="273">
        <v>19.001551220814243</v>
      </c>
      <c r="Q270" s="273">
        <v>19.571597757438671</v>
      </c>
      <c r="R270" s="273">
        <v>20.158745690161833</v>
      </c>
      <c r="S270" s="273">
        <v>20.763508060866691</v>
      </c>
      <c r="T270" s="273">
        <v>21.386413302692691</v>
      </c>
      <c r="U270" s="273">
        <v>22.028005701773473</v>
      </c>
      <c r="V270" s="273">
        <v>22.688845872826679</v>
      </c>
    </row>
    <row r="271" spans="1:22" x14ac:dyDescent="0.2">
      <c r="A271" s="261"/>
      <c r="B271" s="264" t="s">
        <v>96</v>
      </c>
      <c r="C271" s="274">
        <v>0</v>
      </c>
      <c r="D271" s="275">
        <v>44.497660406249999</v>
      </c>
      <c r="E271" s="275">
        <v>0.22292068749999999</v>
      </c>
      <c r="F271" s="275">
        <v>0</v>
      </c>
      <c r="G271" s="275">
        <v>0</v>
      </c>
      <c r="H271" s="275">
        <v>0</v>
      </c>
      <c r="I271" s="275">
        <v>0</v>
      </c>
      <c r="J271" s="275">
        <v>0</v>
      </c>
      <c r="K271" s="275">
        <v>0</v>
      </c>
      <c r="L271" s="275">
        <v>0</v>
      </c>
      <c r="M271" s="275">
        <v>0</v>
      </c>
      <c r="N271" s="275">
        <v>0</v>
      </c>
      <c r="O271" s="275">
        <v>0</v>
      </c>
      <c r="P271" s="275">
        <v>0</v>
      </c>
      <c r="Q271" s="275">
        <v>0</v>
      </c>
      <c r="R271" s="275">
        <v>0</v>
      </c>
      <c r="S271" s="275">
        <v>0</v>
      </c>
      <c r="T271" s="275">
        <v>0</v>
      </c>
      <c r="U271" s="275">
        <v>0</v>
      </c>
      <c r="V271" s="275">
        <v>0</v>
      </c>
    </row>
    <row r="272" spans="1:22" x14ac:dyDescent="0.2">
      <c r="A272" s="261"/>
      <c r="B272" s="264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</row>
    <row r="273" spans="1:22" x14ac:dyDescent="0.2">
      <c r="A273" s="261"/>
      <c r="B273" s="264"/>
      <c r="C273" s="261"/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</row>
    <row r="274" spans="1:22" x14ac:dyDescent="0.2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 spans="1:22" x14ac:dyDescent="0.2">
      <c r="A275" s="24"/>
      <c r="B275" s="23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</row>
    <row r="276" spans="1:22" x14ac:dyDescent="0.2">
      <c r="A276" s="259" t="s">
        <v>98</v>
      </c>
      <c r="B276" s="260"/>
      <c r="C276" s="261"/>
      <c r="D276" s="261"/>
      <c r="E276" s="261"/>
      <c r="F276" s="261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</row>
    <row r="277" spans="1:22" x14ac:dyDescent="0.2">
      <c r="A277" s="262" t="s">
        <v>66</v>
      </c>
      <c r="B277" s="260"/>
      <c r="C277" s="261"/>
      <c r="D277" s="261"/>
      <c r="E277" s="261"/>
      <c r="F277" s="261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</row>
    <row r="278" spans="1:22" x14ac:dyDescent="0.2">
      <c r="A278" s="261"/>
      <c r="B278" s="260"/>
      <c r="C278" s="261"/>
      <c r="D278" s="261"/>
      <c r="E278" s="261"/>
      <c r="F278" s="261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</row>
    <row r="279" spans="1:22" x14ac:dyDescent="0.2">
      <c r="A279" s="261"/>
      <c r="B279" s="260"/>
      <c r="C279" s="265">
        <v>2000</v>
      </c>
      <c r="D279" s="266">
        <v>2001</v>
      </c>
      <c r="E279" s="266">
        <v>2002</v>
      </c>
      <c r="F279" s="266">
        <v>2003</v>
      </c>
      <c r="G279" s="266">
        <v>2004</v>
      </c>
      <c r="H279" s="266">
        <v>2005</v>
      </c>
      <c r="I279" s="266">
        <v>2006</v>
      </c>
      <c r="J279" s="266">
        <v>2007</v>
      </c>
      <c r="K279" s="266">
        <v>2008</v>
      </c>
      <c r="L279" s="266">
        <v>2009</v>
      </c>
      <c r="M279" s="266">
        <v>2010</v>
      </c>
      <c r="N279" s="266">
        <v>2011</v>
      </c>
      <c r="O279" s="266">
        <v>2012</v>
      </c>
      <c r="P279" s="266">
        <v>2013</v>
      </c>
      <c r="Q279" s="266">
        <v>2014</v>
      </c>
      <c r="R279" s="266">
        <v>2015</v>
      </c>
      <c r="S279" s="266">
        <v>2016</v>
      </c>
      <c r="T279" s="266">
        <v>2017</v>
      </c>
      <c r="U279" s="266">
        <v>2018</v>
      </c>
      <c r="V279" s="266">
        <v>2019</v>
      </c>
    </row>
    <row r="280" spans="1:22" x14ac:dyDescent="0.2">
      <c r="A280" s="263" t="s">
        <v>129</v>
      </c>
      <c r="B280" s="260"/>
      <c r="C280" s="267"/>
      <c r="D280" s="26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</row>
    <row r="281" spans="1:22" x14ac:dyDescent="0.2">
      <c r="A281" s="261"/>
      <c r="B281" s="264" t="s">
        <v>97</v>
      </c>
      <c r="C281" s="269">
        <v>0</v>
      </c>
      <c r="D281" s="270">
        <v>735259.96396805905</v>
      </c>
      <c r="E281" s="270">
        <v>735259.96396805905</v>
      </c>
      <c r="F281" s="270">
        <v>735259.96396805905</v>
      </c>
      <c r="G281" s="270">
        <v>735259.96396805905</v>
      </c>
      <c r="H281" s="270">
        <v>735259.96396805905</v>
      </c>
      <c r="I281" s="270">
        <v>735259.96396805916</v>
      </c>
      <c r="J281" s="270">
        <v>735259.96396805916</v>
      </c>
      <c r="K281" s="270">
        <v>735259.96396805916</v>
      </c>
      <c r="L281" s="270">
        <v>735259.96396805916</v>
      </c>
      <c r="M281" s="270">
        <v>735259.96396805916</v>
      </c>
      <c r="N281" s="270">
        <v>725394.45236328687</v>
      </c>
      <c r="O281" s="270">
        <v>735259.96396805916</v>
      </c>
      <c r="P281" s="270">
        <v>735259.96396805916</v>
      </c>
      <c r="Q281" s="270">
        <v>735259.96396805916</v>
      </c>
      <c r="R281" s="270">
        <v>725394.45236328687</v>
      </c>
      <c r="S281" s="270">
        <v>735259.96396805916</v>
      </c>
      <c r="T281" s="270">
        <v>735259.96396805916</v>
      </c>
      <c r="U281" s="270">
        <v>735259.96396805916</v>
      </c>
      <c r="V281" s="270">
        <v>735259.96396805916</v>
      </c>
    </row>
    <row r="282" spans="1:22" x14ac:dyDescent="0.2">
      <c r="A282" s="261"/>
      <c r="B282" s="264" t="s">
        <v>91</v>
      </c>
      <c r="C282" s="269">
        <v>0</v>
      </c>
      <c r="D282" s="271">
        <v>0.89291261533087907</v>
      </c>
      <c r="E282" s="271">
        <v>0.89291261533087907</v>
      </c>
      <c r="F282" s="271">
        <v>0.89291261533087907</v>
      </c>
      <c r="G282" s="271">
        <v>0.89291261533087907</v>
      </c>
      <c r="H282" s="271">
        <v>0.89291261533087907</v>
      </c>
      <c r="I282" s="271">
        <v>0.89291261533087929</v>
      </c>
      <c r="J282" s="271">
        <v>0.89291261533087929</v>
      </c>
      <c r="K282" s="271">
        <v>0.89291261533087929</v>
      </c>
      <c r="L282" s="271">
        <v>0.89291261533087929</v>
      </c>
      <c r="M282" s="271">
        <v>0.89291261533087929</v>
      </c>
      <c r="N282" s="271">
        <v>0.88093176474702095</v>
      </c>
      <c r="O282" s="271">
        <v>0.89291261533087929</v>
      </c>
      <c r="P282" s="271">
        <v>0.89291261533087929</v>
      </c>
      <c r="Q282" s="271">
        <v>0.89291261533087929</v>
      </c>
      <c r="R282" s="271">
        <v>0.88093176474702095</v>
      </c>
      <c r="S282" s="271">
        <v>0.89291261533087929</v>
      </c>
      <c r="T282" s="271">
        <v>0.89291261533087929</v>
      </c>
      <c r="U282" s="271">
        <v>0.89291261533087929</v>
      </c>
      <c r="V282" s="271">
        <v>0.89291261533087929</v>
      </c>
    </row>
    <row r="283" spans="1:22" x14ac:dyDescent="0.2">
      <c r="A283" s="263" t="s">
        <v>93</v>
      </c>
      <c r="B283" s="264"/>
      <c r="C283" s="267"/>
      <c r="D283" s="26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</row>
    <row r="284" spans="1:22" x14ac:dyDescent="0.2">
      <c r="A284" s="261"/>
      <c r="B284" s="264" t="s">
        <v>27</v>
      </c>
      <c r="C284" s="272">
        <v>0</v>
      </c>
      <c r="D284" s="273">
        <v>39.483047960013884</v>
      </c>
      <c r="E284" s="273">
        <v>38.935467327251104</v>
      </c>
      <c r="F284" s="273">
        <v>39.684908261352312</v>
      </c>
      <c r="G284" s="273">
        <v>39.122421811677349</v>
      </c>
      <c r="H284" s="273">
        <v>39.417099156106005</v>
      </c>
      <c r="I284" s="273">
        <v>42.078614925257824</v>
      </c>
      <c r="J284" s="273">
        <v>45.119014026963704</v>
      </c>
      <c r="K284" s="273">
        <v>46.286592945186783</v>
      </c>
      <c r="L284" s="273">
        <v>47.25540841790724</v>
      </c>
      <c r="M284" s="273">
        <v>47.424107614868966</v>
      </c>
      <c r="N284" s="273">
        <v>48.780105396047396</v>
      </c>
      <c r="O284" s="273">
        <v>48.992770934223181</v>
      </c>
      <c r="P284" s="273">
        <v>49.569320079245465</v>
      </c>
      <c r="Q284" s="273">
        <v>51.314220662476124</v>
      </c>
      <c r="R284" s="273">
        <v>55.333506197790832</v>
      </c>
      <c r="S284" s="273">
        <v>54.638332925743029</v>
      </c>
      <c r="T284" s="273">
        <v>55.334688595910052</v>
      </c>
      <c r="U284" s="273">
        <v>57.993820916206069</v>
      </c>
      <c r="V284" s="273">
        <v>59.755300551829279</v>
      </c>
    </row>
    <row r="285" spans="1:22" x14ac:dyDescent="0.2">
      <c r="A285" s="261"/>
      <c r="B285" s="264" t="s">
        <v>20</v>
      </c>
      <c r="C285" s="272">
        <v>0</v>
      </c>
      <c r="D285" s="273">
        <v>13.3987608</v>
      </c>
      <c r="E285" s="273">
        <v>13.591540799999995</v>
      </c>
      <c r="F285" s="273">
        <v>13.828384799999998</v>
      </c>
      <c r="G285" s="273">
        <v>14.223859199999998</v>
      </c>
      <c r="H285" s="273">
        <v>14.718477599999996</v>
      </c>
      <c r="I285" s="273">
        <v>15.283598399999995</v>
      </c>
      <c r="J285" s="273">
        <v>15.636110399999993</v>
      </c>
      <c r="K285" s="273">
        <v>15.972098399999997</v>
      </c>
      <c r="L285" s="273">
        <v>16.235380799999994</v>
      </c>
      <c r="M285" s="273">
        <v>16.365369599999998</v>
      </c>
      <c r="N285" s="273">
        <v>16.587892799999999</v>
      </c>
      <c r="O285" s="273">
        <v>16.948115999999992</v>
      </c>
      <c r="P285" s="273">
        <v>17.334777599999999</v>
      </c>
      <c r="Q285" s="273">
        <v>17.702711999999995</v>
      </c>
      <c r="R285" s="273">
        <v>17.953876799999996</v>
      </c>
      <c r="S285" s="273">
        <v>18.321811199999999</v>
      </c>
      <c r="T285" s="273">
        <v>18.740419199999995</v>
      </c>
      <c r="U285" s="273">
        <v>19.199786399999997</v>
      </c>
      <c r="V285" s="273">
        <v>19.674575999999991</v>
      </c>
    </row>
    <row r="286" spans="1:22" x14ac:dyDescent="0.2">
      <c r="A286" s="261"/>
      <c r="B286" s="264" t="s">
        <v>92</v>
      </c>
      <c r="C286" s="272">
        <v>0</v>
      </c>
      <c r="D286" s="273">
        <v>1.04716644859175</v>
      </c>
      <c r="E286" s="273">
        <v>1.0683028286478613</v>
      </c>
      <c r="F286" s="273">
        <v>1.089865832916844</v>
      </c>
      <c r="G286" s="273">
        <v>1.1118640725335538</v>
      </c>
      <c r="H286" s="273">
        <v>1.134306332443054</v>
      </c>
      <c r="I286" s="273">
        <v>1.1572015749088642</v>
      </c>
      <c r="J286" s="273">
        <v>1.1805589430920187</v>
      </c>
      <c r="K286" s="273">
        <v>1.204387764702366</v>
      </c>
      <c r="L286" s="273">
        <v>1.2286975557235675</v>
      </c>
      <c r="M286" s="273">
        <v>1.2534980242132843</v>
      </c>
      <c r="N286" s="273">
        <v>1.2788150852995945</v>
      </c>
      <c r="O286" s="273">
        <v>1.3046108095384903</v>
      </c>
      <c r="P286" s="273">
        <v>1.3309435381441472</v>
      </c>
      <c r="Q286" s="273">
        <v>1.3578077759100449</v>
      </c>
      <c r="R286" s="273">
        <v>1.3852002247379571</v>
      </c>
      <c r="S286" s="273">
        <v>1.4131739081435144</v>
      </c>
      <c r="T286" s="273">
        <v>1.4416979129453011</v>
      </c>
      <c r="U286" s="273">
        <v>1.4707976564054679</v>
      </c>
      <c r="V286" s="273">
        <v>1.5004847594378754</v>
      </c>
    </row>
    <row r="287" spans="1:22" x14ac:dyDescent="0.2">
      <c r="A287" s="261"/>
      <c r="B287" s="264" t="s">
        <v>22</v>
      </c>
      <c r="C287" s="272">
        <v>0</v>
      </c>
      <c r="D287" s="273">
        <v>0</v>
      </c>
      <c r="E287" s="273">
        <v>0</v>
      </c>
      <c r="F287" s="273">
        <v>0</v>
      </c>
      <c r="G287" s="273">
        <v>0</v>
      </c>
      <c r="H287" s="273">
        <v>0</v>
      </c>
      <c r="I287" s="273">
        <v>1.259570691016503</v>
      </c>
      <c r="J287" s="273">
        <v>1.3961334915025723</v>
      </c>
      <c r="K287" s="273">
        <v>1.6357708748197424</v>
      </c>
      <c r="L287" s="273">
        <v>1.6920784821544912</v>
      </c>
      <c r="M287" s="273">
        <v>1.881851430045633</v>
      </c>
      <c r="N287" s="273">
        <v>2.0551786763354127</v>
      </c>
      <c r="O287" s="273">
        <v>2.2968236919995437</v>
      </c>
      <c r="P287" s="273">
        <v>2.5753435605471231</v>
      </c>
      <c r="Q287" s="273">
        <v>2.8667592575725664</v>
      </c>
      <c r="R287" s="273">
        <v>3.1481916642057608</v>
      </c>
      <c r="S287" s="273">
        <v>3.4866879722830646</v>
      </c>
      <c r="T287" s="273">
        <v>3.4255009485354213</v>
      </c>
      <c r="U287" s="273">
        <v>2.9307013383105351</v>
      </c>
      <c r="V287" s="273">
        <v>3.0385965835792996</v>
      </c>
    </row>
    <row r="288" spans="1:22" x14ac:dyDescent="0.2">
      <c r="A288" s="261"/>
      <c r="B288" s="264" t="s">
        <v>23</v>
      </c>
      <c r="C288" s="272">
        <v>0</v>
      </c>
      <c r="D288" s="273">
        <v>0</v>
      </c>
      <c r="E288" s="273">
        <v>0</v>
      </c>
      <c r="F288" s="273">
        <v>3.2799994693376466</v>
      </c>
      <c r="G288" s="273">
        <v>2.7947651484887497</v>
      </c>
      <c r="H288" s="273">
        <v>2.9013480457916141</v>
      </c>
      <c r="I288" s="273">
        <v>3.0133054015820382</v>
      </c>
      <c r="J288" s="273">
        <v>3.7853697048035313</v>
      </c>
      <c r="K288" s="273">
        <v>3.3064780140975576</v>
      </c>
      <c r="L288" s="273">
        <v>3.4996733559232887</v>
      </c>
      <c r="M288" s="273">
        <v>3.3300732320108519</v>
      </c>
      <c r="N288" s="273">
        <v>3.4254492739488125</v>
      </c>
      <c r="O288" s="273">
        <v>3.514274160487481</v>
      </c>
      <c r="P288" s="273">
        <v>3.1389841446075799</v>
      </c>
      <c r="Q288" s="273">
        <v>3.2512175136071306</v>
      </c>
      <c r="R288" s="273">
        <v>3.3184051628952491</v>
      </c>
      <c r="S288" s="273">
        <v>3.5239131376610602</v>
      </c>
      <c r="T288" s="273">
        <v>3.3128438377434013</v>
      </c>
      <c r="U288" s="273">
        <v>3.6486901440836865</v>
      </c>
      <c r="V288" s="273">
        <v>1.9865313717343229</v>
      </c>
    </row>
    <row r="289" spans="1:22" x14ac:dyDescent="0.2">
      <c r="A289" s="263" t="s">
        <v>94</v>
      </c>
      <c r="B289" s="264"/>
      <c r="C289" s="267"/>
      <c r="D289" s="26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</row>
    <row r="290" spans="1:22" x14ac:dyDescent="0.2">
      <c r="A290" s="261"/>
      <c r="B290" s="264" t="s">
        <v>34</v>
      </c>
      <c r="C290" s="272">
        <v>0</v>
      </c>
      <c r="D290" s="273">
        <v>30.666312099815602</v>
      </c>
      <c r="E290" s="273">
        <v>31.279638341811918</v>
      </c>
      <c r="F290" s="273">
        <v>31.905231108648156</v>
      </c>
      <c r="G290" s="273">
        <v>32.54333573082112</v>
      </c>
      <c r="H290" s="273">
        <v>33.194202445437547</v>
      </c>
      <c r="I290" s="273">
        <v>33.858086494346296</v>
      </c>
      <c r="J290" s="273">
        <v>34.535248224233221</v>
      </c>
      <c r="K290" s="273">
        <v>35.225953188717888</v>
      </c>
      <c r="L290" s="273">
        <v>35.930472252492244</v>
      </c>
      <c r="M290" s="273">
        <v>36.649081697542087</v>
      </c>
      <c r="N290" s="273">
        <v>37.38206333149293</v>
      </c>
      <c r="O290" s="273">
        <v>38.129704598122785</v>
      </c>
      <c r="P290" s="273">
        <v>38.892298690085248</v>
      </c>
      <c r="Q290" s="273">
        <v>39.670144663886951</v>
      </c>
      <c r="R290" s="273">
        <v>40.463547557164695</v>
      </c>
      <c r="S290" s="273">
        <v>41.272818508307985</v>
      </c>
      <c r="T290" s="273">
        <v>42.098274878474143</v>
      </c>
      <c r="U290" s="273">
        <v>42.940240376043626</v>
      </c>
      <c r="V290" s="273">
        <v>43.799045183564502</v>
      </c>
    </row>
    <row r="291" spans="1:22" x14ac:dyDescent="0.2">
      <c r="A291" s="261"/>
      <c r="B291" s="264" t="s">
        <v>95</v>
      </c>
      <c r="C291" s="272">
        <v>0</v>
      </c>
      <c r="D291" s="273">
        <v>2.6253414896786973</v>
      </c>
      <c r="E291" s="273">
        <v>2.6838234878304124</v>
      </c>
      <c r="F291" s="273">
        <v>2.746754804199087</v>
      </c>
      <c r="G291" s="273">
        <v>2.8644707345018867</v>
      </c>
      <c r="H291" s="273">
        <v>3.3973007949922764</v>
      </c>
      <c r="I291" s="273">
        <v>4.2325626395991485</v>
      </c>
      <c r="J291" s="273">
        <v>4.7276120455511981</v>
      </c>
      <c r="K291" s="273">
        <v>5.2311424970218869</v>
      </c>
      <c r="L291" s="273">
        <v>5.62352238389024</v>
      </c>
      <c r="M291" s="273">
        <v>5.8251956761767225</v>
      </c>
      <c r="N291" s="273">
        <v>5.8977251259937651</v>
      </c>
      <c r="O291" s="273">
        <v>5.9760227330693629</v>
      </c>
      <c r="P291" s="273">
        <v>6.0522685976973882</v>
      </c>
      <c r="Q291" s="273">
        <v>6.1304206089411135</v>
      </c>
      <c r="R291" s="273">
        <v>6.2105342356670556</v>
      </c>
      <c r="S291" s="273">
        <v>6.292650703061148</v>
      </c>
      <c r="T291" s="273">
        <v>6.3768036588466126</v>
      </c>
      <c r="U291" s="273">
        <v>6.4630688538222927</v>
      </c>
      <c r="V291" s="273">
        <v>6.5514993051918626</v>
      </c>
    </row>
    <row r="292" spans="1:22" x14ac:dyDescent="0.2">
      <c r="A292" s="261"/>
      <c r="B292" s="264" t="s">
        <v>36</v>
      </c>
      <c r="C292" s="272">
        <v>0</v>
      </c>
      <c r="D292" s="273">
        <v>3.2666167237714787</v>
      </c>
      <c r="E292" s="273">
        <v>3.3355423366430745</v>
      </c>
      <c r="F292" s="273">
        <v>3.4085907138155638</v>
      </c>
      <c r="G292" s="273">
        <v>3.4856248639477765</v>
      </c>
      <c r="H292" s="273">
        <v>3.5685827357097337</v>
      </c>
      <c r="I292" s="273">
        <v>3.6580117778226597</v>
      </c>
      <c r="J292" s="273">
        <v>3.7487406606639677</v>
      </c>
      <c r="K292" s="273">
        <v>3.8436290338361272</v>
      </c>
      <c r="L292" s="273">
        <v>3.9385666709718827</v>
      </c>
      <c r="M292" s="273">
        <v>4.03900012108166</v>
      </c>
      <c r="N292" s="273">
        <v>4.1367439240118511</v>
      </c>
      <c r="O292" s="273">
        <v>4.2409898708969367</v>
      </c>
      <c r="P292" s="273">
        <v>4.348711013617713</v>
      </c>
      <c r="Q292" s="273">
        <v>4.4574287889581488</v>
      </c>
      <c r="R292" s="273">
        <v>4.5693102515610002</v>
      </c>
      <c r="S292" s="273">
        <v>4.683543007850032</v>
      </c>
      <c r="T292" s="273">
        <v>4.7996948744447021</v>
      </c>
      <c r="U292" s="273">
        <v>4.9201672157932768</v>
      </c>
      <c r="V292" s="273">
        <v>5.0436634129096918</v>
      </c>
    </row>
    <row r="293" spans="1:22" x14ac:dyDescent="0.2">
      <c r="A293" s="261"/>
      <c r="B293" s="264" t="s">
        <v>39</v>
      </c>
      <c r="C293" s="272">
        <v>0</v>
      </c>
      <c r="D293" s="273">
        <v>57.877794787234045</v>
      </c>
      <c r="E293" s="273">
        <v>12.849956914893616</v>
      </c>
      <c r="F293" s="273">
        <v>3.1286499999999999</v>
      </c>
      <c r="G293" s="273">
        <v>8.263042978723405</v>
      </c>
      <c r="H293" s="273">
        <v>18.345757574468085</v>
      </c>
      <c r="I293" s="273">
        <v>18.896130301702126</v>
      </c>
      <c r="J293" s="273">
        <v>19.46301421075319</v>
      </c>
      <c r="K293" s="273">
        <v>20.046904637075787</v>
      </c>
      <c r="L293" s="273">
        <v>20.648311776188059</v>
      </c>
      <c r="M293" s="273">
        <v>21.267761129473701</v>
      </c>
      <c r="N293" s="273">
        <v>21.905793963357915</v>
      </c>
      <c r="O293" s="273">
        <v>22.562967782258657</v>
      </c>
      <c r="P293" s="273">
        <v>23.239856815726416</v>
      </c>
      <c r="Q293" s="273">
        <v>23.937052520198211</v>
      </c>
      <c r="R293" s="273">
        <v>24.65516409580416</v>
      </c>
      <c r="S293" s="273">
        <v>25.394819018678284</v>
      </c>
      <c r="T293" s="273">
        <v>26.156663589238637</v>
      </c>
      <c r="U293" s="273">
        <v>26.941363496915795</v>
      </c>
      <c r="V293" s="273">
        <v>27.749604401823266</v>
      </c>
    </row>
    <row r="294" spans="1:22" x14ac:dyDescent="0.2">
      <c r="A294" s="261"/>
      <c r="B294" s="264" t="s">
        <v>96</v>
      </c>
      <c r="C294" s="274">
        <v>0</v>
      </c>
      <c r="D294" s="275">
        <v>0</v>
      </c>
      <c r="E294" s="275">
        <v>0</v>
      </c>
      <c r="F294" s="275">
        <v>0</v>
      </c>
      <c r="G294" s="275">
        <v>0</v>
      </c>
      <c r="H294" s="275">
        <v>0</v>
      </c>
      <c r="I294" s="275">
        <v>0</v>
      </c>
      <c r="J294" s="275">
        <v>0</v>
      </c>
      <c r="K294" s="275">
        <v>0</v>
      </c>
      <c r="L294" s="275">
        <v>0</v>
      </c>
      <c r="M294" s="275">
        <v>0</v>
      </c>
      <c r="N294" s="275">
        <v>0</v>
      </c>
      <c r="O294" s="275">
        <v>0</v>
      </c>
      <c r="P294" s="275">
        <v>0</v>
      </c>
      <c r="Q294" s="275">
        <v>0</v>
      </c>
      <c r="R294" s="275">
        <v>0</v>
      </c>
      <c r="S294" s="275">
        <v>0</v>
      </c>
      <c r="T294" s="275">
        <v>0</v>
      </c>
      <c r="U294" s="275">
        <v>0</v>
      </c>
      <c r="V294" s="275">
        <v>0</v>
      </c>
    </row>
    <row r="295" spans="1:22" x14ac:dyDescent="0.2">
      <c r="A295" s="261"/>
      <c r="B295" s="264"/>
      <c r="C295" s="261"/>
      <c r="D295" s="261"/>
      <c r="E295" s="261"/>
      <c r="F295" s="261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</row>
    <row r="296" spans="1:22" x14ac:dyDescent="0.2">
      <c r="A296" s="261"/>
      <c r="B296" s="264"/>
      <c r="C296" s="261"/>
      <c r="D296" s="261"/>
      <c r="E296" s="261"/>
      <c r="F296" s="261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</row>
    <row r="297" spans="1:22" x14ac:dyDescent="0.2">
      <c r="A297" s="292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 spans="1:22" x14ac:dyDescent="0.2">
      <c r="A298" s="24"/>
      <c r="B298" s="289"/>
      <c r="C298" s="290"/>
      <c r="D298" s="290"/>
      <c r="E298" s="290"/>
      <c r="F298" s="290"/>
      <c r="G298" s="290"/>
      <c r="H298" s="290"/>
      <c r="I298" s="290"/>
      <c r="J298" s="290"/>
      <c r="K298" s="290"/>
      <c r="L298" s="290"/>
      <c r="M298" s="290"/>
      <c r="N298" s="290"/>
      <c r="O298" s="290"/>
      <c r="P298" s="290"/>
      <c r="Q298" s="290"/>
      <c r="R298" s="290"/>
      <c r="S298" s="290"/>
      <c r="T298" s="290"/>
      <c r="U298" s="290"/>
      <c r="V298" s="290"/>
    </row>
    <row r="299" spans="1:22" x14ac:dyDescent="0.2">
      <c r="A299" s="259" t="s">
        <v>98</v>
      </c>
      <c r="B299" s="260"/>
      <c r="C299" s="261"/>
      <c r="D299" s="261"/>
      <c r="E299" s="261"/>
      <c r="F299" s="261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</row>
    <row r="300" spans="1:22" x14ac:dyDescent="0.2">
      <c r="A300" s="262" t="s">
        <v>67</v>
      </c>
      <c r="B300" s="260"/>
      <c r="C300" s="261"/>
      <c r="D300" s="261"/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</row>
    <row r="301" spans="1:22" x14ac:dyDescent="0.2">
      <c r="A301" s="261"/>
      <c r="B301" s="260"/>
      <c r="C301" s="261"/>
      <c r="D301" s="261"/>
      <c r="E301" s="261"/>
      <c r="F301" s="261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</row>
    <row r="302" spans="1:22" x14ac:dyDescent="0.2">
      <c r="A302" s="261"/>
      <c r="B302" s="260"/>
      <c r="C302" s="265">
        <v>2000</v>
      </c>
      <c r="D302" s="266">
        <v>2001</v>
      </c>
      <c r="E302" s="266">
        <v>2002</v>
      </c>
      <c r="F302" s="266">
        <v>2003</v>
      </c>
      <c r="G302" s="266">
        <v>2004</v>
      </c>
      <c r="H302" s="266">
        <v>2005</v>
      </c>
      <c r="I302" s="266">
        <v>2006</v>
      </c>
      <c r="J302" s="266">
        <v>2007</v>
      </c>
      <c r="K302" s="266">
        <v>2008</v>
      </c>
      <c r="L302" s="266">
        <v>2009</v>
      </c>
      <c r="M302" s="266">
        <v>2010</v>
      </c>
      <c r="N302" s="266">
        <v>2011</v>
      </c>
      <c r="O302" s="266">
        <v>2012</v>
      </c>
      <c r="P302" s="266">
        <v>2013</v>
      </c>
      <c r="Q302" s="266">
        <v>2014</v>
      </c>
      <c r="R302" s="266">
        <v>2015</v>
      </c>
      <c r="S302" s="266">
        <v>2016</v>
      </c>
      <c r="T302" s="266">
        <v>2017</v>
      </c>
      <c r="U302" s="266">
        <v>2018</v>
      </c>
      <c r="V302" s="266">
        <v>2019</v>
      </c>
    </row>
    <row r="303" spans="1:22" x14ac:dyDescent="0.2">
      <c r="A303" s="263" t="s">
        <v>129</v>
      </c>
      <c r="B303" s="260"/>
      <c r="C303" s="267"/>
      <c r="D303" s="268"/>
      <c r="E303" s="268"/>
      <c r="F303" s="268"/>
      <c r="G303" s="268"/>
      <c r="H303" s="268"/>
      <c r="I303" s="268"/>
      <c r="J303" s="268"/>
      <c r="K303" s="268"/>
      <c r="L303" s="268"/>
      <c r="M303" s="268"/>
      <c r="N303" s="268"/>
      <c r="O303" s="268"/>
      <c r="P303" s="268"/>
      <c r="Q303" s="268"/>
      <c r="R303" s="268"/>
      <c r="S303" s="268"/>
      <c r="T303" s="268"/>
      <c r="U303" s="268"/>
      <c r="V303" s="268"/>
    </row>
    <row r="304" spans="1:22" x14ac:dyDescent="0.2">
      <c r="A304" s="261"/>
      <c r="B304" s="264" t="s">
        <v>97</v>
      </c>
      <c r="C304" s="269">
        <v>0</v>
      </c>
      <c r="D304" s="270">
        <v>709887.60490786762</v>
      </c>
      <c r="E304" s="270">
        <v>709887.60490786762</v>
      </c>
      <c r="F304" s="270">
        <v>709887.60490786762</v>
      </c>
      <c r="G304" s="270">
        <v>709887.60490786762</v>
      </c>
      <c r="H304" s="270">
        <v>709887.60490786762</v>
      </c>
      <c r="I304" s="270">
        <v>709887.60490786785</v>
      </c>
      <c r="J304" s="270">
        <v>709887.60490786785</v>
      </c>
      <c r="K304" s="270">
        <v>709887.60490786785</v>
      </c>
      <c r="L304" s="270">
        <v>709887.60490786785</v>
      </c>
      <c r="M304" s="270">
        <v>709887.60490786785</v>
      </c>
      <c r="N304" s="270">
        <v>709887.60490786785</v>
      </c>
      <c r="O304" s="270">
        <v>709887.60490786785</v>
      </c>
      <c r="P304" s="270">
        <v>709887.60490786785</v>
      </c>
      <c r="Q304" s="270">
        <v>709887.60490786785</v>
      </c>
      <c r="R304" s="270">
        <v>709887.60490786785</v>
      </c>
      <c r="S304" s="270">
        <v>709887.60490786785</v>
      </c>
      <c r="T304" s="270">
        <v>709887.60490786785</v>
      </c>
      <c r="U304" s="270">
        <v>709887.60490786785</v>
      </c>
      <c r="V304" s="270">
        <v>709887.60490786785</v>
      </c>
    </row>
    <row r="305" spans="1:22" x14ac:dyDescent="0.2">
      <c r="A305" s="261"/>
      <c r="B305" s="264" t="s">
        <v>91</v>
      </c>
      <c r="C305" s="269">
        <v>0</v>
      </c>
      <c r="D305" s="271">
        <v>0.86209997681417916</v>
      </c>
      <c r="E305" s="271">
        <v>0.86209997681417916</v>
      </c>
      <c r="F305" s="271">
        <v>0.86209997681417916</v>
      </c>
      <c r="G305" s="271">
        <v>0.86209997681417916</v>
      </c>
      <c r="H305" s="271">
        <v>0.86209997681417916</v>
      </c>
      <c r="I305" s="271">
        <v>0.86209997681417938</v>
      </c>
      <c r="J305" s="271">
        <v>0.86209997681417938</v>
      </c>
      <c r="K305" s="271">
        <v>0.86209997681417938</v>
      </c>
      <c r="L305" s="271">
        <v>0.86209997681417938</v>
      </c>
      <c r="M305" s="271">
        <v>0.86209997681417938</v>
      </c>
      <c r="N305" s="271">
        <v>0.86209997681417938</v>
      </c>
      <c r="O305" s="271">
        <v>0.86209997681417938</v>
      </c>
      <c r="P305" s="271">
        <v>0.86209997681417938</v>
      </c>
      <c r="Q305" s="271">
        <v>0.86209997681417938</v>
      </c>
      <c r="R305" s="271">
        <v>0.86209997681417938</v>
      </c>
      <c r="S305" s="271">
        <v>0.86209997681417938</v>
      </c>
      <c r="T305" s="271">
        <v>0.86209997681417938</v>
      </c>
      <c r="U305" s="271">
        <v>0.86209997681417938</v>
      </c>
      <c r="V305" s="271">
        <v>0.86209997681417938</v>
      </c>
    </row>
    <row r="306" spans="1:22" x14ac:dyDescent="0.2">
      <c r="A306" s="263" t="s">
        <v>93</v>
      </c>
      <c r="B306" s="264"/>
      <c r="C306" s="267"/>
      <c r="D306" s="268"/>
      <c r="E306" s="268"/>
      <c r="F306" s="268"/>
      <c r="G306" s="268"/>
      <c r="H306" s="268"/>
      <c r="I306" s="268"/>
      <c r="J306" s="268"/>
      <c r="K306" s="268"/>
      <c r="L306" s="268"/>
      <c r="M306" s="268"/>
      <c r="N306" s="268"/>
      <c r="O306" s="268"/>
      <c r="P306" s="268"/>
      <c r="Q306" s="268"/>
      <c r="R306" s="268"/>
      <c r="S306" s="268"/>
      <c r="T306" s="268"/>
      <c r="U306" s="268"/>
      <c r="V306" s="268"/>
    </row>
    <row r="307" spans="1:22" x14ac:dyDescent="0.2">
      <c r="A307" s="261"/>
      <c r="B307" s="264" t="s">
        <v>27</v>
      </c>
      <c r="C307" s="272">
        <v>0</v>
      </c>
      <c r="D307" s="273">
        <v>39.483047960013899</v>
      </c>
      <c r="E307" s="273">
        <v>38.935467327251118</v>
      </c>
      <c r="F307" s="273">
        <v>39.684908261352327</v>
      </c>
      <c r="G307" s="273">
        <v>39.122421811677356</v>
      </c>
      <c r="H307" s="273">
        <v>39.417099156106019</v>
      </c>
      <c r="I307" s="273">
        <v>42.078614925257817</v>
      </c>
      <c r="J307" s="273">
        <v>45.11901402696369</v>
      </c>
      <c r="K307" s="273">
        <v>46.286592945186804</v>
      </c>
      <c r="L307" s="273">
        <v>47.255408417907304</v>
      </c>
      <c r="M307" s="273">
        <v>47.424107614868973</v>
      </c>
      <c r="N307" s="273">
        <v>48.448702322124539</v>
      </c>
      <c r="O307" s="273">
        <v>48.992770934223174</v>
      </c>
      <c r="P307" s="273">
        <v>49.569320079245465</v>
      </c>
      <c r="Q307" s="273">
        <v>51.314220662476139</v>
      </c>
      <c r="R307" s="273">
        <v>54.954913135529132</v>
      </c>
      <c r="S307" s="273">
        <v>54.638332925743086</v>
      </c>
      <c r="T307" s="273">
        <v>55.334688595910016</v>
      </c>
      <c r="U307" s="273">
        <v>57.99382091620609</v>
      </c>
      <c r="V307" s="273">
        <v>59.755300551829293</v>
      </c>
    </row>
    <row r="308" spans="1:22" x14ac:dyDescent="0.2">
      <c r="A308" s="261"/>
      <c r="B308" s="264" t="s">
        <v>20</v>
      </c>
      <c r="C308" s="272">
        <v>0</v>
      </c>
      <c r="D308" s="273">
        <v>12.924403800000007</v>
      </c>
      <c r="E308" s="273">
        <v>13.110358800000004</v>
      </c>
      <c r="F308" s="273">
        <v>13.338817800000006</v>
      </c>
      <c r="G308" s="273">
        <v>13.720291200000004</v>
      </c>
      <c r="H308" s="273">
        <v>14.197398600000001</v>
      </c>
      <c r="I308" s="273">
        <v>14.742512400000001</v>
      </c>
      <c r="J308" s="273">
        <v>15.082544400000002</v>
      </c>
      <c r="K308" s="273">
        <v>15.406637400000006</v>
      </c>
      <c r="L308" s="273">
        <v>15.660598800000004</v>
      </c>
      <c r="M308" s="273">
        <v>15.785985600000004</v>
      </c>
      <c r="N308" s="273">
        <v>16.000630800000003</v>
      </c>
      <c r="O308" s="273">
        <v>16.348101000000003</v>
      </c>
      <c r="P308" s="273">
        <v>16.7210736</v>
      </c>
      <c r="Q308" s="273">
        <v>17.075982000000003</v>
      </c>
      <c r="R308" s="273">
        <v>17.318254800000002</v>
      </c>
      <c r="S308" s="273">
        <v>17.673163200000001</v>
      </c>
      <c r="T308" s="273">
        <v>18.076951200000003</v>
      </c>
      <c r="U308" s="273">
        <v>18.5200554</v>
      </c>
      <c r="V308" s="273">
        <v>18.978035999999999</v>
      </c>
    </row>
    <row r="309" spans="1:22" x14ac:dyDescent="0.2">
      <c r="A309" s="261"/>
      <c r="B309" s="264" t="s">
        <v>92</v>
      </c>
      <c r="C309" s="272">
        <v>0</v>
      </c>
      <c r="D309" s="273">
        <v>1.0471664485917507</v>
      </c>
      <c r="E309" s="273">
        <v>1.0683028286478615</v>
      </c>
      <c r="F309" s="273">
        <v>1.0898658329168445</v>
      </c>
      <c r="G309" s="273">
        <v>1.1118640725335542</v>
      </c>
      <c r="H309" s="273">
        <v>1.1343063324430547</v>
      </c>
      <c r="I309" s="273">
        <v>1.1572015749088647</v>
      </c>
      <c r="J309" s="273">
        <v>1.1805589430920194</v>
      </c>
      <c r="K309" s="273">
        <v>1.2043877647023664</v>
      </c>
      <c r="L309" s="273">
        <v>1.228697555723568</v>
      </c>
      <c r="M309" s="273">
        <v>1.2534980242132845</v>
      </c>
      <c r="N309" s="273">
        <v>1.278799074180065</v>
      </c>
      <c r="O309" s="273">
        <v>1.3046108095384905</v>
      </c>
      <c r="P309" s="273">
        <v>1.3309435381441475</v>
      </c>
      <c r="Q309" s="273">
        <v>1.3578077759100451</v>
      </c>
      <c r="R309" s="273">
        <v>1.3852142510061227</v>
      </c>
      <c r="S309" s="273">
        <v>1.4131739081435151</v>
      </c>
      <c r="T309" s="273">
        <v>1.4416979129453016</v>
      </c>
      <c r="U309" s="273">
        <v>1.4707976564054686</v>
      </c>
      <c r="V309" s="273">
        <v>1.5004847594378758</v>
      </c>
    </row>
    <row r="310" spans="1:22" x14ac:dyDescent="0.2">
      <c r="A310" s="261"/>
      <c r="B310" s="264" t="s">
        <v>22</v>
      </c>
      <c r="C310" s="272">
        <v>0</v>
      </c>
      <c r="D310" s="273">
        <v>0</v>
      </c>
      <c r="E310" s="273">
        <v>0</v>
      </c>
      <c r="F310" s="273">
        <v>0</v>
      </c>
      <c r="G310" s="273">
        <v>0</v>
      </c>
      <c r="H310" s="273">
        <v>0</v>
      </c>
      <c r="I310" s="273">
        <v>1.1479627833070538</v>
      </c>
      <c r="J310" s="273">
        <v>1.2724250414877987</v>
      </c>
      <c r="K310" s="273">
        <v>1.4958935269316744</v>
      </c>
      <c r="L310" s="273">
        <v>1.5421469694411909</v>
      </c>
      <c r="M310" s="273">
        <v>1.7151045358654198</v>
      </c>
      <c r="N310" s="273">
        <v>1.8893173489111819</v>
      </c>
      <c r="O310" s="273">
        <v>2.0933069791466243</v>
      </c>
      <c r="P310" s="273">
        <v>2.3471477883878769</v>
      </c>
      <c r="Q310" s="273">
        <v>2.612741753889499</v>
      </c>
      <c r="R310" s="273">
        <v>2.8941197168740889</v>
      </c>
      <c r="S310" s="273">
        <v>3.1777398900534228</v>
      </c>
      <c r="T310" s="273">
        <v>3.1219745196898647</v>
      </c>
      <c r="U310" s="273">
        <v>2.6710180614424837</v>
      </c>
      <c r="V310" s="273">
        <v>2.7693529361325031</v>
      </c>
    </row>
    <row r="311" spans="1:22" x14ac:dyDescent="0.2">
      <c r="A311" s="261"/>
      <c r="B311" s="264" t="s">
        <v>23</v>
      </c>
      <c r="C311" s="272">
        <v>0</v>
      </c>
      <c r="D311" s="273">
        <v>0</v>
      </c>
      <c r="E311" s="273">
        <v>0</v>
      </c>
      <c r="F311" s="273">
        <v>3.1638774837674153</v>
      </c>
      <c r="G311" s="273">
        <v>2.6958219378941055</v>
      </c>
      <c r="H311" s="273">
        <v>2.7986314755430013</v>
      </c>
      <c r="I311" s="273">
        <v>2.9066251994563137</v>
      </c>
      <c r="J311" s="273">
        <v>3.651356071463538</v>
      </c>
      <c r="K311" s="273">
        <v>3.1894186072803796</v>
      </c>
      <c r="L311" s="273">
        <v>3.3757742447386421</v>
      </c>
      <c r="M311" s="273">
        <v>3.2121784825115576</v>
      </c>
      <c r="N311" s="273">
        <v>3.3041779216575975</v>
      </c>
      <c r="O311" s="273">
        <v>3.3898581362872173</v>
      </c>
      <c r="P311" s="273">
        <v>3.0278545316448935</v>
      </c>
      <c r="Q311" s="273">
        <v>3.1361144970578594</v>
      </c>
      <c r="R311" s="273">
        <v>3.2009234986315298</v>
      </c>
      <c r="S311" s="273">
        <v>3.3991558642689217</v>
      </c>
      <c r="T311" s="273">
        <v>3.1955590613527058</v>
      </c>
      <c r="U311" s="273">
        <v>3.5195153840807247</v>
      </c>
      <c r="V311" s="273">
        <v>1.9162021020378468</v>
      </c>
    </row>
    <row r="312" spans="1:22" x14ac:dyDescent="0.2">
      <c r="A312" s="263" t="s">
        <v>94</v>
      </c>
      <c r="B312" s="264"/>
      <c r="C312" s="267"/>
      <c r="D312" s="268"/>
      <c r="E312" s="268"/>
      <c r="F312" s="268"/>
      <c r="G312" s="268"/>
      <c r="H312" s="268"/>
      <c r="I312" s="268"/>
      <c r="J312" s="268"/>
      <c r="K312" s="268"/>
      <c r="L312" s="268"/>
      <c r="M312" s="268"/>
      <c r="N312" s="268"/>
      <c r="O312" s="268"/>
      <c r="P312" s="268"/>
      <c r="Q312" s="268"/>
      <c r="R312" s="268"/>
      <c r="S312" s="268"/>
      <c r="T312" s="268"/>
      <c r="U312" s="268"/>
      <c r="V312" s="268"/>
    </row>
    <row r="313" spans="1:22" x14ac:dyDescent="0.2">
      <c r="A313" s="261"/>
      <c r="B313" s="264" t="s">
        <v>34</v>
      </c>
      <c r="C313" s="272">
        <v>0</v>
      </c>
      <c r="D313" s="273">
        <v>33.142785244211765</v>
      </c>
      <c r="E313" s="273">
        <v>33.805640949096002</v>
      </c>
      <c r="F313" s="273">
        <v>34.481753768077922</v>
      </c>
      <c r="G313" s="273">
        <v>35.17138884343948</v>
      </c>
      <c r="H313" s="273">
        <v>35.874816620308273</v>
      </c>
      <c r="I313" s="273">
        <v>36.592312952714437</v>
      </c>
      <c r="J313" s="273">
        <v>37.324159211768723</v>
      </c>
      <c r="K313" s="273">
        <v>38.070642396004096</v>
      </c>
      <c r="L313" s="273">
        <v>38.832055243924181</v>
      </c>
      <c r="M313" s="273">
        <v>39.608696348802667</v>
      </c>
      <c r="N313" s="273">
        <v>40.400870275778722</v>
      </c>
      <c r="O313" s="273">
        <v>41.2088876812943</v>
      </c>
      <c r="P313" s="273">
        <v>42.033065434920182</v>
      </c>
      <c r="Q313" s="273">
        <v>42.87372674361859</v>
      </c>
      <c r="R313" s="273">
        <v>43.731201278490964</v>
      </c>
      <c r="S313" s="273">
        <v>44.605825304060787</v>
      </c>
      <c r="T313" s="273">
        <v>45.497941810142002</v>
      </c>
      <c r="U313" s="273">
        <v>46.407900646344835</v>
      </c>
      <c r="V313" s="273">
        <v>47.336058659271735</v>
      </c>
    </row>
    <row r="314" spans="1:22" x14ac:dyDescent="0.2">
      <c r="A314" s="261"/>
      <c r="B314" s="264" t="s">
        <v>95</v>
      </c>
      <c r="C314" s="272">
        <v>0</v>
      </c>
      <c r="D314" s="273">
        <v>2.6253414896786973</v>
      </c>
      <c r="E314" s="273">
        <v>2.6838234878304124</v>
      </c>
      <c r="F314" s="273">
        <v>2.7435862417416503</v>
      </c>
      <c r="G314" s="273">
        <v>2.86130217204445</v>
      </c>
      <c r="H314" s="273">
        <v>3.390813135106836</v>
      </c>
      <c r="I314" s="273">
        <v>4.2853923640282074</v>
      </c>
      <c r="J314" s="273">
        <v>4.7161235645850752</v>
      </c>
      <c r="K314" s="273">
        <v>5.219654016055765</v>
      </c>
      <c r="L314" s="273">
        <v>5.6723050357779359</v>
      </c>
      <c r="M314" s="273">
        <v>5.8739783280644193</v>
      </c>
      <c r="N314" s="273">
        <v>5.9465077778814628</v>
      </c>
      <c r="O314" s="273">
        <v>6.0208649698338963</v>
      </c>
      <c r="P314" s="273">
        <v>6.0971108344619216</v>
      </c>
      <c r="Q314" s="273">
        <v>6.1752628457056469</v>
      </c>
      <c r="R314" s="273">
        <v>6.255376472431589</v>
      </c>
      <c r="S314" s="273">
        <v>6.3374929398256814</v>
      </c>
      <c r="T314" s="273">
        <v>6.421645895611146</v>
      </c>
      <c r="U314" s="273">
        <v>6.507911090586826</v>
      </c>
      <c r="V314" s="273">
        <v>6.596341541956396</v>
      </c>
    </row>
    <row r="315" spans="1:22" x14ac:dyDescent="0.2">
      <c r="A315" s="261"/>
      <c r="B315" s="264" t="s">
        <v>36</v>
      </c>
      <c r="C315" s="272">
        <v>0</v>
      </c>
      <c r="D315" s="273">
        <v>3.2666167237714787</v>
      </c>
      <c r="E315" s="273">
        <v>3.3355423366430745</v>
      </c>
      <c r="F315" s="273">
        <v>3.4085907138155638</v>
      </c>
      <c r="G315" s="273">
        <v>3.4856248639477765</v>
      </c>
      <c r="H315" s="273">
        <v>3.5685827357097337</v>
      </c>
      <c r="I315" s="273">
        <v>3.6580117778226597</v>
      </c>
      <c r="J315" s="273">
        <v>3.7487406606639677</v>
      </c>
      <c r="K315" s="273">
        <v>3.8436290338361272</v>
      </c>
      <c r="L315" s="273">
        <v>3.9385666709718827</v>
      </c>
      <c r="M315" s="273">
        <v>4.03900012108166</v>
      </c>
      <c r="N315" s="273">
        <v>4.1367439240118511</v>
      </c>
      <c r="O315" s="273">
        <v>4.2409898708969367</v>
      </c>
      <c r="P315" s="273">
        <v>4.348711013617713</v>
      </c>
      <c r="Q315" s="273">
        <v>4.4574287889581488</v>
      </c>
      <c r="R315" s="273">
        <v>4.5693102515610002</v>
      </c>
      <c r="S315" s="273">
        <v>4.683543007850032</v>
      </c>
      <c r="T315" s="273">
        <v>4.7996948744447021</v>
      </c>
      <c r="U315" s="273">
        <v>4.9201672157932768</v>
      </c>
      <c r="V315" s="273">
        <v>5.0436634129096918</v>
      </c>
    </row>
    <row r="316" spans="1:22" x14ac:dyDescent="0.2">
      <c r="A316" s="261"/>
      <c r="B316" s="264" t="s">
        <v>39</v>
      </c>
      <c r="C316" s="272">
        <v>0</v>
      </c>
      <c r="D316" s="273">
        <v>7.0577928723404257</v>
      </c>
      <c r="E316" s="273">
        <v>62.798232872340421</v>
      </c>
      <c r="F316" s="273">
        <v>3.1024589361702128</v>
      </c>
      <c r="G316" s="273">
        <v>8.263042978723405</v>
      </c>
      <c r="H316" s="273">
        <v>18.131239127659576</v>
      </c>
      <c r="I316" s="273">
        <v>18.675176301489365</v>
      </c>
      <c r="J316" s="273">
        <v>19.235431590534045</v>
      </c>
      <c r="K316" s="273">
        <v>19.812494538250068</v>
      </c>
      <c r="L316" s="273">
        <v>20.406869374397569</v>
      </c>
      <c r="M316" s="273">
        <v>21.019075455629498</v>
      </c>
      <c r="N316" s="273">
        <v>21.649647719298382</v>
      </c>
      <c r="O316" s="273">
        <v>22.299137150877336</v>
      </c>
      <c r="P316" s="273">
        <v>22.968111265403653</v>
      </c>
      <c r="Q316" s="273">
        <v>23.657154603365765</v>
      </c>
      <c r="R316" s="273">
        <v>24.366869241466734</v>
      </c>
      <c r="S316" s="273">
        <v>25.097875318710738</v>
      </c>
      <c r="T316" s="273">
        <v>25.850811578272058</v>
      </c>
      <c r="U316" s="273">
        <v>26.626335925620221</v>
      </c>
      <c r="V316" s="273">
        <v>27.425126003388829</v>
      </c>
    </row>
    <row r="317" spans="1:22" x14ac:dyDescent="0.2">
      <c r="A317" s="261"/>
      <c r="B317" s="264" t="s">
        <v>96</v>
      </c>
      <c r="C317" s="274">
        <v>0</v>
      </c>
      <c r="D317" s="275">
        <v>0</v>
      </c>
      <c r="E317" s="275">
        <v>0</v>
      </c>
      <c r="F317" s="275">
        <v>0</v>
      </c>
      <c r="G317" s="275">
        <v>0</v>
      </c>
      <c r="H317" s="275">
        <v>0</v>
      </c>
      <c r="I317" s="275">
        <v>0</v>
      </c>
      <c r="J317" s="275">
        <v>0</v>
      </c>
      <c r="K317" s="275">
        <v>0</v>
      </c>
      <c r="L317" s="275">
        <v>0</v>
      </c>
      <c r="M317" s="275">
        <v>0</v>
      </c>
      <c r="N317" s="275">
        <v>0</v>
      </c>
      <c r="O317" s="275">
        <v>0</v>
      </c>
      <c r="P317" s="275">
        <v>0</v>
      </c>
      <c r="Q317" s="275">
        <v>0</v>
      </c>
      <c r="R317" s="275">
        <v>0</v>
      </c>
      <c r="S317" s="275">
        <v>0</v>
      </c>
      <c r="T317" s="275">
        <v>0</v>
      </c>
      <c r="U317" s="275">
        <v>0</v>
      </c>
      <c r="V317" s="275">
        <v>0</v>
      </c>
    </row>
    <row r="318" spans="1:22" x14ac:dyDescent="0.2">
      <c r="A318" s="261"/>
      <c r="B318" s="264"/>
      <c r="C318" s="261"/>
      <c r="D318" s="261"/>
      <c r="E318" s="261"/>
      <c r="F318" s="261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</row>
    <row r="319" spans="1:22" x14ac:dyDescent="0.2">
      <c r="A319" s="261"/>
      <c r="B319" s="264"/>
      <c r="C319" s="261"/>
      <c r="D319" s="261"/>
      <c r="E319" s="261"/>
      <c r="F319" s="261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</row>
    <row r="320" spans="1:22" x14ac:dyDescent="0.2">
      <c r="A320" s="24"/>
      <c r="B320" s="289"/>
      <c r="C320" s="290"/>
      <c r="D320" s="291"/>
      <c r="E320" s="291"/>
      <c r="F320" s="291"/>
      <c r="G320" s="291"/>
      <c r="H320" s="291"/>
      <c r="I320" s="291"/>
      <c r="J320" s="291"/>
      <c r="K320" s="291"/>
      <c r="L320" s="291"/>
      <c r="M320" s="291"/>
      <c r="N320" s="291"/>
      <c r="O320" s="291"/>
      <c r="P320" s="291"/>
      <c r="Q320" s="291"/>
      <c r="R320" s="291"/>
      <c r="S320" s="291"/>
      <c r="T320" s="291"/>
      <c r="U320" s="291"/>
      <c r="V320" s="291"/>
    </row>
    <row r="321" spans="1:22" x14ac:dyDescent="0.2">
      <c r="A321" s="292"/>
      <c r="B321" s="289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spans="1:22" x14ac:dyDescent="0.2">
      <c r="A322" s="259" t="s">
        <v>98</v>
      </c>
      <c r="B322" s="260"/>
      <c r="C322" s="261"/>
      <c r="D322" s="261"/>
      <c r="E322" s="261"/>
      <c r="F322" s="261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</row>
    <row r="323" spans="1:22" x14ac:dyDescent="0.2">
      <c r="A323" s="262" t="s">
        <v>70</v>
      </c>
      <c r="B323" s="260"/>
      <c r="C323" s="261"/>
      <c r="D323" s="261"/>
      <c r="E323" s="261"/>
      <c r="F323" s="261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</row>
    <row r="324" spans="1:22" x14ac:dyDescent="0.2">
      <c r="A324" s="261"/>
      <c r="B324" s="260"/>
      <c r="C324" s="261"/>
      <c r="D324" s="261"/>
      <c r="E324" s="261"/>
      <c r="F324" s="261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</row>
    <row r="325" spans="1:22" x14ac:dyDescent="0.2">
      <c r="A325" s="261"/>
      <c r="B325" s="260"/>
      <c r="C325" s="265">
        <v>2000</v>
      </c>
      <c r="D325" s="266">
        <v>2001</v>
      </c>
      <c r="E325" s="266">
        <v>2002</v>
      </c>
      <c r="F325" s="266">
        <v>2003</v>
      </c>
      <c r="G325" s="266">
        <v>2004</v>
      </c>
      <c r="H325" s="266">
        <v>2005</v>
      </c>
      <c r="I325" s="266">
        <v>2006</v>
      </c>
      <c r="J325" s="266">
        <v>2007</v>
      </c>
      <c r="K325" s="266">
        <v>2008</v>
      </c>
      <c r="L325" s="266">
        <v>2009</v>
      </c>
      <c r="M325" s="266">
        <v>2010</v>
      </c>
      <c r="N325" s="266">
        <v>2011</v>
      </c>
      <c r="O325" s="266">
        <v>2012</v>
      </c>
      <c r="P325" s="266">
        <v>2013</v>
      </c>
      <c r="Q325" s="266">
        <v>2014</v>
      </c>
      <c r="R325" s="266">
        <v>2015</v>
      </c>
      <c r="S325" s="266">
        <v>2016</v>
      </c>
      <c r="T325" s="266">
        <v>2017</v>
      </c>
      <c r="U325" s="266">
        <v>2018</v>
      </c>
      <c r="V325" s="266">
        <v>2019</v>
      </c>
    </row>
    <row r="326" spans="1:22" x14ac:dyDescent="0.2">
      <c r="A326" s="263" t="s">
        <v>129</v>
      </c>
      <c r="B326" s="260"/>
      <c r="C326" s="267"/>
      <c r="D326" s="268"/>
      <c r="E326" s="268"/>
      <c r="F326" s="268"/>
      <c r="G326" s="268"/>
      <c r="H326" s="268"/>
      <c r="I326" s="268"/>
      <c r="J326" s="268"/>
      <c r="K326" s="268"/>
      <c r="L326" s="268"/>
      <c r="M326" s="268"/>
      <c r="N326" s="268"/>
      <c r="O326" s="268"/>
      <c r="P326" s="268"/>
      <c r="Q326" s="268"/>
      <c r="R326" s="268"/>
      <c r="S326" s="268"/>
      <c r="T326" s="268"/>
      <c r="U326" s="268"/>
      <c r="V326" s="268"/>
    </row>
    <row r="327" spans="1:22" x14ac:dyDescent="0.2">
      <c r="A327" s="261"/>
      <c r="B327" s="264" t="s">
        <v>97</v>
      </c>
      <c r="C327" s="269">
        <v>0</v>
      </c>
      <c r="D327" s="270">
        <v>994245.14687914809</v>
      </c>
      <c r="E327" s="270">
        <v>994245.14687914809</v>
      </c>
      <c r="F327" s="270">
        <v>994245.14687914809</v>
      </c>
      <c r="G327" s="270">
        <v>994245.14687914809</v>
      </c>
      <c r="H327" s="270">
        <v>994245.14687914809</v>
      </c>
      <c r="I327" s="270">
        <v>994245.14687914809</v>
      </c>
      <c r="J327" s="270">
        <v>994245.14687914809</v>
      </c>
      <c r="K327" s="270">
        <v>994245.14687914809</v>
      </c>
      <c r="L327" s="270">
        <v>994245.14687914809</v>
      </c>
      <c r="M327" s="270">
        <v>994245.14687914809</v>
      </c>
      <c r="N327" s="270">
        <v>994245.14687914809</v>
      </c>
      <c r="O327" s="270">
        <v>994245.14687914809</v>
      </c>
      <c r="P327" s="270">
        <v>994245.14687914809</v>
      </c>
      <c r="Q327" s="270">
        <v>994245.14687914809</v>
      </c>
      <c r="R327" s="270">
        <v>994245.14687914809</v>
      </c>
      <c r="S327" s="270">
        <v>994245.14687914809</v>
      </c>
      <c r="T327" s="270">
        <v>994245.14687914809</v>
      </c>
      <c r="U327" s="270">
        <v>994245.14687914809</v>
      </c>
      <c r="V327" s="270">
        <v>994245.14687914809</v>
      </c>
    </row>
    <row r="328" spans="1:22" x14ac:dyDescent="0.2">
      <c r="A328" s="261"/>
      <c r="B328" s="264" t="s">
        <v>91</v>
      </c>
      <c r="C328" s="269">
        <v>0</v>
      </c>
      <c r="D328" s="271">
        <v>0.88670550342389776</v>
      </c>
      <c r="E328" s="271">
        <v>0.88670550342389776</v>
      </c>
      <c r="F328" s="271">
        <v>0.88670550342389776</v>
      </c>
      <c r="G328" s="271">
        <v>0.88670550342389776</v>
      </c>
      <c r="H328" s="271">
        <v>0.88670550342389776</v>
      </c>
      <c r="I328" s="271">
        <v>0.88670550342389776</v>
      </c>
      <c r="J328" s="271">
        <v>0.88670550342389776</v>
      </c>
      <c r="K328" s="271">
        <v>0.88670550342389776</v>
      </c>
      <c r="L328" s="271">
        <v>0.88670550342389776</v>
      </c>
      <c r="M328" s="271">
        <v>0.88670550342389776</v>
      </c>
      <c r="N328" s="271">
        <v>0.88670550342389776</v>
      </c>
      <c r="O328" s="271">
        <v>0.88670550342389776</v>
      </c>
      <c r="P328" s="271">
        <v>0.88670550342389776</v>
      </c>
      <c r="Q328" s="271">
        <v>0.88670550342389776</v>
      </c>
      <c r="R328" s="271">
        <v>0.88670550342389776</v>
      </c>
      <c r="S328" s="271">
        <v>0.88670550342389776</v>
      </c>
      <c r="T328" s="271">
        <v>0.88670550342389776</v>
      </c>
      <c r="U328" s="271">
        <v>0.88670550342389776</v>
      </c>
      <c r="V328" s="271">
        <v>0.88670550342389776</v>
      </c>
    </row>
    <row r="329" spans="1:22" x14ac:dyDescent="0.2">
      <c r="A329" s="263" t="s">
        <v>93</v>
      </c>
      <c r="B329" s="264"/>
      <c r="C329" s="267"/>
      <c r="D329" s="268"/>
      <c r="E329" s="268"/>
      <c r="F329" s="268"/>
      <c r="G329" s="268"/>
      <c r="H329" s="268"/>
      <c r="I329" s="268"/>
      <c r="J329" s="268"/>
      <c r="K329" s="268"/>
      <c r="L329" s="268"/>
      <c r="M329" s="268"/>
      <c r="N329" s="268"/>
      <c r="O329" s="268"/>
      <c r="P329" s="268"/>
      <c r="Q329" s="268"/>
      <c r="R329" s="268"/>
      <c r="S329" s="268"/>
      <c r="T329" s="268"/>
      <c r="U329" s="268"/>
      <c r="V329" s="268"/>
    </row>
    <row r="330" spans="1:22" x14ac:dyDescent="0.2">
      <c r="A330" s="261"/>
      <c r="B330" s="264" t="s">
        <v>27</v>
      </c>
      <c r="C330" s="272">
        <v>0</v>
      </c>
      <c r="D330" s="273">
        <v>39.483047960013877</v>
      </c>
      <c r="E330" s="273">
        <v>38.935467327251104</v>
      </c>
      <c r="F330" s="273">
        <v>39.684908261352305</v>
      </c>
      <c r="G330" s="273">
        <v>39.122421811677341</v>
      </c>
      <c r="H330" s="273">
        <v>39.417099156105998</v>
      </c>
      <c r="I330" s="273">
        <v>42.078614925257796</v>
      </c>
      <c r="J330" s="273">
        <v>45.119014026963711</v>
      </c>
      <c r="K330" s="273">
        <v>46.286592945186769</v>
      </c>
      <c r="L330" s="273">
        <v>47.255408417907319</v>
      </c>
      <c r="M330" s="273">
        <v>47.424107614869015</v>
      </c>
      <c r="N330" s="273">
        <v>48.448702322124547</v>
      </c>
      <c r="O330" s="273">
        <v>48.992770934223188</v>
      </c>
      <c r="P330" s="273">
        <v>49.569320079245443</v>
      </c>
      <c r="Q330" s="273">
        <v>51.314220662476146</v>
      </c>
      <c r="R330" s="273">
        <v>54.954913135529132</v>
      </c>
      <c r="S330" s="273">
        <v>54.638332925743093</v>
      </c>
      <c r="T330" s="273">
        <v>55.334688595910016</v>
      </c>
      <c r="U330" s="273">
        <v>57.993820916206104</v>
      </c>
      <c r="V330" s="273">
        <v>59.755300551829329</v>
      </c>
    </row>
    <row r="331" spans="1:22" x14ac:dyDescent="0.2">
      <c r="A331" s="261"/>
      <c r="B331" s="264" t="s">
        <v>20</v>
      </c>
      <c r="C331" s="272">
        <v>0</v>
      </c>
      <c r="D331" s="273">
        <v>12.372203599999997</v>
      </c>
      <c r="E331" s="273">
        <v>12.550213600000001</v>
      </c>
      <c r="F331" s="273">
        <v>12.768911600000001</v>
      </c>
      <c r="G331" s="273">
        <v>13.134086399999996</v>
      </c>
      <c r="H331" s="273">
        <v>13.590809199999997</v>
      </c>
      <c r="I331" s="273">
        <v>14.112632799999998</v>
      </c>
      <c r="J331" s="273">
        <v>14.438136799999997</v>
      </c>
      <c r="K331" s="273">
        <v>14.748382799999995</v>
      </c>
      <c r="L331" s="273">
        <v>14.991493599999998</v>
      </c>
      <c r="M331" s="273">
        <v>15.111523199999999</v>
      </c>
      <c r="N331" s="273">
        <v>15.316997599999999</v>
      </c>
      <c r="O331" s="273">
        <v>15.649621999999995</v>
      </c>
      <c r="P331" s="273">
        <v>16.006659199999998</v>
      </c>
      <c r="Q331" s="273">
        <v>16.346404</v>
      </c>
      <c r="R331" s="273">
        <v>16.578325599999996</v>
      </c>
      <c r="S331" s="273">
        <v>16.918070399999998</v>
      </c>
      <c r="T331" s="273">
        <v>17.304606400000001</v>
      </c>
      <c r="U331" s="273">
        <v>17.728778799999997</v>
      </c>
      <c r="V331" s="273">
        <v>18.167191999999996</v>
      </c>
    </row>
    <row r="332" spans="1:22" x14ac:dyDescent="0.2">
      <c r="A332" s="261"/>
      <c r="B332" s="264" t="s">
        <v>92</v>
      </c>
      <c r="C332" s="272">
        <v>0</v>
      </c>
      <c r="D332" s="273">
        <v>1.04716644859175</v>
      </c>
      <c r="E332" s="273">
        <v>1.0683028286478611</v>
      </c>
      <c r="F332" s="273">
        <v>1.089865832916844</v>
      </c>
      <c r="G332" s="273">
        <v>1.1118640725335536</v>
      </c>
      <c r="H332" s="273">
        <v>1.1343063324430538</v>
      </c>
      <c r="I332" s="273">
        <v>1.157201574908864</v>
      </c>
      <c r="J332" s="273">
        <v>1.1805589430920189</v>
      </c>
      <c r="K332" s="273">
        <v>1.2043877647023657</v>
      </c>
      <c r="L332" s="273">
        <v>1.2286975557235673</v>
      </c>
      <c r="M332" s="273">
        <v>1.253498024213284</v>
      </c>
      <c r="N332" s="273">
        <v>1.2787990741800646</v>
      </c>
      <c r="O332" s="273">
        <v>1.3046108095384898</v>
      </c>
      <c r="P332" s="273">
        <v>1.330943538144147</v>
      </c>
      <c r="Q332" s="273">
        <v>1.3578077759100449</v>
      </c>
      <c r="R332" s="273">
        <v>1.3852142510061218</v>
      </c>
      <c r="S332" s="273">
        <v>1.4131739081435144</v>
      </c>
      <c r="T332" s="273">
        <v>1.4416979129453014</v>
      </c>
      <c r="U332" s="273">
        <v>1.4707976564054681</v>
      </c>
      <c r="V332" s="273">
        <v>1.5004847594378754</v>
      </c>
    </row>
    <row r="333" spans="1:22" x14ac:dyDescent="0.2">
      <c r="A333" s="261"/>
      <c r="B333" s="264" t="s">
        <v>22</v>
      </c>
      <c r="C333" s="272">
        <v>0</v>
      </c>
      <c r="D333" s="273">
        <v>0</v>
      </c>
      <c r="E333" s="273">
        <v>0</v>
      </c>
      <c r="F333" s="273">
        <v>0</v>
      </c>
      <c r="G333" s="273">
        <v>0</v>
      </c>
      <c r="H333" s="273">
        <v>0</v>
      </c>
      <c r="I333" s="273">
        <v>1.0871281590353619</v>
      </c>
      <c r="J333" s="273">
        <v>1.2049947201930542</v>
      </c>
      <c r="K333" s="273">
        <v>1.4175636946858208</v>
      </c>
      <c r="L333" s="273">
        <v>1.4604231254090523</v>
      </c>
      <c r="M333" s="273">
        <v>1.6242150562209032</v>
      </c>
      <c r="N333" s="273">
        <v>1.7891957136784662</v>
      </c>
      <c r="O333" s="273">
        <v>1.9823752090461686</v>
      </c>
      <c r="P333" s="273">
        <v>2.2227640924240002</v>
      </c>
      <c r="Q333" s="273">
        <v>2.4742832905768286</v>
      </c>
      <c r="R333" s="273">
        <v>2.7407500361374622</v>
      </c>
      <c r="S333" s="273">
        <v>3.0093401692125923</v>
      </c>
      <c r="T333" s="273">
        <v>2.9565300038458959</v>
      </c>
      <c r="U333" s="273">
        <v>2.5294713296550171</v>
      </c>
      <c r="V333" s="273">
        <v>2.622595090150778</v>
      </c>
    </row>
    <row r="334" spans="1:22" x14ac:dyDescent="0.2">
      <c r="A334" s="261"/>
      <c r="B334" s="264" t="s">
        <v>23</v>
      </c>
      <c r="C334" s="272">
        <v>0</v>
      </c>
      <c r="D334" s="273">
        <v>0</v>
      </c>
      <c r="E334" s="273">
        <v>0</v>
      </c>
      <c r="F334" s="273">
        <v>2.7258296243547835</v>
      </c>
      <c r="G334" s="273">
        <v>2.3225777034663047</v>
      </c>
      <c r="H334" s="273">
        <v>2.4111529674666912</v>
      </c>
      <c r="I334" s="273">
        <v>2.504194652360499</v>
      </c>
      <c r="J334" s="273">
        <v>3.1458154115409744</v>
      </c>
      <c r="K334" s="273">
        <v>2.7478345064869569</v>
      </c>
      <c r="L334" s="273">
        <v>2.9083886745467078</v>
      </c>
      <c r="M334" s="273">
        <v>2.7674432120926791</v>
      </c>
      <c r="N334" s="273">
        <v>2.846705066552885</v>
      </c>
      <c r="O334" s="273">
        <v>2.9205226111502167</v>
      </c>
      <c r="P334" s="273">
        <v>2.6086394378225735</v>
      </c>
      <c r="Q334" s="273">
        <v>2.7019105023212195</v>
      </c>
      <c r="R334" s="273">
        <v>2.7577465128243865</v>
      </c>
      <c r="S334" s="273">
        <v>2.9285330421804177</v>
      </c>
      <c r="T334" s="273">
        <v>2.7531247971834878</v>
      </c>
      <c r="U334" s="273">
        <v>3.0322284432695477</v>
      </c>
      <c r="V334" s="273">
        <v>1.6508984569674459</v>
      </c>
    </row>
    <row r="335" spans="1:22" x14ac:dyDescent="0.2">
      <c r="A335" s="263" t="s">
        <v>94</v>
      </c>
      <c r="B335" s="264"/>
      <c r="C335" s="267"/>
      <c r="D335" s="268"/>
      <c r="E335" s="268"/>
      <c r="F335" s="268"/>
      <c r="G335" s="268"/>
      <c r="H335" s="268"/>
      <c r="I335" s="268"/>
      <c r="J335" s="268"/>
      <c r="K335" s="268"/>
      <c r="L335" s="268"/>
      <c r="M335" s="268"/>
      <c r="N335" s="268"/>
      <c r="O335" s="268"/>
      <c r="P335" s="268"/>
      <c r="Q335" s="268"/>
      <c r="R335" s="268"/>
      <c r="S335" s="268"/>
      <c r="T335" s="268"/>
      <c r="U335" s="268"/>
      <c r="V335" s="268"/>
    </row>
    <row r="336" spans="1:22" x14ac:dyDescent="0.2">
      <c r="A336" s="261"/>
      <c r="B336" s="264" t="s">
        <v>34</v>
      </c>
      <c r="C336" s="272">
        <v>0</v>
      </c>
      <c r="D336" s="273">
        <v>22.571337302044348</v>
      </c>
      <c r="E336" s="273">
        <v>23.022764048085236</v>
      </c>
      <c r="F336" s="273">
        <v>23.483219329046939</v>
      </c>
      <c r="G336" s="273">
        <v>23.95288371562788</v>
      </c>
      <c r="H336" s="273">
        <v>24.431941389940434</v>
      </c>
      <c r="I336" s="273">
        <v>24.920580217739243</v>
      </c>
      <c r="J336" s="273">
        <v>25.418991822094029</v>
      </c>
      <c r="K336" s="273">
        <v>25.927371658535908</v>
      </c>
      <c r="L336" s="273">
        <v>26.445919091706624</v>
      </c>
      <c r="M336" s="273">
        <v>26.974837473540759</v>
      </c>
      <c r="N336" s="273">
        <v>27.514334223011573</v>
      </c>
      <c r="O336" s="273">
        <v>28.064620907471806</v>
      </c>
      <c r="P336" s="273">
        <v>28.625913325621244</v>
      </c>
      <c r="Q336" s="273">
        <v>29.198431592133669</v>
      </c>
      <c r="R336" s="273">
        <v>29.782400223976346</v>
      </c>
      <c r="S336" s="273">
        <v>30.378048228455874</v>
      </c>
      <c r="T336" s="273">
        <v>30.985609193024992</v>
      </c>
      <c r="U336" s="273">
        <v>31.605321376885495</v>
      </c>
      <c r="V336" s="273">
        <v>32.237427804423206</v>
      </c>
    </row>
    <row r="337" spans="1:22" x14ac:dyDescent="0.2">
      <c r="A337" s="261"/>
      <c r="B337" s="264" t="s">
        <v>95</v>
      </c>
      <c r="C337" s="272">
        <v>0</v>
      </c>
      <c r="D337" s="273">
        <v>2.6226890401018403</v>
      </c>
      <c r="E337" s="273">
        <v>2.6798036256020672</v>
      </c>
      <c r="F337" s="273">
        <v>2.7438409394666832</v>
      </c>
      <c r="G337" s="273">
        <v>2.8601279304677858</v>
      </c>
      <c r="H337" s="273">
        <v>3.3878275408789711</v>
      </c>
      <c r="I337" s="273">
        <v>4.2215897758033822</v>
      </c>
      <c r="J337" s="273">
        <v>4.7147366522231247</v>
      </c>
      <c r="K337" s="273">
        <v>5.2166913998237865</v>
      </c>
      <c r="L337" s="273">
        <v>5.6070723092695891</v>
      </c>
      <c r="M337" s="273">
        <v>5.8104437098192445</v>
      </c>
      <c r="N337" s="273">
        <v>5.8812772926956951</v>
      </c>
      <c r="O337" s="273">
        <v>5.9574226728701811</v>
      </c>
      <c r="P337" s="273">
        <v>6.0318857741999086</v>
      </c>
      <c r="Q337" s="273">
        <v>6.1082104530628785</v>
      </c>
      <c r="R337" s="273">
        <v>6.1864508813653085</v>
      </c>
      <c r="S337" s="273">
        <v>6.2666473203753004</v>
      </c>
      <c r="T337" s="273">
        <v>6.3488326310727388</v>
      </c>
      <c r="U337" s="273">
        <v>6.433080793068684</v>
      </c>
      <c r="V337" s="273">
        <v>6.5194435839307276</v>
      </c>
    </row>
    <row r="338" spans="1:22" x14ac:dyDescent="0.2">
      <c r="A338" s="261"/>
      <c r="B338" s="264" t="s">
        <v>36</v>
      </c>
      <c r="C338" s="272">
        <v>0</v>
      </c>
      <c r="D338" s="273">
        <v>3.2666167237714845</v>
      </c>
      <c r="E338" s="273">
        <v>3.3355423366430781</v>
      </c>
      <c r="F338" s="273">
        <v>3.4085907138155704</v>
      </c>
      <c r="G338" s="273">
        <v>3.4856248639477734</v>
      </c>
      <c r="H338" s="273">
        <v>3.5685827357097342</v>
      </c>
      <c r="I338" s="273">
        <v>3.6580117778226642</v>
      </c>
      <c r="J338" s="273">
        <v>3.7487406606639766</v>
      </c>
      <c r="K338" s="273">
        <v>3.843629033836133</v>
      </c>
      <c r="L338" s="273">
        <v>3.9385666709718907</v>
      </c>
      <c r="M338" s="273">
        <v>4.0390001210816564</v>
      </c>
      <c r="N338" s="273">
        <v>4.136743924011852</v>
      </c>
      <c r="O338" s="273">
        <v>4.2409898708969376</v>
      </c>
      <c r="P338" s="273">
        <v>4.3487110136177103</v>
      </c>
      <c r="Q338" s="273">
        <v>4.4574287889581479</v>
      </c>
      <c r="R338" s="273">
        <v>4.5693102515610002</v>
      </c>
      <c r="S338" s="273">
        <v>4.6835430078500311</v>
      </c>
      <c r="T338" s="273">
        <v>4.799694874444711</v>
      </c>
      <c r="U338" s="273">
        <v>4.9201672157932821</v>
      </c>
      <c r="V338" s="273">
        <v>5.0436634129096873</v>
      </c>
    </row>
    <row r="339" spans="1:22" x14ac:dyDescent="0.2">
      <c r="A339" s="261"/>
      <c r="B339" s="264" t="s">
        <v>39</v>
      </c>
      <c r="C339" s="272">
        <v>0</v>
      </c>
      <c r="D339" s="273">
        <v>6.2835261718749997</v>
      </c>
      <c r="E339" s="273">
        <v>75.159967109374989</v>
      </c>
      <c r="F339" s="273">
        <v>4.7203946874999998</v>
      </c>
      <c r="G339" s="273">
        <v>8.2646007812499995</v>
      </c>
      <c r="H339" s="273">
        <v>20.701472078125001</v>
      </c>
      <c r="I339" s="273">
        <v>21.322516240468751</v>
      </c>
      <c r="J339" s="273">
        <v>21.962191727682814</v>
      </c>
      <c r="K339" s="273">
        <v>22.621057479513301</v>
      </c>
      <c r="L339" s="273">
        <v>23.299689203898698</v>
      </c>
      <c r="M339" s="273">
        <v>23.998679880015661</v>
      </c>
      <c r="N339" s="273">
        <v>24.718640276416131</v>
      </c>
      <c r="O339" s="273">
        <v>25.460199484708617</v>
      </c>
      <c r="P339" s="273">
        <v>26.224005469249878</v>
      </c>
      <c r="Q339" s="273">
        <v>27.010725633327375</v>
      </c>
      <c r="R339" s="273">
        <v>27.821047402327199</v>
      </c>
      <c r="S339" s="273">
        <v>28.655678824397015</v>
      </c>
      <c r="T339" s="273">
        <v>29.515349189128926</v>
      </c>
      <c r="U339" s="273">
        <v>30.400809664802797</v>
      </c>
      <c r="V339" s="273">
        <v>31.312833954746882</v>
      </c>
    </row>
    <row r="340" spans="1:22" x14ac:dyDescent="0.2">
      <c r="A340" s="261"/>
      <c r="B340" s="264" t="s">
        <v>96</v>
      </c>
      <c r="C340" s="274">
        <v>0</v>
      </c>
      <c r="D340" s="275">
        <v>0</v>
      </c>
      <c r="E340" s="275">
        <v>0</v>
      </c>
      <c r="F340" s="275">
        <v>0</v>
      </c>
      <c r="G340" s="275">
        <v>0</v>
      </c>
      <c r="H340" s="275">
        <v>0</v>
      </c>
      <c r="I340" s="275">
        <v>0</v>
      </c>
      <c r="J340" s="275">
        <v>0</v>
      </c>
      <c r="K340" s="275">
        <v>0</v>
      </c>
      <c r="L340" s="275">
        <v>0</v>
      </c>
      <c r="M340" s="275">
        <v>0</v>
      </c>
      <c r="N340" s="275">
        <v>0</v>
      </c>
      <c r="O340" s="275">
        <v>0</v>
      </c>
      <c r="P340" s="275">
        <v>0</v>
      </c>
      <c r="Q340" s="275">
        <v>0</v>
      </c>
      <c r="R340" s="275">
        <v>0</v>
      </c>
      <c r="S340" s="275">
        <v>0</v>
      </c>
      <c r="T340" s="275">
        <v>0</v>
      </c>
      <c r="U340" s="275">
        <v>0</v>
      </c>
      <c r="V340" s="275">
        <v>0</v>
      </c>
    </row>
    <row r="341" spans="1:22" x14ac:dyDescent="0.2">
      <c r="A341" s="261"/>
      <c r="B341" s="264"/>
      <c r="C341" s="261"/>
      <c r="D341" s="261"/>
      <c r="E341" s="261"/>
      <c r="F341" s="261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</row>
    <row r="342" spans="1:22" x14ac:dyDescent="0.2">
      <c r="A342" s="261"/>
      <c r="B342" s="264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</row>
    <row r="343" spans="1:22" x14ac:dyDescent="0.2">
      <c r="A343" s="24"/>
      <c r="B343" s="289"/>
      <c r="C343" s="293"/>
      <c r="D343" s="293"/>
      <c r="E343" s="293"/>
      <c r="F343" s="293"/>
      <c r="G343" s="293"/>
      <c r="H343" s="293"/>
      <c r="I343" s="293"/>
      <c r="J343" s="293"/>
      <c r="K343" s="293"/>
      <c r="L343" s="293"/>
      <c r="M343" s="293"/>
      <c r="N343" s="293"/>
      <c r="O343" s="293"/>
      <c r="P343" s="293"/>
      <c r="Q343" s="293"/>
      <c r="R343" s="293"/>
      <c r="S343" s="293"/>
      <c r="T343" s="293"/>
      <c r="U343" s="293"/>
      <c r="V343" s="293"/>
    </row>
    <row r="344" spans="1:22" x14ac:dyDescent="0.2">
      <c r="A344" s="24"/>
      <c r="B344" s="289"/>
      <c r="C344" s="293"/>
      <c r="D344" s="293"/>
      <c r="E344" s="293"/>
      <c r="F344" s="293"/>
      <c r="G344" s="293"/>
      <c r="H344" s="293"/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93"/>
      <c r="T344" s="293"/>
      <c r="U344" s="293"/>
      <c r="V344" s="293"/>
    </row>
    <row r="345" spans="1:22" x14ac:dyDescent="0.2">
      <c r="A345" s="259" t="s">
        <v>98</v>
      </c>
      <c r="B345" s="260"/>
      <c r="C345" s="261"/>
      <c r="D345" s="261"/>
      <c r="E345" s="261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</row>
    <row r="346" spans="1:22" x14ac:dyDescent="0.2">
      <c r="A346" s="262" t="s">
        <v>68</v>
      </c>
      <c r="B346" s="260"/>
      <c r="C346" s="261"/>
      <c r="D346" s="261"/>
      <c r="E346" s="261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</row>
    <row r="347" spans="1:22" x14ac:dyDescent="0.2">
      <c r="A347" s="261"/>
      <c r="B347" s="260"/>
      <c r="C347" s="261"/>
      <c r="D347" s="261"/>
      <c r="E347" s="261"/>
      <c r="F347" s="261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</row>
    <row r="348" spans="1:22" x14ac:dyDescent="0.2">
      <c r="A348" s="261"/>
      <c r="B348" s="260"/>
      <c r="C348" s="265">
        <v>2000</v>
      </c>
      <c r="D348" s="266">
        <v>2001</v>
      </c>
      <c r="E348" s="266">
        <v>2002</v>
      </c>
      <c r="F348" s="266">
        <v>2003</v>
      </c>
      <c r="G348" s="266">
        <v>2004</v>
      </c>
      <c r="H348" s="266">
        <v>2005</v>
      </c>
      <c r="I348" s="266">
        <v>2006</v>
      </c>
      <c r="J348" s="266">
        <v>2007</v>
      </c>
      <c r="K348" s="266">
        <v>2008</v>
      </c>
      <c r="L348" s="266">
        <v>2009</v>
      </c>
      <c r="M348" s="266">
        <v>2010</v>
      </c>
      <c r="N348" s="266">
        <v>2011</v>
      </c>
      <c r="O348" s="266">
        <v>2012</v>
      </c>
      <c r="P348" s="266">
        <v>2013</v>
      </c>
      <c r="Q348" s="266">
        <v>2014</v>
      </c>
      <c r="R348" s="266">
        <v>2015</v>
      </c>
      <c r="S348" s="266">
        <v>2016</v>
      </c>
      <c r="T348" s="266">
        <v>2017</v>
      </c>
      <c r="U348" s="266">
        <v>2018</v>
      </c>
      <c r="V348" s="266">
        <v>2019</v>
      </c>
    </row>
    <row r="349" spans="1:22" x14ac:dyDescent="0.2">
      <c r="A349" s="263" t="s">
        <v>129</v>
      </c>
      <c r="B349" s="260"/>
      <c r="C349" s="267"/>
      <c r="D349" s="268"/>
      <c r="E349" s="268"/>
      <c r="F349" s="268"/>
      <c r="G349" s="268"/>
      <c r="H349" s="268"/>
      <c r="I349" s="268"/>
      <c r="J349" s="268"/>
      <c r="K349" s="268"/>
      <c r="L349" s="268"/>
      <c r="M349" s="268"/>
      <c r="N349" s="268"/>
      <c r="O349" s="268"/>
      <c r="P349" s="268"/>
      <c r="Q349" s="268"/>
      <c r="R349" s="268"/>
      <c r="S349" s="268"/>
      <c r="T349" s="268"/>
      <c r="U349" s="268"/>
      <c r="V349" s="268"/>
    </row>
    <row r="350" spans="1:22" x14ac:dyDescent="0.2">
      <c r="A350" s="261"/>
      <c r="B350" s="264" t="s">
        <v>97</v>
      </c>
      <c r="C350" s="269">
        <v>0</v>
      </c>
      <c r="D350" s="270">
        <v>1112073.7782922171</v>
      </c>
      <c r="E350" s="270">
        <v>1112073.7782922171</v>
      </c>
      <c r="F350" s="270">
        <v>1112073.7782922171</v>
      </c>
      <c r="G350" s="270">
        <v>1112073.7782922171</v>
      </c>
      <c r="H350" s="270">
        <v>1112073.7782922171</v>
      </c>
      <c r="I350" s="270">
        <v>1112073.7782922171</v>
      </c>
      <c r="J350" s="270">
        <v>1112073.7782922171</v>
      </c>
      <c r="K350" s="270">
        <v>1112073.7782922171</v>
      </c>
      <c r="L350" s="270">
        <v>1112073.7782922171</v>
      </c>
      <c r="M350" s="270">
        <v>1112073.7782922171</v>
      </c>
      <c r="N350" s="270">
        <v>1112073.7782922171</v>
      </c>
      <c r="O350" s="270">
        <v>1112073.7782922171</v>
      </c>
      <c r="P350" s="270">
        <v>1112073.7782922171</v>
      </c>
      <c r="Q350" s="270">
        <v>1112073.7782922171</v>
      </c>
      <c r="R350" s="270">
        <v>1112073.7782922171</v>
      </c>
      <c r="S350" s="270">
        <v>1112073.7782922171</v>
      </c>
      <c r="T350" s="270">
        <v>1112073.7782922171</v>
      </c>
      <c r="U350" s="270">
        <v>1112073.7782922171</v>
      </c>
      <c r="V350" s="270">
        <v>1112073.7782922171</v>
      </c>
    </row>
    <row r="351" spans="1:22" x14ac:dyDescent="0.2">
      <c r="A351" s="261"/>
      <c r="B351" s="264" t="s">
        <v>91</v>
      </c>
      <c r="C351" s="269">
        <v>0</v>
      </c>
      <c r="D351" s="271">
        <v>0.84632707632588822</v>
      </c>
      <c r="E351" s="271">
        <v>0.84632707632588822</v>
      </c>
      <c r="F351" s="271">
        <v>0.84632707632588822</v>
      </c>
      <c r="G351" s="271">
        <v>0.84632707632588822</v>
      </c>
      <c r="H351" s="271">
        <v>0.84632707632588822</v>
      </c>
      <c r="I351" s="271">
        <v>0.84632707632588822</v>
      </c>
      <c r="J351" s="271">
        <v>0.84632707632588822</v>
      </c>
      <c r="K351" s="271">
        <v>0.84632707632588822</v>
      </c>
      <c r="L351" s="271">
        <v>0.84632707632588822</v>
      </c>
      <c r="M351" s="271">
        <v>0.84632707632588822</v>
      </c>
      <c r="N351" s="271">
        <v>0.84632707632588822</v>
      </c>
      <c r="O351" s="271">
        <v>0.84632707632588822</v>
      </c>
      <c r="P351" s="271">
        <v>0.84632707632588822</v>
      </c>
      <c r="Q351" s="271">
        <v>0.84632707632588822</v>
      </c>
      <c r="R351" s="271">
        <v>0.84632707632588822</v>
      </c>
      <c r="S351" s="271">
        <v>0.84632707632588822</v>
      </c>
      <c r="T351" s="271">
        <v>0.84632707632588822</v>
      </c>
      <c r="U351" s="271">
        <v>0.84632707632588822</v>
      </c>
      <c r="V351" s="271">
        <v>0.84632707632588822</v>
      </c>
    </row>
    <row r="352" spans="1:22" x14ac:dyDescent="0.2">
      <c r="A352" s="263" t="s">
        <v>93</v>
      </c>
      <c r="B352" s="264"/>
      <c r="C352" s="267"/>
      <c r="D352" s="268"/>
      <c r="E352" s="268"/>
      <c r="F352" s="268"/>
      <c r="G352" s="268"/>
      <c r="H352" s="268"/>
      <c r="I352" s="268"/>
      <c r="J352" s="268"/>
      <c r="K352" s="268"/>
      <c r="L352" s="268"/>
      <c r="M352" s="268"/>
      <c r="N352" s="268"/>
      <c r="O352" s="268"/>
      <c r="P352" s="268"/>
      <c r="Q352" s="268"/>
      <c r="R352" s="268"/>
      <c r="S352" s="268"/>
      <c r="T352" s="268"/>
      <c r="U352" s="268"/>
      <c r="V352" s="268"/>
    </row>
    <row r="353" spans="1:22" x14ac:dyDescent="0.2">
      <c r="A353" s="261"/>
      <c r="B353" s="264" t="s">
        <v>27</v>
      </c>
      <c r="C353" s="272">
        <v>0</v>
      </c>
      <c r="D353" s="273">
        <v>39.483047960013884</v>
      </c>
      <c r="E353" s="273">
        <v>38.935467327251104</v>
      </c>
      <c r="F353" s="273">
        <v>39.684908261352305</v>
      </c>
      <c r="G353" s="273">
        <v>39.122421811677341</v>
      </c>
      <c r="H353" s="273">
        <v>39.417099156106005</v>
      </c>
      <c r="I353" s="273">
        <v>42.078614925257838</v>
      </c>
      <c r="J353" s="273">
        <v>45.119014026963697</v>
      </c>
      <c r="K353" s="273">
        <v>46.286592945186754</v>
      </c>
      <c r="L353" s="273">
        <v>47.255408417907297</v>
      </c>
      <c r="M353" s="273">
        <v>47.424107614868987</v>
      </c>
      <c r="N353" s="273">
        <v>48.448702322124582</v>
      </c>
      <c r="O353" s="273">
        <v>48.992770934223188</v>
      </c>
      <c r="P353" s="273">
        <v>49.569320079245436</v>
      </c>
      <c r="Q353" s="273">
        <v>51.314220662476146</v>
      </c>
      <c r="R353" s="273">
        <v>54.954913135529125</v>
      </c>
      <c r="S353" s="273">
        <v>54.638332925743086</v>
      </c>
      <c r="T353" s="273">
        <v>55.334688595910052</v>
      </c>
      <c r="U353" s="273">
        <v>57.993820916206104</v>
      </c>
      <c r="V353" s="273">
        <v>59.755300551829301</v>
      </c>
    </row>
    <row r="354" spans="1:22" x14ac:dyDescent="0.2">
      <c r="A354" s="261"/>
      <c r="B354" s="264" t="s">
        <v>20</v>
      </c>
      <c r="C354" s="272">
        <v>0</v>
      </c>
      <c r="D354" s="273">
        <v>12.085156799999998</v>
      </c>
      <c r="E354" s="273">
        <v>12.259036799999999</v>
      </c>
      <c r="F354" s="273">
        <v>12.4726608</v>
      </c>
      <c r="G354" s="273">
        <v>12.829363200000001</v>
      </c>
      <c r="H354" s="273">
        <v>13.275489600000004</v>
      </c>
      <c r="I354" s="273">
        <v>13.785206399999998</v>
      </c>
      <c r="J354" s="273">
        <v>14.103158399999998</v>
      </c>
      <c r="K354" s="273">
        <v>14.406206399999999</v>
      </c>
      <c r="L354" s="273">
        <v>14.643676800000001</v>
      </c>
      <c r="M354" s="273">
        <v>14.760921599999996</v>
      </c>
      <c r="N354" s="273">
        <v>14.961628800000002</v>
      </c>
      <c r="O354" s="273">
        <v>15.286536000000002</v>
      </c>
      <c r="P354" s="273">
        <v>15.635289599999998</v>
      </c>
      <c r="Q354" s="273">
        <v>15.967152</v>
      </c>
      <c r="R354" s="273">
        <v>16.193692799999997</v>
      </c>
      <c r="S354" s="273">
        <v>16.525555199999999</v>
      </c>
      <c r="T354" s="273">
        <v>16.9031232</v>
      </c>
      <c r="U354" s="273">
        <v>17.317454399999999</v>
      </c>
      <c r="V354" s="273">
        <v>17.745695999999999</v>
      </c>
    </row>
    <row r="355" spans="1:22" x14ac:dyDescent="0.2">
      <c r="A355" s="261"/>
      <c r="B355" s="264" t="s">
        <v>92</v>
      </c>
      <c r="C355" s="272">
        <v>0</v>
      </c>
      <c r="D355" s="273">
        <v>1.04716644859175</v>
      </c>
      <c r="E355" s="273">
        <v>1.0683028286478615</v>
      </c>
      <c r="F355" s="273">
        <v>1.0898658329168445</v>
      </c>
      <c r="G355" s="273">
        <v>1.1118640725335538</v>
      </c>
      <c r="H355" s="273">
        <v>1.134306332443054</v>
      </c>
      <c r="I355" s="273">
        <v>1.1572015749088642</v>
      </c>
      <c r="J355" s="273">
        <v>1.1805589430920189</v>
      </c>
      <c r="K355" s="273">
        <v>1.204387764702366</v>
      </c>
      <c r="L355" s="273">
        <v>1.2286975557235675</v>
      </c>
      <c r="M355" s="273">
        <v>1.2534980242132845</v>
      </c>
      <c r="N355" s="273">
        <v>1.2787990741800648</v>
      </c>
      <c r="O355" s="273">
        <v>1.3046108095384901</v>
      </c>
      <c r="P355" s="273">
        <v>1.3309435381441475</v>
      </c>
      <c r="Q355" s="273">
        <v>1.3578077759100451</v>
      </c>
      <c r="R355" s="273">
        <v>1.3852142510061221</v>
      </c>
      <c r="S355" s="273">
        <v>1.4131739081435144</v>
      </c>
      <c r="T355" s="273">
        <v>1.4416979129453011</v>
      </c>
      <c r="U355" s="273">
        <v>1.4707976564054683</v>
      </c>
      <c r="V355" s="273">
        <v>1.5004847594378752</v>
      </c>
    </row>
    <row r="356" spans="1:22" x14ac:dyDescent="0.2">
      <c r="A356" s="261"/>
      <c r="B356" s="264" t="s">
        <v>22</v>
      </c>
      <c r="C356" s="272">
        <v>0</v>
      </c>
      <c r="D356" s="273">
        <v>0</v>
      </c>
      <c r="E356" s="273">
        <v>0</v>
      </c>
      <c r="F356" s="273">
        <v>0</v>
      </c>
      <c r="G356" s="273">
        <v>0</v>
      </c>
      <c r="H356" s="273">
        <v>0</v>
      </c>
      <c r="I356" s="273">
        <v>0.92075239500840711</v>
      </c>
      <c r="J356" s="273">
        <v>1.0205804765233304</v>
      </c>
      <c r="K356" s="273">
        <v>1.2120308285856058</v>
      </c>
      <c r="L356" s="273">
        <v>1.2369177260933306</v>
      </c>
      <c r="M356" s="273">
        <v>1.3756426881179395</v>
      </c>
      <c r="N356" s="273">
        <v>1.5153744522357071</v>
      </c>
      <c r="O356" s="273">
        <v>1.6789894607772555</v>
      </c>
      <c r="P356" s="273">
        <v>1.8825888600421348</v>
      </c>
      <c r="Q356" s="273">
        <v>2.0956151736051152</v>
      </c>
      <c r="R356" s="273">
        <v>2.321301438951008</v>
      </c>
      <c r="S356" s="273">
        <v>2.5487861253232147</v>
      </c>
      <c r="T356" s="273">
        <v>2.5040581088165648</v>
      </c>
      <c r="U356" s="273">
        <v>2.1423571503764167</v>
      </c>
      <c r="V356" s="273">
        <v>2.2212291074644792</v>
      </c>
    </row>
    <row r="357" spans="1:22" x14ac:dyDescent="0.2">
      <c r="A357" s="261"/>
      <c r="B357" s="264" t="s">
        <v>23</v>
      </c>
      <c r="C357" s="272">
        <v>0</v>
      </c>
      <c r="D357" s="273">
        <v>0</v>
      </c>
      <c r="E357" s="273">
        <v>0</v>
      </c>
      <c r="F357" s="273">
        <v>1.5383840648344416</v>
      </c>
      <c r="G357" s="273">
        <v>1.3107996539578608</v>
      </c>
      <c r="H357" s="273">
        <v>1.3607891226536359</v>
      </c>
      <c r="I357" s="273">
        <v>1.4132993177616153</v>
      </c>
      <c r="J357" s="273">
        <v>1.7754126144882447</v>
      </c>
      <c r="K357" s="273">
        <v>1.5508030215139921</v>
      </c>
      <c r="L357" s="273">
        <v>1.6414154249742177</v>
      </c>
      <c r="M357" s="273">
        <v>1.5618696413666586</v>
      </c>
      <c r="N357" s="273">
        <v>1.6066028751540316</v>
      </c>
      <c r="O357" s="273">
        <v>1.6482634886051093</v>
      </c>
      <c r="P357" s="273">
        <v>1.4722451125296734</v>
      </c>
      <c r="Q357" s="273">
        <v>1.5248847632447564</v>
      </c>
      <c r="R357" s="273">
        <v>1.5563970881657725</v>
      </c>
      <c r="S357" s="273">
        <v>1.6527843578990704</v>
      </c>
      <c r="T357" s="273">
        <v>1.5537887176239644</v>
      </c>
      <c r="U357" s="273">
        <v>1.7113072205192514</v>
      </c>
      <c r="V357" s="273">
        <v>0.93172216493892179</v>
      </c>
    </row>
    <row r="358" spans="1:22" x14ac:dyDescent="0.2">
      <c r="A358" s="263" t="s">
        <v>94</v>
      </c>
      <c r="B358" s="264"/>
      <c r="C358" s="267"/>
      <c r="D358" s="268"/>
      <c r="E358" s="268"/>
      <c r="F358" s="268"/>
      <c r="G358" s="268"/>
      <c r="H358" s="268"/>
      <c r="I358" s="268"/>
      <c r="J358" s="268"/>
      <c r="K358" s="268"/>
      <c r="L358" s="268"/>
      <c r="M358" s="268"/>
      <c r="N358" s="268"/>
      <c r="O358" s="268"/>
      <c r="P358" s="268"/>
      <c r="Q358" s="268"/>
      <c r="R358" s="268"/>
      <c r="S358" s="268"/>
      <c r="T358" s="268"/>
      <c r="U358" s="268"/>
      <c r="V358" s="268"/>
    </row>
    <row r="359" spans="1:22" x14ac:dyDescent="0.2">
      <c r="A359" s="261"/>
      <c r="B359" s="264" t="s">
        <v>34</v>
      </c>
      <c r="C359" s="272">
        <v>0</v>
      </c>
      <c r="D359" s="273">
        <v>24.428187755060065</v>
      </c>
      <c r="E359" s="273">
        <v>24.916751510161266</v>
      </c>
      <c r="F359" s="273">
        <v>25.415086540364491</v>
      </c>
      <c r="G359" s="273">
        <v>25.923388271171781</v>
      </c>
      <c r="H359" s="273">
        <v>26.441856036595219</v>
      </c>
      <c r="I359" s="273">
        <v>26.970693157327123</v>
      </c>
      <c r="J359" s="273">
        <v>27.510107020473665</v>
      </c>
      <c r="K359" s="273">
        <v>28.06030916088314</v>
      </c>
      <c r="L359" s="273">
        <v>28.621515344100807</v>
      </c>
      <c r="M359" s="273">
        <v>29.193945650982819</v>
      </c>
      <c r="N359" s="273">
        <v>29.777824564002479</v>
      </c>
      <c r="O359" s="273">
        <v>30.373381055282529</v>
      </c>
      <c r="P359" s="273">
        <v>30.980848676388177</v>
      </c>
      <c r="Q359" s="273">
        <v>31.60046564991594</v>
      </c>
      <c r="R359" s="273">
        <v>32.23247496291426</v>
      </c>
      <c r="S359" s="273">
        <v>32.877124462172546</v>
      </c>
      <c r="T359" s="273">
        <v>33.534666951416</v>
      </c>
      <c r="U359" s="273">
        <v>34.205360290444318</v>
      </c>
      <c r="V359" s="273">
        <v>34.889467496253211</v>
      </c>
    </row>
    <row r="360" spans="1:22" x14ac:dyDescent="0.2">
      <c r="A360" s="261"/>
      <c r="B360" s="264" t="s">
        <v>95</v>
      </c>
      <c r="C360" s="272">
        <v>0</v>
      </c>
      <c r="D360" s="273">
        <v>2.6209795179148254</v>
      </c>
      <c r="E360" s="273">
        <v>2.6772127964575447</v>
      </c>
      <c r="F360" s="273">
        <v>2.734677583800349</v>
      </c>
      <c r="G360" s="273">
        <v>2.85004361349027</v>
      </c>
      <c r="H360" s="273">
        <v>3.2027768404997459</v>
      </c>
      <c r="I360" s="273">
        <v>4.0355725665614077</v>
      </c>
      <c r="J360" s="273">
        <v>4.4667221699418853</v>
      </c>
      <c r="K360" s="273">
        <v>4.9053556255534501</v>
      </c>
      <c r="L360" s="273">
        <v>5.3553513852877463</v>
      </c>
      <c r="M360" s="273">
        <v>5.6197304997780719</v>
      </c>
      <c r="N360" s="273">
        <v>5.6969632592604134</v>
      </c>
      <c r="O360" s="273">
        <v>5.7684613068453858</v>
      </c>
      <c r="P360" s="273">
        <v>5.8417754048390158</v>
      </c>
      <c r="Q360" s="273">
        <v>5.9169223552824883</v>
      </c>
      <c r="R360" s="273">
        <v>5.9939554941820914</v>
      </c>
      <c r="S360" s="273">
        <v>6.0729144615541832</v>
      </c>
      <c r="T360" s="273">
        <v>6.1538316113171048</v>
      </c>
      <c r="U360" s="273">
        <v>6.2367797815390738</v>
      </c>
      <c r="V360" s="273">
        <v>6.3218099508336154</v>
      </c>
    </row>
    <row r="361" spans="1:22" x14ac:dyDescent="0.2">
      <c r="A361" s="261"/>
      <c r="B361" s="264" t="s">
        <v>36</v>
      </c>
      <c r="C361" s="272">
        <v>0</v>
      </c>
      <c r="D361" s="273">
        <v>3.26661672377148</v>
      </c>
      <c r="E361" s="273">
        <v>3.3355423366430803</v>
      </c>
      <c r="F361" s="273">
        <v>3.4085907138155669</v>
      </c>
      <c r="G361" s="273">
        <v>3.4856248639477734</v>
      </c>
      <c r="H361" s="273">
        <v>3.5685827357097395</v>
      </c>
      <c r="I361" s="273">
        <v>3.6580117778226602</v>
      </c>
      <c r="J361" s="273">
        <v>3.7487406606639735</v>
      </c>
      <c r="K361" s="273">
        <v>3.8436290338361334</v>
      </c>
      <c r="L361" s="273">
        <v>3.9385666709718867</v>
      </c>
      <c r="M361" s="273">
        <v>4.0390001210816528</v>
      </c>
      <c r="N361" s="273">
        <v>4.1367439240118538</v>
      </c>
      <c r="O361" s="273">
        <v>4.2409898708969402</v>
      </c>
      <c r="P361" s="273">
        <v>4.3487110136177138</v>
      </c>
      <c r="Q361" s="273">
        <v>4.4574287889581532</v>
      </c>
      <c r="R361" s="273">
        <v>4.5693102515609993</v>
      </c>
      <c r="S361" s="273">
        <v>4.6835430078500329</v>
      </c>
      <c r="T361" s="273">
        <v>4.7996948744447065</v>
      </c>
      <c r="U361" s="273">
        <v>4.9201672157932803</v>
      </c>
      <c r="V361" s="273">
        <v>5.0436634129096873</v>
      </c>
    </row>
    <row r="362" spans="1:22" x14ac:dyDescent="0.2">
      <c r="A362" s="261"/>
      <c r="B362" s="264" t="s">
        <v>39</v>
      </c>
      <c r="C362" s="272">
        <v>0</v>
      </c>
      <c r="D362" s="273">
        <v>11.056098466666667</v>
      </c>
      <c r="E362" s="273">
        <v>9.713765733333334</v>
      </c>
      <c r="F362" s="273">
        <v>46.917401533333333</v>
      </c>
      <c r="G362" s="273">
        <v>8.2645343333333319</v>
      </c>
      <c r="H362" s="273">
        <v>16.645902279999998</v>
      </c>
      <c r="I362" s="273">
        <v>17.145279348399999</v>
      </c>
      <c r="J362" s="273">
        <v>17.659637728852001</v>
      </c>
      <c r="K362" s="273">
        <v>18.18942686071756</v>
      </c>
      <c r="L362" s="273">
        <v>18.735109666539085</v>
      </c>
      <c r="M362" s="273">
        <v>19.29716295653526</v>
      </c>
      <c r="N362" s="273">
        <v>19.876077845231318</v>
      </c>
      <c r="O362" s="273">
        <v>20.472360180588257</v>
      </c>
      <c r="P362" s="273">
        <v>21.086530986005904</v>
      </c>
      <c r="Q362" s="273">
        <v>21.719126915586084</v>
      </c>
      <c r="R362" s="273">
        <v>22.370700723053666</v>
      </c>
      <c r="S362" s="273">
        <v>23.041821744745278</v>
      </c>
      <c r="T362" s="273">
        <v>23.733076397087636</v>
      </c>
      <c r="U362" s="273">
        <v>24.445068689000266</v>
      </c>
      <c r="V362" s="273">
        <v>25.178420749670273</v>
      </c>
    </row>
    <row r="363" spans="1:22" x14ac:dyDescent="0.2">
      <c r="A363" s="261"/>
      <c r="B363" s="264" t="s">
        <v>96</v>
      </c>
      <c r="C363" s="274">
        <v>0</v>
      </c>
      <c r="D363" s="275">
        <v>0</v>
      </c>
      <c r="E363" s="275">
        <v>0</v>
      </c>
      <c r="F363" s="275">
        <v>0</v>
      </c>
      <c r="G363" s="275">
        <v>0</v>
      </c>
      <c r="H363" s="275">
        <v>0</v>
      </c>
      <c r="I363" s="275">
        <v>0</v>
      </c>
      <c r="J363" s="275">
        <v>0</v>
      </c>
      <c r="K363" s="275">
        <v>0</v>
      </c>
      <c r="L363" s="275">
        <v>0</v>
      </c>
      <c r="M363" s="275">
        <v>0</v>
      </c>
      <c r="N363" s="275">
        <v>0</v>
      </c>
      <c r="O363" s="275">
        <v>0</v>
      </c>
      <c r="P363" s="275">
        <v>0</v>
      </c>
      <c r="Q363" s="275">
        <v>0</v>
      </c>
      <c r="R363" s="275">
        <v>0</v>
      </c>
      <c r="S363" s="275">
        <v>0</v>
      </c>
      <c r="T363" s="275">
        <v>0</v>
      </c>
      <c r="U363" s="275">
        <v>0</v>
      </c>
      <c r="V363" s="275">
        <v>0</v>
      </c>
    </row>
    <row r="364" spans="1:22" x14ac:dyDescent="0.2">
      <c r="A364" s="261"/>
      <c r="B364" s="264"/>
      <c r="C364" s="261"/>
      <c r="D364" s="261"/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</row>
    <row r="365" spans="1:22" x14ac:dyDescent="0.2">
      <c r="A365" s="261"/>
      <c r="B365" s="264"/>
      <c r="C365" s="261"/>
      <c r="D365" s="261"/>
      <c r="E365" s="261"/>
      <c r="F365" s="261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</row>
    <row r="366" spans="1:22" x14ac:dyDescent="0.2">
      <c r="A366" s="24"/>
      <c r="B366" s="289"/>
      <c r="C366" s="293"/>
      <c r="D366" s="293"/>
      <c r="E366" s="293"/>
      <c r="F366" s="293"/>
      <c r="G366" s="293"/>
      <c r="H366" s="293"/>
      <c r="I366" s="293"/>
      <c r="J366" s="293"/>
      <c r="K366" s="293"/>
      <c r="L366" s="293"/>
      <c r="M366" s="293"/>
      <c r="N366" s="293"/>
      <c r="O366" s="293"/>
      <c r="P366" s="293"/>
      <c r="Q366" s="293"/>
      <c r="R366" s="293"/>
      <c r="S366" s="293"/>
      <c r="T366" s="293"/>
      <c r="U366" s="293"/>
      <c r="V366" s="293"/>
    </row>
    <row r="367" spans="1:22" x14ac:dyDescent="0.2">
      <c r="A367" s="24"/>
      <c r="B367" s="289"/>
      <c r="C367" s="293"/>
      <c r="D367" s="293"/>
      <c r="E367" s="293"/>
      <c r="F367" s="293"/>
      <c r="G367" s="293"/>
      <c r="H367" s="293"/>
      <c r="I367" s="293"/>
      <c r="J367" s="293"/>
      <c r="K367" s="293"/>
      <c r="L367" s="293"/>
      <c r="M367" s="293"/>
      <c r="N367" s="293"/>
      <c r="O367" s="293"/>
      <c r="P367" s="293"/>
      <c r="Q367" s="293"/>
      <c r="R367" s="293"/>
      <c r="S367" s="293"/>
      <c r="T367" s="293"/>
      <c r="U367" s="293"/>
      <c r="V367" s="293"/>
    </row>
    <row r="368" spans="1:22" x14ac:dyDescent="0.2">
      <c r="A368" s="259" t="s">
        <v>98</v>
      </c>
      <c r="B368" s="260"/>
      <c r="C368" s="261"/>
      <c r="D368" s="261"/>
      <c r="E368" s="261"/>
      <c r="F368" s="261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</row>
    <row r="369" spans="1:22" x14ac:dyDescent="0.2">
      <c r="A369" s="262" t="s">
        <v>69</v>
      </c>
      <c r="B369" s="260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</row>
    <row r="370" spans="1:22" x14ac:dyDescent="0.2">
      <c r="A370" s="261"/>
      <c r="B370" s="260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</row>
    <row r="371" spans="1:22" x14ac:dyDescent="0.2">
      <c r="A371" s="261"/>
      <c r="B371" s="260"/>
      <c r="C371" s="265">
        <v>2000</v>
      </c>
      <c r="D371" s="266">
        <v>2001</v>
      </c>
      <c r="E371" s="266">
        <v>2002</v>
      </c>
      <c r="F371" s="266">
        <v>2003</v>
      </c>
      <c r="G371" s="266">
        <v>2004</v>
      </c>
      <c r="H371" s="266">
        <v>2005</v>
      </c>
      <c r="I371" s="266">
        <v>2006</v>
      </c>
      <c r="J371" s="266">
        <v>2007</v>
      </c>
      <c r="K371" s="266">
        <v>2008</v>
      </c>
      <c r="L371" s="266">
        <v>2009</v>
      </c>
      <c r="M371" s="266">
        <v>2010</v>
      </c>
      <c r="N371" s="266">
        <v>2011</v>
      </c>
      <c r="O371" s="266">
        <v>2012</v>
      </c>
      <c r="P371" s="266">
        <v>2013</v>
      </c>
      <c r="Q371" s="266">
        <v>2014</v>
      </c>
      <c r="R371" s="266">
        <v>2015</v>
      </c>
      <c r="S371" s="266">
        <v>2016</v>
      </c>
      <c r="T371" s="266">
        <v>2017</v>
      </c>
      <c r="U371" s="266">
        <v>2018</v>
      </c>
      <c r="V371" s="266">
        <v>2019</v>
      </c>
    </row>
    <row r="372" spans="1:22" x14ac:dyDescent="0.2">
      <c r="A372" s="263" t="s">
        <v>129</v>
      </c>
      <c r="B372" s="260"/>
      <c r="C372" s="267"/>
      <c r="D372" s="268"/>
      <c r="E372" s="268"/>
      <c r="F372" s="268"/>
      <c r="G372" s="268"/>
      <c r="H372" s="268"/>
      <c r="I372" s="268"/>
      <c r="J372" s="268"/>
      <c r="K372" s="268"/>
      <c r="L372" s="268"/>
      <c r="M372" s="268"/>
      <c r="N372" s="268"/>
      <c r="O372" s="268"/>
      <c r="P372" s="268"/>
      <c r="Q372" s="268"/>
      <c r="R372" s="268"/>
      <c r="S372" s="268"/>
      <c r="T372" s="268"/>
      <c r="U372" s="268"/>
      <c r="V372" s="268"/>
    </row>
    <row r="373" spans="1:22" x14ac:dyDescent="0.2">
      <c r="A373" s="261"/>
      <c r="B373" s="264" t="s">
        <v>97</v>
      </c>
      <c r="C373" s="269">
        <v>0</v>
      </c>
      <c r="D373" s="270">
        <v>1747428.4077420493</v>
      </c>
      <c r="E373" s="270">
        <v>1747428.4077420493</v>
      </c>
      <c r="F373" s="270">
        <v>1747428.4077420493</v>
      </c>
      <c r="G373" s="270">
        <v>1747428.4077420493</v>
      </c>
      <c r="H373" s="270">
        <v>1747428.4077420493</v>
      </c>
      <c r="I373" s="270">
        <v>1747428.4077420488</v>
      </c>
      <c r="J373" s="270">
        <v>1747428.4077420488</v>
      </c>
      <c r="K373" s="270">
        <v>1747428.4077420488</v>
      </c>
      <c r="L373" s="270">
        <v>1747428.4077420488</v>
      </c>
      <c r="M373" s="270">
        <v>1747428.4077420488</v>
      </c>
      <c r="N373" s="270">
        <v>1747428.4077420488</v>
      </c>
      <c r="O373" s="270">
        <v>1747428.4077420488</v>
      </c>
      <c r="P373" s="270">
        <v>1747428.4077420488</v>
      </c>
      <c r="Q373" s="270">
        <v>1747428.4077420488</v>
      </c>
      <c r="R373" s="270">
        <v>1747428.4077420488</v>
      </c>
      <c r="S373" s="270">
        <v>1747428.4077420488</v>
      </c>
      <c r="T373" s="270">
        <v>1747428.4077420488</v>
      </c>
      <c r="U373" s="270">
        <v>1747428.4077420488</v>
      </c>
      <c r="V373" s="270">
        <v>1747428.4077420488</v>
      </c>
    </row>
    <row r="374" spans="1:22" x14ac:dyDescent="0.2">
      <c r="A374" s="261"/>
      <c r="B374" s="264" t="s">
        <v>91</v>
      </c>
      <c r="C374" s="269">
        <v>0</v>
      </c>
      <c r="D374" s="271">
        <v>0.83814339805746585</v>
      </c>
      <c r="E374" s="271">
        <v>0.83814339805746585</v>
      </c>
      <c r="F374" s="271">
        <v>0.83814339805746585</v>
      </c>
      <c r="G374" s="271">
        <v>0.83814339805746585</v>
      </c>
      <c r="H374" s="271">
        <v>0.83814339805746585</v>
      </c>
      <c r="I374" s="271">
        <v>0.83814339805746563</v>
      </c>
      <c r="J374" s="271">
        <v>0.83814339805746563</v>
      </c>
      <c r="K374" s="271">
        <v>0.83814339805746563</v>
      </c>
      <c r="L374" s="271">
        <v>0.83814339805746563</v>
      </c>
      <c r="M374" s="271">
        <v>0.83814339805746563</v>
      </c>
      <c r="N374" s="271">
        <v>0.83814339805746563</v>
      </c>
      <c r="O374" s="271">
        <v>0.83814339805746563</v>
      </c>
      <c r="P374" s="271">
        <v>0.83814339805746563</v>
      </c>
      <c r="Q374" s="271">
        <v>0.83814339805746563</v>
      </c>
      <c r="R374" s="271">
        <v>0.83814339805746563</v>
      </c>
      <c r="S374" s="271">
        <v>0.83814339805746563</v>
      </c>
      <c r="T374" s="271">
        <v>0.83814339805746563</v>
      </c>
      <c r="U374" s="271">
        <v>0.83814339805746563</v>
      </c>
      <c r="V374" s="271">
        <v>0.83814339805746563</v>
      </c>
    </row>
    <row r="375" spans="1:22" x14ac:dyDescent="0.2">
      <c r="A375" s="263" t="s">
        <v>93</v>
      </c>
      <c r="B375" s="264"/>
      <c r="C375" s="267"/>
      <c r="D375" s="268"/>
      <c r="E375" s="268"/>
      <c r="F375" s="268"/>
      <c r="G375" s="268"/>
      <c r="H375" s="268"/>
      <c r="I375" s="268"/>
      <c r="J375" s="268"/>
      <c r="K375" s="268"/>
      <c r="L375" s="268"/>
      <c r="M375" s="268"/>
      <c r="N375" s="268"/>
      <c r="O375" s="268"/>
      <c r="P375" s="268"/>
      <c r="Q375" s="268"/>
      <c r="R375" s="268"/>
      <c r="S375" s="268"/>
      <c r="T375" s="268"/>
      <c r="U375" s="268"/>
      <c r="V375" s="268"/>
    </row>
    <row r="376" spans="1:22" x14ac:dyDescent="0.2">
      <c r="A376" s="261"/>
      <c r="B376" s="264" t="s">
        <v>27</v>
      </c>
      <c r="C376" s="272">
        <v>0</v>
      </c>
      <c r="D376" s="273">
        <v>39.483047960013891</v>
      </c>
      <c r="E376" s="273">
        <v>38.935467327251096</v>
      </c>
      <c r="F376" s="273">
        <v>39.684908261352305</v>
      </c>
      <c r="G376" s="273">
        <v>39.122421811677341</v>
      </c>
      <c r="H376" s="273">
        <v>39.417099156106005</v>
      </c>
      <c r="I376" s="273">
        <v>42.078614925257824</v>
      </c>
      <c r="J376" s="273">
        <v>45.119014026963718</v>
      </c>
      <c r="K376" s="273">
        <v>46.286592945186811</v>
      </c>
      <c r="L376" s="273">
        <v>47.255408417907326</v>
      </c>
      <c r="M376" s="273">
        <v>47.424107614868973</v>
      </c>
      <c r="N376" s="273">
        <v>48.448702322124532</v>
      </c>
      <c r="O376" s="273">
        <v>48.992770934223174</v>
      </c>
      <c r="P376" s="273">
        <v>49.569320079245472</v>
      </c>
      <c r="Q376" s="273">
        <v>51.314220662476153</v>
      </c>
      <c r="R376" s="273">
        <v>54.954913135529182</v>
      </c>
      <c r="S376" s="273">
        <v>54.638332925743128</v>
      </c>
      <c r="T376" s="273">
        <v>55.334688595910023</v>
      </c>
      <c r="U376" s="273">
        <v>57.993820916206133</v>
      </c>
      <c r="V376" s="273">
        <v>59.755300551829393</v>
      </c>
    </row>
    <row r="377" spans="1:22" x14ac:dyDescent="0.2">
      <c r="A377" s="261"/>
      <c r="B377" s="264" t="s">
        <v>20</v>
      </c>
      <c r="C377" s="272">
        <v>0</v>
      </c>
      <c r="D377" s="273">
        <v>12.2627366</v>
      </c>
      <c r="E377" s="273">
        <v>12.4391716</v>
      </c>
      <c r="F377" s="273">
        <v>12.655934600000002</v>
      </c>
      <c r="G377" s="273">
        <v>13.017878400000001</v>
      </c>
      <c r="H377" s="273">
        <v>13.470560200000001</v>
      </c>
      <c r="I377" s="273">
        <v>13.987766800000001</v>
      </c>
      <c r="J377" s="273">
        <v>14.310390799999999</v>
      </c>
      <c r="K377" s="273">
        <v>14.617891800000001</v>
      </c>
      <c r="L377" s="273">
        <v>14.858851600000001</v>
      </c>
      <c r="M377" s="273">
        <v>14.977819200000001</v>
      </c>
      <c r="N377" s="273">
        <v>15.181475599999997</v>
      </c>
      <c r="O377" s="273">
        <v>15.511157000000001</v>
      </c>
      <c r="P377" s="273">
        <v>15.865035199999999</v>
      </c>
      <c r="Q377" s="273">
        <v>16.201774</v>
      </c>
      <c r="R377" s="273">
        <v>16.431643599999997</v>
      </c>
      <c r="S377" s="273">
        <v>16.768382400000004</v>
      </c>
      <c r="T377" s="273">
        <v>17.151498399999998</v>
      </c>
      <c r="U377" s="273">
        <v>17.571917799999998</v>
      </c>
      <c r="V377" s="273">
        <v>18.006451999999999</v>
      </c>
    </row>
    <row r="378" spans="1:22" x14ac:dyDescent="0.2">
      <c r="A378" s="261"/>
      <c r="B378" s="264" t="s">
        <v>92</v>
      </c>
      <c r="C378" s="272">
        <v>0</v>
      </c>
      <c r="D378" s="273">
        <v>1.0193655694255976</v>
      </c>
      <c r="E378" s="273">
        <v>1.0399408066483606</v>
      </c>
      <c r="F378" s="273">
        <v>1.0609313417774588</v>
      </c>
      <c r="G378" s="273">
        <v>1.0823455573335479</v>
      </c>
      <c r="H378" s="273">
        <v>1.1041920050330618</v>
      </c>
      <c r="I378" s="273">
        <v>1.1264794092033201</v>
      </c>
      <c r="J378" s="273">
        <v>1.1492166702665683</v>
      </c>
      <c r="K378" s="273">
        <v>1.1724128682943398</v>
      </c>
      <c r="L378" s="273">
        <v>1.1960772666335626</v>
      </c>
      <c r="M378" s="273">
        <v>1.2202193156058527</v>
      </c>
      <c r="N378" s="273">
        <v>1.2448486562814802</v>
      </c>
      <c r="O378" s="273">
        <v>1.2699751243295052</v>
      </c>
      <c r="P378" s="273">
        <v>1.2956087539456318</v>
      </c>
      <c r="Q378" s="273">
        <v>1.3217597818593378</v>
      </c>
      <c r="R378" s="273">
        <v>1.3484386514218909</v>
      </c>
      <c r="S378" s="273">
        <v>1.3756560167768745</v>
      </c>
      <c r="T378" s="273">
        <v>1.403422747114897</v>
      </c>
      <c r="U378" s="273">
        <v>1.4317499310141741</v>
      </c>
      <c r="V378" s="273">
        <v>1.4606488808687295</v>
      </c>
    </row>
    <row r="379" spans="1:22" x14ac:dyDescent="0.2">
      <c r="A379" s="261"/>
      <c r="B379" s="264" t="s">
        <v>22</v>
      </c>
      <c r="C379" s="272">
        <v>0</v>
      </c>
      <c r="D379" s="273">
        <v>0</v>
      </c>
      <c r="E379" s="273">
        <v>0</v>
      </c>
      <c r="F379" s="273">
        <v>0</v>
      </c>
      <c r="G379" s="273">
        <v>0</v>
      </c>
      <c r="H379" s="273">
        <v>0</v>
      </c>
      <c r="I379" s="273">
        <v>0.95531293006474438</v>
      </c>
      <c r="J379" s="273">
        <v>1.0588880688010303</v>
      </c>
      <c r="K379" s="273">
        <v>1.2555633346493527</v>
      </c>
      <c r="L379" s="273">
        <v>1.2833455590983844</v>
      </c>
      <c r="M379" s="273">
        <v>1.4272775767214712</v>
      </c>
      <c r="N379" s="273">
        <v>1.5722541868569702</v>
      </c>
      <c r="O379" s="273">
        <v>1.7420105014316041</v>
      </c>
      <c r="P379" s="273">
        <v>1.9532520249134706</v>
      </c>
      <c r="Q379" s="273">
        <v>2.1742743028830906</v>
      </c>
      <c r="R379" s="273">
        <v>2.4084317252170142</v>
      </c>
      <c r="S379" s="273">
        <v>2.6444550724938991</v>
      </c>
      <c r="T379" s="273">
        <v>2.5980481853257587</v>
      </c>
      <c r="U379" s="273">
        <v>2.2227707445198264</v>
      </c>
      <c r="V379" s="273">
        <v>2.3046031685615254</v>
      </c>
    </row>
    <row r="380" spans="1:22" x14ac:dyDescent="0.2">
      <c r="A380" s="261"/>
      <c r="B380" s="264" t="s">
        <v>23</v>
      </c>
      <c r="C380" s="272">
        <v>0</v>
      </c>
      <c r="D380" s="273">
        <v>0</v>
      </c>
      <c r="E380" s="273">
        <v>0</v>
      </c>
      <c r="F380" s="273">
        <v>3.3771399764973618</v>
      </c>
      <c r="G380" s="273">
        <v>2.8775349496592715</v>
      </c>
      <c r="H380" s="273">
        <v>2.9872744074418982</v>
      </c>
      <c r="I380" s="273">
        <v>3.1025474937449062</v>
      </c>
      <c r="J380" s="273">
        <v>3.8974772634629518</v>
      </c>
      <c r="K380" s="273">
        <v>3.4044027101850061</v>
      </c>
      <c r="L380" s="273">
        <v>3.6033197277796787</v>
      </c>
      <c r="M380" s="273">
        <v>3.4286967243804556</v>
      </c>
      <c r="N380" s="273">
        <v>3.5268974244231956</v>
      </c>
      <c r="O380" s="273">
        <v>3.6183529499627038</v>
      </c>
      <c r="P380" s="273">
        <v>3.2319483400667504</v>
      </c>
      <c r="Q380" s="273">
        <v>3.347505613989695</v>
      </c>
      <c r="R380" s="273">
        <v>3.4166830935774013</v>
      </c>
      <c r="S380" s="273">
        <v>3.6282773952102554</v>
      </c>
      <c r="T380" s="273">
        <v>3.4109570641471598</v>
      </c>
      <c r="U380" s="273">
        <v>3.7567497990861658</v>
      </c>
      <c r="V380" s="273">
        <v>2.0453645108073371</v>
      </c>
    </row>
    <row r="381" spans="1:22" x14ac:dyDescent="0.2">
      <c r="A381" s="263" t="s">
        <v>94</v>
      </c>
      <c r="B381" s="264"/>
      <c r="C381" s="267"/>
      <c r="D381" s="268"/>
      <c r="E381" s="268"/>
      <c r="F381" s="268"/>
      <c r="G381" s="268"/>
      <c r="H381" s="268"/>
      <c r="I381" s="268"/>
      <c r="J381" s="268"/>
      <c r="K381" s="268"/>
      <c r="L381" s="268"/>
      <c r="M381" s="268"/>
      <c r="N381" s="268"/>
      <c r="O381" s="268"/>
      <c r="P381" s="268"/>
      <c r="Q381" s="268"/>
      <c r="R381" s="268"/>
      <c r="S381" s="268"/>
      <c r="T381" s="268"/>
      <c r="U381" s="268"/>
      <c r="V381" s="268"/>
    </row>
    <row r="382" spans="1:22" x14ac:dyDescent="0.2">
      <c r="A382" s="261"/>
      <c r="B382" s="264" t="s">
        <v>34</v>
      </c>
      <c r="C382" s="272">
        <v>0</v>
      </c>
      <c r="D382" s="273">
        <v>20.001900157917223</v>
      </c>
      <c r="E382" s="273">
        <v>20.40193816107557</v>
      </c>
      <c r="F382" s="273">
        <v>20.809976924297079</v>
      </c>
      <c r="G382" s="273">
        <v>21.22617646278302</v>
      </c>
      <c r="H382" s="273">
        <v>21.650699992038682</v>
      </c>
      <c r="I382" s="273">
        <v>22.083713991879453</v>
      </c>
      <c r="J382" s="273">
        <v>22.525388271717045</v>
      </c>
      <c r="K382" s="273">
        <v>22.975896037151387</v>
      </c>
      <c r="L382" s="273">
        <v>23.435413957894415</v>
      </c>
      <c r="M382" s="273">
        <v>23.904122237052302</v>
      </c>
      <c r="N382" s="273">
        <v>24.38220468179335</v>
      </c>
      <c r="O382" s="273">
        <v>24.869848775429215</v>
      </c>
      <c r="P382" s="273">
        <v>25.367245750937801</v>
      </c>
      <c r="Q382" s="273">
        <v>25.874590665956561</v>
      </c>
      <c r="R382" s="273">
        <v>26.392082479275693</v>
      </c>
      <c r="S382" s="273">
        <v>26.919924128861204</v>
      </c>
      <c r="T382" s="273">
        <v>27.458322611438433</v>
      </c>
      <c r="U382" s="273">
        <v>28.007489063667201</v>
      </c>
      <c r="V382" s="273">
        <v>28.567638844940547</v>
      </c>
    </row>
    <row r="383" spans="1:22" x14ac:dyDescent="0.2">
      <c r="A383" s="261"/>
      <c r="B383" s="264" t="s">
        <v>95</v>
      </c>
      <c r="C383" s="272">
        <v>0</v>
      </c>
      <c r="D383" s="273">
        <v>2.6141933720395496</v>
      </c>
      <c r="E383" s="273">
        <v>2.6669282007698163</v>
      </c>
      <c r="F383" s="273">
        <v>2.7208179222492759</v>
      </c>
      <c r="G383" s="273">
        <v>2.8325280895873401</v>
      </c>
      <c r="H383" s="273">
        <v>3.1810896581840864</v>
      </c>
      <c r="I383" s="273">
        <v>4.010048715624432</v>
      </c>
      <c r="J383" s="273">
        <v>4.4976504875911472</v>
      </c>
      <c r="K383" s="273">
        <v>4.994558331695119</v>
      </c>
      <c r="L383" s="273">
        <v>5.4404231656486148</v>
      </c>
      <c r="M383" s="273">
        <v>5.7005660157507272</v>
      </c>
      <c r="N383" s="273">
        <v>5.771471628001132</v>
      </c>
      <c r="O383" s="273">
        <v>5.8385215562936406</v>
      </c>
      <c r="P383" s="273">
        <v>5.9072745527647781</v>
      </c>
      <c r="Q383" s="273">
        <v>5.9777463741476957</v>
      </c>
      <c r="R383" s="273">
        <v>6.0499870382473224</v>
      </c>
      <c r="S383" s="273">
        <v>6.124033718949442</v>
      </c>
      <c r="T383" s="273">
        <v>6.1999167573329732</v>
      </c>
      <c r="U383" s="273">
        <v>6.2777044599799314</v>
      </c>
      <c r="V383" s="273">
        <v>6.3574446339633282</v>
      </c>
    </row>
    <row r="384" spans="1:22" x14ac:dyDescent="0.2">
      <c r="A384" s="261"/>
      <c r="B384" s="264" t="s">
        <v>36</v>
      </c>
      <c r="C384" s="272">
        <v>0</v>
      </c>
      <c r="D384" s="273">
        <v>3.2666167237714836</v>
      </c>
      <c r="E384" s="273">
        <v>3.3355423366430799</v>
      </c>
      <c r="F384" s="273">
        <v>3.4085907138155673</v>
      </c>
      <c r="G384" s="273">
        <v>3.4856248639477729</v>
      </c>
      <c r="H384" s="273">
        <v>3.5685827357097355</v>
      </c>
      <c r="I384" s="273">
        <v>3.6580117778226597</v>
      </c>
      <c r="J384" s="273">
        <v>3.7487406606639704</v>
      </c>
      <c r="K384" s="273">
        <v>3.8436290338361303</v>
      </c>
      <c r="L384" s="273">
        <v>3.9385666709718863</v>
      </c>
      <c r="M384" s="273">
        <v>4.0390001210816555</v>
      </c>
      <c r="N384" s="273">
        <v>4.1367439240118529</v>
      </c>
      <c r="O384" s="273">
        <v>4.2409898708969331</v>
      </c>
      <c r="P384" s="273">
        <v>4.348711013617689</v>
      </c>
      <c r="Q384" s="273">
        <v>4.4574287889581514</v>
      </c>
      <c r="R384" s="273">
        <v>4.5693102515610082</v>
      </c>
      <c r="S384" s="273">
        <v>4.6835430078500426</v>
      </c>
      <c r="T384" s="273">
        <v>4.7996948744447057</v>
      </c>
      <c r="U384" s="273">
        <v>4.9201672157932768</v>
      </c>
      <c r="V384" s="273">
        <v>5.043663412909706</v>
      </c>
    </row>
    <row r="385" spans="1:22" x14ac:dyDescent="0.2">
      <c r="A385" s="261"/>
      <c r="B385" s="264" t="s">
        <v>39</v>
      </c>
      <c r="C385" s="272">
        <v>0</v>
      </c>
      <c r="D385" s="273">
        <v>13.979964831932772</v>
      </c>
      <c r="E385" s="273">
        <v>8.9545198739495806</v>
      </c>
      <c r="F385" s="273">
        <v>14.011069075630251</v>
      </c>
      <c r="G385" s="273">
        <v>2.6280612605042015</v>
      </c>
      <c r="H385" s="273">
        <v>9.5352456386554607</v>
      </c>
      <c r="I385" s="273">
        <v>9.8213030078151249</v>
      </c>
      <c r="J385" s="273">
        <v>10.11594209804958</v>
      </c>
      <c r="K385" s="273">
        <v>10.419420360991069</v>
      </c>
      <c r="L385" s="273">
        <v>10.732002971820799</v>
      </c>
      <c r="M385" s="273">
        <v>11.053963060975423</v>
      </c>
      <c r="N385" s="273">
        <v>11.385581952804685</v>
      </c>
      <c r="O385" s="273">
        <v>11.727149411388828</v>
      </c>
      <c r="P385" s="273">
        <v>12.078963893730492</v>
      </c>
      <c r="Q385" s="273">
        <v>12.441332810542407</v>
      </c>
      <c r="R385" s="273">
        <v>12.814572794858679</v>
      </c>
      <c r="S385" s="273">
        <v>13.19900997870444</v>
      </c>
      <c r="T385" s="273">
        <v>13.594980278065574</v>
      </c>
      <c r="U385" s="273">
        <v>14.002829686407539</v>
      </c>
      <c r="V385" s="273">
        <v>14.422914576999768</v>
      </c>
    </row>
    <row r="386" spans="1:22" x14ac:dyDescent="0.2">
      <c r="A386" s="261"/>
      <c r="B386" s="264" t="s">
        <v>96</v>
      </c>
      <c r="C386" s="274">
        <v>0</v>
      </c>
      <c r="D386" s="275">
        <v>0</v>
      </c>
      <c r="E386" s="275">
        <v>0</v>
      </c>
      <c r="F386" s="275">
        <v>0</v>
      </c>
      <c r="G386" s="275">
        <v>0</v>
      </c>
      <c r="H386" s="275">
        <v>0</v>
      </c>
      <c r="I386" s="275">
        <v>0</v>
      </c>
      <c r="J386" s="275">
        <v>0</v>
      </c>
      <c r="K386" s="275">
        <v>0</v>
      </c>
      <c r="L386" s="275">
        <v>0</v>
      </c>
      <c r="M386" s="275">
        <v>0</v>
      </c>
      <c r="N386" s="275">
        <v>0</v>
      </c>
      <c r="O386" s="275">
        <v>0</v>
      </c>
      <c r="P386" s="275">
        <v>0</v>
      </c>
      <c r="Q386" s="275">
        <v>0</v>
      </c>
      <c r="R386" s="275">
        <v>0</v>
      </c>
      <c r="S386" s="275">
        <v>0</v>
      </c>
      <c r="T386" s="275">
        <v>0</v>
      </c>
      <c r="U386" s="275">
        <v>0</v>
      </c>
      <c r="V386" s="275">
        <v>0</v>
      </c>
    </row>
    <row r="387" spans="1:22" x14ac:dyDescent="0.2">
      <c r="A387" s="261"/>
      <c r="B387" s="264"/>
      <c r="C387" s="261"/>
      <c r="D387" s="261"/>
      <c r="E387" s="261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</row>
    <row r="388" spans="1:22" x14ac:dyDescent="0.2">
      <c r="A388" s="261"/>
      <c r="B388" s="264"/>
      <c r="C388" s="261"/>
      <c r="D388" s="261"/>
      <c r="E388" s="261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</row>
    <row r="389" spans="1:22" x14ac:dyDescent="0.2">
      <c r="A389" s="24"/>
      <c r="B389" s="289"/>
      <c r="C389" s="293"/>
      <c r="D389" s="293"/>
      <c r="E389" s="293"/>
      <c r="F389" s="293"/>
      <c r="G389" s="293"/>
      <c r="H389" s="293"/>
      <c r="I389" s="293"/>
      <c r="J389" s="293"/>
      <c r="K389" s="293"/>
      <c r="L389" s="293"/>
      <c r="M389" s="293"/>
      <c r="N389" s="293"/>
      <c r="O389" s="293"/>
      <c r="P389" s="293"/>
      <c r="Q389" s="293"/>
      <c r="R389" s="293"/>
      <c r="S389" s="293"/>
      <c r="T389" s="293"/>
      <c r="U389" s="293"/>
      <c r="V389" s="293"/>
    </row>
    <row r="390" spans="1:22" x14ac:dyDescent="0.2">
      <c r="A390" s="292"/>
      <c r="B390" s="289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spans="1:22" x14ac:dyDescent="0.2">
      <c r="A391" s="259" t="s">
        <v>98</v>
      </c>
      <c r="B391" s="260"/>
      <c r="C391" s="261"/>
      <c r="D391" s="261"/>
      <c r="E391" s="261"/>
      <c r="F391" s="261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</row>
    <row r="392" spans="1:22" x14ac:dyDescent="0.2">
      <c r="A392" s="262" t="s">
        <v>71</v>
      </c>
      <c r="B392" s="260"/>
      <c r="C392" s="261"/>
      <c r="D392" s="261"/>
      <c r="E392" s="261"/>
      <c r="F392" s="261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</row>
    <row r="393" spans="1:22" x14ac:dyDescent="0.2">
      <c r="A393" s="261"/>
      <c r="B393" s="260"/>
      <c r="C393" s="261"/>
      <c r="D393" s="261"/>
      <c r="E393" s="261"/>
      <c r="F393" s="261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</row>
    <row r="394" spans="1:22" x14ac:dyDescent="0.2">
      <c r="A394" s="261"/>
      <c r="B394" s="260"/>
      <c r="C394" s="265">
        <v>2000</v>
      </c>
      <c r="D394" s="266">
        <v>2001</v>
      </c>
      <c r="E394" s="266">
        <v>2002</v>
      </c>
      <c r="F394" s="266">
        <v>2003</v>
      </c>
      <c r="G394" s="266">
        <v>2004</v>
      </c>
      <c r="H394" s="266">
        <v>2005</v>
      </c>
      <c r="I394" s="266">
        <v>2006</v>
      </c>
      <c r="J394" s="266">
        <v>2007</v>
      </c>
      <c r="K394" s="266">
        <v>2008</v>
      </c>
      <c r="L394" s="266">
        <v>2009</v>
      </c>
      <c r="M394" s="266">
        <v>2010</v>
      </c>
      <c r="N394" s="266">
        <v>2011</v>
      </c>
      <c r="O394" s="266">
        <v>2012</v>
      </c>
      <c r="P394" s="266">
        <v>2013</v>
      </c>
      <c r="Q394" s="266">
        <v>2014</v>
      </c>
      <c r="R394" s="266">
        <v>2015</v>
      </c>
      <c r="S394" s="266">
        <v>2016</v>
      </c>
      <c r="T394" s="266">
        <v>2017</v>
      </c>
      <c r="U394" s="266">
        <v>2018</v>
      </c>
      <c r="V394" s="266">
        <v>2019</v>
      </c>
    </row>
    <row r="395" spans="1:22" x14ac:dyDescent="0.2">
      <c r="A395" s="263" t="s">
        <v>129</v>
      </c>
      <c r="B395" s="260"/>
      <c r="C395" s="267"/>
      <c r="D395" s="268"/>
      <c r="E395" s="268"/>
      <c r="F395" s="268"/>
      <c r="G395" s="268"/>
      <c r="H395" s="268"/>
      <c r="I395" s="268"/>
      <c r="J395" s="268"/>
      <c r="K395" s="268"/>
      <c r="L395" s="268"/>
      <c r="M395" s="268"/>
      <c r="N395" s="268"/>
      <c r="O395" s="268"/>
      <c r="P395" s="268"/>
      <c r="Q395" s="268"/>
      <c r="R395" s="268"/>
      <c r="S395" s="268"/>
      <c r="T395" s="268"/>
      <c r="U395" s="268"/>
      <c r="V395" s="268"/>
    </row>
    <row r="396" spans="1:22" x14ac:dyDescent="0.2">
      <c r="A396" s="261"/>
      <c r="B396" s="264" t="s">
        <v>97</v>
      </c>
      <c r="C396" s="269">
        <v>0</v>
      </c>
      <c r="D396" s="270">
        <v>1094054.2306407294</v>
      </c>
      <c r="E396" s="270">
        <v>1094054.2306407294</v>
      </c>
      <c r="F396" s="270">
        <v>1094054.2306407294</v>
      </c>
      <c r="G396" s="270">
        <v>1094054.2306407294</v>
      </c>
      <c r="H396" s="270">
        <v>1094054.2306407294</v>
      </c>
      <c r="I396" s="270">
        <v>1094054.2306407294</v>
      </c>
      <c r="J396" s="270">
        <v>1094054.2306407294</v>
      </c>
      <c r="K396" s="270">
        <v>1094054.2306407294</v>
      </c>
      <c r="L396" s="270">
        <v>1094054.2306407294</v>
      </c>
      <c r="M396" s="270">
        <v>1094054.2306407294</v>
      </c>
      <c r="N396" s="270">
        <v>1094054.2306407294</v>
      </c>
      <c r="O396" s="270">
        <v>1094054.2306407294</v>
      </c>
      <c r="P396" s="270">
        <v>1094054.2306407294</v>
      </c>
      <c r="Q396" s="270">
        <v>1094054.2306407294</v>
      </c>
      <c r="R396" s="270">
        <v>1094054.2306407294</v>
      </c>
      <c r="S396" s="270">
        <v>1094054.2306407294</v>
      </c>
      <c r="T396" s="270">
        <v>1094054.2306407294</v>
      </c>
      <c r="U396" s="270">
        <v>1094054.2306407294</v>
      </c>
      <c r="V396" s="270">
        <v>1094054.2306407294</v>
      </c>
    </row>
    <row r="397" spans="1:22" x14ac:dyDescent="0.2">
      <c r="A397" s="261"/>
      <c r="B397" s="264" t="s">
        <v>91</v>
      </c>
      <c r="C397" s="269">
        <v>0</v>
      </c>
      <c r="D397" s="271">
        <v>0.80445755530609009</v>
      </c>
      <c r="E397" s="271">
        <v>0.80445755530609009</v>
      </c>
      <c r="F397" s="271">
        <v>0.80445755530609009</v>
      </c>
      <c r="G397" s="271">
        <v>0.80445755530609009</v>
      </c>
      <c r="H397" s="271">
        <v>0.80445755530609009</v>
      </c>
      <c r="I397" s="271">
        <v>0.80445755530609009</v>
      </c>
      <c r="J397" s="271">
        <v>0.80445755530609009</v>
      </c>
      <c r="K397" s="271">
        <v>0.80445755530609009</v>
      </c>
      <c r="L397" s="271">
        <v>0.80445755530609009</v>
      </c>
      <c r="M397" s="271">
        <v>0.80445755530609009</v>
      </c>
      <c r="N397" s="271">
        <v>0.80445755530609009</v>
      </c>
      <c r="O397" s="271">
        <v>0.80445755530609009</v>
      </c>
      <c r="P397" s="271">
        <v>0.80445755530609009</v>
      </c>
      <c r="Q397" s="271">
        <v>0.80445755530609009</v>
      </c>
      <c r="R397" s="271">
        <v>0.80445755530609009</v>
      </c>
      <c r="S397" s="271">
        <v>0.80445755530609009</v>
      </c>
      <c r="T397" s="271">
        <v>0.80445755530609009</v>
      </c>
      <c r="U397" s="271">
        <v>0.80445755530609009</v>
      </c>
      <c r="V397" s="271">
        <v>0.80445755530609009</v>
      </c>
    </row>
    <row r="398" spans="1:22" x14ac:dyDescent="0.2">
      <c r="A398" s="263" t="s">
        <v>93</v>
      </c>
      <c r="B398" s="264"/>
      <c r="C398" s="267"/>
      <c r="D398" s="268"/>
      <c r="E398" s="268"/>
      <c r="F398" s="268"/>
      <c r="G398" s="268"/>
      <c r="H398" s="268"/>
      <c r="I398" s="268"/>
      <c r="J398" s="268"/>
      <c r="K398" s="268"/>
      <c r="L398" s="268"/>
      <c r="M398" s="268"/>
      <c r="N398" s="268"/>
      <c r="O398" s="268"/>
      <c r="P398" s="268"/>
      <c r="Q398" s="268"/>
      <c r="R398" s="268"/>
      <c r="S398" s="268"/>
      <c r="T398" s="268"/>
      <c r="U398" s="268"/>
      <c r="V398" s="268"/>
    </row>
    <row r="399" spans="1:22" x14ac:dyDescent="0.2">
      <c r="A399" s="261"/>
      <c r="B399" s="264" t="s">
        <v>27</v>
      </c>
      <c r="C399" s="272">
        <v>0</v>
      </c>
      <c r="D399" s="273">
        <v>39.887438246592474</v>
      </c>
      <c r="E399" s="273">
        <v>39.340996953309052</v>
      </c>
      <c r="F399" s="273">
        <v>40.096056145902608</v>
      </c>
      <c r="G399" s="273">
        <v>39.531939811127238</v>
      </c>
      <c r="H399" s="273">
        <v>39.831007326046745</v>
      </c>
      <c r="I399" s="273">
        <v>42.48464128436239</v>
      </c>
      <c r="J399" s="273">
        <v>45.570712773171053</v>
      </c>
      <c r="K399" s="273">
        <v>46.75226349798276</v>
      </c>
      <c r="L399" s="273">
        <v>47.730513510777129</v>
      </c>
      <c r="M399" s="273">
        <v>47.899176268428981</v>
      </c>
      <c r="N399" s="273">
        <v>48.93436010173037</v>
      </c>
      <c r="O399" s="273">
        <v>49.484050176338712</v>
      </c>
      <c r="P399" s="273">
        <v>50.067291377569369</v>
      </c>
      <c r="Q399" s="273">
        <v>51.827770015446028</v>
      </c>
      <c r="R399" s="273">
        <v>55.509734256817126</v>
      </c>
      <c r="S399" s="273">
        <v>55.191586065082348</v>
      </c>
      <c r="T399" s="273">
        <v>55.896810201822802</v>
      </c>
      <c r="U399" s="273">
        <v>58.578252827772197</v>
      </c>
      <c r="V399" s="273">
        <v>60.357580078446645</v>
      </c>
    </row>
    <row r="400" spans="1:22" x14ac:dyDescent="0.2">
      <c r="A400" s="261"/>
      <c r="B400" s="264" t="s">
        <v>20</v>
      </c>
      <c r="C400" s="272">
        <v>0</v>
      </c>
      <c r="D400" s="273">
        <v>12.44338000529323</v>
      </c>
      <c r="E400" s="273">
        <v>12.622414084132853</v>
      </c>
      <c r="F400" s="273">
        <v>12.842370238135818</v>
      </c>
      <c r="G400" s="273">
        <v>13.209645862726811</v>
      </c>
      <c r="H400" s="273">
        <v>13.668996156435329</v>
      </c>
      <c r="I400" s="273">
        <v>14.193821770405188</v>
      </c>
      <c r="J400" s="273">
        <v>14.521198371711924</v>
      </c>
      <c r="K400" s="273">
        <v>14.833229194832407</v>
      </c>
      <c r="L400" s="273">
        <v>15.077738593933377</v>
      </c>
      <c r="M400" s="273">
        <v>15.19845871566524</v>
      </c>
      <c r="N400" s="273">
        <v>15.405115195240116</v>
      </c>
      <c r="O400" s="273">
        <v>15.739653159700437</v>
      </c>
      <c r="P400" s="273">
        <v>16.098744369258764</v>
      </c>
      <c r="Q400" s="273">
        <v>16.440443696872666</v>
      </c>
      <c r="R400" s="273">
        <v>16.673699525303718</v>
      </c>
      <c r="S400" s="273">
        <v>17.015398852917627</v>
      </c>
      <c r="T400" s="273">
        <v>17.404158566969372</v>
      </c>
      <c r="U400" s="273">
        <v>17.830771200547215</v>
      </c>
      <c r="V400" s="273">
        <v>18.271706560432225</v>
      </c>
    </row>
    <row r="401" spans="1:22" x14ac:dyDescent="0.2">
      <c r="A401" s="261"/>
      <c r="B401" s="264" t="s">
        <v>92</v>
      </c>
      <c r="C401" s="272">
        <v>0</v>
      </c>
      <c r="D401" s="273">
        <v>1.0301895516879374</v>
      </c>
      <c r="E401" s="273">
        <v>1.0509832640185734</v>
      </c>
      <c r="F401" s="273">
        <v>1.0721966840348298</v>
      </c>
      <c r="G401" s="273">
        <v>1.0938382832659159</v>
      </c>
      <c r="H401" s="273">
        <v>1.1159167042333986</v>
      </c>
      <c r="I401" s="273">
        <v>1.1384407639025753</v>
      </c>
      <c r="J401" s="273">
        <v>1.1614194572035055</v>
      </c>
      <c r="K401" s="273">
        <v>1.1848619606231179</v>
      </c>
      <c r="L401" s="273">
        <v>1.2087776358698168</v>
      </c>
      <c r="M401" s="273">
        <v>1.2331760336120579</v>
      </c>
      <c r="N401" s="273">
        <v>1.2580668972923874</v>
      </c>
      <c r="O401" s="273">
        <v>1.2834601670184602</v>
      </c>
      <c r="P401" s="273">
        <v>1.309365983532601</v>
      </c>
      <c r="Q401" s="273">
        <v>1.3357946922614827</v>
      </c>
      <c r="R401" s="273">
        <v>1.3627568474475507</v>
      </c>
      <c r="S401" s="273">
        <v>1.390263216363834</v>
      </c>
      <c r="T401" s="273">
        <v>1.4183247836138297</v>
      </c>
      <c r="U401" s="273">
        <v>1.4469527555181803</v>
      </c>
      <c r="V401" s="273">
        <v>1.4761585645898883</v>
      </c>
    </row>
    <row r="402" spans="1:22" x14ac:dyDescent="0.2">
      <c r="A402" s="261"/>
      <c r="B402" s="264" t="s">
        <v>22</v>
      </c>
      <c r="C402" s="272">
        <v>0</v>
      </c>
      <c r="D402" s="273">
        <v>0</v>
      </c>
      <c r="E402" s="273">
        <v>0</v>
      </c>
      <c r="F402" s="273">
        <v>0</v>
      </c>
      <c r="G402" s="273">
        <v>0</v>
      </c>
      <c r="H402" s="273">
        <v>0</v>
      </c>
      <c r="I402" s="273">
        <v>0.85565382104362653</v>
      </c>
      <c r="J402" s="273">
        <v>0.94842390761496675</v>
      </c>
      <c r="K402" s="273">
        <v>1.1349262761556613</v>
      </c>
      <c r="L402" s="273">
        <v>1.1494657894847926</v>
      </c>
      <c r="M402" s="273">
        <v>1.2783826888314453</v>
      </c>
      <c r="N402" s="273">
        <v>1.408235207854698</v>
      </c>
      <c r="O402" s="273">
        <v>1.5602823901347742</v>
      </c>
      <c r="P402" s="273">
        <v>1.749487006802203</v>
      </c>
      <c r="Q402" s="273">
        <v>1.9474520408017459</v>
      </c>
      <c r="R402" s="273">
        <v>2.1571819490237258</v>
      </c>
      <c r="S402" s="273">
        <v>2.3685831272107367</v>
      </c>
      <c r="T402" s="273">
        <v>2.3270174484907078</v>
      </c>
      <c r="U402" s="273">
        <v>1.9908892897780386</v>
      </c>
      <c r="V402" s="273">
        <v>2.0641848813197496</v>
      </c>
    </row>
    <row r="403" spans="1:22" x14ac:dyDescent="0.2">
      <c r="A403" s="261"/>
      <c r="B403" s="264" t="s">
        <v>23</v>
      </c>
      <c r="C403" s="272">
        <v>0</v>
      </c>
      <c r="D403" s="273">
        <v>0</v>
      </c>
      <c r="E403" s="273">
        <v>0</v>
      </c>
      <c r="F403" s="273">
        <v>3.2393693586223073</v>
      </c>
      <c r="G403" s="273">
        <v>2.7601457473370177</v>
      </c>
      <c r="H403" s="273">
        <v>2.8654083776830546</v>
      </c>
      <c r="I403" s="273">
        <v>2.9759788918585079</v>
      </c>
      <c r="J403" s="273">
        <v>3.7571467627133783</v>
      </c>
      <c r="K403" s="273">
        <v>3.2817877347337796</v>
      </c>
      <c r="L403" s="273">
        <v>3.4735805073612758</v>
      </c>
      <c r="M403" s="273">
        <v>3.3052448872751334</v>
      </c>
      <c r="N403" s="273">
        <v>3.3999098249568864</v>
      </c>
      <c r="O403" s="273">
        <v>3.4880724513137396</v>
      </c>
      <c r="P403" s="273">
        <v>3.1155805210136296</v>
      </c>
      <c r="Q403" s="273">
        <v>3.2269771009751538</v>
      </c>
      <c r="R403" s="273">
        <v>3.2936638128957481</v>
      </c>
      <c r="S403" s="273">
        <v>3.497639562245499</v>
      </c>
      <c r="T403" s="273">
        <v>3.2881439518464703</v>
      </c>
      <c r="U403" s="273">
        <v>3.62148625683571</v>
      </c>
      <c r="V403" s="273">
        <v>1.9717202002406684</v>
      </c>
    </row>
    <row r="404" spans="1:22" x14ac:dyDescent="0.2">
      <c r="A404" s="263" t="s">
        <v>94</v>
      </c>
      <c r="B404" s="264"/>
      <c r="C404" s="267"/>
      <c r="D404" s="268"/>
      <c r="E404" s="268"/>
      <c r="F404" s="268"/>
      <c r="G404" s="268"/>
      <c r="H404" s="268"/>
      <c r="I404" s="268"/>
      <c r="J404" s="268"/>
      <c r="K404" s="268"/>
      <c r="L404" s="268"/>
      <c r="M404" s="268"/>
      <c r="N404" s="268"/>
      <c r="O404" s="268"/>
      <c r="P404" s="268"/>
      <c r="Q404" s="268"/>
      <c r="R404" s="268"/>
      <c r="S404" s="268"/>
      <c r="T404" s="268"/>
      <c r="U404" s="268"/>
      <c r="V404" s="268"/>
    </row>
    <row r="405" spans="1:22" x14ac:dyDescent="0.2">
      <c r="A405" s="261"/>
      <c r="B405" s="264" t="s">
        <v>34</v>
      </c>
      <c r="C405" s="272">
        <v>0</v>
      </c>
      <c r="D405" s="273">
        <v>11.825732239526802</v>
      </c>
      <c r="E405" s="273">
        <v>12.062246884317339</v>
      </c>
      <c r="F405" s="273">
        <v>12.303491822003688</v>
      </c>
      <c r="G405" s="273">
        <v>12.549561658443761</v>
      </c>
      <c r="H405" s="273">
        <v>12.800552891612634</v>
      </c>
      <c r="I405" s="273">
        <v>13.056563949444888</v>
      </c>
      <c r="J405" s="273">
        <v>13.317695228433786</v>
      </c>
      <c r="K405" s="273">
        <v>13.584049133002461</v>
      </c>
      <c r="L405" s="273">
        <v>13.85573011566251</v>
      </c>
      <c r="M405" s="273">
        <v>14.132844717975759</v>
      </c>
      <c r="N405" s="273">
        <v>14.415501612335275</v>
      </c>
      <c r="O405" s="273">
        <v>14.703811644581982</v>
      </c>
      <c r="P405" s="273">
        <v>14.997887877473623</v>
      </c>
      <c r="Q405" s="273">
        <v>15.297845635023094</v>
      </c>
      <c r="R405" s="273">
        <v>15.603802547723555</v>
      </c>
      <c r="S405" s="273">
        <v>15.915878598678026</v>
      </c>
      <c r="T405" s="273">
        <v>16.234196170651586</v>
      </c>
      <c r="U405" s="273">
        <v>16.558880094064619</v>
      </c>
      <c r="V405" s="273">
        <v>16.890057695945909</v>
      </c>
    </row>
    <row r="406" spans="1:22" x14ac:dyDescent="0.2">
      <c r="A406" s="261"/>
      <c r="B406" s="264" t="s">
        <v>95</v>
      </c>
      <c r="C406" s="272">
        <v>0</v>
      </c>
      <c r="D406" s="273">
        <v>1.6844097682300141</v>
      </c>
      <c r="E406" s="273">
        <v>1.7307910932204937</v>
      </c>
      <c r="F406" s="273">
        <v>1.7781881692282651</v>
      </c>
      <c r="G406" s="273">
        <v>1.8266564191538115</v>
      </c>
      <c r="H406" s="273">
        <v>1.8782479455981484</v>
      </c>
      <c r="I406" s="273">
        <v>1.9291132670249922</v>
      </c>
      <c r="J406" s="273">
        <v>1.9833078465349354</v>
      </c>
      <c r="K406" s="273">
        <v>2.0367542097853</v>
      </c>
      <c r="L406" s="273">
        <v>2.0936936712266707</v>
      </c>
      <c r="M406" s="273">
        <v>2.153581426968191</v>
      </c>
      <c r="N406" s="273">
        <v>2.2149270379863943</v>
      </c>
      <c r="O406" s="273">
        <v>2.2856489443302896</v>
      </c>
      <c r="P406" s="273">
        <v>2.3461185646965155</v>
      </c>
      <c r="Q406" s="273">
        <v>2.4080999255718969</v>
      </c>
      <c r="R406" s="273">
        <v>2.4716370186052505</v>
      </c>
      <c r="S406" s="273">
        <v>2.5367625389644379</v>
      </c>
      <c r="T406" s="273">
        <v>2.6035031722285331</v>
      </c>
      <c r="U406" s="273">
        <v>2.6719189953875575</v>
      </c>
      <c r="V406" s="273">
        <v>2.7420520557078731</v>
      </c>
    </row>
    <row r="407" spans="1:22" x14ac:dyDescent="0.2">
      <c r="A407" s="261"/>
      <c r="B407" s="264" t="s">
        <v>36</v>
      </c>
      <c r="C407" s="272">
        <v>0</v>
      </c>
      <c r="D407" s="273">
        <v>2.3116030498589115</v>
      </c>
      <c r="E407" s="273">
        <v>2.3603778742109438</v>
      </c>
      <c r="F407" s="273">
        <v>2.4120701496561674</v>
      </c>
      <c r="G407" s="273">
        <v>2.4665829350383768</v>
      </c>
      <c r="H407" s="273">
        <v>2.5252876088922962</v>
      </c>
      <c r="I407" s="273">
        <v>2.5885715702428405</v>
      </c>
      <c r="J407" s="273">
        <v>2.6527753566130179</v>
      </c>
      <c r="K407" s="273">
        <v>2.7199225830460159</v>
      </c>
      <c r="L407" s="273">
        <v>2.7871046708472593</v>
      </c>
      <c r="M407" s="273">
        <v>2.858175839953855</v>
      </c>
      <c r="N407" s="273">
        <v>2.9273436952807472</v>
      </c>
      <c r="O407" s="273">
        <v>3.0011127564018163</v>
      </c>
      <c r="P407" s="273">
        <v>3.0773410204144152</v>
      </c>
      <c r="Q407" s="273">
        <v>3.154274545924773</v>
      </c>
      <c r="R407" s="273">
        <v>3.2334468370274849</v>
      </c>
      <c r="S407" s="273">
        <v>3.3142830079531787</v>
      </c>
      <c r="T407" s="273">
        <v>3.3964772265504157</v>
      </c>
      <c r="U407" s="273">
        <v>3.4817288049368371</v>
      </c>
      <c r="V407" s="273">
        <v>3.5691201979407476</v>
      </c>
    </row>
    <row r="408" spans="1:22" x14ac:dyDescent="0.2">
      <c r="A408" s="261"/>
      <c r="B408" s="264" t="s">
        <v>39</v>
      </c>
      <c r="C408" s="272">
        <v>0</v>
      </c>
      <c r="D408" s="273">
        <v>29.021521288244763</v>
      </c>
      <c r="E408" s="273">
        <v>13.587859388083736</v>
      </c>
      <c r="F408" s="273">
        <v>3.9267366827697261</v>
      </c>
      <c r="G408" s="273">
        <v>15.153588921095009</v>
      </c>
      <c r="H408" s="273">
        <v>15.679076637681156</v>
      </c>
      <c r="I408" s="273">
        <v>16.149448936811591</v>
      </c>
      <c r="J408" s="273">
        <v>16.633932404915942</v>
      </c>
      <c r="K408" s="273">
        <v>17.13295037706342</v>
      </c>
      <c r="L408" s="273">
        <v>17.646938888375324</v>
      </c>
      <c r="M408" s="273">
        <v>18.176347055026586</v>
      </c>
      <c r="N408" s="273">
        <v>18.721637466677386</v>
      </c>
      <c r="O408" s="273">
        <v>19.283286590677708</v>
      </c>
      <c r="P408" s="273">
        <v>19.861785188398041</v>
      </c>
      <c r="Q408" s="273">
        <v>20.457638744049984</v>
      </c>
      <c r="R408" s="273">
        <v>21.071367906371481</v>
      </c>
      <c r="S408" s="273">
        <v>21.703508943562628</v>
      </c>
      <c r="T408" s="273">
        <v>22.35461421186951</v>
      </c>
      <c r="U408" s="273">
        <v>23.025252638225595</v>
      </c>
      <c r="V408" s="273">
        <v>23.716010217372364</v>
      </c>
    </row>
    <row r="409" spans="1:22" x14ac:dyDescent="0.2">
      <c r="A409" s="261"/>
      <c r="B409" s="264" t="s">
        <v>96</v>
      </c>
      <c r="C409" s="274">
        <v>0</v>
      </c>
      <c r="D409" s="275">
        <v>0</v>
      </c>
      <c r="E409" s="275">
        <v>0</v>
      </c>
      <c r="F409" s="275">
        <v>0</v>
      </c>
      <c r="G409" s="275">
        <v>0</v>
      </c>
      <c r="H409" s="275">
        <v>0</v>
      </c>
      <c r="I409" s="275">
        <v>0</v>
      </c>
      <c r="J409" s="275">
        <v>0</v>
      </c>
      <c r="K409" s="275">
        <v>0</v>
      </c>
      <c r="L409" s="275">
        <v>0</v>
      </c>
      <c r="M409" s="275">
        <v>0</v>
      </c>
      <c r="N409" s="275">
        <v>0</v>
      </c>
      <c r="O409" s="275">
        <v>0</v>
      </c>
      <c r="P409" s="275">
        <v>0</v>
      </c>
      <c r="Q409" s="275">
        <v>0</v>
      </c>
      <c r="R409" s="275">
        <v>0</v>
      </c>
      <c r="S409" s="275">
        <v>0</v>
      </c>
      <c r="T409" s="275">
        <v>0</v>
      </c>
      <c r="U409" s="275">
        <v>0</v>
      </c>
      <c r="V409" s="275">
        <v>0</v>
      </c>
    </row>
    <row r="410" spans="1:22" x14ac:dyDescent="0.2">
      <c r="A410" s="261"/>
      <c r="B410" s="264"/>
      <c r="C410" s="261"/>
      <c r="D410" s="261"/>
      <c r="E410" s="261"/>
      <c r="F410" s="261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</row>
    <row r="411" spans="1:22" x14ac:dyDescent="0.2">
      <c r="A411" s="261"/>
      <c r="B411" s="264"/>
      <c r="C411" s="261"/>
      <c r="D411" s="261"/>
      <c r="E411" s="261"/>
      <c r="F411" s="261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</row>
    <row r="412" spans="1:22" x14ac:dyDescent="0.2">
      <c r="A412" s="24"/>
      <c r="B412" s="289"/>
      <c r="C412" s="293"/>
      <c r="D412" s="293"/>
      <c r="E412" s="293"/>
      <c r="F412" s="293"/>
      <c r="G412" s="293"/>
      <c r="H412" s="293"/>
      <c r="I412" s="293"/>
      <c r="J412" s="293"/>
      <c r="K412" s="293"/>
      <c r="L412" s="293"/>
      <c r="M412" s="293"/>
      <c r="N412" s="293"/>
      <c r="O412" s="293"/>
      <c r="P412" s="293"/>
      <c r="Q412" s="293"/>
      <c r="R412" s="293"/>
      <c r="S412" s="293"/>
      <c r="T412" s="293"/>
      <c r="U412" s="293"/>
      <c r="V412" s="293"/>
    </row>
    <row r="413" spans="1:22" x14ac:dyDescent="0.2">
      <c r="A413" s="24"/>
      <c r="B413" s="289"/>
      <c r="C413" s="293"/>
      <c r="D413" s="293"/>
      <c r="E413" s="293"/>
      <c r="F413" s="293"/>
      <c r="G413" s="293"/>
      <c r="H413" s="293"/>
      <c r="I413" s="293"/>
      <c r="J413" s="293"/>
      <c r="K413" s="293"/>
      <c r="L413" s="293"/>
      <c r="M413" s="293"/>
      <c r="N413" s="293"/>
      <c r="O413" s="293"/>
      <c r="P413" s="293"/>
      <c r="Q413" s="293"/>
      <c r="R413" s="293"/>
      <c r="S413" s="293"/>
      <c r="T413" s="293"/>
      <c r="U413" s="293"/>
      <c r="V413" s="293"/>
    </row>
    <row r="414" spans="1:22" x14ac:dyDescent="0.2">
      <c r="A414" s="259" t="s">
        <v>98</v>
      </c>
      <c r="B414" s="260"/>
      <c r="C414" s="261"/>
      <c r="D414" s="261"/>
      <c r="E414" s="261"/>
      <c r="F414" s="261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</row>
    <row r="415" spans="1:22" x14ac:dyDescent="0.2">
      <c r="A415" s="262" t="s">
        <v>72</v>
      </c>
      <c r="B415" s="260"/>
      <c r="C415" s="261"/>
      <c r="D415" s="261"/>
      <c r="E415" s="261"/>
      <c r="F415" s="261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</row>
    <row r="416" spans="1:22" x14ac:dyDescent="0.2">
      <c r="A416" s="261"/>
      <c r="B416" s="260"/>
      <c r="C416" s="261"/>
      <c r="D416" s="261"/>
      <c r="E416" s="261"/>
      <c r="F416" s="261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</row>
    <row r="417" spans="1:22" x14ac:dyDescent="0.2">
      <c r="A417" s="261"/>
      <c r="B417" s="260"/>
      <c r="C417" s="265">
        <v>2000</v>
      </c>
      <c r="D417" s="266">
        <v>2001</v>
      </c>
      <c r="E417" s="266">
        <v>2002</v>
      </c>
      <c r="F417" s="266">
        <v>2003</v>
      </c>
      <c r="G417" s="266">
        <v>2004</v>
      </c>
      <c r="H417" s="266">
        <v>2005</v>
      </c>
      <c r="I417" s="266">
        <v>2006</v>
      </c>
      <c r="J417" s="266">
        <v>2007</v>
      </c>
      <c r="K417" s="266">
        <v>2008</v>
      </c>
      <c r="L417" s="266">
        <v>2009</v>
      </c>
      <c r="M417" s="266">
        <v>2010</v>
      </c>
      <c r="N417" s="266">
        <v>2011</v>
      </c>
      <c r="O417" s="266">
        <v>2012</v>
      </c>
      <c r="P417" s="266">
        <v>2013</v>
      </c>
      <c r="Q417" s="266">
        <v>2014</v>
      </c>
      <c r="R417" s="266">
        <v>2015</v>
      </c>
      <c r="S417" s="266">
        <v>2016</v>
      </c>
      <c r="T417" s="266">
        <v>2017</v>
      </c>
      <c r="U417" s="266">
        <v>2018</v>
      </c>
      <c r="V417" s="266">
        <v>2019</v>
      </c>
    </row>
    <row r="418" spans="1:22" x14ac:dyDescent="0.2">
      <c r="A418" s="263" t="s">
        <v>129</v>
      </c>
      <c r="B418" s="260"/>
      <c r="C418" s="267"/>
      <c r="D418" s="268"/>
      <c r="E418" s="268"/>
      <c r="F418" s="268"/>
      <c r="G418" s="268"/>
      <c r="H418" s="268"/>
      <c r="I418" s="268"/>
      <c r="J418" s="268"/>
      <c r="K418" s="268"/>
      <c r="L418" s="268"/>
      <c r="M418" s="268"/>
      <c r="N418" s="268"/>
      <c r="O418" s="268"/>
      <c r="P418" s="268"/>
      <c r="Q418" s="268"/>
      <c r="R418" s="268"/>
      <c r="S418" s="268"/>
      <c r="T418" s="268"/>
      <c r="U418" s="268"/>
      <c r="V418" s="268"/>
    </row>
    <row r="419" spans="1:22" x14ac:dyDescent="0.2">
      <c r="A419" s="261"/>
      <c r="B419" s="264" t="s">
        <v>97</v>
      </c>
      <c r="C419" s="269">
        <v>0</v>
      </c>
      <c r="D419" s="270">
        <v>4511667.253594595</v>
      </c>
      <c r="E419" s="270">
        <v>4511667.253594595</v>
      </c>
      <c r="F419" s="270">
        <v>4511667.253594595</v>
      </c>
      <c r="G419" s="270">
        <v>4511667.253594595</v>
      </c>
      <c r="H419" s="270">
        <v>4511667.253594595</v>
      </c>
      <c r="I419" s="270">
        <v>4511667.2535945941</v>
      </c>
      <c r="J419" s="270">
        <v>4511667.2535945941</v>
      </c>
      <c r="K419" s="270">
        <v>4511667.2535945941</v>
      </c>
      <c r="L419" s="270">
        <v>4511667.2535945941</v>
      </c>
      <c r="M419" s="270">
        <v>4511667.2535945941</v>
      </c>
      <c r="N419" s="270">
        <v>4511667.2535945941</v>
      </c>
      <c r="O419" s="270">
        <v>4511667.2535945941</v>
      </c>
      <c r="P419" s="270">
        <v>4511667.2535945941</v>
      </c>
      <c r="Q419" s="270">
        <v>4511667.2535945941</v>
      </c>
      <c r="R419" s="270">
        <v>4511667.2535945941</v>
      </c>
      <c r="S419" s="270">
        <v>4511667.2535945941</v>
      </c>
      <c r="T419" s="270">
        <v>4511667.2535945941</v>
      </c>
      <c r="U419" s="270">
        <v>4511667.2535945941</v>
      </c>
      <c r="V419" s="270">
        <v>4511667.2535945941</v>
      </c>
    </row>
    <row r="420" spans="1:22" x14ac:dyDescent="0.2">
      <c r="A420" s="261"/>
      <c r="B420" s="264" t="s">
        <v>91</v>
      </c>
      <c r="C420" s="269">
        <v>0</v>
      </c>
      <c r="D420" s="271">
        <v>0.85199422398876667</v>
      </c>
      <c r="E420" s="271">
        <v>0.85199422398876667</v>
      </c>
      <c r="F420" s="271">
        <v>0.85199422398876667</v>
      </c>
      <c r="G420" s="271">
        <v>0.85199422398876667</v>
      </c>
      <c r="H420" s="271">
        <v>0.85199422398876667</v>
      </c>
      <c r="I420" s="271">
        <v>0.85199422398876645</v>
      </c>
      <c r="J420" s="271">
        <v>0.85199422398876645</v>
      </c>
      <c r="K420" s="271">
        <v>0.85199422398876645</v>
      </c>
      <c r="L420" s="271">
        <v>0.85199422398876645</v>
      </c>
      <c r="M420" s="271">
        <v>0.85199422398876645</v>
      </c>
      <c r="N420" s="271">
        <v>0.85199422398876645</v>
      </c>
      <c r="O420" s="271">
        <v>0.85199422398876645</v>
      </c>
      <c r="P420" s="271">
        <v>0.85199422398876645</v>
      </c>
      <c r="Q420" s="271">
        <v>0.85199422398876645</v>
      </c>
      <c r="R420" s="271">
        <v>0.85199422398876645</v>
      </c>
      <c r="S420" s="271">
        <v>0.85199422398876645</v>
      </c>
      <c r="T420" s="271">
        <v>0.85199422398876645</v>
      </c>
      <c r="U420" s="271">
        <v>0.85199422398876645</v>
      </c>
      <c r="V420" s="271">
        <v>0.85199422398876645</v>
      </c>
    </row>
    <row r="421" spans="1:22" x14ac:dyDescent="0.2">
      <c r="A421" s="263" t="s">
        <v>93</v>
      </c>
      <c r="B421" s="264"/>
      <c r="C421" s="267"/>
      <c r="D421" s="268"/>
      <c r="E421" s="268"/>
      <c r="F421" s="268"/>
      <c r="G421" s="268"/>
      <c r="H421" s="268"/>
      <c r="I421" s="268"/>
      <c r="J421" s="268"/>
      <c r="K421" s="268"/>
      <c r="L421" s="268"/>
      <c r="M421" s="268"/>
      <c r="N421" s="268"/>
      <c r="O421" s="268"/>
      <c r="P421" s="268"/>
      <c r="Q421" s="268"/>
      <c r="R421" s="268"/>
      <c r="S421" s="268"/>
      <c r="T421" s="268"/>
      <c r="U421" s="268"/>
      <c r="V421" s="268"/>
    </row>
    <row r="422" spans="1:22" x14ac:dyDescent="0.2">
      <c r="A422" s="261"/>
      <c r="B422" s="264" t="s">
        <v>27</v>
      </c>
      <c r="C422" s="272">
        <v>0</v>
      </c>
      <c r="D422" s="273">
        <v>39.483047960013891</v>
      </c>
      <c r="E422" s="273">
        <v>38.935467327251096</v>
      </c>
      <c r="F422" s="273">
        <v>39.684908261352312</v>
      </c>
      <c r="G422" s="273">
        <v>39.122421811677349</v>
      </c>
      <c r="H422" s="273">
        <v>39.417099156105998</v>
      </c>
      <c r="I422" s="273">
        <v>42.078614925257831</v>
      </c>
      <c r="J422" s="273">
        <v>45.119014026963711</v>
      </c>
      <c r="K422" s="273">
        <v>46.286592945186761</v>
      </c>
      <c r="L422" s="273">
        <v>47.255408417907276</v>
      </c>
      <c r="M422" s="273">
        <v>47.424107614869023</v>
      </c>
      <c r="N422" s="273">
        <v>48.448702322124547</v>
      </c>
      <c r="O422" s="273">
        <v>48.992770934223188</v>
      </c>
      <c r="P422" s="273">
        <v>49.569320079245529</v>
      </c>
      <c r="Q422" s="273">
        <v>51.314220662476146</v>
      </c>
      <c r="R422" s="273">
        <v>54.954913135529189</v>
      </c>
      <c r="S422" s="273">
        <v>54.63833292574305</v>
      </c>
      <c r="T422" s="273">
        <v>55.334688595910045</v>
      </c>
      <c r="U422" s="273">
        <v>57.993820916206097</v>
      </c>
      <c r="V422" s="273">
        <v>59.755300551829393</v>
      </c>
    </row>
    <row r="423" spans="1:22" x14ac:dyDescent="0.2">
      <c r="A423" s="261"/>
      <c r="B423" s="264" t="s">
        <v>20</v>
      </c>
      <c r="C423" s="272">
        <v>0</v>
      </c>
      <c r="D423" s="273">
        <v>8.6777082000000032</v>
      </c>
      <c r="E423" s="273">
        <v>8.6432994000000001</v>
      </c>
      <c r="F423" s="273">
        <v>8.6595480000000009</v>
      </c>
      <c r="G423" s="273">
        <v>8.7627743999999996</v>
      </c>
      <c r="H423" s="273">
        <v>8.9271720000000006</v>
      </c>
      <c r="I423" s="273">
        <v>9.2339838000000007</v>
      </c>
      <c r="J423" s="273">
        <v>9.6048341999999991</v>
      </c>
      <c r="K423" s="273">
        <v>9.9039995999999988</v>
      </c>
      <c r="L423" s="273">
        <v>10.2050766</v>
      </c>
      <c r="M423" s="273">
        <v>10.565413200000002</v>
      </c>
      <c r="N423" s="273">
        <v>10.916191800000002</v>
      </c>
      <c r="O423" s="273">
        <v>11.137937400000002</v>
      </c>
      <c r="P423" s="273">
        <v>11.287998000000004</v>
      </c>
      <c r="Q423" s="273">
        <v>11.510699400000004</v>
      </c>
      <c r="R423" s="273">
        <v>11.732445000000002</v>
      </c>
      <c r="S423" s="273">
        <v>11.961837000000004</v>
      </c>
      <c r="T423" s="273">
        <v>12.194096400000005</v>
      </c>
      <c r="U423" s="273">
        <v>12.431134800000001</v>
      </c>
      <c r="V423" s="273">
        <v>12.671996400000003</v>
      </c>
    </row>
    <row r="424" spans="1:22" x14ac:dyDescent="0.2">
      <c r="A424" s="261"/>
      <c r="B424" s="264" t="s">
        <v>92</v>
      </c>
      <c r="C424" s="272">
        <v>0</v>
      </c>
      <c r="D424" s="273">
        <v>0.96376381109329234</v>
      </c>
      <c r="E424" s="273">
        <v>0.98321676264935876</v>
      </c>
      <c r="F424" s="273">
        <v>1.5308623594986883</v>
      </c>
      <c r="G424" s="273">
        <v>1.5643035269335361</v>
      </c>
      <c r="H424" s="273">
        <v>1.5984832252130767</v>
      </c>
      <c r="I424" s="273">
        <v>1.6334179496672296</v>
      </c>
      <c r="J424" s="273">
        <v>1.6691245682875389</v>
      </c>
      <c r="K424" s="273">
        <v>1.7056203302419566</v>
      </c>
      <c r="L424" s="273">
        <v>1.742922874586313</v>
      </c>
      <c r="M424" s="273">
        <v>1.7810502391770704</v>
      </c>
      <c r="N424" s="273">
        <v>1.8200208697900424</v>
      </c>
      <c r="O424" s="273">
        <v>1.8598536294499091</v>
      </c>
      <c r="P424" s="273">
        <v>1.9005678079754327</v>
      </c>
      <c r="Q424" s="273">
        <v>1.9421831317454261</v>
      </c>
      <c r="R424" s="273">
        <v>1.9847197736906179</v>
      </c>
      <c r="S424" s="273">
        <v>2.0281983635167142</v>
      </c>
      <c r="T424" s="273">
        <v>2.0726399981640364</v>
      </c>
      <c r="U424" s="273">
        <v>2.1180662525092839</v>
      </c>
      <c r="V424" s="273">
        <v>2.164499190315079</v>
      </c>
    </row>
    <row r="425" spans="1:22" x14ac:dyDescent="0.2">
      <c r="A425" s="261"/>
      <c r="B425" s="264" t="s">
        <v>22</v>
      </c>
      <c r="C425" s="272">
        <v>0</v>
      </c>
      <c r="D425" s="273">
        <v>0</v>
      </c>
      <c r="E425" s="273">
        <v>0</v>
      </c>
      <c r="F425" s="273">
        <v>0</v>
      </c>
      <c r="G425" s="273">
        <v>0</v>
      </c>
      <c r="H425" s="273">
        <v>0</v>
      </c>
      <c r="I425" s="273">
        <v>-6.9465566537504492E-2</v>
      </c>
      <c r="J425" s="273">
        <v>-7.6997031322587048E-2</v>
      </c>
      <c r="K425" s="273">
        <v>-6.372400985360302E-2</v>
      </c>
      <c r="L425" s="273">
        <v>-9.3318454634669243E-2</v>
      </c>
      <c r="M425" s="273">
        <v>-0.10378446931155218</v>
      </c>
      <c r="N425" s="273">
        <v>-0.11432644151857205</v>
      </c>
      <c r="O425" s="273">
        <v>-0.12667026959221322</v>
      </c>
      <c r="P425" s="273">
        <v>-0.14203069405953295</v>
      </c>
      <c r="Q425" s="273">
        <v>-0.15810232595456958</v>
      </c>
      <c r="R425" s="273">
        <v>-0.17512907969094552</v>
      </c>
      <c r="S425" s="273">
        <v>-0.19229151413382037</v>
      </c>
      <c r="T425" s="273">
        <v>-0.18891703797326123</v>
      </c>
      <c r="U425" s="273">
        <v>-0.16162874403950073</v>
      </c>
      <c r="V425" s="273">
        <v>-0.16757918762536181</v>
      </c>
    </row>
    <row r="426" spans="1:22" x14ac:dyDescent="0.2">
      <c r="A426" s="261"/>
      <c r="B426" s="264" t="s">
        <v>23</v>
      </c>
      <c r="C426" s="272">
        <v>0</v>
      </c>
      <c r="D426" s="273">
        <v>0</v>
      </c>
      <c r="E426" s="273">
        <v>0</v>
      </c>
      <c r="F426" s="273">
        <v>0.57362306895976178</v>
      </c>
      <c r="G426" s="273">
        <v>0.48876281123961113</v>
      </c>
      <c r="H426" s="273">
        <v>0.50740257298988922</v>
      </c>
      <c r="I426" s="273">
        <v>0.52698224750553546</v>
      </c>
      <c r="J426" s="273">
        <v>0.66200479832857728</v>
      </c>
      <c r="K426" s="273">
        <v>0.57825377218052665</v>
      </c>
      <c r="L426" s="273">
        <v>0.61204076084402936</v>
      </c>
      <c r="M426" s="273">
        <v>0.58238022446770676</v>
      </c>
      <c r="N426" s="273">
        <v>0.59906007408144346</v>
      </c>
      <c r="O426" s="273">
        <v>0.61459422416062093</v>
      </c>
      <c r="P426" s="273">
        <v>0.54896158834118325</v>
      </c>
      <c r="Q426" s="273">
        <v>0.56858953345735019</v>
      </c>
      <c r="R426" s="273">
        <v>0.58033965291350531</v>
      </c>
      <c r="S426" s="273">
        <v>0.61627993774674494</v>
      </c>
      <c r="T426" s="273">
        <v>0.57936705995094306</v>
      </c>
      <c r="U426" s="273">
        <v>0.63810157827713565</v>
      </c>
      <c r="V426" s="273">
        <v>0.34741475804848199</v>
      </c>
    </row>
    <row r="427" spans="1:22" x14ac:dyDescent="0.2">
      <c r="A427" s="263" t="s">
        <v>94</v>
      </c>
      <c r="B427" s="264"/>
      <c r="C427" s="267"/>
      <c r="D427" s="268"/>
      <c r="E427" s="268"/>
      <c r="F427" s="268"/>
      <c r="G427" s="268"/>
      <c r="H427" s="268"/>
      <c r="I427" s="268"/>
      <c r="J427" s="268"/>
      <c r="K427" s="268"/>
      <c r="L427" s="268"/>
      <c r="M427" s="268"/>
      <c r="N427" s="268"/>
      <c r="O427" s="268"/>
      <c r="P427" s="268"/>
      <c r="Q427" s="268"/>
      <c r="R427" s="268"/>
      <c r="S427" s="268"/>
      <c r="T427" s="268"/>
      <c r="U427" s="268"/>
      <c r="V427" s="268"/>
    </row>
    <row r="428" spans="1:22" x14ac:dyDescent="0.2">
      <c r="A428" s="261"/>
      <c r="B428" s="264" t="s">
        <v>34</v>
      </c>
      <c r="C428" s="272">
        <v>0</v>
      </c>
      <c r="D428" s="273">
        <v>18.051338921925449</v>
      </c>
      <c r="E428" s="273">
        <v>18.41236570036396</v>
      </c>
      <c r="F428" s="273">
        <v>18.867904991211603</v>
      </c>
      <c r="G428" s="273">
        <v>19.245699550920037</v>
      </c>
      <c r="H428" s="273">
        <v>19.631060913319747</v>
      </c>
      <c r="I428" s="273">
        <v>20.024140687251979</v>
      </c>
      <c r="J428" s="273">
        <v>20.425093520554508</v>
      </c>
      <c r="K428" s="273">
        <v>20.834077161012022</v>
      </c>
      <c r="L428" s="273">
        <v>21.251252518529846</v>
      </c>
      <c r="M428" s="273">
        <v>21.676783728555463</v>
      </c>
      <c r="N428" s="273">
        <v>22.110838216772972</v>
      </c>
      <c r="O428" s="273">
        <v>22.553586765095993</v>
      </c>
      <c r="P428" s="273">
        <v>23.005203578985157</v>
      </c>
      <c r="Q428" s="273">
        <v>23.465866356116791</v>
      </c>
      <c r="R428" s="273">
        <v>23.935756356429852</v>
      </c>
      <c r="S428" s="273">
        <v>24.415058473578945</v>
      </c>
      <c r="T428" s="273">
        <v>24.903961307821533</v>
      </c>
      <c r="U428" s="273">
        <v>25.402657240368246</v>
      </c>
      <c r="V428" s="273">
        <v>25.911342509225651</v>
      </c>
    </row>
    <row r="429" spans="1:22" x14ac:dyDescent="0.2">
      <c r="A429" s="261"/>
      <c r="B429" s="264" t="s">
        <v>95</v>
      </c>
      <c r="C429" s="272">
        <v>0</v>
      </c>
      <c r="D429" s="273">
        <v>6.2787493185101022</v>
      </c>
      <c r="E429" s="273">
        <v>6.2923968857189578</v>
      </c>
      <c r="F429" s="273">
        <v>6.3063433346496875</v>
      </c>
      <c r="G429" s="273">
        <v>6.320604973326251</v>
      </c>
      <c r="H429" s="273">
        <v>6.3352060390033165</v>
      </c>
      <c r="I429" s="273">
        <v>6.3501730088541208</v>
      </c>
      <c r="J429" s="273">
        <v>6.3655112012532822</v>
      </c>
      <c r="K429" s="273">
        <v>6.3812376349995796</v>
      </c>
      <c r="L429" s="273">
        <v>6.3973525116594105</v>
      </c>
      <c r="M429" s="273">
        <v>6.4138783176740661</v>
      </c>
      <c r="N429" s="273">
        <v>6.4308040481942772</v>
      </c>
      <c r="O429" s="273">
        <v>6.4481563071235977</v>
      </c>
      <c r="P429" s="273">
        <v>6.4659493134297223</v>
      </c>
      <c r="Q429" s="273">
        <v>6.4841871448935011</v>
      </c>
      <c r="R429" s="273">
        <v>6.5028827459270202</v>
      </c>
      <c r="S429" s="273">
        <v>6.5220457369863771</v>
      </c>
      <c r="T429" s="273">
        <v>6.5416839702240059</v>
      </c>
      <c r="U429" s="273">
        <v>6.5618151231158999</v>
      </c>
      <c r="V429" s="273">
        <v>6.5824515679453794</v>
      </c>
    </row>
    <row r="430" spans="1:22" x14ac:dyDescent="0.2">
      <c r="A430" s="261"/>
      <c r="B430" s="264" t="s">
        <v>36</v>
      </c>
      <c r="C430" s="272">
        <v>0</v>
      </c>
      <c r="D430" s="273">
        <v>2.1745697585753847</v>
      </c>
      <c r="E430" s="273">
        <v>2.2204531804813401</v>
      </c>
      <c r="F430" s="273">
        <v>2.2690811051338957</v>
      </c>
      <c r="G430" s="273">
        <v>2.3203623381098923</v>
      </c>
      <c r="H430" s="273">
        <v>2.3755869617569227</v>
      </c>
      <c r="I430" s="273">
        <v>2.4351194098405791</v>
      </c>
      <c r="J430" s="273">
        <v>2.4955171551347561</v>
      </c>
      <c r="K430" s="273">
        <v>2.5586838515025971</v>
      </c>
      <c r="L430" s="273">
        <v>2.6218833426347063</v>
      </c>
      <c r="M430" s="273">
        <v>2.6887413678718777</v>
      </c>
      <c r="N430" s="273">
        <v>2.753808908974392</v>
      </c>
      <c r="O430" s="273">
        <v>2.8232048934805456</v>
      </c>
      <c r="P430" s="273">
        <v>2.894914297774938</v>
      </c>
      <c r="Q430" s="273">
        <v>2.9672871552193216</v>
      </c>
      <c r="R430" s="273">
        <v>3.0417660628153187</v>
      </c>
      <c r="S430" s="273">
        <v>3.1178102143857074</v>
      </c>
      <c r="T430" s="273">
        <v>3.1951319077024647</v>
      </c>
      <c r="U430" s="273">
        <v>3.2753297185858061</v>
      </c>
      <c r="V430" s="273">
        <v>3.3575404945223157</v>
      </c>
    </row>
    <row r="431" spans="1:22" x14ac:dyDescent="0.2">
      <c r="A431" s="261"/>
      <c r="B431" s="264" t="s">
        <v>39</v>
      </c>
      <c r="C431" s="272">
        <v>0</v>
      </c>
      <c r="D431" s="273">
        <v>3.3872484863523571</v>
      </c>
      <c r="E431" s="273">
        <v>12.862032373862709</v>
      </c>
      <c r="F431" s="273">
        <v>5.0512151695616208</v>
      </c>
      <c r="G431" s="273">
        <v>8.8920743920595537</v>
      </c>
      <c r="H431" s="273">
        <v>10.286007258891647</v>
      </c>
      <c r="I431" s="273">
        <v>10.594587476658399</v>
      </c>
      <c r="J431" s="273">
        <v>10.912425100958151</v>
      </c>
      <c r="K431" s="273">
        <v>11.239797853986895</v>
      </c>
      <c r="L431" s="273">
        <v>11.576991789606502</v>
      </c>
      <c r="M431" s="273">
        <v>11.924301543294698</v>
      </c>
      <c r="N431" s="273">
        <v>12.282030589593539</v>
      </c>
      <c r="O431" s="273">
        <v>12.650491507281345</v>
      </c>
      <c r="P431" s="273">
        <v>13.030006252499785</v>
      </c>
      <c r="Q431" s="273">
        <v>13.420906440074781</v>
      </c>
      <c r="R431" s="273">
        <v>13.823533633277023</v>
      </c>
      <c r="S431" s="273">
        <v>14.238239642275335</v>
      </c>
      <c r="T431" s="273">
        <v>14.665386831543596</v>
      </c>
      <c r="U431" s="273">
        <v>15.105348436489905</v>
      </c>
      <c r="V431" s="273">
        <v>15.558508889584603</v>
      </c>
    </row>
    <row r="432" spans="1:22" x14ac:dyDescent="0.2">
      <c r="A432" s="261"/>
      <c r="B432" s="264" t="s">
        <v>96</v>
      </c>
      <c r="C432" s="274">
        <v>0</v>
      </c>
      <c r="D432" s="275">
        <v>4.4761258064516127</v>
      </c>
      <c r="E432" s="275">
        <v>55.576175202646823</v>
      </c>
      <c r="F432" s="275">
        <v>8.335477270471463</v>
      </c>
      <c r="G432" s="275">
        <v>0</v>
      </c>
      <c r="H432" s="275">
        <v>0</v>
      </c>
      <c r="I432" s="275">
        <v>0</v>
      </c>
      <c r="J432" s="275">
        <v>0</v>
      </c>
      <c r="K432" s="275">
        <v>0</v>
      </c>
      <c r="L432" s="275">
        <v>0</v>
      </c>
      <c r="M432" s="275">
        <v>0</v>
      </c>
      <c r="N432" s="275">
        <v>0</v>
      </c>
      <c r="O432" s="275">
        <v>0</v>
      </c>
      <c r="P432" s="275">
        <v>0</v>
      </c>
      <c r="Q432" s="275">
        <v>0</v>
      </c>
      <c r="R432" s="275">
        <v>0</v>
      </c>
      <c r="S432" s="275">
        <v>0</v>
      </c>
      <c r="T432" s="275">
        <v>0</v>
      </c>
      <c r="U432" s="275">
        <v>0</v>
      </c>
      <c r="V432" s="275">
        <v>0</v>
      </c>
    </row>
    <row r="433" spans="1:22" x14ac:dyDescent="0.2">
      <c r="A433" s="261"/>
      <c r="B433" s="264"/>
      <c r="C433" s="261"/>
      <c r="D433" s="261"/>
      <c r="E433" s="261"/>
      <c r="F433" s="261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</row>
    <row r="434" spans="1:22" x14ac:dyDescent="0.2">
      <c r="A434" s="261"/>
      <c r="B434" s="264"/>
      <c r="C434" s="261"/>
      <c r="D434" s="261"/>
      <c r="E434" s="261"/>
      <c r="F434" s="261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</row>
    <row r="435" spans="1:22" x14ac:dyDescent="0.2">
      <c r="A435" s="24"/>
      <c r="B435" s="289"/>
      <c r="C435" s="293"/>
      <c r="D435" s="293"/>
      <c r="E435" s="293"/>
      <c r="F435" s="293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</row>
    <row r="436" spans="1:22" x14ac:dyDescent="0.2">
      <c r="A436" s="24"/>
      <c r="B436" s="289"/>
      <c r="C436" s="293"/>
      <c r="D436" s="293"/>
      <c r="E436" s="293"/>
      <c r="F436" s="293"/>
      <c r="G436" s="293"/>
      <c r="H436" s="293"/>
      <c r="I436" s="293"/>
      <c r="J436" s="293"/>
      <c r="K436" s="293"/>
      <c r="L436" s="293"/>
      <c r="M436" s="293"/>
      <c r="N436" s="293"/>
      <c r="O436" s="293"/>
      <c r="P436" s="293"/>
      <c r="Q436" s="293"/>
      <c r="R436" s="293"/>
      <c r="S436" s="293"/>
      <c r="T436" s="293"/>
      <c r="U436" s="293"/>
      <c r="V436" s="293"/>
    </row>
    <row r="437" spans="1:22" x14ac:dyDescent="0.2">
      <c r="A437" s="259" t="s">
        <v>98</v>
      </c>
      <c r="B437" s="260"/>
      <c r="C437" s="261"/>
      <c r="D437" s="261"/>
      <c r="E437" s="261"/>
      <c r="F437" s="261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</row>
    <row r="438" spans="1:22" x14ac:dyDescent="0.2">
      <c r="A438" s="262" t="s">
        <v>73</v>
      </c>
      <c r="B438" s="260"/>
      <c r="C438" s="261"/>
      <c r="D438" s="261"/>
      <c r="E438" s="261"/>
      <c r="F438" s="261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</row>
    <row r="439" spans="1:22" x14ac:dyDescent="0.2">
      <c r="A439" s="261"/>
      <c r="B439" s="260"/>
      <c r="C439" s="261"/>
      <c r="D439" s="261"/>
      <c r="E439" s="261"/>
      <c r="F439" s="261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</row>
    <row r="440" spans="1:22" x14ac:dyDescent="0.2">
      <c r="A440" s="261"/>
      <c r="B440" s="260"/>
      <c r="C440" s="265">
        <v>2000</v>
      </c>
      <c r="D440" s="266">
        <v>2001</v>
      </c>
      <c r="E440" s="266">
        <v>2002</v>
      </c>
      <c r="F440" s="266">
        <v>2003</v>
      </c>
      <c r="G440" s="266">
        <v>2004</v>
      </c>
      <c r="H440" s="266">
        <v>2005</v>
      </c>
      <c r="I440" s="266">
        <v>2006</v>
      </c>
      <c r="J440" s="266">
        <v>2007</v>
      </c>
      <c r="K440" s="266">
        <v>2008</v>
      </c>
      <c r="L440" s="266">
        <v>2009</v>
      </c>
      <c r="M440" s="266">
        <v>2010</v>
      </c>
      <c r="N440" s="266">
        <v>2011</v>
      </c>
      <c r="O440" s="266">
        <v>2012</v>
      </c>
      <c r="P440" s="266">
        <v>2013</v>
      </c>
      <c r="Q440" s="266">
        <v>2014</v>
      </c>
      <c r="R440" s="266">
        <v>2015</v>
      </c>
      <c r="S440" s="266">
        <v>2016</v>
      </c>
      <c r="T440" s="266">
        <v>2017</v>
      </c>
      <c r="U440" s="266">
        <v>2018</v>
      </c>
      <c r="V440" s="266">
        <v>2019</v>
      </c>
    </row>
    <row r="441" spans="1:22" x14ac:dyDescent="0.2">
      <c r="A441" s="263" t="s">
        <v>129</v>
      </c>
      <c r="B441" s="260"/>
      <c r="C441" s="267"/>
      <c r="D441" s="268"/>
      <c r="E441" s="268"/>
      <c r="F441" s="268"/>
      <c r="G441" s="268"/>
      <c r="H441" s="268"/>
      <c r="I441" s="268"/>
      <c r="J441" s="268"/>
      <c r="K441" s="268"/>
      <c r="L441" s="268"/>
      <c r="M441" s="268"/>
      <c r="N441" s="268"/>
      <c r="O441" s="268"/>
      <c r="P441" s="268"/>
      <c r="Q441" s="268"/>
      <c r="R441" s="268"/>
      <c r="S441" s="268"/>
      <c r="T441" s="268"/>
      <c r="U441" s="268"/>
      <c r="V441" s="268"/>
    </row>
    <row r="442" spans="1:22" x14ac:dyDescent="0.2">
      <c r="A442" s="261"/>
      <c r="B442" s="264" t="s">
        <v>97</v>
      </c>
      <c r="C442" s="269">
        <v>0</v>
      </c>
      <c r="D442" s="270">
        <v>9914.3394521409009</v>
      </c>
      <c r="E442" s="270">
        <v>11868.070683835496</v>
      </c>
      <c r="F442" s="270">
        <v>10705.657885998262</v>
      </c>
      <c r="G442" s="270">
        <v>10325.245088161031</v>
      </c>
      <c r="H442" s="270">
        <v>14288.326784214705</v>
      </c>
      <c r="I442" s="270">
        <v>13054.341107848915</v>
      </c>
      <c r="J442" s="270">
        <v>15049.152379889172</v>
      </c>
      <c r="K442" s="270">
        <v>27931.269346043322</v>
      </c>
      <c r="L442" s="270">
        <v>27212.792559019927</v>
      </c>
      <c r="M442" s="270">
        <v>26901.269417860596</v>
      </c>
      <c r="N442" s="270">
        <v>27218.159002721237</v>
      </c>
      <c r="O442" s="270">
        <v>28100.810265887434</v>
      </c>
      <c r="P442" s="270">
        <v>31545.699850748071</v>
      </c>
      <c r="Q442" s="270">
        <v>37469.147990503057</v>
      </c>
      <c r="R442" s="270">
        <v>28507.763911751514</v>
      </c>
      <c r="S442" s="270">
        <v>24100.600519644155</v>
      </c>
      <c r="T442" s="270">
        <v>28906.667892063619</v>
      </c>
      <c r="U442" s="270">
        <v>33633.258405642417</v>
      </c>
      <c r="V442" s="270">
        <v>28069.048659399137</v>
      </c>
    </row>
    <row r="443" spans="1:22" x14ac:dyDescent="0.2">
      <c r="A443" s="261"/>
      <c r="B443" s="264" t="s">
        <v>91</v>
      </c>
      <c r="C443" s="269">
        <v>0</v>
      </c>
      <c r="D443" s="271">
        <v>1.2301890326758116E-2</v>
      </c>
      <c r="E443" s="271">
        <v>1.4726115103031935E-2</v>
      </c>
      <c r="F443" s="271">
        <v>1.3283772441431236E-2</v>
      </c>
      <c r="G443" s="271">
        <v>1.2811749414533738E-2</v>
      </c>
      <c r="H443" s="271">
        <v>1.7729212309180446E-2</v>
      </c>
      <c r="I443" s="271">
        <v>1.6198060735369408E-2</v>
      </c>
      <c r="J443" s="271">
        <v>1.8673258362975446E-2</v>
      </c>
      <c r="K443" s="271">
        <v>3.4657620292390466E-2</v>
      </c>
      <c r="L443" s="271">
        <v>3.376612140041186E-2</v>
      </c>
      <c r="M443" s="271">
        <v>3.3379577895896115E-2</v>
      </c>
      <c r="N443" s="271">
        <v>3.3772780180069031E-2</v>
      </c>
      <c r="O443" s="271">
        <v>3.4867989708516275E-2</v>
      </c>
      <c r="P443" s="271">
        <v>3.9142470531501973E-2</v>
      </c>
      <c r="Q443" s="271">
        <v>4.6492391292563842E-2</v>
      </c>
      <c r="R443" s="271">
        <v>3.5372945095979144E-2</v>
      </c>
      <c r="S443" s="271">
        <v>2.99044576628501E-2</v>
      </c>
      <c r="T443" s="271">
        <v>3.5867912313956252E-2</v>
      </c>
      <c r="U443" s="271">
        <v>4.1732750652226543E-2</v>
      </c>
      <c r="V443" s="271">
        <v>3.4828579337153984E-2</v>
      </c>
    </row>
    <row r="444" spans="1:22" x14ac:dyDescent="0.2">
      <c r="A444" s="263" t="s">
        <v>93</v>
      </c>
      <c r="B444" s="264"/>
      <c r="C444" s="267"/>
      <c r="D444" s="268"/>
      <c r="E444" s="268"/>
      <c r="F444" s="268"/>
      <c r="G444" s="268"/>
      <c r="H444" s="268"/>
      <c r="I444" s="268"/>
      <c r="J444" s="268"/>
      <c r="K444" s="268"/>
      <c r="L444" s="268"/>
      <c r="M444" s="268"/>
      <c r="N444" s="268"/>
      <c r="O444" s="268"/>
      <c r="P444" s="268"/>
      <c r="Q444" s="268"/>
      <c r="R444" s="268"/>
      <c r="S444" s="268"/>
      <c r="T444" s="268"/>
      <c r="U444" s="268"/>
      <c r="V444" s="268"/>
    </row>
    <row r="445" spans="1:22" x14ac:dyDescent="0.2">
      <c r="A445" s="261"/>
      <c r="B445" s="264" t="s">
        <v>27</v>
      </c>
      <c r="C445" s="272">
        <v>0</v>
      </c>
      <c r="D445" s="273">
        <v>616.83148336964155</v>
      </c>
      <c r="E445" s="273">
        <v>385.14024177272745</v>
      </c>
      <c r="F445" s="273">
        <v>335.33563696514392</v>
      </c>
      <c r="G445" s="273">
        <v>298.96882095947615</v>
      </c>
      <c r="H445" s="273">
        <v>223.2223033489513</v>
      </c>
      <c r="I445" s="273">
        <v>185.15844060079323</v>
      </c>
      <c r="J445" s="273">
        <v>181.4814897624976</v>
      </c>
      <c r="K445" s="273">
        <v>159.95827051139284</v>
      </c>
      <c r="L445" s="273">
        <v>164.89243412229163</v>
      </c>
      <c r="M445" s="273">
        <v>180.65675821012073</v>
      </c>
      <c r="N445" s="273">
        <v>151.56821410133156</v>
      </c>
      <c r="O445" s="273">
        <v>158.43111377822905</v>
      </c>
      <c r="P445" s="273">
        <v>161.7423079928119</v>
      </c>
      <c r="Q445" s="273">
        <v>164.19031482482586</v>
      </c>
      <c r="R445" s="273">
        <v>171.91870403825718</v>
      </c>
      <c r="S445" s="273">
        <v>166.32274529634435</v>
      </c>
      <c r="T445" s="273">
        <v>172.04794192327887</v>
      </c>
      <c r="U445" s="273">
        <v>177.69985859749335</v>
      </c>
      <c r="V445" s="273">
        <v>168.48705214162857</v>
      </c>
    </row>
    <row r="446" spans="1:22" x14ac:dyDescent="0.2">
      <c r="A446" s="261"/>
      <c r="B446" s="264" t="s">
        <v>20</v>
      </c>
      <c r="C446" s="272">
        <v>0</v>
      </c>
      <c r="D446" s="273">
        <v>89.257901525980344</v>
      </c>
      <c r="E446" s="273">
        <v>82.787150102393696</v>
      </c>
      <c r="F446" s="273">
        <v>79.508905932104682</v>
      </c>
      <c r="G446" s="273">
        <v>79.583957393795032</v>
      </c>
      <c r="H446" s="273">
        <v>80.362789467716169</v>
      </c>
      <c r="I446" s="273">
        <v>83.056215877888377</v>
      </c>
      <c r="J446" s="273">
        <v>83.647366590716217</v>
      </c>
      <c r="K446" s="273">
        <v>79.76951560130918</v>
      </c>
      <c r="L446" s="273">
        <v>80.858791607473037</v>
      </c>
      <c r="M446" s="273">
        <v>82.688111718062288</v>
      </c>
      <c r="N446" s="273">
        <v>86.1141862766533</v>
      </c>
      <c r="O446" s="273">
        <v>83.718160900526243</v>
      </c>
      <c r="P446" s="273">
        <v>90.373934035724247</v>
      </c>
      <c r="Q446" s="273">
        <v>89.329227310212943</v>
      </c>
      <c r="R446" s="273">
        <v>95.968791692781181</v>
      </c>
      <c r="S446" s="273">
        <v>101.75160292070666</v>
      </c>
      <c r="T446" s="273">
        <v>103.12816753397399</v>
      </c>
      <c r="U446" s="273">
        <v>110.53578429608876</v>
      </c>
      <c r="V446" s="273">
        <v>112.19424696612012</v>
      </c>
    </row>
    <row r="447" spans="1:22" x14ac:dyDescent="0.2">
      <c r="A447" s="261"/>
      <c r="B447" s="264" t="s">
        <v>92</v>
      </c>
      <c r="C447" s="272">
        <v>0</v>
      </c>
      <c r="D447" s="273">
        <v>3.7810904835757952</v>
      </c>
      <c r="E447" s="273">
        <v>3.891490599228201</v>
      </c>
      <c r="F447" s="273">
        <v>3.92661258486886</v>
      </c>
      <c r="G447" s="273">
        <v>3.9793213093317141</v>
      </c>
      <c r="H447" s="273">
        <v>4.0737784293097477</v>
      </c>
      <c r="I447" s="273">
        <v>4.2224900743640035</v>
      </c>
      <c r="J447" s="273">
        <v>4.2790802032954147</v>
      </c>
      <c r="K447" s="273">
        <v>4.4909626534609322</v>
      </c>
      <c r="L447" s="273">
        <v>4.5407746578563914</v>
      </c>
      <c r="M447" s="273">
        <v>4.578575416517082</v>
      </c>
      <c r="N447" s="273">
        <v>4.7041169040982735</v>
      </c>
      <c r="O447" s="273">
        <v>4.750643764607184</v>
      </c>
      <c r="P447" s="273">
        <v>4.9266313834709576</v>
      </c>
      <c r="Q447" s="273">
        <v>5.0123437731516427</v>
      </c>
      <c r="R447" s="273">
        <v>5.0220742334092714</v>
      </c>
      <c r="S447" s="273">
        <v>5.186460903100155</v>
      </c>
      <c r="T447" s="273">
        <v>5.2398859542209486</v>
      </c>
      <c r="U447" s="273">
        <v>5.359333506606232</v>
      </c>
      <c r="V447" s="273">
        <v>5.4772070911600252</v>
      </c>
    </row>
    <row r="448" spans="1:22" x14ac:dyDescent="0.2">
      <c r="A448" s="261"/>
      <c r="B448" s="264" t="s">
        <v>22</v>
      </c>
      <c r="C448" s="272">
        <v>0</v>
      </c>
      <c r="D448" s="273">
        <v>0</v>
      </c>
      <c r="E448" s="273">
        <v>0</v>
      </c>
      <c r="F448" s="273">
        <v>0</v>
      </c>
      <c r="G448" s="273">
        <v>0</v>
      </c>
      <c r="H448" s="273">
        <v>0</v>
      </c>
      <c r="I448" s="273">
        <v>1.1845435289794508</v>
      </c>
      <c r="J448" s="273">
        <v>1.3053003445614715</v>
      </c>
      <c r="K448" s="273">
        <v>1.5459821983010029</v>
      </c>
      <c r="L448" s="273">
        <v>1.6131560697215912</v>
      </c>
      <c r="M448" s="273">
        <v>1.7710190067408171</v>
      </c>
      <c r="N448" s="273">
        <v>1.9706676394891913</v>
      </c>
      <c r="O448" s="273">
        <v>2.1562788749877781</v>
      </c>
      <c r="P448" s="273">
        <v>2.4562059171785093</v>
      </c>
      <c r="Q448" s="273">
        <v>2.7304095985707564</v>
      </c>
      <c r="R448" s="273">
        <v>2.9721514826435982</v>
      </c>
      <c r="S448" s="273">
        <v>3.3011541848369514</v>
      </c>
      <c r="T448" s="273">
        <v>3.209836655875157</v>
      </c>
      <c r="U448" s="273">
        <v>2.7525293761112688</v>
      </c>
      <c r="V448" s="273">
        <v>2.863507533837454</v>
      </c>
    </row>
    <row r="449" spans="1:22" x14ac:dyDescent="0.2">
      <c r="A449" s="261"/>
      <c r="B449" s="264" t="s">
        <v>23</v>
      </c>
      <c r="C449" s="272">
        <v>0</v>
      </c>
      <c r="D449" s="273">
        <v>0</v>
      </c>
      <c r="E449" s="273">
        <v>0</v>
      </c>
      <c r="F449" s="273">
        <v>0</v>
      </c>
      <c r="G449" s="273">
        <v>0</v>
      </c>
      <c r="H449" s="273">
        <v>0</v>
      </c>
      <c r="I449" s="273">
        <v>1.1845435289794508</v>
      </c>
      <c r="J449" s="273">
        <v>1.3053003445614715</v>
      </c>
      <c r="K449" s="273">
        <v>1.5459821983010029</v>
      </c>
      <c r="L449" s="273">
        <v>1.6131560697215912</v>
      </c>
      <c r="M449" s="273">
        <v>1.7710190067408171</v>
      </c>
      <c r="N449" s="273">
        <v>1.9706676394891913</v>
      </c>
      <c r="O449" s="273">
        <v>2.1562788749877781</v>
      </c>
      <c r="P449" s="273">
        <v>2.4562059171785093</v>
      </c>
      <c r="Q449" s="273">
        <v>2.7304095985707564</v>
      </c>
      <c r="R449" s="273">
        <v>2.9721514826435982</v>
      </c>
      <c r="S449" s="273">
        <v>3.3011541848369514</v>
      </c>
      <c r="T449" s="273">
        <v>3.209836655875157</v>
      </c>
      <c r="U449" s="273">
        <v>2.7525293761112688</v>
      </c>
      <c r="V449" s="273">
        <v>2.863507533837454</v>
      </c>
    </row>
    <row r="450" spans="1:22" x14ac:dyDescent="0.2">
      <c r="A450" s="263" t="s">
        <v>94</v>
      </c>
      <c r="B450" s="264"/>
      <c r="C450" s="267"/>
      <c r="D450" s="268"/>
      <c r="E450" s="268"/>
      <c r="F450" s="268"/>
      <c r="G450" s="268"/>
      <c r="H450" s="268"/>
      <c r="I450" s="268"/>
      <c r="J450" s="268"/>
      <c r="K450" s="268"/>
      <c r="L450" s="268"/>
      <c r="M450" s="268"/>
      <c r="N450" s="268"/>
      <c r="O450" s="268"/>
      <c r="P450" s="268"/>
      <c r="Q450" s="268"/>
      <c r="R450" s="268"/>
      <c r="S450" s="268"/>
      <c r="T450" s="268"/>
      <c r="U450" s="268"/>
      <c r="V450" s="268"/>
    </row>
    <row r="451" spans="1:22" x14ac:dyDescent="0.2">
      <c r="A451" s="261"/>
      <c r="B451" s="264" t="s">
        <v>34</v>
      </c>
      <c r="C451" s="272">
        <v>0</v>
      </c>
      <c r="D451" s="273">
        <v>2.9356777876316342</v>
      </c>
      <c r="E451" s="273">
        <v>2.994391343384267</v>
      </c>
      <c r="F451" s="273">
        <v>3.0542791702519527</v>
      </c>
      <c r="G451" s="273">
        <v>3.1153647536569915</v>
      </c>
      <c r="H451" s="273">
        <v>3.1776720487301318</v>
      </c>
      <c r="I451" s="273">
        <v>3.2412254897047341</v>
      </c>
      <c r="J451" s="273">
        <v>3.3060499994988293</v>
      </c>
      <c r="K451" s="273">
        <v>3.3721709994888061</v>
      </c>
      <c r="L451" s="273">
        <v>3.4396144194785823</v>
      </c>
      <c r="M451" s="273">
        <v>3.5084067078681538</v>
      </c>
      <c r="N451" s="273">
        <v>3.578574842025517</v>
      </c>
      <c r="O451" s="273">
        <v>3.6501463388660276</v>
      </c>
      <c r="P451" s="273">
        <v>3.7231492656433485</v>
      </c>
      <c r="Q451" s="273">
        <v>3.7976122509562158</v>
      </c>
      <c r="R451" s="273">
        <v>3.8735644959753404</v>
      </c>
      <c r="S451" s="273">
        <v>3.9510357858948475</v>
      </c>
      <c r="T451" s="273">
        <v>4.0300565016127443</v>
      </c>
      <c r="U451" s="273">
        <v>4.1106576316449992</v>
      </c>
      <c r="V451" s="273">
        <v>4.1928707842778996</v>
      </c>
    </row>
    <row r="452" spans="1:22" x14ac:dyDescent="0.2">
      <c r="A452" s="261"/>
      <c r="B452" s="264" t="s">
        <v>95</v>
      </c>
      <c r="C452" s="272">
        <v>0</v>
      </c>
      <c r="D452" s="273">
        <v>0.77605945085073869</v>
      </c>
      <c r="E452" s="273">
        <v>0.77605945085073869</v>
      </c>
      <c r="F452" s="273">
        <v>0.77605945085073869</v>
      </c>
      <c r="G452" s="273">
        <v>0.77605945085073869</v>
      </c>
      <c r="H452" s="273">
        <v>0.77605945085073869</v>
      </c>
      <c r="I452" s="273">
        <v>0.77605945085073869</v>
      </c>
      <c r="J452" s="273">
        <v>0.77605945085073869</v>
      </c>
      <c r="K452" s="273">
        <v>0.77605945085073869</v>
      </c>
      <c r="L452" s="273">
        <v>0.77605945085073869</v>
      </c>
      <c r="M452" s="273">
        <v>0.77605945085073869</v>
      </c>
      <c r="N452" s="273">
        <v>0.77605945085073869</v>
      </c>
      <c r="O452" s="273">
        <v>0.77605945085073869</v>
      </c>
      <c r="P452" s="273">
        <v>0.77605945085073869</v>
      </c>
      <c r="Q452" s="273">
        <v>0.77605945085073869</v>
      </c>
      <c r="R452" s="273">
        <v>0.77605945085073869</v>
      </c>
      <c r="S452" s="273">
        <v>0.77605945085073869</v>
      </c>
      <c r="T452" s="273">
        <v>0.77605945085073869</v>
      </c>
      <c r="U452" s="273">
        <v>0.77605945085073869</v>
      </c>
      <c r="V452" s="273">
        <v>0.77605945085073869</v>
      </c>
    </row>
    <row r="453" spans="1:22" x14ac:dyDescent="0.2">
      <c r="A453" s="261"/>
      <c r="B453" s="264" t="s">
        <v>36</v>
      </c>
      <c r="C453" s="272">
        <v>0</v>
      </c>
      <c r="D453" s="273">
        <v>0.12175221394134783</v>
      </c>
      <c r="E453" s="273">
        <v>0.12432118565551088</v>
      </c>
      <c r="F453" s="273">
        <v>0.12704381962136632</v>
      </c>
      <c r="G453" s="273">
        <v>0.12991500994480867</v>
      </c>
      <c r="H453" s="273">
        <v>0.13300698718149565</v>
      </c>
      <c r="I453" s="273">
        <v>0.13634015565169455</v>
      </c>
      <c r="J453" s="273">
        <v>0.13972177133803154</v>
      </c>
      <c r="K453" s="273">
        <v>0.14325841811600543</v>
      </c>
      <c r="L453" s="273">
        <v>0.14679690104347065</v>
      </c>
      <c r="M453" s="273">
        <v>0.15054022202007936</v>
      </c>
      <c r="N453" s="273">
        <v>0.1541832953929663</v>
      </c>
      <c r="O453" s="273">
        <v>0.15806871443686848</v>
      </c>
      <c r="P453" s="273">
        <v>0.16208365978356412</v>
      </c>
      <c r="Q453" s="273">
        <v>0.16613575127815325</v>
      </c>
      <c r="R453" s="273">
        <v>0.17030575863523478</v>
      </c>
      <c r="S453" s="273">
        <v>0.1745634026011163</v>
      </c>
      <c r="T453" s="273">
        <v>0.17889257498562391</v>
      </c>
      <c r="U453" s="273">
        <v>0.18338277861776303</v>
      </c>
      <c r="V453" s="273">
        <v>0.18798568636106847</v>
      </c>
    </row>
    <row r="454" spans="1:22" x14ac:dyDescent="0.2">
      <c r="A454" s="261"/>
      <c r="B454" s="264" t="s">
        <v>39</v>
      </c>
      <c r="C454" s="272">
        <v>0</v>
      </c>
      <c r="D454" s="273">
        <v>3.0607173913043479E-2</v>
      </c>
      <c r="E454" s="273">
        <v>3.6195621739130432</v>
      </c>
      <c r="F454" s="273">
        <v>3.3128152173913045E-2</v>
      </c>
      <c r="G454" s="273">
        <v>3.4600978260869567E-2</v>
      </c>
      <c r="H454" s="273">
        <v>0.75004197826086949</v>
      </c>
      <c r="I454" s="273">
        <v>0.77254323760869559</v>
      </c>
      <c r="J454" s="273">
        <v>0.79571953473695656</v>
      </c>
      <c r="K454" s="273">
        <v>0.81959112077906526</v>
      </c>
      <c r="L454" s="273">
        <v>0.84417885440243723</v>
      </c>
      <c r="M454" s="273">
        <v>0.86950422003451033</v>
      </c>
      <c r="N454" s="273">
        <v>0.89558934663554579</v>
      </c>
      <c r="O454" s="273">
        <v>0.92245702703461208</v>
      </c>
      <c r="P454" s="273">
        <v>0.9501307378456505</v>
      </c>
      <c r="Q454" s="273">
        <v>0.97863465998102006</v>
      </c>
      <c r="R454" s="273">
        <v>1.0079936997804506</v>
      </c>
      <c r="S454" s="273">
        <v>1.0382335107738643</v>
      </c>
      <c r="T454" s="273">
        <v>1.0693805160970802</v>
      </c>
      <c r="U454" s="273">
        <v>1.1014619315799927</v>
      </c>
      <c r="V454" s="273">
        <v>1.1345057895273927</v>
      </c>
    </row>
    <row r="455" spans="1:22" x14ac:dyDescent="0.2">
      <c r="A455" s="261"/>
      <c r="B455" s="264" t="s">
        <v>96</v>
      </c>
      <c r="C455" s="274">
        <v>0</v>
      </c>
      <c r="D455" s="275">
        <v>0</v>
      </c>
      <c r="E455" s="275">
        <v>0</v>
      </c>
      <c r="F455" s="275">
        <v>0</v>
      </c>
      <c r="G455" s="275">
        <v>0</v>
      </c>
      <c r="H455" s="275">
        <v>0</v>
      </c>
      <c r="I455" s="275">
        <v>0</v>
      </c>
      <c r="J455" s="275">
        <v>0</v>
      </c>
      <c r="K455" s="275">
        <v>0</v>
      </c>
      <c r="L455" s="275">
        <v>0</v>
      </c>
      <c r="M455" s="275">
        <v>0</v>
      </c>
      <c r="N455" s="275">
        <v>0</v>
      </c>
      <c r="O455" s="275">
        <v>0</v>
      </c>
      <c r="P455" s="275">
        <v>0</v>
      </c>
      <c r="Q455" s="275">
        <v>0</v>
      </c>
      <c r="R455" s="275">
        <v>0</v>
      </c>
      <c r="S455" s="275">
        <v>0</v>
      </c>
      <c r="T455" s="275">
        <v>0</v>
      </c>
      <c r="U455" s="275">
        <v>0</v>
      </c>
      <c r="V455" s="275">
        <v>0</v>
      </c>
    </row>
    <row r="456" spans="1:22" x14ac:dyDescent="0.2">
      <c r="A456" s="261"/>
      <c r="B456" s="264"/>
      <c r="C456" s="261"/>
      <c r="D456" s="261"/>
      <c r="E456" s="261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</row>
    <row r="457" spans="1:22" x14ac:dyDescent="0.2">
      <c r="A457" s="261"/>
      <c r="B457" s="264"/>
      <c r="C457" s="261"/>
      <c r="D457" s="261"/>
      <c r="E457" s="261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</row>
    <row r="458" spans="1:22" x14ac:dyDescent="0.2">
      <c r="A458" s="24"/>
      <c r="B458" s="289"/>
      <c r="C458" s="293"/>
      <c r="D458" s="293"/>
      <c r="E458" s="293"/>
      <c r="F458" s="293"/>
      <c r="G458" s="293"/>
      <c r="H458" s="293"/>
      <c r="I458" s="293"/>
      <c r="J458" s="293"/>
      <c r="K458" s="293"/>
      <c r="L458" s="293"/>
      <c r="M458" s="293"/>
      <c r="N458" s="293"/>
      <c r="O458" s="293"/>
      <c r="P458" s="293"/>
      <c r="Q458" s="293"/>
      <c r="R458" s="293"/>
      <c r="S458" s="293"/>
      <c r="T458" s="293"/>
      <c r="U458" s="293"/>
      <c r="V458" s="293"/>
    </row>
    <row r="459" spans="1:22" x14ac:dyDescent="0.2">
      <c r="A459" s="106"/>
      <c r="B459" s="107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x14ac:dyDescent="0.2">
      <c r="A460" s="259" t="s">
        <v>98</v>
      </c>
      <c r="B460" s="260"/>
      <c r="C460" s="261"/>
      <c r="D460" s="261"/>
      <c r="E460" s="261"/>
      <c r="F460" s="261"/>
      <c r="G460" s="261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  <c r="V460" s="261"/>
    </row>
    <row r="461" spans="1:22" x14ac:dyDescent="0.2">
      <c r="A461" s="262" t="s">
        <v>74</v>
      </c>
      <c r="B461" s="260"/>
      <c r="C461" s="261"/>
      <c r="D461" s="261"/>
      <c r="E461" s="261"/>
      <c r="F461" s="261"/>
      <c r="G461" s="261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  <c r="V461" s="261"/>
    </row>
    <row r="462" spans="1:22" x14ac:dyDescent="0.2">
      <c r="A462" s="261"/>
      <c r="B462" s="260"/>
      <c r="C462" s="261"/>
      <c r="D462" s="261"/>
      <c r="E462" s="261"/>
      <c r="F462" s="261"/>
      <c r="G462" s="261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  <c r="V462" s="261"/>
    </row>
    <row r="463" spans="1:22" x14ac:dyDescent="0.2">
      <c r="A463" s="261"/>
      <c r="B463" s="260"/>
      <c r="C463" s="265">
        <v>2000</v>
      </c>
      <c r="D463" s="266">
        <v>2001</v>
      </c>
      <c r="E463" s="266">
        <v>2002</v>
      </c>
      <c r="F463" s="266">
        <v>2003</v>
      </c>
      <c r="G463" s="266">
        <v>2004</v>
      </c>
      <c r="H463" s="266">
        <v>2005</v>
      </c>
      <c r="I463" s="266">
        <v>2006</v>
      </c>
      <c r="J463" s="266">
        <v>2007</v>
      </c>
      <c r="K463" s="266">
        <v>2008</v>
      </c>
      <c r="L463" s="266">
        <v>2009</v>
      </c>
      <c r="M463" s="266">
        <v>2010</v>
      </c>
      <c r="N463" s="266">
        <v>2011</v>
      </c>
      <c r="O463" s="266">
        <v>2012</v>
      </c>
      <c r="P463" s="266">
        <v>2013</v>
      </c>
      <c r="Q463" s="266">
        <v>2014</v>
      </c>
      <c r="R463" s="266">
        <v>2015</v>
      </c>
      <c r="S463" s="266">
        <v>2016</v>
      </c>
      <c r="T463" s="266">
        <v>2017</v>
      </c>
      <c r="U463" s="266">
        <v>2018</v>
      </c>
      <c r="V463" s="266">
        <v>2019</v>
      </c>
    </row>
    <row r="464" spans="1:22" x14ac:dyDescent="0.2">
      <c r="A464" s="263" t="s">
        <v>129</v>
      </c>
      <c r="B464" s="260"/>
      <c r="C464" s="267"/>
      <c r="D464" s="268"/>
      <c r="E464" s="268"/>
      <c r="F464" s="268"/>
      <c r="G464" s="268"/>
      <c r="H464" s="268"/>
      <c r="I464" s="268"/>
      <c r="J464" s="268"/>
      <c r="K464" s="268"/>
      <c r="L464" s="268"/>
      <c r="M464" s="268"/>
      <c r="N464" s="268"/>
      <c r="O464" s="268"/>
      <c r="P464" s="268"/>
      <c r="Q464" s="268"/>
      <c r="R464" s="268"/>
      <c r="S464" s="268"/>
      <c r="T464" s="268"/>
      <c r="U464" s="268"/>
      <c r="V464" s="268"/>
    </row>
    <row r="465" spans="1:22" x14ac:dyDescent="0.2">
      <c r="A465" s="261"/>
      <c r="B465" s="264" t="s">
        <v>97</v>
      </c>
      <c r="C465" s="269">
        <v>0</v>
      </c>
      <c r="D465" s="270">
        <v>1530.2567415260955</v>
      </c>
      <c r="E465" s="270">
        <v>1831.8109098963484</v>
      </c>
      <c r="F465" s="270">
        <v>1652.3950215345144</v>
      </c>
      <c r="G465" s="270">
        <v>1593.6791331726808</v>
      </c>
      <c r="H465" s="270">
        <v>2205.372177563574</v>
      </c>
      <c r="I465" s="270">
        <v>2014.9091709940715</v>
      </c>
      <c r="J465" s="270">
        <v>2322.8039542872416</v>
      </c>
      <c r="K465" s="270">
        <v>4311.1307034110341</v>
      </c>
      <c r="L465" s="270">
        <v>4200.2353732400315</v>
      </c>
      <c r="M465" s="270">
        <v>4152.1524536263087</v>
      </c>
      <c r="N465" s="270">
        <v>4201.0636721591472</v>
      </c>
      <c r="O465" s="270">
        <v>4337.2989758217564</v>
      </c>
      <c r="P465" s="270">
        <v>4869.0101943545933</v>
      </c>
      <c r="Q465" s="270">
        <v>5783.2815376646013</v>
      </c>
      <c r="R465" s="270">
        <v>4400.1113863790379</v>
      </c>
      <c r="S465" s="270">
        <v>3719.8752975972498</v>
      </c>
      <c r="T465" s="270">
        <v>4461.6813485576458</v>
      </c>
      <c r="U465" s="270">
        <v>5191.220319131764</v>
      </c>
      <c r="V465" s="270">
        <v>4332.3966409072582</v>
      </c>
    </row>
    <row r="466" spans="1:22" x14ac:dyDescent="0.2">
      <c r="A466" s="261"/>
      <c r="B466" s="264" t="s">
        <v>91</v>
      </c>
      <c r="C466" s="269">
        <v>0</v>
      </c>
      <c r="D466" s="271">
        <v>1.2301890326758116E-2</v>
      </c>
      <c r="E466" s="271">
        <v>1.4726115103031935E-2</v>
      </c>
      <c r="F466" s="271">
        <v>1.3283772441431236E-2</v>
      </c>
      <c r="G466" s="271">
        <v>1.2811749414533738E-2</v>
      </c>
      <c r="H466" s="271">
        <v>1.7729212309180446E-2</v>
      </c>
      <c r="I466" s="271">
        <v>1.6198060735369408E-2</v>
      </c>
      <c r="J466" s="271">
        <v>1.8673258362975446E-2</v>
      </c>
      <c r="K466" s="271">
        <v>3.4657620292390466E-2</v>
      </c>
      <c r="L466" s="271">
        <v>3.376612140041186E-2</v>
      </c>
      <c r="M466" s="271">
        <v>3.3379577895896115E-2</v>
      </c>
      <c r="N466" s="271">
        <v>3.3772780180069031E-2</v>
      </c>
      <c r="O466" s="271">
        <v>3.4867989708516275E-2</v>
      </c>
      <c r="P466" s="271">
        <v>3.9142470531501973E-2</v>
      </c>
      <c r="Q466" s="271">
        <v>4.6492391292563842E-2</v>
      </c>
      <c r="R466" s="271">
        <v>3.5372945095979144E-2</v>
      </c>
      <c r="S466" s="271">
        <v>2.99044576628501E-2</v>
      </c>
      <c r="T466" s="271">
        <v>3.5867912313956252E-2</v>
      </c>
      <c r="U466" s="271">
        <v>4.1732750652226543E-2</v>
      </c>
      <c r="V466" s="271">
        <v>3.4828579337153984E-2</v>
      </c>
    </row>
    <row r="467" spans="1:22" x14ac:dyDescent="0.2">
      <c r="A467" s="263" t="s">
        <v>93</v>
      </c>
      <c r="B467" s="264"/>
      <c r="C467" s="267"/>
      <c r="D467" s="268"/>
      <c r="E467" s="268"/>
      <c r="F467" s="268"/>
      <c r="G467" s="268"/>
      <c r="H467" s="268"/>
      <c r="I467" s="268"/>
      <c r="J467" s="268"/>
      <c r="K467" s="268"/>
      <c r="L467" s="268"/>
      <c r="M467" s="268"/>
      <c r="N467" s="268"/>
      <c r="O467" s="268"/>
      <c r="P467" s="268"/>
      <c r="Q467" s="268"/>
      <c r="R467" s="268"/>
      <c r="S467" s="268"/>
      <c r="T467" s="268"/>
      <c r="U467" s="268"/>
      <c r="V467" s="268"/>
    </row>
    <row r="468" spans="1:22" x14ac:dyDescent="0.2">
      <c r="A468" s="261"/>
      <c r="B468" s="264" t="s">
        <v>27</v>
      </c>
      <c r="C468" s="272">
        <v>0</v>
      </c>
      <c r="D468" s="273">
        <v>615.80003086551972</v>
      </c>
      <c r="E468" s="273">
        <v>385.91880613146668</v>
      </c>
      <c r="F468" s="273">
        <v>335.81023913758503</v>
      </c>
      <c r="G468" s="273">
        <v>298.77031708069967</v>
      </c>
      <c r="H468" s="273">
        <v>222.81165267137484</v>
      </c>
      <c r="I468" s="273">
        <v>186.18033132769588</v>
      </c>
      <c r="J468" s="273">
        <v>182.28927765355797</v>
      </c>
      <c r="K468" s="273">
        <v>163.9631706932586</v>
      </c>
      <c r="L468" s="273">
        <v>166.86287455977271</v>
      </c>
      <c r="M468" s="273">
        <v>181.04740149863679</v>
      </c>
      <c r="N468" s="273">
        <v>154.69742975890225</v>
      </c>
      <c r="O468" s="273">
        <v>158.87561001393999</v>
      </c>
      <c r="P468" s="273">
        <v>164.25542050222438</v>
      </c>
      <c r="Q468" s="273">
        <v>166.57613062793089</v>
      </c>
      <c r="R468" s="273">
        <v>172.83314119004012</v>
      </c>
      <c r="S468" s="273">
        <v>167.14967862477792</v>
      </c>
      <c r="T468" s="273">
        <v>172.06405310688257</v>
      </c>
      <c r="U468" s="273">
        <v>178.66206982761332</v>
      </c>
      <c r="V468" s="273">
        <v>170.16415009145095</v>
      </c>
    </row>
    <row r="469" spans="1:22" x14ac:dyDescent="0.2">
      <c r="A469" s="261"/>
      <c r="B469" s="264" t="s">
        <v>20</v>
      </c>
      <c r="C469" s="272">
        <v>0</v>
      </c>
      <c r="D469" s="273">
        <v>88.926734467307455</v>
      </c>
      <c r="E469" s="273">
        <v>83.560970793265412</v>
      </c>
      <c r="F469" s="273">
        <v>79.927166549938462</v>
      </c>
      <c r="G469" s="273">
        <v>79.435565739032626</v>
      </c>
      <c r="H469" s="273">
        <v>80.154933222094655</v>
      </c>
      <c r="I469" s="273">
        <v>83.713050388047563</v>
      </c>
      <c r="J469" s="273">
        <v>84.268411978338122</v>
      </c>
      <c r="K469" s="273">
        <v>82.359702793989371</v>
      </c>
      <c r="L469" s="273">
        <v>82.220068824754179</v>
      </c>
      <c r="M469" s="273">
        <v>82.988356213547007</v>
      </c>
      <c r="N469" s="273">
        <v>88.187977840156606</v>
      </c>
      <c r="O469" s="273">
        <v>84.044763264967088</v>
      </c>
      <c r="P469" s="273">
        <v>92.056962499421772</v>
      </c>
      <c r="Q469" s="273">
        <v>91.072375380726399</v>
      </c>
      <c r="R469" s="273">
        <v>96.719943151741035</v>
      </c>
      <c r="S469" s="273">
        <v>102.47356278956914</v>
      </c>
      <c r="T469" s="273">
        <v>103.22378135079241</v>
      </c>
      <c r="U469" s="273">
        <v>111.37109825041134</v>
      </c>
      <c r="V469" s="273">
        <v>113.62067956438302</v>
      </c>
    </row>
    <row r="470" spans="1:22" x14ac:dyDescent="0.2">
      <c r="A470" s="261"/>
      <c r="B470" s="264" t="s">
        <v>92</v>
      </c>
      <c r="C470" s="272">
        <v>0</v>
      </c>
      <c r="D470" s="273">
        <v>3.7670331580784082</v>
      </c>
      <c r="E470" s="273">
        <v>3.922343938384004</v>
      </c>
      <c r="F470" s="273">
        <v>3.9440594578942276</v>
      </c>
      <c r="G470" s="273">
        <v>3.9721910084958503</v>
      </c>
      <c r="H470" s="273">
        <v>4.0632126934588664</v>
      </c>
      <c r="I470" s="273">
        <v>4.2506522968634979</v>
      </c>
      <c r="J470" s="273">
        <v>4.3059685162886563</v>
      </c>
      <c r="K470" s="273">
        <v>4.6230418960758524</v>
      </c>
      <c r="L470" s="273">
        <v>4.6075007374390111</v>
      </c>
      <c r="M470" s="273">
        <v>4.5920207837647782</v>
      </c>
      <c r="N470" s="273">
        <v>4.8048412415396129</v>
      </c>
      <c r="O470" s="273">
        <v>4.7656284186678608</v>
      </c>
      <c r="P470" s="273">
        <v>5.0086951196232459</v>
      </c>
      <c r="Q470" s="273">
        <v>5.0983138629233675</v>
      </c>
      <c r="R470" s="273">
        <v>5.0554215546780794</v>
      </c>
      <c r="S470" s="273">
        <v>5.2168922786146332</v>
      </c>
      <c r="T470" s="273">
        <v>5.2420344842669699</v>
      </c>
      <c r="U470" s="273">
        <v>5.3945752123524127</v>
      </c>
      <c r="V470" s="273">
        <v>5.5377599314096608</v>
      </c>
    </row>
    <row r="471" spans="1:22" x14ac:dyDescent="0.2">
      <c r="A471" s="261"/>
      <c r="B471" s="264" t="s">
        <v>22</v>
      </c>
      <c r="C471" s="272">
        <v>0</v>
      </c>
      <c r="D471" s="273">
        <v>0</v>
      </c>
      <c r="E471" s="273">
        <v>0</v>
      </c>
      <c r="F471" s="273">
        <v>0</v>
      </c>
      <c r="G471" s="273">
        <v>0</v>
      </c>
      <c r="H471" s="273">
        <v>0</v>
      </c>
      <c r="I471" s="273">
        <v>1.1923632350462086</v>
      </c>
      <c r="J471" s="273">
        <v>1.3136129727612078</v>
      </c>
      <c r="K471" s="273">
        <v>1.5916269955719353</v>
      </c>
      <c r="L471" s="273">
        <v>1.6370385530354095</v>
      </c>
      <c r="M471" s="273">
        <v>1.7762300938835702</v>
      </c>
      <c r="N471" s="273">
        <v>2.0132638169866381</v>
      </c>
      <c r="O471" s="273">
        <v>2.1630671314088481</v>
      </c>
      <c r="P471" s="273">
        <v>2.496973638958532</v>
      </c>
      <c r="Q471" s="273">
        <v>2.777436267168472</v>
      </c>
      <c r="R471" s="273">
        <v>2.9921133664110879</v>
      </c>
      <c r="S471" s="273">
        <v>3.3208892558617551</v>
      </c>
      <c r="T471" s="273">
        <v>3.2113266805745075</v>
      </c>
      <c r="U471" s="273">
        <v>2.7705571792797148</v>
      </c>
      <c r="V471" s="273">
        <v>2.8953869251394559</v>
      </c>
    </row>
    <row r="472" spans="1:22" x14ac:dyDescent="0.2">
      <c r="A472" s="261"/>
      <c r="B472" s="264" t="s">
        <v>23</v>
      </c>
      <c r="C472" s="272">
        <v>0</v>
      </c>
      <c r="D472" s="273">
        <v>0</v>
      </c>
      <c r="E472" s="273">
        <v>0</v>
      </c>
      <c r="F472" s="273">
        <v>0</v>
      </c>
      <c r="G472" s="273">
        <v>0</v>
      </c>
      <c r="H472" s="273">
        <v>0</v>
      </c>
      <c r="I472" s="273">
        <v>1.1923632350462086</v>
      </c>
      <c r="J472" s="273">
        <v>1.3136129727612078</v>
      </c>
      <c r="K472" s="273">
        <v>1.5916269955719353</v>
      </c>
      <c r="L472" s="273">
        <v>1.6370385530354095</v>
      </c>
      <c r="M472" s="273">
        <v>1.7762300938835702</v>
      </c>
      <c r="N472" s="273">
        <v>2.0132638169866381</v>
      </c>
      <c r="O472" s="273">
        <v>2.1630671314088481</v>
      </c>
      <c r="P472" s="273">
        <v>2.496973638958532</v>
      </c>
      <c r="Q472" s="273">
        <v>2.777436267168472</v>
      </c>
      <c r="R472" s="273">
        <v>2.9921133664110879</v>
      </c>
      <c r="S472" s="273">
        <v>3.3208892558617551</v>
      </c>
      <c r="T472" s="273">
        <v>3.2113266805745075</v>
      </c>
      <c r="U472" s="273">
        <v>2.7705571792797148</v>
      </c>
      <c r="V472" s="273">
        <v>2.8953869251394559</v>
      </c>
    </row>
    <row r="473" spans="1:22" x14ac:dyDescent="0.2">
      <c r="A473" s="263" t="s">
        <v>94</v>
      </c>
      <c r="B473" s="264"/>
      <c r="C473" s="267"/>
      <c r="D473" s="268"/>
      <c r="E473" s="268"/>
      <c r="F473" s="268"/>
      <c r="G473" s="268"/>
      <c r="H473" s="268"/>
      <c r="I473" s="268"/>
      <c r="J473" s="268"/>
      <c r="K473" s="268"/>
      <c r="L473" s="268"/>
      <c r="M473" s="268"/>
      <c r="N473" s="268"/>
      <c r="O473" s="268"/>
      <c r="P473" s="268"/>
      <c r="Q473" s="268"/>
      <c r="R473" s="268"/>
      <c r="S473" s="268"/>
      <c r="T473" s="268"/>
      <c r="U473" s="268"/>
      <c r="V473" s="268"/>
    </row>
    <row r="474" spans="1:22" x14ac:dyDescent="0.2">
      <c r="A474" s="261"/>
      <c r="B474" s="264" t="s">
        <v>34</v>
      </c>
      <c r="C474" s="272">
        <v>0</v>
      </c>
      <c r="D474" s="273">
        <v>3.0726842720262875</v>
      </c>
      <c r="E474" s="273">
        <v>3.1341379574668133</v>
      </c>
      <c r="F474" s="273">
        <v>3.1968207166161497</v>
      </c>
      <c r="G474" s="273">
        <v>3.2607571309484729</v>
      </c>
      <c r="H474" s="273">
        <v>3.3259722735674422</v>
      </c>
      <c r="I474" s="273">
        <v>3.3924917190387909</v>
      </c>
      <c r="J474" s="273">
        <v>3.4603415534195672</v>
      </c>
      <c r="K474" s="273">
        <v>3.5295483844879585</v>
      </c>
      <c r="L474" s="273">
        <v>3.6001393521777176</v>
      </c>
      <c r="M474" s="273">
        <v>3.6721421392212719</v>
      </c>
      <c r="N474" s="273">
        <v>3.7455849820056977</v>
      </c>
      <c r="O474" s="273">
        <v>3.8204966816458117</v>
      </c>
      <c r="P474" s="273">
        <v>3.8969066152787275</v>
      </c>
      <c r="Q474" s="273">
        <v>3.9748447475843021</v>
      </c>
      <c r="R474" s="273">
        <v>4.0543416425359879</v>
      </c>
      <c r="S474" s="273">
        <v>4.1354284753867079</v>
      </c>
      <c r="T474" s="273">
        <v>4.2181370448944415</v>
      </c>
      <c r="U474" s="273">
        <v>4.3024997857923308</v>
      </c>
      <c r="V474" s="273">
        <v>4.3885497815081775</v>
      </c>
    </row>
    <row r="475" spans="1:22" x14ac:dyDescent="0.2">
      <c r="A475" s="261"/>
      <c r="B475" s="264" t="s">
        <v>95</v>
      </c>
      <c r="C475" s="272">
        <v>0</v>
      </c>
      <c r="D475" s="273">
        <v>0.79651339537880883</v>
      </c>
      <c r="E475" s="273">
        <v>0.79651339537880883</v>
      </c>
      <c r="F475" s="273">
        <v>0.79651339537880883</v>
      </c>
      <c r="G475" s="273">
        <v>0.79651339537880883</v>
      </c>
      <c r="H475" s="273">
        <v>0.79651339537880883</v>
      </c>
      <c r="I475" s="273">
        <v>0.79651339537880883</v>
      </c>
      <c r="J475" s="273">
        <v>0.79651339537880883</v>
      </c>
      <c r="K475" s="273">
        <v>0.79651339537880883</v>
      </c>
      <c r="L475" s="273">
        <v>0.79651339537880883</v>
      </c>
      <c r="M475" s="273">
        <v>0.79651339537880883</v>
      </c>
      <c r="N475" s="273">
        <v>0.79651339537880883</v>
      </c>
      <c r="O475" s="273">
        <v>0.79651339537880883</v>
      </c>
      <c r="P475" s="273">
        <v>0.79651339537880883</v>
      </c>
      <c r="Q475" s="273">
        <v>0.79651339537880883</v>
      </c>
      <c r="R475" s="273">
        <v>0.79651339537880883</v>
      </c>
      <c r="S475" s="273">
        <v>0.79651339537880883</v>
      </c>
      <c r="T475" s="273">
        <v>0.79651339537880883</v>
      </c>
      <c r="U475" s="273">
        <v>0.79651339537880883</v>
      </c>
      <c r="V475" s="273">
        <v>0.79651339537880883</v>
      </c>
    </row>
    <row r="476" spans="1:22" x14ac:dyDescent="0.2">
      <c r="A476" s="261"/>
      <c r="B476" s="264" t="s">
        <v>36</v>
      </c>
      <c r="C476" s="272">
        <v>0</v>
      </c>
      <c r="D476" s="273">
        <v>0.12175221394134789</v>
      </c>
      <c r="E476" s="273">
        <v>0.12432118565551058</v>
      </c>
      <c r="F476" s="273">
        <v>0.1270438196213669</v>
      </c>
      <c r="G476" s="273">
        <v>0.12991500994480845</v>
      </c>
      <c r="H476" s="273">
        <v>0.13300698718149509</v>
      </c>
      <c r="I476" s="273">
        <v>0.13634015565169508</v>
      </c>
      <c r="J476" s="273">
        <v>0.13972177133803168</v>
      </c>
      <c r="K476" s="273">
        <v>0.14325841811600562</v>
      </c>
      <c r="L476" s="273">
        <v>0.14679690104347112</v>
      </c>
      <c r="M476" s="273">
        <v>0.15054022202007888</v>
      </c>
      <c r="N476" s="273">
        <v>0.15418329539296549</v>
      </c>
      <c r="O476" s="273">
        <v>0.15806871443686829</v>
      </c>
      <c r="P476" s="273">
        <v>0.16208365978356407</v>
      </c>
      <c r="Q476" s="273">
        <v>0.16613575127815353</v>
      </c>
      <c r="R476" s="273">
        <v>0.17030575863523523</v>
      </c>
      <c r="S476" s="273">
        <v>0.17456340260111619</v>
      </c>
      <c r="T476" s="273">
        <v>0.17889257498562325</v>
      </c>
      <c r="U476" s="273">
        <v>0.18338277861776267</v>
      </c>
      <c r="V476" s="273">
        <v>0.18798568636106902</v>
      </c>
    </row>
    <row r="477" spans="1:22" x14ac:dyDescent="0.2">
      <c r="A477" s="261"/>
      <c r="B477" s="264" t="s">
        <v>39</v>
      </c>
      <c r="C477" s="272">
        <v>0</v>
      </c>
      <c r="D477" s="273">
        <v>3.0846478873239436E-2</v>
      </c>
      <c r="E477" s="273">
        <v>3.2091549295774645E-2</v>
      </c>
      <c r="F477" s="273">
        <v>3.3387323943661971E-2</v>
      </c>
      <c r="G477" s="273">
        <v>3.4871830985915495E-2</v>
      </c>
      <c r="H477" s="273">
        <v>3.5211267605633805</v>
      </c>
      <c r="I477" s="273">
        <v>3.6267605633802815</v>
      </c>
      <c r="J477" s="273">
        <v>3.7355633802816901</v>
      </c>
      <c r="K477" s="273">
        <v>3.8476302816901407</v>
      </c>
      <c r="L477" s="273">
        <v>3.9630591901408447</v>
      </c>
      <c r="M477" s="273">
        <v>4.0819509658450706</v>
      </c>
      <c r="N477" s="273">
        <v>4.2044094948204229</v>
      </c>
      <c r="O477" s="273">
        <v>4.330541779665035</v>
      </c>
      <c r="P477" s="273">
        <v>4.4604580330549863</v>
      </c>
      <c r="Q477" s="273">
        <v>4.5942717740466366</v>
      </c>
      <c r="R477" s="273">
        <v>4.7320999272680346</v>
      </c>
      <c r="S477" s="273">
        <v>4.8740629250860765</v>
      </c>
      <c r="T477" s="273">
        <v>5.0202848128386588</v>
      </c>
      <c r="U477" s="273">
        <v>5.1708933572238189</v>
      </c>
      <c r="V477" s="273">
        <v>5.3260201579405333</v>
      </c>
    </row>
    <row r="478" spans="1:22" x14ac:dyDescent="0.2">
      <c r="A478" s="261"/>
      <c r="B478" s="264" t="s">
        <v>96</v>
      </c>
      <c r="C478" s="274">
        <v>0</v>
      </c>
      <c r="D478" s="275">
        <v>0</v>
      </c>
      <c r="E478" s="275">
        <v>0</v>
      </c>
      <c r="F478" s="275">
        <v>0</v>
      </c>
      <c r="G478" s="275">
        <v>0</v>
      </c>
      <c r="H478" s="275">
        <v>0</v>
      </c>
      <c r="I478" s="275">
        <v>0</v>
      </c>
      <c r="J478" s="275">
        <v>0</v>
      </c>
      <c r="K478" s="275">
        <v>0</v>
      </c>
      <c r="L478" s="275">
        <v>0</v>
      </c>
      <c r="M478" s="275">
        <v>0</v>
      </c>
      <c r="N478" s="275">
        <v>0</v>
      </c>
      <c r="O478" s="275">
        <v>0</v>
      </c>
      <c r="P478" s="275">
        <v>0</v>
      </c>
      <c r="Q478" s="275">
        <v>0</v>
      </c>
      <c r="R478" s="275">
        <v>0</v>
      </c>
      <c r="S478" s="275">
        <v>0</v>
      </c>
      <c r="T478" s="275">
        <v>0</v>
      </c>
      <c r="U478" s="275">
        <v>0</v>
      </c>
      <c r="V478" s="275">
        <v>0</v>
      </c>
    </row>
    <row r="479" spans="1:22" x14ac:dyDescent="0.2">
      <c r="A479" s="261"/>
      <c r="B479" s="264"/>
      <c r="C479" s="261"/>
      <c r="D479" s="261"/>
      <c r="E479" s="261"/>
      <c r="F479" s="261"/>
      <c r="G479" s="261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  <c r="V479" s="261"/>
    </row>
    <row r="480" spans="1:22" x14ac:dyDescent="0.2">
      <c r="A480" s="261"/>
      <c r="B480" s="264"/>
      <c r="C480" s="261"/>
      <c r="D480" s="261"/>
      <c r="E480" s="261"/>
      <c r="F480" s="261"/>
      <c r="G480" s="261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  <c r="V480" s="261"/>
    </row>
    <row r="481" spans="1:22" x14ac:dyDescent="0.2">
      <c r="A481" s="106"/>
      <c r="B481" s="107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x14ac:dyDescent="0.2">
      <c r="A482" s="106"/>
      <c r="B482" s="107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x14ac:dyDescent="0.2">
      <c r="A483" s="259" t="s">
        <v>98</v>
      </c>
      <c r="B483" s="260"/>
      <c r="C483" s="261"/>
      <c r="D483" s="261"/>
      <c r="E483" s="261"/>
      <c r="F483" s="261"/>
      <c r="G483" s="261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  <c r="V483" s="261"/>
    </row>
    <row r="484" spans="1:22" x14ac:dyDescent="0.2">
      <c r="A484" s="262" t="s">
        <v>75</v>
      </c>
      <c r="B484" s="260"/>
      <c r="C484" s="261"/>
      <c r="D484" s="261"/>
      <c r="E484" s="261"/>
      <c r="F484" s="261"/>
      <c r="G484" s="261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  <c r="V484" s="261"/>
    </row>
    <row r="485" spans="1:22" x14ac:dyDescent="0.2">
      <c r="A485" s="261"/>
      <c r="B485" s="260"/>
      <c r="C485" s="261"/>
      <c r="D485" s="261"/>
      <c r="E485" s="261"/>
      <c r="F485" s="261"/>
      <c r="G485" s="261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  <c r="V485" s="261"/>
    </row>
    <row r="486" spans="1:22" x14ac:dyDescent="0.2">
      <c r="A486" s="261"/>
      <c r="B486" s="260"/>
      <c r="C486" s="265">
        <v>2000</v>
      </c>
      <c r="D486" s="266">
        <v>2001</v>
      </c>
      <c r="E486" s="266">
        <v>2002</v>
      </c>
      <c r="F486" s="266">
        <v>2003</v>
      </c>
      <c r="G486" s="266">
        <v>2004</v>
      </c>
      <c r="H486" s="266">
        <v>2005</v>
      </c>
      <c r="I486" s="266">
        <v>2006</v>
      </c>
      <c r="J486" s="266">
        <v>2007</v>
      </c>
      <c r="K486" s="266">
        <v>2008</v>
      </c>
      <c r="L486" s="266">
        <v>2009</v>
      </c>
      <c r="M486" s="266">
        <v>2010</v>
      </c>
      <c r="N486" s="266">
        <v>2011</v>
      </c>
      <c r="O486" s="266">
        <v>2012</v>
      </c>
      <c r="P486" s="266">
        <v>2013</v>
      </c>
      <c r="Q486" s="266">
        <v>2014</v>
      </c>
      <c r="R486" s="266">
        <v>2015</v>
      </c>
      <c r="S486" s="266">
        <v>2016</v>
      </c>
      <c r="T486" s="266">
        <v>2017</v>
      </c>
      <c r="U486" s="266">
        <v>2018</v>
      </c>
      <c r="V486" s="266">
        <v>2019</v>
      </c>
    </row>
    <row r="487" spans="1:22" x14ac:dyDescent="0.2">
      <c r="A487" s="263" t="s">
        <v>129</v>
      </c>
      <c r="B487" s="260"/>
      <c r="C487" s="267"/>
      <c r="D487" s="268"/>
      <c r="E487" s="268"/>
      <c r="F487" s="268"/>
      <c r="G487" s="268"/>
      <c r="H487" s="268"/>
      <c r="I487" s="268"/>
      <c r="J487" s="268"/>
      <c r="K487" s="268"/>
      <c r="L487" s="268"/>
      <c r="M487" s="268"/>
      <c r="N487" s="268"/>
      <c r="O487" s="268"/>
      <c r="P487" s="268"/>
      <c r="Q487" s="268"/>
      <c r="R487" s="268"/>
      <c r="S487" s="268"/>
      <c r="T487" s="268"/>
      <c r="U487" s="268"/>
      <c r="V487" s="268"/>
    </row>
    <row r="488" spans="1:22" x14ac:dyDescent="0.2">
      <c r="A488" s="261"/>
      <c r="B488" s="264" t="s">
        <v>97</v>
      </c>
      <c r="C488" s="269">
        <v>0</v>
      </c>
      <c r="D488" s="270">
        <v>3423.1095295115638</v>
      </c>
      <c r="E488" s="270">
        <v>4097.6714637283685</v>
      </c>
      <c r="F488" s="270">
        <v>3286.7450316315953</v>
      </c>
      <c r="G488" s="270">
        <v>3564.9823194417872</v>
      </c>
      <c r="H488" s="270">
        <v>4384.1460393487523</v>
      </c>
      <c r="I488" s="270">
        <v>3958.0896037748857</v>
      </c>
      <c r="J488" s="270">
        <v>5195.9989035422968</v>
      </c>
      <c r="K488" s="270">
        <v>8288.2803568393847</v>
      </c>
      <c r="L488" s="270">
        <v>9264.3766438866078</v>
      </c>
      <c r="M488" s="270">
        <v>9018.1620752204108</v>
      </c>
      <c r="N488" s="270">
        <v>8164.2466404095139</v>
      </c>
      <c r="O488" s="270">
        <v>8468.9983553134462</v>
      </c>
      <c r="P488" s="270">
        <v>9244.2466404095121</v>
      </c>
      <c r="Q488" s="270">
        <v>11313.212375750791</v>
      </c>
      <c r="R488" s="270">
        <v>9580.1449428910473</v>
      </c>
      <c r="S488" s="270">
        <v>7923.4900632631898</v>
      </c>
      <c r="T488" s="270">
        <v>9980.5630829375659</v>
      </c>
      <c r="U488" s="270">
        <v>10251.48951503434</v>
      </c>
      <c r="V488" s="270">
        <v>9428.6703672706644</v>
      </c>
    </row>
    <row r="489" spans="1:22" x14ac:dyDescent="0.2">
      <c r="A489" s="261"/>
      <c r="B489" s="264" t="s">
        <v>91</v>
      </c>
      <c r="C489" s="269">
        <v>0</v>
      </c>
      <c r="D489" s="271">
        <v>1.3025530934214474E-2</v>
      </c>
      <c r="E489" s="271">
        <v>1.5592357167916166E-2</v>
      </c>
      <c r="F489" s="271">
        <v>1.2506640150805158E-2</v>
      </c>
      <c r="G489" s="271">
        <v>1.356538173303572E-2</v>
      </c>
      <c r="H489" s="271">
        <v>1.6682443072103318E-2</v>
      </c>
      <c r="I489" s="271">
        <v>1.5061223758656338E-2</v>
      </c>
      <c r="J489" s="271">
        <v>1.9771685325503413E-2</v>
      </c>
      <c r="K489" s="271">
        <v>3.1538357522219881E-2</v>
      </c>
      <c r="L489" s="271">
        <v>3.5252574748426968E-2</v>
      </c>
      <c r="M489" s="271">
        <v>3.4315685217733677E-2</v>
      </c>
      <c r="N489" s="271">
        <v>3.106638752058415E-2</v>
      </c>
      <c r="O489" s="271">
        <v>3.2226021138940054E-2</v>
      </c>
      <c r="P489" s="271">
        <v>3.5175976561680034E-2</v>
      </c>
      <c r="Q489" s="271">
        <v>4.3048753332385045E-2</v>
      </c>
      <c r="R489" s="271">
        <v>3.6454128397606728E-2</v>
      </c>
      <c r="S489" s="271">
        <v>3.0150266602980175E-2</v>
      </c>
      <c r="T489" s="271">
        <v>3.7977789508894848E-2</v>
      </c>
      <c r="U489" s="271">
        <v>3.9008712005457913E-2</v>
      </c>
      <c r="V489" s="271">
        <v>3.5877741123556565E-2</v>
      </c>
    </row>
    <row r="490" spans="1:22" x14ac:dyDescent="0.2">
      <c r="A490" s="263" t="s">
        <v>93</v>
      </c>
      <c r="B490" s="264"/>
      <c r="C490" s="267"/>
      <c r="D490" s="268"/>
      <c r="E490" s="268"/>
      <c r="F490" s="268"/>
      <c r="G490" s="268"/>
      <c r="H490" s="268"/>
      <c r="I490" s="268"/>
      <c r="J490" s="268"/>
      <c r="K490" s="268"/>
      <c r="L490" s="268"/>
      <c r="M490" s="268"/>
      <c r="N490" s="268"/>
      <c r="O490" s="268"/>
      <c r="P490" s="268"/>
      <c r="Q490" s="268"/>
      <c r="R490" s="268"/>
      <c r="S490" s="268"/>
      <c r="T490" s="268"/>
      <c r="U490" s="268"/>
      <c r="V490" s="268"/>
    </row>
    <row r="491" spans="1:22" x14ac:dyDescent="0.2">
      <c r="A491" s="261"/>
      <c r="B491" s="264" t="s">
        <v>27</v>
      </c>
      <c r="C491" s="272">
        <v>0</v>
      </c>
      <c r="D491" s="273">
        <v>621.24424876227556</v>
      </c>
      <c r="E491" s="273">
        <v>391.06860835518603</v>
      </c>
      <c r="F491" s="273">
        <v>364.78072441755529</v>
      </c>
      <c r="G491" s="273">
        <v>299.81806127162622</v>
      </c>
      <c r="H491" s="273">
        <v>240.24788055188554</v>
      </c>
      <c r="I491" s="273">
        <v>201.22717815272168</v>
      </c>
      <c r="J491" s="273">
        <v>185.02535131579785</v>
      </c>
      <c r="K491" s="273">
        <v>176.71084111393029</v>
      </c>
      <c r="L491" s="273">
        <v>171.33785728827425</v>
      </c>
      <c r="M491" s="273">
        <v>186.11572952574508</v>
      </c>
      <c r="N491" s="273">
        <v>165.50260546217208</v>
      </c>
      <c r="O491" s="273">
        <v>170.7530160829134</v>
      </c>
      <c r="P491" s="273">
        <v>179.5104694954014</v>
      </c>
      <c r="Q491" s="273">
        <v>177.18972516063334</v>
      </c>
      <c r="R491" s="273">
        <v>175.10322767484902</v>
      </c>
      <c r="S491" s="273">
        <v>171.44295318319712</v>
      </c>
      <c r="T491" s="273">
        <v>175.68145128934111</v>
      </c>
      <c r="U491" s="273">
        <v>186.8136077397302</v>
      </c>
      <c r="V491" s="273">
        <v>172.43931622807656</v>
      </c>
    </row>
    <row r="492" spans="1:22" x14ac:dyDescent="0.2">
      <c r="A492" s="261"/>
      <c r="B492" s="264" t="s">
        <v>20</v>
      </c>
      <c r="C492" s="272">
        <v>0</v>
      </c>
      <c r="D492" s="273">
        <v>90.67470213468718</v>
      </c>
      <c r="E492" s="273">
        <v>85.198106143445457</v>
      </c>
      <c r="F492" s="273">
        <v>80.522950302233284</v>
      </c>
      <c r="G492" s="273">
        <v>80.218807332182308</v>
      </c>
      <c r="H492" s="273">
        <v>81.470078766228937</v>
      </c>
      <c r="I492" s="273">
        <v>86.247620696238798</v>
      </c>
      <c r="J492" s="273">
        <v>85.582327941216761</v>
      </c>
      <c r="K492" s="273">
        <v>83.729076095082007</v>
      </c>
      <c r="L492" s="273">
        <v>84.021693178380147</v>
      </c>
      <c r="M492" s="273">
        <v>84.880794628371973</v>
      </c>
      <c r="N492" s="273">
        <v>91.053117574696614</v>
      </c>
      <c r="O492" s="273">
        <v>86.384073959610731</v>
      </c>
      <c r="P492" s="273">
        <v>96.436225437793311</v>
      </c>
      <c r="Q492" s="273">
        <v>92.293902123337432</v>
      </c>
      <c r="R492" s="273">
        <v>96.896427697440913</v>
      </c>
      <c r="S492" s="273">
        <v>103.55799847430343</v>
      </c>
      <c r="T492" s="273">
        <v>105.65608549937598</v>
      </c>
      <c r="U492" s="273">
        <v>113.03209545321096</v>
      </c>
      <c r="V492" s="273">
        <v>114.24916617398394</v>
      </c>
    </row>
    <row r="493" spans="1:22" x14ac:dyDescent="0.2">
      <c r="A493" s="261"/>
      <c r="B493" s="264" t="s">
        <v>92</v>
      </c>
      <c r="C493" s="272">
        <v>0</v>
      </c>
      <c r="D493" s="273">
        <v>3.8412306056075671</v>
      </c>
      <c r="E493" s="273">
        <v>3.9984645328993507</v>
      </c>
      <c r="F493" s="273">
        <v>3.9697466216768937</v>
      </c>
      <c r="G493" s="273">
        <v>4.0098261989333537</v>
      </c>
      <c r="H493" s="273">
        <v>4.1311818578611543</v>
      </c>
      <c r="I493" s="273">
        <v>4.3734399772129668</v>
      </c>
      <c r="J493" s="273">
        <v>4.3723066964196464</v>
      </c>
      <c r="K493" s="273">
        <v>4.7136741983085795</v>
      </c>
      <c r="L493" s="273">
        <v>4.7163636252365535</v>
      </c>
      <c r="M493" s="273">
        <v>4.6891945939157349</v>
      </c>
      <c r="N493" s="273">
        <v>4.9348709211431849</v>
      </c>
      <c r="O493" s="273">
        <v>4.8943102534945382</v>
      </c>
      <c r="P493" s="273">
        <v>5.2178078147398228</v>
      </c>
      <c r="Q493" s="273">
        <v>5.1891686908501393</v>
      </c>
      <c r="R493" s="273">
        <v>5.087427131837079</v>
      </c>
      <c r="S493" s="273">
        <v>5.2995081232773211</v>
      </c>
      <c r="T493" s="273">
        <v>5.3630998705067929</v>
      </c>
      <c r="U493" s="273">
        <v>5.4810948798847061</v>
      </c>
      <c r="V493" s="273">
        <v>5.590610081295635</v>
      </c>
    </row>
    <row r="494" spans="1:22" x14ac:dyDescent="0.2">
      <c r="A494" s="261"/>
      <c r="B494" s="264" t="s">
        <v>22</v>
      </c>
      <c r="C494" s="272">
        <v>0</v>
      </c>
      <c r="D494" s="273">
        <v>0</v>
      </c>
      <c r="E494" s="273">
        <v>0</v>
      </c>
      <c r="F494" s="273">
        <v>0</v>
      </c>
      <c r="G494" s="273">
        <v>0</v>
      </c>
      <c r="H494" s="273">
        <v>0</v>
      </c>
      <c r="I494" s="273">
        <v>1.2265326643190033</v>
      </c>
      <c r="J494" s="273">
        <v>1.3338332467042189</v>
      </c>
      <c r="K494" s="273">
        <v>1.6270346093142989</v>
      </c>
      <c r="L494" s="273">
        <v>1.6753108743936871</v>
      </c>
      <c r="M494" s="273">
        <v>1.813780041537091</v>
      </c>
      <c r="N494" s="273">
        <v>2.068141369882849</v>
      </c>
      <c r="O494" s="273">
        <v>2.2207822016954131</v>
      </c>
      <c r="P494" s="273">
        <v>2.6000582459041341</v>
      </c>
      <c r="Q494" s="273">
        <v>2.825730925850789</v>
      </c>
      <c r="R494" s="273">
        <v>3.0101881601797209</v>
      </c>
      <c r="S494" s="273">
        <v>3.3716240977705549</v>
      </c>
      <c r="T494" s="273">
        <v>3.2853353234075962</v>
      </c>
      <c r="U494" s="273">
        <v>2.8150975785648416</v>
      </c>
      <c r="V494" s="273">
        <v>2.9230315353556553</v>
      </c>
    </row>
    <row r="495" spans="1:22" x14ac:dyDescent="0.2">
      <c r="A495" s="261"/>
      <c r="B495" s="264" t="s">
        <v>23</v>
      </c>
      <c r="C495" s="272">
        <v>0</v>
      </c>
      <c r="D495" s="273">
        <v>0</v>
      </c>
      <c r="E495" s="273">
        <v>0</v>
      </c>
      <c r="F495" s="273">
        <v>0</v>
      </c>
      <c r="G495" s="273">
        <v>0</v>
      </c>
      <c r="H495" s="273">
        <v>0</v>
      </c>
      <c r="I495" s="273">
        <v>1.2265326643190033</v>
      </c>
      <c r="J495" s="273">
        <v>1.3338332467042189</v>
      </c>
      <c r="K495" s="273">
        <v>1.6270346093142989</v>
      </c>
      <c r="L495" s="273">
        <v>1.6753108743936871</v>
      </c>
      <c r="M495" s="273">
        <v>1.813780041537091</v>
      </c>
      <c r="N495" s="273">
        <v>2.068141369882849</v>
      </c>
      <c r="O495" s="273">
        <v>2.2207822016954131</v>
      </c>
      <c r="P495" s="273">
        <v>2.6000582459041341</v>
      </c>
      <c r="Q495" s="273">
        <v>2.825730925850789</v>
      </c>
      <c r="R495" s="273">
        <v>3.0101881601797209</v>
      </c>
      <c r="S495" s="273">
        <v>3.3716240977705549</v>
      </c>
      <c r="T495" s="273">
        <v>3.2853353234075962</v>
      </c>
      <c r="U495" s="273">
        <v>2.8150975785648416</v>
      </c>
      <c r="V495" s="273">
        <v>2.9230315353556553</v>
      </c>
    </row>
    <row r="496" spans="1:22" x14ac:dyDescent="0.2">
      <c r="A496" s="263" t="s">
        <v>94</v>
      </c>
      <c r="B496" s="264"/>
      <c r="C496" s="267"/>
      <c r="D496" s="268"/>
      <c r="E496" s="268"/>
      <c r="F496" s="268"/>
      <c r="G496" s="268"/>
      <c r="H496" s="268"/>
      <c r="I496" s="268"/>
      <c r="J496" s="268"/>
      <c r="K496" s="268"/>
      <c r="L496" s="268"/>
      <c r="M496" s="268"/>
      <c r="N496" s="268"/>
      <c r="O496" s="268"/>
      <c r="P496" s="268"/>
      <c r="Q496" s="268"/>
      <c r="R496" s="268"/>
      <c r="S496" s="268"/>
      <c r="T496" s="268"/>
      <c r="U496" s="268"/>
      <c r="V496" s="268"/>
    </row>
    <row r="497" spans="1:22" x14ac:dyDescent="0.2">
      <c r="A497" s="261"/>
      <c r="B497" s="264" t="s">
        <v>34</v>
      </c>
      <c r="C497" s="272">
        <v>0</v>
      </c>
      <c r="D497" s="273">
        <v>3.196047292188501</v>
      </c>
      <c r="E497" s="273">
        <v>3.259968238032271</v>
      </c>
      <c r="F497" s="273">
        <v>3.3251676027929169</v>
      </c>
      <c r="G497" s="273">
        <v>3.3916709548487751</v>
      </c>
      <c r="H497" s="273">
        <v>3.4595043739457507</v>
      </c>
      <c r="I497" s="273">
        <v>3.5286944614246658</v>
      </c>
      <c r="J497" s="273">
        <v>3.5992683506531593</v>
      </c>
      <c r="K497" s="273">
        <v>3.6712537176662225</v>
      </c>
      <c r="L497" s="273">
        <v>3.7446787920195472</v>
      </c>
      <c r="M497" s="273">
        <v>3.8195723678599385</v>
      </c>
      <c r="N497" s="273">
        <v>3.8959638152171374</v>
      </c>
      <c r="O497" s="273">
        <v>3.97388309152148</v>
      </c>
      <c r="P497" s="273">
        <v>4.0533607533519094</v>
      </c>
      <c r="Q497" s="273">
        <v>4.1344279684189482</v>
      </c>
      <c r="R497" s="273">
        <v>4.2171165277873266</v>
      </c>
      <c r="S497" s="273">
        <v>4.3014588583430733</v>
      </c>
      <c r="T497" s="273">
        <v>4.3874880355099348</v>
      </c>
      <c r="U497" s="273">
        <v>4.4752377962201342</v>
      </c>
      <c r="V497" s="273">
        <v>4.5647425521445362</v>
      </c>
    </row>
    <row r="498" spans="1:22" x14ac:dyDescent="0.2">
      <c r="A498" s="261"/>
      <c r="B498" s="264" t="s">
        <v>95</v>
      </c>
      <c r="C498" s="272">
        <v>0</v>
      </c>
      <c r="D498" s="273">
        <v>0.84828676607843134</v>
      </c>
      <c r="E498" s="273">
        <v>0.84828676607843134</v>
      </c>
      <c r="F498" s="273">
        <v>0.84828676607843134</v>
      </c>
      <c r="G498" s="273">
        <v>0.84828676607843134</v>
      </c>
      <c r="H498" s="273">
        <v>0.84828676607843134</v>
      </c>
      <c r="I498" s="273">
        <v>0.84828676607843134</v>
      </c>
      <c r="J498" s="273">
        <v>0.84828676607843134</v>
      </c>
      <c r="K498" s="273">
        <v>0.84828676607843134</v>
      </c>
      <c r="L498" s="273">
        <v>0.84828676607843134</v>
      </c>
      <c r="M498" s="273">
        <v>0.84828676607843134</v>
      </c>
      <c r="N498" s="273">
        <v>0.84828676607843134</v>
      </c>
      <c r="O498" s="273">
        <v>0.84828676607843134</v>
      </c>
      <c r="P498" s="273">
        <v>0.84828676607843134</v>
      </c>
      <c r="Q498" s="273">
        <v>0.84828676607843134</v>
      </c>
      <c r="R498" s="273">
        <v>0.84828676607843134</v>
      </c>
      <c r="S498" s="273">
        <v>0.84828676607843134</v>
      </c>
      <c r="T498" s="273">
        <v>0.84828676607843134</v>
      </c>
      <c r="U498" s="273">
        <v>0.84828676607843134</v>
      </c>
      <c r="V498" s="273">
        <v>0.84828676607843134</v>
      </c>
    </row>
    <row r="499" spans="1:22" x14ac:dyDescent="0.2">
      <c r="A499" s="261"/>
      <c r="B499" s="264" t="s">
        <v>36</v>
      </c>
      <c r="C499" s="272">
        <v>0</v>
      </c>
      <c r="D499" s="273">
        <v>0.12175221394134766</v>
      </c>
      <c r="E499" s="273">
        <v>0.12432118565551066</v>
      </c>
      <c r="F499" s="273">
        <v>0.12704381962136665</v>
      </c>
      <c r="G499" s="273">
        <v>0.12991500994480834</v>
      </c>
      <c r="H499" s="273">
        <v>0.13300698718149534</v>
      </c>
      <c r="I499" s="273">
        <v>0.13634015565169499</v>
      </c>
      <c r="J499" s="273">
        <v>0.13972177133803168</v>
      </c>
      <c r="K499" s="273">
        <v>0.14325841811600568</v>
      </c>
      <c r="L499" s="273">
        <v>0.14679690104347135</v>
      </c>
      <c r="M499" s="273">
        <v>0.15054022202007933</v>
      </c>
      <c r="N499" s="273">
        <v>0.15418329539296569</v>
      </c>
      <c r="O499" s="273">
        <v>0.15806871443686799</v>
      </c>
      <c r="P499" s="273">
        <v>0.16208365978356432</v>
      </c>
      <c r="Q499" s="273">
        <v>0.16613575127815333</v>
      </c>
      <c r="R499" s="273">
        <v>0.17030575863523501</v>
      </c>
      <c r="S499" s="273">
        <v>0.17456340260111602</v>
      </c>
      <c r="T499" s="273">
        <v>0.17889257498562336</v>
      </c>
      <c r="U499" s="273">
        <v>0.183382778617763</v>
      </c>
      <c r="V499" s="273">
        <v>0.18798568636106866</v>
      </c>
    </row>
    <row r="500" spans="1:22" x14ac:dyDescent="0.2">
      <c r="A500" s="261"/>
      <c r="B500" s="264" t="s">
        <v>39</v>
      </c>
      <c r="C500" s="272">
        <v>0</v>
      </c>
      <c r="D500" s="273">
        <v>3.0244666666666666E-2</v>
      </c>
      <c r="E500" s="273">
        <v>3.1464666666666669E-2</v>
      </c>
      <c r="F500" s="273">
        <v>3.2735333333333332E-2</v>
      </c>
      <c r="G500" s="273">
        <v>3.4190666666666668E-2</v>
      </c>
      <c r="H500" s="273">
        <v>3.3333333333333335</v>
      </c>
      <c r="I500" s="273">
        <v>3.4333333333333331</v>
      </c>
      <c r="J500" s="273">
        <v>3.5363333333333333</v>
      </c>
      <c r="K500" s="273">
        <v>3.6424233333333333</v>
      </c>
      <c r="L500" s="273">
        <v>3.7516960333333333</v>
      </c>
      <c r="M500" s="273">
        <v>3.8642469143333331</v>
      </c>
      <c r="N500" s="273">
        <v>3.9801743217633332</v>
      </c>
      <c r="O500" s="273">
        <v>4.099579551416233</v>
      </c>
      <c r="P500" s="273">
        <v>4.2225669379587201</v>
      </c>
      <c r="Q500" s="273">
        <v>4.3492439460974825</v>
      </c>
      <c r="R500" s="273">
        <v>4.479721264480407</v>
      </c>
      <c r="S500" s="273">
        <v>4.6141129024148189</v>
      </c>
      <c r="T500" s="273">
        <v>4.7525362894872636</v>
      </c>
      <c r="U500" s="273">
        <v>4.8951123781718815</v>
      </c>
      <c r="V500" s="273">
        <v>5.0419657495170389</v>
      </c>
    </row>
    <row r="501" spans="1:22" x14ac:dyDescent="0.2">
      <c r="A501" s="261"/>
      <c r="B501" s="264" t="s">
        <v>96</v>
      </c>
      <c r="C501" s="274">
        <v>0</v>
      </c>
      <c r="D501" s="275">
        <v>0</v>
      </c>
      <c r="E501" s="275">
        <v>0</v>
      </c>
      <c r="F501" s="275">
        <v>0</v>
      </c>
      <c r="G501" s="275">
        <v>0</v>
      </c>
      <c r="H501" s="275">
        <v>0</v>
      </c>
      <c r="I501" s="275">
        <v>0</v>
      </c>
      <c r="J501" s="275">
        <v>0</v>
      </c>
      <c r="K501" s="275">
        <v>0</v>
      </c>
      <c r="L501" s="275">
        <v>0</v>
      </c>
      <c r="M501" s="275">
        <v>0</v>
      </c>
      <c r="N501" s="275">
        <v>0</v>
      </c>
      <c r="O501" s="275">
        <v>0</v>
      </c>
      <c r="P501" s="275">
        <v>0</v>
      </c>
      <c r="Q501" s="275">
        <v>0</v>
      </c>
      <c r="R501" s="275">
        <v>0</v>
      </c>
      <c r="S501" s="275">
        <v>0</v>
      </c>
      <c r="T501" s="275">
        <v>0</v>
      </c>
      <c r="U501" s="275">
        <v>0</v>
      </c>
      <c r="V501" s="275">
        <v>0</v>
      </c>
    </row>
    <row r="502" spans="1:22" x14ac:dyDescent="0.2">
      <c r="A502" s="261"/>
      <c r="B502" s="264"/>
      <c r="C502" s="261"/>
      <c r="D502" s="261"/>
      <c r="E502" s="261"/>
      <c r="F502" s="261"/>
      <c r="G502" s="261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</row>
    <row r="503" spans="1:22" x14ac:dyDescent="0.2">
      <c r="A503" s="261"/>
      <c r="B503" s="264"/>
      <c r="C503" s="261"/>
      <c r="D503" s="261"/>
      <c r="E503" s="261"/>
      <c r="F503" s="261"/>
      <c r="G503" s="261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  <c r="V503" s="261"/>
    </row>
    <row r="504" spans="1:22" x14ac:dyDescent="0.2">
      <c r="A504" s="296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spans="1:22" x14ac:dyDescent="0.2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spans="1:22" x14ac:dyDescent="0.2">
      <c r="A506" s="259" t="s">
        <v>98</v>
      </c>
      <c r="B506" s="260"/>
      <c r="C506" s="261"/>
      <c r="D506" s="261"/>
      <c r="E506" s="261"/>
      <c r="F506" s="261"/>
      <c r="G506" s="261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  <c r="V506" s="261"/>
    </row>
    <row r="507" spans="1:22" x14ac:dyDescent="0.2">
      <c r="A507" s="262" t="s">
        <v>86</v>
      </c>
      <c r="B507" s="260"/>
      <c r="C507" s="261"/>
      <c r="D507" s="261"/>
      <c r="E507" s="261"/>
      <c r="F507" s="261"/>
      <c r="G507" s="261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  <c r="V507" s="261"/>
    </row>
    <row r="508" spans="1:22" x14ac:dyDescent="0.2">
      <c r="A508" s="261"/>
      <c r="B508" s="260"/>
      <c r="C508" s="261"/>
      <c r="D508" s="261"/>
      <c r="E508" s="261"/>
      <c r="F508" s="261"/>
      <c r="G508" s="261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  <c r="V508" s="261"/>
    </row>
    <row r="509" spans="1:22" x14ac:dyDescent="0.2">
      <c r="A509" s="261"/>
      <c r="B509" s="260"/>
      <c r="C509" s="265">
        <v>2000</v>
      </c>
      <c r="D509" s="266">
        <v>2001</v>
      </c>
      <c r="E509" s="266">
        <v>2002</v>
      </c>
      <c r="F509" s="266">
        <v>2003</v>
      </c>
      <c r="G509" s="266">
        <v>2004</v>
      </c>
      <c r="H509" s="266">
        <v>2005</v>
      </c>
      <c r="I509" s="266">
        <v>2006</v>
      </c>
      <c r="J509" s="266">
        <v>2007</v>
      </c>
      <c r="K509" s="266">
        <v>2008</v>
      </c>
      <c r="L509" s="266">
        <v>2009</v>
      </c>
      <c r="M509" s="266">
        <v>2010</v>
      </c>
      <c r="N509" s="266">
        <v>2011</v>
      </c>
      <c r="O509" s="266">
        <v>2012</v>
      </c>
      <c r="P509" s="266">
        <v>2013</v>
      </c>
      <c r="Q509" s="266">
        <v>2014</v>
      </c>
      <c r="R509" s="266">
        <v>2015</v>
      </c>
      <c r="S509" s="266">
        <v>2016</v>
      </c>
      <c r="T509" s="266">
        <v>2017</v>
      </c>
      <c r="U509" s="266">
        <v>2018</v>
      </c>
      <c r="V509" s="266">
        <v>2019</v>
      </c>
    </row>
    <row r="510" spans="1:22" x14ac:dyDescent="0.2">
      <c r="A510" s="263" t="s">
        <v>129</v>
      </c>
      <c r="B510" s="260"/>
      <c r="C510" s="267"/>
      <c r="D510" s="268"/>
      <c r="E510" s="268"/>
      <c r="F510" s="268"/>
      <c r="G510" s="268"/>
      <c r="H510" s="268"/>
      <c r="I510" s="268"/>
      <c r="J510" s="268"/>
      <c r="K510" s="268"/>
      <c r="L510" s="268"/>
      <c r="M510" s="268"/>
      <c r="N510" s="268"/>
      <c r="O510" s="268"/>
      <c r="P510" s="268"/>
      <c r="Q510" s="268"/>
      <c r="R510" s="268"/>
      <c r="S510" s="268"/>
      <c r="T510" s="268"/>
      <c r="U510" s="268"/>
      <c r="V510" s="268"/>
    </row>
    <row r="511" spans="1:22" x14ac:dyDescent="0.2">
      <c r="A511" s="261"/>
      <c r="B511" s="264" t="s">
        <v>97</v>
      </c>
      <c r="C511" s="269">
        <v>0</v>
      </c>
      <c r="D511" s="270">
        <v>6842.787041747164</v>
      </c>
      <c r="E511" s="270">
        <v>8273.2342999274006</v>
      </c>
      <c r="F511" s="270">
        <v>7085.8436395853923</v>
      </c>
      <c r="G511" s="270">
        <v>6616.1165326907221</v>
      </c>
      <c r="H511" s="270">
        <v>9760.9429240436384</v>
      </c>
      <c r="I511" s="270">
        <v>9005.6273443182963</v>
      </c>
      <c r="J511" s="270">
        <v>11238.801905930753</v>
      </c>
      <c r="K511" s="270">
        <v>19619.304134328158</v>
      </c>
      <c r="L511" s="270">
        <v>17042.341492960124</v>
      </c>
      <c r="M511" s="270">
        <v>18060.323010181695</v>
      </c>
      <c r="N511" s="270">
        <v>19003.090419647498</v>
      </c>
      <c r="O511" s="270">
        <v>18530.050117076364</v>
      </c>
      <c r="P511" s="270">
        <v>19710.904330865709</v>
      </c>
      <c r="Q511" s="270">
        <v>24327.053257553074</v>
      </c>
      <c r="R511" s="270">
        <v>18566.045545516146</v>
      </c>
      <c r="S511" s="270">
        <v>17313.200474847243</v>
      </c>
      <c r="T511" s="270">
        <v>19758.316054572588</v>
      </c>
      <c r="U511" s="270">
        <v>23205.117007537963</v>
      </c>
      <c r="V511" s="270">
        <v>22379.467168771291</v>
      </c>
    </row>
    <row r="512" spans="1:22" x14ac:dyDescent="0.2">
      <c r="A512" s="261"/>
      <c r="B512" s="264" t="s">
        <v>91</v>
      </c>
      <c r="C512" s="269">
        <v>0</v>
      </c>
      <c r="D512" s="271">
        <v>1.3752466078500154E-2</v>
      </c>
      <c r="E512" s="271">
        <v>1.6627344001076034E-2</v>
      </c>
      <c r="F512" s="271">
        <v>1.4240955285680335E-2</v>
      </c>
      <c r="G512" s="271">
        <v>1.3296909231885335E-2</v>
      </c>
      <c r="H512" s="271">
        <v>1.961730441677045E-2</v>
      </c>
      <c r="I512" s="271">
        <v>1.8099289633413514E-2</v>
      </c>
      <c r="J512" s="271">
        <v>2.2587469262353596E-2</v>
      </c>
      <c r="K512" s="271">
        <v>3.9430397723181874E-2</v>
      </c>
      <c r="L512" s="271">
        <v>3.4251281217763455E-2</v>
      </c>
      <c r="M512" s="271">
        <v>3.6297195579662871E-2</v>
      </c>
      <c r="N512" s="271">
        <v>3.819194646691005E-2</v>
      </c>
      <c r="O512" s="271">
        <v>3.7241241633457871E-2</v>
      </c>
      <c r="P512" s="271">
        <v>3.9614493558399473E-2</v>
      </c>
      <c r="Q512" s="271">
        <v>4.8891916798413634E-2</v>
      </c>
      <c r="R512" s="271">
        <v>3.7313584365385531E-2</v>
      </c>
      <c r="S512" s="271">
        <v>3.4795646976588615E-2</v>
      </c>
      <c r="T512" s="271">
        <v>3.9709780481406741E-2</v>
      </c>
      <c r="U512" s="271">
        <v>4.6637076756419149E-2</v>
      </c>
      <c r="V512" s="271">
        <v>4.4977705899035492E-2</v>
      </c>
    </row>
    <row r="513" spans="1:22" x14ac:dyDescent="0.2">
      <c r="A513" s="263" t="s">
        <v>93</v>
      </c>
      <c r="B513" s="264"/>
      <c r="C513" s="267"/>
      <c r="D513" s="268"/>
      <c r="E513" s="268"/>
      <c r="F513" s="268"/>
      <c r="G513" s="268"/>
      <c r="H513" s="268"/>
      <c r="I513" s="268"/>
      <c r="J513" s="268"/>
      <c r="K513" s="268"/>
      <c r="L513" s="268"/>
      <c r="M513" s="268"/>
      <c r="N513" s="268"/>
      <c r="O513" s="268"/>
      <c r="P513" s="268"/>
      <c r="Q513" s="268"/>
      <c r="R513" s="268"/>
      <c r="S513" s="268"/>
      <c r="T513" s="268"/>
      <c r="U513" s="268"/>
      <c r="V513" s="268"/>
    </row>
    <row r="514" spans="1:22" x14ac:dyDescent="0.2">
      <c r="A514" s="261"/>
      <c r="B514" s="264" t="s">
        <v>27</v>
      </c>
      <c r="C514" s="272">
        <v>0</v>
      </c>
      <c r="D514" s="273">
        <v>561.79907019671248</v>
      </c>
      <c r="E514" s="273">
        <v>354.34149048698634</v>
      </c>
      <c r="F514" s="273">
        <v>320.07435185026225</v>
      </c>
      <c r="G514" s="273">
        <v>291.0121273810077</v>
      </c>
      <c r="H514" s="273">
        <v>212.83525961803699</v>
      </c>
      <c r="I514" s="273">
        <v>178.87140757251711</v>
      </c>
      <c r="J514" s="273">
        <v>167.57903298556087</v>
      </c>
      <c r="K514" s="273">
        <v>157.75472412419899</v>
      </c>
      <c r="L514" s="273">
        <v>165.99343818828996</v>
      </c>
      <c r="M514" s="273">
        <v>175.10455363494106</v>
      </c>
      <c r="N514" s="273">
        <v>148.312687483183</v>
      </c>
      <c r="O514" s="273">
        <v>157.21500727427028</v>
      </c>
      <c r="P514" s="273">
        <v>164.03476195054802</v>
      </c>
      <c r="Q514" s="273">
        <v>164.51003043847021</v>
      </c>
      <c r="R514" s="273">
        <v>169.69432876881348</v>
      </c>
      <c r="S514" s="273">
        <v>160.34575169318691</v>
      </c>
      <c r="T514" s="273">
        <v>168.72816255852095</v>
      </c>
      <c r="U514" s="273">
        <v>173.53910760634534</v>
      </c>
      <c r="V514" s="273">
        <v>163.08307615264124</v>
      </c>
    </row>
    <row r="515" spans="1:22" x14ac:dyDescent="0.2">
      <c r="A515" s="261"/>
      <c r="B515" s="264" t="s">
        <v>20</v>
      </c>
      <c r="C515" s="272">
        <v>0</v>
      </c>
      <c r="D515" s="273">
        <v>79.476051742784406</v>
      </c>
      <c r="E515" s="273">
        <v>76.219362707169125</v>
      </c>
      <c r="F515" s="273">
        <v>71.323409293103765</v>
      </c>
      <c r="G515" s="273">
        <v>69.749473445234045</v>
      </c>
      <c r="H515" s="273">
        <v>73.683511945600074</v>
      </c>
      <c r="I515" s="273">
        <v>76.155848724501496</v>
      </c>
      <c r="J515" s="273">
        <v>73.596135716756635</v>
      </c>
      <c r="K515" s="273">
        <v>73.714283309187195</v>
      </c>
      <c r="L515" s="273">
        <v>71.869621455033993</v>
      </c>
      <c r="M515" s="273">
        <v>73.203787819656412</v>
      </c>
      <c r="N515" s="273">
        <v>76.751117469988628</v>
      </c>
      <c r="O515" s="273">
        <v>75.25929264247327</v>
      </c>
      <c r="P515" s="273">
        <v>80.79400062761016</v>
      </c>
      <c r="Q515" s="273">
        <v>80.355789150999954</v>
      </c>
      <c r="R515" s="273">
        <v>84.607012303365295</v>
      </c>
      <c r="S515" s="273">
        <v>90.089736915907338</v>
      </c>
      <c r="T515" s="273">
        <v>91.969586118323036</v>
      </c>
      <c r="U515" s="273">
        <v>97.439067938492443</v>
      </c>
      <c r="V515" s="273">
        <v>102.84144737591816</v>
      </c>
    </row>
    <row r="516" spans="1:22" x14ac:dyDescent="0.2">
      <c r="A516" s="261"/>
      <c r="B516" s="264" t="s">
        <v>92</v>
      </c>
      <c r="C516" s="272">
        <v>0</v>
      </c>
      <c r="D516" s="273">
        <v>3.8214739016835706</v>
      </c>
      <c r="E516" s="273">
        <v>4.0360147409883744</v>
      </c>
      <c r="F516" s="273">
        <v>3.9972774639109536</v>
      </c>
      <c r="G516" s="273">
        <v>3.9830166612138469</v>
      </c>
      <c r="H516" s="273">
        <v>4.2090094716422088</v>
      </c>
      <c r="I516" s="273">
        <v>4.3641998220748555</v>
      </c>
      <c r="J516" s="273">
        <v>4.3142373949782664</v>
      </c>
      <c r="K516" s="273">
        <v>4.7086608934091947</v>
      </c>
      <c r="L516" s="273">
        <v>4.6081740179396578</v>
      </c>
      <c r="M516" s="273">
        <v>4.6248710640370945</v>
      </c>
      <c r="N516" s="273">
        <v>4.7959544899968609</v>
      </c>
      <c r="O516" s="273">
        <v>4.8495187539943547</v>
      </c>
      <c r="P516" s="273">
        <v>5.0255855364352637</v>
      </c>
      <c r="Q516" s="273">
        <v>5.1285938027244935</v>
      </c>
      <c r="R516" s="273">
        <v>5.0684084795638658</v>
      </c>
      <c r="S516" s="273">
        <v>5.241406146612575</v>
      </c>
      <c r="T516" s="273">
        <v>5.3199493171585175</v>
      </c>
      <c r="U516" s="273">
        <v>5.3999374162846081</v>
      </c>
      <c r="V516" s="273">
        <v>5.6766356221139889</v>
      </c>
    </row>
    <row r="517" spans="1:22" x14ac:dyDescent="0.2">
      <c r="A517" s="261"/>
      <c r="B517" s="264" t="s">
        <v>22</v>
      </c>
      <c r="C517" s="272">
        <v>0</v>
      </c>
      <c r="D517" s="273">
        <v>0</v>
      </c>
      <c r="E517" s="273">
        <v>0</v>
      </c>
      <c r="F517" s="273">
        <v>0</v>
      </c>
      <c r="G517" s="273">
        <v>0</v>
      </c>
      <c r="H517" s="273">
        <v>0</v>
      </c>
      <c r="I517" s="273">
        <v>1.0690803974832488</v>
      </c>
      <c r="J517" s="273">
        <v>1.148949020043581</v>
      </c>
      <c r="K517" s="273">
        <v>1.4120379460019157</v>
      </c>
      <c r="L517" s="273">
        <v>1.4297466836522332</v>
      </c>
      <c r="M517" s="273">
        <v>1.5619418724219334</v>
      </c>
      <c r="N517" s="273">
        <v>1.7541098431944182</v>
      </c>
      <c r="O517" s="273">
        <v>1.9220319254777503</v>
      </c>
      <c r="P517" s="273">
        <v>2.1879990503997675</v>
      </c>
      <c r="Q517" s="273">
        <v>2.4403029189841861</v>
      </c>
      <c r="R517" s="273">
        <v>2.6186565886697548</v>
      </c>
      <c r="S517" s="273">
        <v>2.9125584177818871</v>
      </c>
      <c r="T517" s="273">
        <v>2.8468138795970432</v>
      </c>
      <c r="U517" s="273">
        <v>2.4220491534212663</v>
      </c>
      <c r="V517" s="273">
        <v>2.5922906595053088</v>
      </c>
    </row>
    <row r="518" spans="1:22" x14ac:dyDescent="0.2">
      <c r="A518" s="261"/>
      <c r="B518" s="264" t="s">
        <v>23</v>
      </c>
      <c r="C518" s="272">
        <v>0</v>
      </c>
      <c r="D518" s="273">
        <v>0</v>
      </c>
      <c r="E518" s="273">
        <v>0</v>
      </c>
      <c r="F518" s="273">
        <v>0</v>
      </c>
      <c r="G518" s="273">
        <v>0</v>
      </c>
      <c r="H518" s="273">
        <v>0</v>
      </c>
      <c r="I518" s="273">
        <v>1.0690803974832488</v>
      </c>
      <c r="J518" s="273">
        <v>1.148949020043581</v>
      </c>
      <c r="K518" s="273">
        <v>1.4120379460019157</v>
      </c>
      <c r="L518" s="273">
        <v>1.4297466836522332</v>
      </c>
      <c r="M518" s="273">
        <v>1.5619418724219334</v>
      </c>
      <c r="N518" s="273">
        <v>1.7541098431944182</v>
      </c>
      <c r="O518" s="273">
        <v>1.9220319254777503</v>
      </c>
      <c r="P518" s="273">
        <v>2.1879990503997675</v>
      </c>
      <c r="Q518" s="273">
        <v>2.4403029189841861</v>
      </c>
      <c r="R518" s="273">
        <v>2.6186565886697548</v>
      </c>
      <c r="S518" s="273">
        <v>2.9125584177818871</v>
      </c>
      <c r="T518" s="273">
        <v>2.8468138795970432</v>
      </c>
      <c r="U518" s="273">
        <v>2.4220491534212663</v>
      </c>
      <c r="V518" s="273">
        <v>2.5922906595053088</v>
      </c>
    </row>
    <row r="519" spans="1:22" x14ac:dyDescent="0.2">
      <c r="A519" s="263" t="s">
        <v>94</v>
      </c>
      <c r="B519" s="264"/>
      <c r="C519" s="267"/>
      <c r="D519" s="268"/>
      <c r="E519" s="268"/>
      <c r="F519" s="268"/>
      <c r="G519" s="268"/>
      <c r="H519" s="268"/>
      <c r="I519" s="268"/>
      <c r="J519" s="268"/>
      <c r="K519" s="268"/>
      <c r="L519" s="268"/>
      <c r="M519" s="268"/>
      <c r="N519" s="268"/>
      <c r="O519" s="268"/>
      <c r="P519" s="268"/>
      <c r="Q519" s="268"/>
      <c r="R519" s="268"/>
      <c r="S519" s="268"/>
      <c r="T519" s="268"/>
      <c r="U519" s="268"/>
      <c r="V519" s="268"/>
    </row>
    <row r="520" spans="1:22" x14ac:dyDescent="0.2">
      <c r="A520" s="261"/>
      <c r="B520" s="264" t="s">
        <v>34</v>
      </c>
      <c r="C520" s="272">
        <v>0</v>
      </c>
      <c r="D520" s="273">
        <v>3.3934844256250276</v>
      </c>
      <c r="E520" s="273">
        <v>3.4613541141375284</v>
      </c>
      <c r="F520" s="273">
        <v>3.5305811964202789</v>
      </c>
      <c r="G520" s="273">
        <v>3.6011928203486847</v>
      </c>
      <c r="H520" s="273">
        <v>3.6732166767556582</v>
      </c>
      <c r="I520" s="273">
        <v>3.7466810102907715</v>
      </c>
      <c r="J520" s="273">
        <v>3.8216146304965868</v>
      </c>
      <c r="K520" s="273">
        <v>3.8980469231065187</v>
      </c>
      <c r="L520" s="273">
        <v>3.9760078615686489</v>
      </c>
      <c r="M520" s="273">
        <v>4.0555280188000218</v>
      </c>
      <c r="N520" s="273">
        <v>4.1366385791760232</v>
      </c>
      <c r="O520" s="273">
        <v>4.2193713507595438</v>
      </c>
      <c r="P520" s="273">
        <v>4.3037587777747346</v>
      </c>
      <c r="Q520" s="273">
        <v>4.3898339533302293</v>
      </c>
      <c r="R520" s="273">
        <v>4.477630632396834</v>
      </c>
      <c r="S520" s="273">
        <v>4.5671832450447702</v>
      </c>
      <c r="T520" s="273">
        <v>4.6585269099456665</v>
      </c>
      <c r="U520" s="273">
        <v>4.7516974481445802</v>
      </c>
      <c r="V520" s="273">
        <v>4.8467313971074715</v>
      </c>
    </row>
    <row r="521" spans="1:22" x14ac:dyDescent="0.2">
      <c r="A521" s="261"/>
      <c r="B521" s="264" t="s">
        <v>95</v>
      </c>
      <c r="C521" s="272">
        <v>0</v>
      </c>
      <c r="D521" s="273">
        <v>1.0439287627640845</v>
      </c>
      <c r="E521" s="273">
        <v>1.0439287627640845</v>
      </c>
      <c r="F521" s="273">
        <v>1.0439287627640845</v>
      </c>
      <c r="G521" s="273">
        <v>1.0439287627640845</v>
      </c>
      <c r="H521" s="273">
        <v>1.0439287627640845</v>
      </c>
      <c r="I521" s="273">
        <v>1.0439287627640845</v>
      </c>
      <c r="J521" s="273">
        <v>1.0439287627640845</v>
      </c>
      <c r="K521" s="273">
        <v>1.0439287627640845</v>
      </c>
      <c r="L521" s="273">
        <v>1.0439287627640845</v>
      </c>
      <c r="M521" s="273">
        <v>1.0439287627640845</v>
      </c>
      <c r="N521" s="273">
        <v>1.0439287627640845</v>
      </c>
      <c r="O521" s="273">
        <v>1.0439287627640845</v>
      </c>
      <c r="P521" s="273">
        <v>1.0439287627640845</v>
      </c>
      <c r="Q521" s="273">
        <v>1.0439287627640845</v>
      </c>
      <c r="R521" s="273">
        <v>1.0439287627640845</v>
      </c>
      <c r="S521" s="273">
        <v>1.0439287627640845</v>
      </c>
      <c r="T521" s="273">
        <v>1.0439287627640845</v>
      </c>
      <c r="U521" s="273">
        <v>1.0439287627640845</v>
      </c>
      <c r="V521" s="273">
        <v>1.0439287627640845</v>
      </c>
    </row>
    <row r="522" spans="1:22" x14ac:dyDescent="0.2">
      <c r="A522" s="261"/>
      <c r="B522" s="264" t="s">
        <v>36</v>
      </c>
      <c r="C522" s="272">
        <v>0</v>
      </c>
      <c r="D522" s="273">
        <v>9.7316030157344732E-2</v>
      </c>
      <c r="E522" s="273">
        <v>9.936939839366532E-2</v>
      </c>
      <c r="F522" s="273">
        <v>0.10154558821848662</v>
      </c>
      <c r="G522" s="273">
        <v>0.10384051851222377</v>
      </c>
      <c r="H522" s="273">
        <v>0.10631192285281479</v>
      </c>
      <c r="I522" s="273">
        <v>0.10897611032723503</v>
      </c>
      <c r="J522" s="273">
        <v>0.11167902145680686</v>
      </c>
      <c r="K522" s="273">
        <v>0.11450584828286374</v>
      </c>
      <c r="L522" s="273">
        <v>0.11733414273545054</v>
      </c>
      <c r="M522" s="273">
        <v>0.12032616337520405</v>
      </c>
      <c r="N522" s="273">
        <v>0.12323805652888468</v>
      </c>
      <c r="O522" s="273">
        <v>0.12634365555341215</v>
      </c>
      <c r="P522" s="273">
        <v>0.12955278440446849</v>
      </c>
      <c r="Q522" s="273">
        <v>0.13279160401458009</v>
      </c>
      <c r="R522" s="273">
        <v>0.13612467327534614</v>
      </c>
      <c r="S522" s="273">
        <v>0.1395277901072301</v>
      </c>
      <c r="T522" s="273">
        <v>0.14298807930188909</v>
      </c>
      <c r="U522" s="273">
        <v>0.14657708009236689</v>
      </c>
      <c r="V522" s="273">
        <v>0.15025616480268522</v>
      </c>
    </row>
    <row r="523" spans="1:22" x14ac:dyDescent="0.2">
      <c r="A523" s="261"/>
      <c r="B523" s="264" t="s">
        <v>39</v>
      </c>
      <c r="C523" s="272">
        <v>0</v>
      </c>
      <c r="D523" s="273">
        <v>3.0846478873239436E-2</v>
      </c>
      <c r="E523" s="273">
        <v>3.2091549295774645E-2</v>
      </c>
      <c r="F523" s="273">
        <v>3.3387323943661971E-2</v>
      </c>
      <c r="G523" s="273">
        <v>3.4871830985915495E-2</v>
      </c>
      <c r="H523" s="273">
        <v>3.5211267605633805</v>
      </c>
      <c r="I523" s="273">
        <v>3.6267605633802815</v>
      </c>
      <c r="J523" s="273">
        <v>3.7355633802816901</v>
      </c>
      <c r="K523" s="273">
        <v>3.8476302816901407</v>
      </c>
      <c r="L523" s="273">
        <v>3.9630591901408447</v>
      </c>
      <c r="M523" s="273">
        <v>4.0819509658450706</v>
      </c>
      <c r="N523" s="273">
        <v>4.2044094948204229</v>
      </c>
      <c r="O523" s="273">
        <v>4.330541779665035</v>
      </c>
      <c r="P523" s="273">
        <v>4.4604580330549863</v>
      </c>
      <c r="Q523" s="273">
        <v>4.5942717740466366</v>
      </c>
      <c r="R523" s="273">
        <v>4.7320999272680346</v>
      </c>
      <c r="S523" s="273">
        <v>4.8740629250860765</v>
      </c>
      <c r="T523" s="273">
        <v>5.0202848128386588</v>
      </c>
      <c r="U523" s="273">
        <v>5.1708933572238189</v>
      </c>
      <c r="V523" s="273">
        <v>5.3260201579405333</v>
      </c>
    </row>
    <row r="524" spans="1:22" x14ac:dyDescent="0.2">
      <c r="A524" s="261"/>
      <c r="B524" s="264" t="s">
        <v>96</v>
      </c>
      <c r="C524" s="274">
        <v>0</v>
      </c>
      <c r="D524" s="275">
        <v>0</v>
      </c>
      <c r="E524" s="275">
        <v>0</v>
      </c>
      <c r="F524" s="275">
        <v>0</v>
      </c>
      <c r="G524" s="275">
        <v>0</v>
      </c>
      <c r="H524" s="275">
        <v>0</v>
      </c>
      <c r="I524" s="275">
        <v>0</v>
      </c>
      <c r="J524" s="275">
        <v>0</v>
      </c>
      <c r="K524" s="275">
        <v>0</v>
      </c>
      <c r="L524" s="275">
        <v>0</v>
      </c>
      <c r="M524" s="275">
        <v>0</v>
      </c>
      <c r="N524" s="275">
        <v>0</v>
      </c>
      <c r="O524" s="275">
        <v>0</v>
      </c>
      <c r="P524" s="275">
        <v>0</v>
      </c>
      <c r="Q524" s="275">
        <v>0</v>
      </c>
      <c r="R524" s="275">
        <v>0</v>
      </c>
      <c r="S524" s="275">
        <v>0</v>
      </c>
      <c r="T524" s="275">
        <v>0</v>
      </c>
      <c r="U524" s="275">
        <v>0</v>
      </c>
      <c r="V524" s="275">
        <v>0</v>
      </c>
    </row>
    <row r="525" spans="1:22" x14ac:dyDescent="0.2">
      <c r="A525" s="261"/>
      <c r="B525" s="264"/>
      <c r="C525" s="261"/>
      <c r="D525" s="261"/>
      <c r="E525" s="261"/>
      <c r="F525" s="261"/>
      <c r="G525" s="261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  <c r="V525" s="261"/>
    </row>
    <row r="526" spans="1:22" x14ac:dyDescent="0.2">
      <c r="A526" s="261"/>
      <c r="B526" s="264"/>
      <c r="C526" s="261"/>
      <c r="D526" s="261"/>
      <c r="E526" s="261"/>
      <c r="F526" s="261"/>
      <c r="G526" s="261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  <c r="V526" s="261"/>
    </row>
    <row r="527" spans="1:22" x14ac:dyDescent="0.2">
      <c r="A527" s="24"/>
      <c r="B527" s="23"/>
      <c r="C527" s="295"/>
      <c r="D527" s="295"/>
      <c r="E527" s="295"/>
      <c r="F527" s="295"/>
      <c r="G527" s="295"/>
      <c r="H527" s="295"/>
      <c r="I527" s="295"/>
      <c r="J527" s="295"/>
      <c r="K527" s="295"/>
      <c r="L527" s="295"/>
      <c r="M527" s="295"/>
      <c r="N527" s="295"/>
      <c r="O527" s="295"/>
      <c r="P527" s="295"/>
      <c r="Q527" s="295"/>
      <c r="R527" s="295"/>
      <c r="S527" s="295"/>
      <c r="T527" s="295"/>
      <c r="U527" s="295"/>
      <c r="V527" s="295"/>
    </row>
    <row r="528" spans="1:22" x14ac:dyDescent="0.2">
      <c r="A528" s="292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spans="1:22" x14ac:dyDescent="0.2">
      <c r="A529" s="259" t="s">
        <v>98</v>
      </c>
      <c r="B529" s="260"/>
      <c r="C529" s="261"/>
      <c r="D529" s="261"/>
      <c r="E529" s="261"/>
      <c r="F529" s="261"/>
      <c r="G529" s="261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</row>
    <row r="530" spans="1:22" x14ac:dyDescent="0.2">
      <c r="A530" s="262" t="s">
        <v>76</v>
      </c>
      <c r="B530" s="260"/>
      <c r="C530" s="261"/>
      <c r="D530" s="261"/>
      <c r="E530" s="261"/>
      <c r="F530" s="261"/>
      <c r="G530" s="261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  <c r="V530" s="261"/>
    </row>
    <row r="531" spans="1:22" x14ac:dyDescent="0.2">
      <c r="A531" s="261"/>
      <c r="B531" s="260"/>
      <c r="C531" s="261"/>
      <c r="D531" s="261"/>
      <c r="E531" s="261"/>
      <c r="F531" s="261"/>
      <c r="G531" s="261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  <c r="V531" s="261"/>
    </row>
    <row r="532" spans="1:22" x14ac:dyDescent="0.2">
      <c r="A532" s="261"/>
      <c r="B532" s="260"/>
      <c r="C532" s="265">
        <v>2000</v>
      </c>
      <c r="D532" s="266">
        <v>2001</v>
      </c>
      <c r="E532" s="266">
        <v>2002</v>
      </c>
      <c r="F532" s="266">
        <v>2003</v>
      </c>
      <c r="G532" s="266">
        <v>2004</v>
      </c>
      <c r="H532" s="266">
        <v>2005</v>
      </c>
      <c r="I532" s="266">
        <v>2006</v>
      </c>
      <c r="J532" s="266">
        <v>2007</v>
      </c>
      <c r="K532" s="266">
        <v>2008</v>
      </c>
      <c r="L532" s="266">
        <v>2009</v>
      </c>
      <c r="M532" s="266">
        <v>2010</v>
      </c>
      <c r="N532" s="266">
        <v>2011</v>
      </c>
      <c r="O532" s="266">
        <v>2012</v>
      </c>
      <c r="P532" s="266">
        <v>2013</v>
      </c>
      <c r="Q532" s="266">
        <v>2014</v>
      </c>
      <c r="R532" s="266">
        <v>2015</v>
      </c>
      <c r="S532" s="266">
        <v>2016</v>
      </c>
      <c r="T532" s="266">
        <v>2017</v>
      </c>
      <c r="U532" s="266">
        <v>2018</v>
      </c>
      <c r="V532" s="266">
        <v>2019</v>
      </c>
    </row>
    <row r="533" spans="1:22" x14ac:dyDescent="0.2">
      <c r="A533" s="263" t="s">
        <v>129</v>
      </c>
      <c r="B533" s="260"/>
      <c r="C533" s="267"/>
      <c r="D533" s="268"/>
      <c r="E533" s="268"/>
      <c r="F533" s="268"/>
      <c r="G533" s="268"/>
      <c r="H533" s="268"/>
      <c r="I533" s="268"/>
      <c r="J533" s="268"/>
      <c r="K533" s="268"/>
      <c r="L533" s="268"/>
      <c r="M533" s="268"/>
      <c r="N533" s="268"/>
      <c r="O533" s="268"/>
      <c r="P533" s="268"/>
      <c r="Q533" s="268"/>
      <c r="R533" s="268"/>
      <c r="S533" s="268"/>
      <c r="T533" s="268"/>
      <c r="U533" s="268"/>
      <c r="V533" s="268"/>
    </row>
    <row r="534" spans="1:22" x14ac:dyDescent="0.2">
      <c r="A534" s="261"/>
      <c r="B534" s="264" t="s">
        <v>97</v>
      </c>
      <c r="C534" s="269">
        <v>0</v>
      </c>
      <c r="D534" s="270">
        <v>13696.613612929899</v>
      </c>
      <c r="E534" s="270">
        <v>16858.234560102788</v>
      </c>
      <c r="F534" s="270">
        <v>15084.908176016037</v>
      </c>
      <c r="G534" s="270">
        <v>14786.157584177972</v>
      </c>
      <c r="H534" s="270">
        <v>21105.874779139682</v>
      </c>
      <c r="I534" s="270">
        <v>23539.385416023746</v>
      </c>
      <c r="J534" s="270">
        <v>20927.495365175258</v>
      </c>
      <c r="K534" s="270">
        <v>33736.706100273666</v>
      </c>
      <c r="L534" s="270">
        <v>34089.373173032684</v>
      </c>
      <c r="M534" s="270">
        <v>32465.175706194626</v>
      </c>
      <c r="N534" s="270">
        <v>27289.083582366897</v>
      </c>
      <c r="O534" s="270">
        <v>35420.883932119446</v>
      </c>
      <c r="P534" s="270">
        <v>26596.369962363042</v>
      </c>
      <c r="Q534" s="270">
        <v>33551.852354364273</v>
      </c>
      <c r="R534" s="270">
        <v>30184.811443283998</v>
      </c>
      <c r="S534" s="270">
        <v>23067.74422748484</v>
      </c>
      <c r="T534" s="270">
        <v>23509.559852484843</v>
      </c>
      <c r="U534" s="270">
        <v>29474.235408949793</v>
      </c>
      <c r="V534" s="270">
        <v>37937.151098781993</v>
      </c>
    </row>
    <row r="535" spans="1:22" x14ac:dyDescent="0.2">
      <c r="A535" s="261"/>
      <c r="B535" s="264" t="s">
        <v>91</v>
      </c>
      <c r="C535" s="269">
        <v>0</v>
      </c>
      <c r="D535" s="271">
        <v>3.0522993982875932E-2</v>
      </c>
      <c r="E535" s="271">
        <v>3.7568687164699535E-2</v>
      </c>
      <c r="F535" s="271">
        <v>3.3616817594541132E-2</v>
      </c>
      <c r="G535" s="271">
        <v>3.2951049925630214E-2</v>
      </c>
      <c r="H535" s="271">
        <v>4.7034581473398715E-2</v>
      </c>
      <c r="I535" s="271">
        <v>5.2457676015304815E-2</v>
      </c>
      <c r="J535" s="271">
        <v>4.6637061770136802E-2</v>
      </c>
      <c r="K535" s="271">
        <v>7.5182472573264741E-2</v>
      </c>
      <c r="L535" s="271">
        <v>7.5968393476342586E-2</v>
      </c>
      <c r="M535" s="271">
        <v>7.2348858684144007E-2</v>
      </c>
      <c r="N535" s="271">
        <v>6.081390316774838E-2</v>
      </c>
      <c r="O535" s="271">
        <v>7.8935674005405118E-2</v>
      </c>
      <c r="P535" s="271">
        <v>5.9270186286133654E-2</v>
      </c>
      <c r="Q535" s="271">
        <v>7.4770524778462535E-2</v>
      </c>
      <c r="R535" s="271">
        <v>6.7267051849067699E-2</v>
      </c>
      <c r="S535" s="271">
        <v>5.1406620508689709E-2</v>
      </c>
      <c r="T535" s="271">
        <v>5.23912095497856E-2</v>
      </c>
      <c r="U535" s="271">
        <v>6.568352845903179E-2</v>
      </c>
      <c r="V535" s="271">
        <v>8.454319202101479E-2</v>
      </c>
    </row>
    <row r="536" spans="1:22" x14ac:dyDescent="0.2">
      <c r="A536" s="263" t="s">
        <v>93</v>
      </c>
      <c r="B536" s="264"/>
      <c r="C536" s="267"/>
      <c r="D536" s="268"/>
      <c r="E536" s="268"/>
      <c r="F536" s="268"/>
      <c r="G536" s="268"/>
      <c r="H536" s="268"/>
      <c r="I536" s="268"/>
      <c r="J536" s="268"/>
      <c r="K536" s="268"/>
      <c r="L536" s="268"/>
      <c r="M536" s="268"/>
      <c r="N536" s="268"/>
      <c r="O536" s="268"/>
      <c r="P536" s="268"/>
      <c r="Q536" s="268"/>
      <c r="R536" s="268"/>
      <c r="S536" s="268"/>
      <c r="T536" s="268"/>
      <c r="U536" s="268"/>
      <c r="V536" s="268"/>
    </row>
    <row r="537" spans="1:22" x14ac:dyDescent="0.2">
      <c r="A537" s="261"/>
      <c r="B537" s="264" t="s">
        <v>27</v>
      </c>
      <c r="C537" s="272">
        <v>0</v>
      </c>
      <c r="D537" s="273">
        <v>304.69371871116783</v>
      </c>
      <c r="E537" s="273">
        <v>197.91774799993175</v>
      </c>
      <c r="F537" s="273">
        <v>183.72871610248021</v>
      </c>
      <c r="G537" s="273">
        <v>168.15844730703677</v>
      </c>
      <c r="H537" s="273">
        <v>140.12958672135662</v>
      </c>
      <c r="I537" s="273">
        <v>116.0258644229784</v>
      </c>
      <c r="J537" s="273">
        <v>127.66309255624002</v>
      </c>
      <c r="K537" s="273">
        <v>121.50717124272428</v>
      </c>
      <c r="L537" s="273">
        <v>121.76484763696095</v>
      </c>
      <c r="M537" s="273">
        <v>135.01299836201213</v>
      </c>
      <c r="N537" s="273">
        <v>125.6024478648698</v>
      </c>
      <c r="O537" s="273">
        <v>123.10964083213447</v>
      </c>
      <c r="P537" s="273">
        <v>140.36836771520322</v>
      </c>
      <c r="Q537" s="273">
        <v>141.94456421526149</v>
      </c>
      <c r="R537" s="273">
        <v>140.25412912964515</v>
      </c>
      <c r="S537" s="273">
        <v>145.00380217565711</v>
      </c>
      <c r="T537" s="273">
        <v>155.52590386955376</v>
      </c>
      <c r="U537" s="273">
        <v>159.82566715164717</v>
      </c>
      <c r="V537" s="273">
        <v>140.15396390567753</v>
      </c>
    </row>
    <row r="538" spans="1:22" x14ac:dyDescent="0.2">
      <c r="A538" s="261"/>
      <c r="B538" s="264" t="s">
        <v>20</v>
      </c>
      <c r="C538" s="272">
        <v>0</v>
      </c>
      <c r="D538" s="273">
        <v>74.093405792625617</v>
      </c>
      <c r="E538" s="273">
        <v>65.439217367187581</v>
      </c>
      <c r="F538" s="273">
        <v>63.685017875182908</v>
      </c>
      <c r="G538" s="273">
        <v>67.066761656354558</v>
      </c>
      <c r="H538" s="273">
        <v>69.382042484005922</v>
      </c>
      <c r="I538" s="273">
        <v>64.936385043682591</v>
      </c>
      <c r="J538" s="273">
        <v>64.778572406298352</v>
      </c>
      <c r="K538" s="273">
        <v>62.660630628844643</v>
      </c>
      <c r="L538" s="273">
        <v>62.921346134698787</v>
      </c>
      <c r="M538" s="273">
        <v>66.676011698667722</v>
      </c>
      <c r="N538" s="273">
        <v>66.229143842001662</v>
      </c>
      <c r="O538" s="273">
        <v>66.909348456152401</v>
      </c>
      <c r="P538" s="273">
        <v>69.534732869222424</v>
      </c>
      <c r="Q538" s="273">
        <v>71.58538291257716</v>
      </c>
      <c r="R538" s="273">
        <v>75.735417792035079</v>
      </c>
      <c r="S538" s="273">
        <v>79.316727833598392</v>
      </c>
      <c r="T538" s="273">
        <v>81.564794561510155</v>
      </c>
      <c r="U538" s="273">
        <v>87.532063175965931</v>
      </c>
      <c r="V538" s="273">
        <v>91.460220883458661</v>
      </c>
    </row>
    <row r="539" spans="1:22" x14ac:dyDescent="0.2">
      <c r="A539" s="261"/>
      <c r="B539" s="264" t="s">
        <v>92</v>
      </c>
      <c r="C539" s="272">
        <v>0</v>
      </c>
      <c r="D539" s="273">
        <v>2.3846557938360826</v>
      </c>
      <c r="E539" s="273">
        <v>2.3807758415841391</v>
      </c>
      <c r="F539" s="273">
        <v>2.4247898812963546</v>
      </c>
      <c r="G539" s="273">
        <v>2.5220223048737043</v>
      </c>
      <c r="H539" s="273">
        <v>2.630544722981746</v>
      </c>
      <c r="I539" s="273">
        <v>2.5522261936321953</v>
      </c>
      <c r="J539" s="273">
        <v>2.5949222975772201</v>
      </c>
      <c r="K539" s="273">
        <v>2.7402978106064744</v>
      </c>
      <c r="L539" s="273">
        <v>2.7545732810559547</v>
      </c>
      <c r="M539" s="273">
        <v>2.8394818070896735</v>
      </c>
      <c r="N539" s="273">
        <v>2.8492353545162072</v>
      </c>
      <c r="O539" s="273">
        <v>2.9268726965672016</v>
      </c>
      <c r="P539" s="273">
        <v>2.976835019035724</v>
      </c>
      <c r="Q539" s="273">
        <v>3.0895562371710978</v>
      </c>
      <c r="R539" s="273">
        <v>3.0725643038322197</v>
      </c>
      <c r="S539" s="273">
        <v>3.1523248732612608</v>
      </c>
      <c r="T539" s="273">
        <v>3.2083461438252017</v>
      </c>
      <c r="U539" s="273">
        <v>3.2922763993641722</v>
      </c>
      <c r="V539" s="273">
        <v>3.4217506988626094</v>
      </c>
    </row>
    <row r="540" spans="1:22" x14ac:dyDescent="0.2">
      <c r="A540" s="261"/>
      <c r="B540" s="264" t="s">
        <v>22</v>
      </c>
      <c r="C540" s="272">
        <v>0</v>
      </c>
      <c r="D540" s="273">
        <v>0</v>
      </c>
      <c r="E540" s="273">
        <v>0</v>
      </c>
      <c r="F540" s="273">
        <v>0</v>
      </c>
      <c r="G540" s="273">
        <v>0</v>
      </c>
      <c r="H540" s="273">
        <v>0</v>
      </c>
      <c r="I540" s="273">
        <v>0.89962672055047666</v>
      </c>
      <c r="J540" s="273">
        <v>0.99348614579897243</v>
      </c>
      <c r="K540" s="273">
        <v>1.1799349378061008</v>
      </c>
      <c r="L540" s="273">
        <v>1.2295641278368172</v>
      </c>
      <c r="M540" s="273">
        <v>1.3819557985219195</v>
      </c>
      <c r="N540" s="273">
        <v>1.4978915573819873</v>
      </c>
      <c r="O540" s="273">
        <v>1.6708763067846963</v>
      </c>
      <c r="P540" s="273">
        <v>1.8660466497958919</v>
      </c>
      <c r="Q540" s="273">
        <v>2.1150543228829202</v>
      </c>
      <c r="R540" s="273">
        <v>2.2828605580156909</v>
      </c>
      <c r="S540" s="273">
        <v>2.5175094696022167</v>
      </c>
      <c r="T540" s="273">
        <v>2.4729439984529313</v>
      </c>
      <c r="U540" s="273">
        <v>2.1253584286788985</v>
      </c>
      <c r="V540" s="273">
        <v>2.2469553430330138</v>
      </c>
    </row>
    <row r="541" spans="1:22" x14ac:dyDescent="0.2">
      <c r="A541" s="261"/>
      <c r="B541" s="264" t="s">
        <v>23</v>
      </c>
      <c r="C541" s="272">
        <v>0</v>
      </c>
      <c r="D541" s="273">
        <v>0</v>
      </c>
      <c r="E541" s="273">
        <v>0</v>
      </c>
      <c r="F541" s="273">
        <v>0</v>
      </c>
      <c r="G541" s="273">
        <v>0</v>
      </c>
      <c r="H541" s="273">
        <v>0</v>
      </c>
      <c r="I541" s="273">
        <v>0.89962672055047666</v>
      </c>
      <c r="J541" s="273">
        <v>0.99348614579897243</v>
      </c>
      <c r="K541" s="273">
        <v>1.1799349378061008</v>
      </c>
      <c r="L541" s="273">
        <v>1.2295641278368172</v>
      </c>
      <c r="M541" s="273">
        <v>1.3819557985219195</v>
      </c>
      <c r="N541" s="273">
        <v>1.4978915573819873</v>
      </c>
      <c r="O541" s="273">
        <v>1.6708763067846963</v>
      </c>
      <c r="P541" s="273">
        <v>1.8660466497958919</v>
      </c>
      <c r="Q541" s="273">
        <v>2.1150543228829202</v>
      </c>
      <c r="R541" s="273">
        <v>2.2828605580156909</v>
      </c>
      <c r="S541" s="273">
        <v>2.5175094696022167</v>
      </c>
      <c r="T541" s="273">
        <v>2.4729439984529313</v>
      </c>
      <c r="U541" s="273">
        <v>2.1253584286788985</v>
      </c>
      <c r="V541" s="273">
        <v>2.2469553430330138</v>
      </c>
    </row>
    <row r="542" spans="1:22" x14ac:dyDescent="0.2">
      <c r="A542" s="263" t="s">
        <v>94</v>
      </c>
      <c r="B542" s="264"/>
      <c r="C542" s="267"/>
      <c r="D542" s="268"/>
      <c r="E542" s="268"/>
      <c r="F542" s="268"/>
      <c r="G542" s="268"/>
      <c r="H542" s="268"/>
      <c r="I542" s="268"/>
      <c r="J542" s="268"/>
      <c r="K542" s="268"/>
      <c r="L542" s="268"/>
      <c r="M542" s="268"/>
      <c r="N542" s="268"/>
      <c r="O542" s="268"/>
      <c r="P542" s="268"/>
      <c r="Q542" s="268"/>
      <c r="R542" s="268"/>
      <c r="S542" s="268"/>
      <c r="T542" s="268"/>
      <c r="U542" s="268"/>
      <c r="V542" s="268"/>
    </row>
    <row r="543" spans="1:22" x14ac:dyDescent="0.2">
      <c r="A543" s="261"/>
      <c r="B543" s="264" t="s">
        <v>34</v>
      </c>
      <c r="C543" s="272">
        <v>0</v>
      </c>
      <c r="D543" s="273">
        <v>1.787530920037963</v>
      </c>
      <c r="E543" s="273">
        <v>1.8232815384387222</v>
      </c>
      <c r="F543" s="273">
        <v>1.8597471692074967</v>
      </c>
      <c r="G543" s="273">
        <v>1.8969421125916468</v>
      </c>
      <c r="H543" s="273">
        <v>1.9348809548434798</v>
      </c>
      <c r="I543" s="273">
        <v>1.9735785739403493</v>
      </c>
      <c r="J543" s="273">
        <v>2.0130501454191565</v>
      </c>
      <c r="K543" s="273">
        <v>2.0533111483275395</v>
      </c>
      <c r="L543" s="273">
        <v>2.0943773712940903</v>
      </c>
      <c r="M543" s="273">
        <v>2.1362649187199723</v>
      </c>
      <c r="N543" s="273">
        <v>2.1789902170943716</v>
      </c>
      <c r="O543" s="273">
        <v>2.2225700214362591</v>
      </c>
      <c r="P543" s="273">
        <v>2.2670214218649845</v>
      </c>
      <c r="Q543" s="273">
        <v>2.3123618503022842</v>
      </c>
      <c r="R543" s="273">
        <v>2.3586090873083299</v>
      </c>
      <c r="S543" s="273">
        <v>2.4057812690544966</v>
      </c>
      <c r="T543" s="273">
        <v>2.4538968944355863</v>
      </c>
      <c r="U543" s="273">
        <v>2.5029748323242984</v>
      </c>
      <c r="V543" s="273">
        <v>2.5530343289707842</v>
      </c>
    </row>
    <row r="544" spans="1:22" x14ac:dyDescent="0.2">
      <c r="A544" s="261"/>
      <c r="B544" s="264" t="s">
        <v>95</v>
      </c>
      <c r="C544" s="272">
        <v>0</v>
      </c>
      <c r="D544" s="273">
        <v>0.88162831570278188</v>
      </c>
      <c r="E544" s="273">
        <v>0.88162831570278188</v>
      </c>
      <c r="F544" s="273">
        <v>0.88162831570278188</v>
      </c>
      <c r="G544" s="273">
        <v>0.88162831570278188</v>
      </c>
      <c r="H544" s="273">
        <v>0.88162831570278188</v>
      </c>
      <c r="I544" s="273">
        <v>0.88162831570278188</v>
      </c>
      <c r="J544" s="273">
        <v>0.88162831570278188</v>
      </c>
      <c r="K544" s="273">
        <v>0.88162831570278188</v>
      </c>
      <c r="L544" s="273">
        <v>0.88162831570278188</v>
      </c>
      <c r="M544" s="273">
        <v>0.88162831570278188</v>
      </c>
      <c r="N544" s="273">
        <v>0.88162831570278188</v>
      </c>
      <c r="O544" s="273">
        <v>0.88162831570278188</v>
      </c>
      <c r="P544" s="273">
        <v>0.88162831570278188</v>
      </c>
      <c r="Q544" s="273">
        <v>0.88162831570278188</v>
      </c>
      <c r="R544" s="273">
        <v>0.88162831570278188</v>
      </c>
      <c r="S544" s="273">
        <v>0.88162831570278188</v>
      </c>
      <c r="T544" s="273">
        <v>0.88162831570278188</v>
      </c>
      <c r="U544" s="273">
        <v>0.88162831570278188</v>
      </c>
      <c r="V544" s="273">
        <v>0.88162831570278188</v>
      </c>
    </row>
    <row r="545" spans="1:22" x14ac:dyDescent="0.2">
      <c r="A545" s="261"/>
      <c r="B545" s="264" t="s">
        <v>36</v>
      </c>
      <c r="C545" s="272">
        <v>0</v>
      </c>
      <c r="D545" s="273">
        <v>8.093046139000272E-2</v>
      </c>
      <c r="E545" s="273">
        <v>8.2638094125332157E-2</v>
      </c>
      <c r="F545" s="273">
        <v>8.4447868386677005E-2</v>
      </c>
      <c r="G545" s="273">
        <v>8.635639021221532E-2</v>
      </c>
      <c r="H545" s="273">
        <v>8.8411672299266178E-2</v>
      </c>
      <c r="I545" s="273">
        <v>9.0627277695270084E-2</v>
      </c>
      <c r="J545" s="273">
        <v>9.2875086658076519E-2</v>
      </c>
      <c r="K545" s="273">
        <v>9.5225947034650857E-2</v>
      </c>
      <c r="L545" s="273">
        <v>9.7578027926406824E-2</v>
      </c>
      <c r="M545" s="273">
        <v>0.10006626763853002</v>
      </c>
      <c r="N545" s="273">
        <v>0.10248787131538292</v>
      </c>
      <c r="O545" s="273">
        <v>0.1050705656725302</v>
      </c>
      <c r="P545" s="273">
        <v>0.1077393580406122</v>
      </c>
      <c r="Q545" s="273">
        <v>0.11043284199162752</v>
      </c>
      <c r="R545" s="273">
        <v>0.11320470632561737</v>
      </c>
      <c r="S545" s="273">
        <v>0.11603482398375792</v>
      </c>
      <c r="T545" s="273">
        <v>0.118912487618555</v>
      </c>
      <c r="U545" s="273">
        <v>0.12189719105778096</v>
      </c>
      <c r="V545" s="273">
        <v>0.12495681055333119</v>
      </c>
    </row>
    <row r="546" spans="1:22" x14ac:dyDescent="0.2">
      <c r="A546" s="261"/>
      <c r="B546" s="264" t="s">
        <v>39</v>
      </c>
      <c r="C546" s="272">
        <v>0</v>
      </c>
      <c r="D546" s="273">
        <v>2.7790727183992191E-2</v>
      </c>
      <c r="E546" s="273">
        <v>2.8912054660810153E-2</v>
      </c>
      <c r="F546" s="273">
        <v>3.0079648609077598E-2</v>
      </c>
      <c r="G546" s="273">
        <v>3.1416886285993165E-2</v>
      </c>
      <c r="H546" s="273">
        <v>1.9521717911176184</v>
      </c>
      <c r="I546" s="273">
        <v>2.0107369448511467</v>
      </c>
      <c r="J546" s="273">
        <v>2.0710590531966813</v>
      </c>
      <c r="K546" s="273">
        <v>2.1331908247925817</v>
      </c>
      <c r="L546" s="273">
        <v>2.1971865495363589</v>
      </c>
      <c r="M546" s="273">
        <v>2.2631021460224496</v>
      </c>
      <c r="N546" s="273">
        <v>2.3309952104031235</v>
      </c>
      <c r="O546" s="273">
        <v>2.4009250667152173</v>
      </c>
      <c r="P546" s="273">
        <v>2.4729528187166738</v>
      </c>
      <c r="Q546" s="273">
        <v>2.5471414032781738</v>
      </c>
      <c r="R546" s="273">
        <v>2.6235556453765194</v>
      </c>
      <c r="S546" s="273">
        <v>2.7022623147378151</v>
      </c>
      <c r="T546" s="273">
        <v>2.7833301841799498</v>
      </c>
      <c r="U546" s="273">
        <v>2.8668300897053483</v>
      </c>
      <c r="V546" s="273">
        <v>2.9528349923965087</v>
      </c>
    </row>
    <row r="547" spans="1:22" x14ac:dyDescent="0.2">
      <c r="A547" s="261"/>
      <c r="B547" s="264" t="s">
        <v>96</v>
      </c>
      <c r="C547" s="274">
        <v>0</v>
      </c>
      <c r="D547" s="275">
        <v>0</v>
      </c>
      <c r="E547" s="275">
        <v>0</v>
      </c>
      <c r="F547" s="275">
        <v>0</v>
      </c>
      <c r="G547" s="275">
        <v>0</v>
      </c>
      <c r="H547" s="275">
        <v>0</v>
      </c>
      <c r="I547" s="275">
        <v>0</v>
      </c>
      <c r="J547" s="275">
        <v>0</v>
      </c>
      <c r="K547" s="275">
        <v>0</v>
      </c>
      <c r="L547" s="275">
        <v>0</v>
      </c>
      <c r="M547" s="275">
        <v>0</v>
      </c>
      <c r="N547" s="275">
        <v>0</v>
      </c>
      <c r="O547" s="275">
        <v>0</v>
      </c>
      <c r="P547" s="275">
        <v>0</v>
      </c>
      <c r="Q547" s="275">
        <v>0</v>
      </c>
      <c r="R547" s="275">
        <v>0</v>
      </c>
      <c r="S547" s="275">
        <v>0</v>
      </c>
      <c r="T547" s="275">
        <v>0</v>
      </c>
      <c r="U547" s="275">
        <v>0</v>
      </c>
      <c r="V547" s="275">
        <v>0</v>
      </c>
    </row>
    <row r="548" spans="1:22" x14ac:dyDescent="0.2">
      <c r="A548" s="261"/>
      <c r="B548" s="264"/>
      <c r="C548" s="261"/>
      <c r="D548" s="261"/>
      <c r="E548" s="261"/>
      <c r="F548" s="261"/>
      <c r="G548" s="261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  <c r="V548" s="261"/>
    </row>
    <row r="549" spans="1:22" x14ac:dyDescent="0.2">
      <c r="A549" s="261"/>
      <c r="B549" s="264"/>
      <c r="C549" s="261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</row>
    <row r="550" spans="1:22" x14ac:dyDescent="0.2">
      <c r="A550" s="24"/>
      <c r="B550" s="289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</row>
    <row r="551" spans="1:22" x14ac:dyDescent="0.2">
      <c r="A551" s="24"/>
      <c r="B551" s="289"/>
      <c r="C551" s="290"/>
      <c r="D551" s="291"/>
      <c r="E551" s="291"/>
      <c r="F551" s="291"/>
      <c r="G551" s="291"/>
      <c r="H551" s="291"/>
      <c r="I551" s="291"/>
      <c r="J551" s="291"/>
      <c r="K551" s="291"/>
      <c r="L551" s="291"/>
      <c r="M551" s="291"/>
      <c r="N551" s="291"/>
      <c r="O551" s="291"/>
      <c r="P551" s="291"/>
      <c r="Q551" s="291"/>
      <c r="R551" s="291"/>
      <c r="S551" s="291"/>
      <c r="T551" s="291"/>
      <c r="U551" s="291"/>
      <c r="V551" s="291"/>
    </row>
    <row r="552" spans="1:22" x14ac:dyDescent="0.2">
      <c r="A552" s="259" t="s">
        <v>98</v>
      </c>
      <c r="B552" s="260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</row>
    <row r="553" spans="1:22" x14ac:dyDescent="0.2">
      <c r="A553" s="262" t="s">
        <v>77</v>
      </c>
      <c r="B553" s="260"/>
      <c r="C553" s="261"/>
      <c r="D553" s="261"/>
      <c r="E553" s="261"/>
      <c r="F553" s="261"/>
      <c r="G553" s="261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  <c r="V553" s="261"/>
    </row>
    <row r="554" spans="1:22" x14ac:dyDescent="0.2">
      <c r="A554" s="261"/>
      <c r="B554" s="260"/>
      <c r="C554" s="261"/>
      <c r="D554" s="261"/>
      <c r="E554" s="261"/>
      <c r="F554" s="261"/>
      <c r="G554" s="261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  <c r="V554" s="261"/>
    </row>
    <row r="555" spans="1:22" x14ac:dyDescent="0.2">
      <c r="A555" s="261"/>
      <c r="B555" s="260"/>
      <c r="C555" s="265">
        <v>2000</v>
      </c>
      <c r="D555" s="266">
        <v>2001</v>
      </c>
      <c r="E555" s="266">
        <v>2002</v>
      </c>
      <c r="F555" s="266">
        <v>2003</v>
      </c>
      <c r="G555" s="266">
        <v>2004</v>
      </c>
      <c r="H555" s="266">
        <v>2005</v>
      </c>
      <c r="I555" s="266">
        <v>2006</v>
      </c>
      <c r="J555" s="266">
        <v>2007</v>
      </c>
      <c r="K555" s="266">
        <v>2008</v>
      </c>
      <c r="L555" s="266">
        <v>2009</v>
      </c>
      <c r="M555" s="266">
        <v>2010</v>
      </c>
      <c r="N555" s="266">
        <v>2011</v>
      </c>
      <c r="O555" s="266">
        <v>2012</v>
      </c>
      <c r="P555" s="266">
        <v>2013</v>
      </c>
      <c r="Q555" s="266">
        <v>2014</v>
      </c>
      <c r="R555" s="266">
        <v>2015</v>
      </c>
      <c r="S555" s="266">
        <v>2016</v>
      </c>
      <c r="T555" s="266">
        <v>2017</v>
      </c>
      <c r="U555" s="266">
        <v>2018</v>
      </c>
      <c r="V555" s="266">
        <v>2019</v>
      </c>
    </row>
    <row r="556" spans="1:22" x14ac:dyDescent="0.2">
      <c r="A556" s="263" t="s">
        <v>129</v>
      </c>
      <c r="B556" s="260"/>
      <c r="C556" s="267"/>
      <c r="D556" s="268"/>
      <c r="E556" s="268"/>
      <c r="F556" s="268"/>
      <c r="G556" s="268"/>
      <c r="H556" s="268"/>
      <c r="I556" s="268"/>
      <c r="J556" s="268"/>
      <c r="K556" s="268"/>
      <c r="L556" s="268"/>
      <c r="M556" s="268"/>
      <c r="N556" s="268"/>
      <c r="O556" s="268"/>
      <c r="P556" s="268"/>
      <c r="Q556" s="268"/>
      <c r="R556" s="268"/>
      <c r="S556" s="268"/>
      <c r="T556" s="268"/>
      <c r="U556" s="268"/>
      <c r="V556" s="268"/>
    </row>
    <row r="557" spans="1:22" x14ac:dyDescent="0.2">
      <c r="A557" s="261"/>
      <c r="B557" s="264" t="s">
        <v>97</v>
      </c>
      <c r="C557" s="269">
        <v>0</v>
      </c>
      <c r="D557" s="270">
        <v>13696.613612929899</v>
      </c>
      <c r="E557" s="270">
        <v>16858.234560102788</v>
      </c>
      <c r="F557" s="270">
        <v>15084.908176016037</v>
      </c>
      <c r="G557" s="270">
        <v>14786.157584177972</v>
      </c>
      <c r="H557" s="270">
        <v>21105.874779139682</v>
      </c>
      <c r="I557" s="270">
        <v>23539.385416023746</v>
      </c>
      <c r="J557" s="270">
        <v>20927.495365175258</v>
      </c>
      <c r="K557" s="270">
        <v>33736.706100273666</v>
      </c>
      <c r="L557" s="270">
        <v>34089.373173032684</v>
      </c>
      <c r="M557" s="270">
        <v>32465.175706194626</v>
      </c>
      <c r="N557" s="270">
        <v>27289.083582366897</v>
      </c>
      <c r="O557" s="270">
        <v>35420.883932119446</v>
      </c>
      <c r="P557" s="270">
        <v>26596.369962363042</v>
      </c>
      <c r="Q557" s="270">
        <v>33551.852354364273</v>
      </c>
      <c r="R557" s="270">
        <v>30184.811443283998</v>
      </c>
      <c r="S557" s="270">
        <v>23067.74422748484</v>
      </c>
      <c r="T557" s="270">
        <v>23509.559852484843</v>
      </c>
      <c r="U557" s="270">
        <v>29474.235408949793</v>
      </c>
      <c r="V557" s="270">
        <v>37937.151098781993</v>
      </c>
    </row>
    <row r="558" spans="1:22" x14ac:dyDescent="0.2">
      <c r="A558" s="261"/>
      <c r="B558" s="264" t="s">
        <v>91</v>
      </c>
      <c r="C558" s="269">
        <v>0</v>
      </c>
      <c r="D558" s="271">
        <v>3.0522993982875932E-2</v>
      </c>
      <c r="E558" s="271">
        <v>3.7568687164699535E-2</v>
      </c>
      <c r="F558" s="271">
        <v>3.3616817594541132E-2</v>
      </c>
      <c r="G558" s="271">
        <v>3.2951049925630214E-2</v>
      </c>
      <c r="H558" s="271">
        <v>4.7034581473398715E-2</v>
      </c>
      <c r="I558" s="271">
        <v>5.2457676015304815E-2</v>
      </c>
      <c r="J558" s="271">
        <v>4.6637061770136802E-2</v>
      </c>
      <c r="K558" s="271">
        <v>7.5182472573264741E-2</v>
      </c>
      <c r="L558" s="271">
        <v>7.5968393476342586E-2</v>
      </c>
      <c r="M558" s="271">
        <v>7.2348858684144007E-2</v>
      </c>
      <c r="N558" s="271">
        <v>6.081390316774838E-2</v>
      </c>
      <c r="O558" s="271">
        <v>7.8935674005405118E-2</v>
      </c>
      <c r="P558" s="271">
        <v>5.9270186286133654E-2</v>
      </c>
      <c r="Q558" s="271">
        <v>7.4770524778462535E-2</v>
      </c>
      <c r="R558" s="271">
        <v>6.7267051849067699E-2</v>
      </c>
      <c r="S558" s="271">
        <v>5.1406620508689709E-2</v>
      </c>
      <c r="T558" s="271">
        <v>5.23912095497856E-2</v>
      </c>
      <c r="U558" s="271">
        <v>6.568352845903179E-2</v>
      </c>
      <c r="V558" s="271">
        <v>8.454319202101479E-2</v>
      </c>
    </row>
    <row r="559" spans="1:22" x14ac:dyDescent="0.2">
      <c r="A559" s="263" t="s">
        <v>93</v>
      </c>
      <c r="B559" s="264"/>
      <c r="C559" s="267"/>
      <c r="D559" s="268"/>
      <c r="E559" s="268"/>
      <c r="F559" s="268"/>
      <c r="G559" s="268"/>
      <c r="H559" s="268"/>
      <c r="I559" s="268"/>
      <c r="J559" s="268"/>
      <c r="K559" s="268"/>
      <c r="L559" s="268"/>
      <c r="M559" s="268"/>
      <c r="N559" s="268"/>
      <c r="O559" s="268"/>
      <c r="P559" s="268"/>
      <c r="Q559" s="268"/>
      <c r="R559" s="268"/>
      <c r="S559" s="268"/>
      <c r="T559" s="268"/>
      <c r="U559" s="268"/>
      <c r="V559" s="268"/>
    </row>
    <row r="560" spans="1:22" x14ac:dyDescent="0.2">
      <c r="A560" s="261"/>
      <c r="B560" s="264" t="s">
        <v>27</v>
      </c>
      <c r="C560" s="272">
        <v>0</v>
      </c>
      <c r="D560" s="273">
        <v>304.69371871116783</v>
      </c>
      <c r="E560" s="273">
        <v>197.91774799993175</v>
      </c>
      <c r="F560" s="273">
        <v>183.72871610248021</v>
      </c>
      <c r="G560" s="273">
        <v>168.15844730703677</v>
      </c>
      <c r="H560" s="273">
        <v>140.12958672135662</v>
      </c>
      <c r="I560" s="273">
        <v>116.0258644229784</v>
      </c>
      <c r="J560" s="273">
        <v>127.66309255624002</v>
      </c>
      <c r="K560" s="273">
        <v>121.50717124272428</v>
      </c>
      <c r="L560" s="273">
        <v>121.76484763696095</v>
      </c>
      <c r="M560" s="273">
        <v>135.01299836201213</v>
      </c>
      <c r="N560" s="273">
        <v>125.6024478648698</v>
      </c>
      <c r="O560" s="273">
        <v>123.10964083213447</v>
      </c>
      <c r="P560" s="273">
        <v>140.36836771520322</v>
      </c>
      <c r="Q560" s="273">
        <v>141.94456421526149</v>
      </c>
      <c r="R560" s="273">
        <v>140.25412912964515</v>
      </c>
      <c r="S560" s="273">
        <v>145.00380217565711</v>
      </c>
      <c r="T560" s="273">
        <v>155.52590386955376</v>
      </c>
      <c r="U560" s="273">
        <v>159.82566715164717</v>
      </c>
      <c r="V560" s="273">
        <v>140.15396390567753</v>
      </c>
    </row>
    <row r="561" spans="1:22" x14ac:dyDescent="0.2">
      <c r="A561" s="261"/>
      <c r="B561" s="264" t="s">
        <v>20</v>
      </c>
      <c r="C561" s="272">
        <v>0</v>
      </c>
      <c r="D561" s="273">
        <v>74.093405792625617</v>
      </c>
      <c r="E561" s="273">
        <v>65.439217367187581</v>
      </c>
      <c r="F561" s="273">
        <v>63.685017875182908</v>
      </c>
      <c r="G561" s="273">
        <v>67.066761656354558</v>
      </c>
      <c r="H561" s="273">
        <v>69.382042484005922</v>
      </c>
      <c r="I561" s="273">
        <v>64.936385043682591</v>
      </c>
      <c r="J561" s="273">
        <v>64.778572406298352</v>
      </c>
      <c r="K561" s="273">
        <v>62.660630628844643</v>
      </c>
      <c r="L561" s="273">
        <v>62.921346134698787</v>
      </c>
      <c r="M561" s="273">
        <v>66.676011698667722</v>
      </c>
      <c r="N561" s="273">
        <v>66.229143842001662</v>
      </c>
      <c r="O561" s="273">
        <v>66.909348456152401</v>
      </c>
      <c r="P561" s="273">
        <v>69.534732869222424</v>
      </c>
      <c r="Q561" s="273">
        <v>71.58538291257716</v>
      </c>
      <c r="R561" s="273">
        <v>75.735417792035079</v>
      </c>
      <c r="S561" s="273">
        <v>79.316727833598392</v>
      </c>
      <c r="T561" s="273">
        <v>81.564794561510155</v>
      </c>
      <c r="U561" s="273">
        <v>87.532063175965931</v>
      </c>
      <c r="V561" s="273">
        <v>91.460220883458661</v>
      </c>
    </row>
    <row r="562" spans="1:22" x14ac:dyDescent="0.2">
      <c r="A562" s="261"/>
      <c r="B562" s="264" t="s">
        <v>92</v>
      </c>
      <c r="C562" s="272">
        <v>0</v>
      </c>
      <c r="D562" s="273">
        <v>2.3846557938360826</v>
      </c>
      <c r="E562" s="273">
        <v>2.3807758415841391</v>
      </c>
      <c r="F562" s="273">
        <v>2.4247898812963546</v>
      </c>
      <c r="G562" s="273">
        <v>2.5220223048737043</v>
      </c>
      <c r="H562" s="273">
        <v>2.630544722981746</v>
      </c>
      <c r="I562" s="273">
        <v>2.5522261936321953</v>
      </c>
      <c r="J562" s="273">
        <v>2.5949222975772201</v>
      </c>
      <c r="K562" s="273">
        <v>2.7402978106064744</v>
      </c>
      <c r="L562" s="273">
        <v>2.7545732810559547</v>
      </c>
      <c r="M562" s="273">
        <v>2.8394818070896735</v>
      </c>
      <c r="N562" s="273">
        <v>2.8492353545162072</v>
      </c>
      <c r="O562" s="273">
        <v>2.9268726965672016</v>
      </c>
      <c r="P562" s="273">
        <v>2.976835019035724</v>
      </c>
      <c r="Q562" s="273">
        <v>3.0895562371710978</v>
      </c>
      <c r="R562" s="273">
        <v>3.0725643038322197</v>
      </c>
      <c r="S562" s="273">
        <v>3.1523248732612608</v>
      </c>
      <c r="T562" s="273">
        <v>3.2083461438252017</v>
      </c>
      <c r="U562" s="273">
        <v>3.2922763993641722</v>
      </c>
      <c r="V562" s="273">
        <v>3.4217506988626094</v>
      </c>
    </row>
    <row r="563" spans="1:22" x14ac:dyDescent="0.2">
      <c r="A563" s="261"/>
      <c r="B563" s="264" t="s">
        <v>22</v>
      </c>
      <c r="C563" s="272">
        <v>0</v>
      </c>
      <c r="D563" s="273">
        <v>0</v>
      </c>
      <c r="E563" s="273">
        <v>0</v>
      </c>
      <c r="F563" s="273">
        <v>0</v>
      </c>
      <c r="G563" s="273">
        <v>0</v>
      </c>
      <c r="H563" s="273">
        <v>0</v>
      </c>
      <c r="I563" s="273">
        <v>0.89962672055047666</v>
      </c>
      <c r="J563" s="273">
        <v>0.99348614579897243</v>
      </c>
      <c r="K563" s="273">
        <v>1.1799349378061008</v>
      </c>
      <c r="L563" s="273">
        <v>1.2295641278368172</v>
      </c>
      <c r="M563" s="273">
        <v>1.3819557985219195</v>
      </c>
      <c r="N563" s="273">
        <v>1.4978915573819873</v>
      </c>
      <c r="O563" s="273">
        <v>1.6708763067846963</v>
      </c>
      <c r="P563" s="273">
        <v>1.8660466497958919</v>
      </c>
      <c r="Q563" s="273">
        <v>2.1150543228829202</v>
      </c>
      <c r="R563" s="273">
        <v>2.2828605580156909</v>
      </c>
      <c r="S563" s="273">
        <v>2.5175094696022167</v>
      </c>
      <c r="T563" s="273">
        <v>2.4729439984529313</v>
      </c>
      <c r="U563" s="273">
        <v>2.1253584286788985</v>
      </c>
      <c r="V563" s="273">
        <v>2.2469553430330138</v>
      </c>
    </row>
    <row r="564" spans="1:22" x14ac:dyDescent="0.2">
      <c r="A564" s="261"/>
      <c r="B564" s="264" t="s">
        <v>23</v>
      </c>
      <c r="C564" s="272">
        <v>0</v>
      </c>
      <c r="D564" s="273">
        <v>0</v>
      </c>
      <c r="E564" s="273">
        <v>0</v>
      </c>
      <c r="F564" s="273">
        <v>0</v>
      </c>
      <c r="G564" s="273">
        <v>0</v>
      </c>
      <c r="H564" s="273">
        <v>0</v>
      </c>
      <c r="I564" s="273">
        <v>0.89962672055047666</v>
      </c>
      <c r="J564" s="273">
        <v>0.99348614579897243</v>
      </c>
      <c r="K564" s="273">
        <v>1.1799349378061008</v>
      </c>
      <c r="L564" s="273">
        <v>1.2295641278368172</v>
      </c>
      <c r="M564" s="273">
        <v>1.3819557985219195</v>
      </c>
      <c r="N564" s="273">
        <v>1.4978915573819873</v>
      </c>
      <c r="O564" s="273">
        <v>1.6708763067846963</v>
      </c>
      <c r="P564" s="273">
        <v>1.8660466497958919</v>
      </c>
      <c r="Q564" s="273">
        <v>2.1150543228829202</v>
      </c>
      <c r="R564" s="273">
        <v>2.2828605580156909</v>
      </c>
      <c r="S564" s="273">
        <v>2.5175094696022167</v>
      </c>
      <c r="T564" s="273">
        <v>2.4729439984529313</v>
      </c>
      <c r="U564" s="273">
        <v>2.1253584286788985</v>
      </c>
      <c r="V564" s="273">
        <v>2.2469553430330138</v>
      </c>
    </row>
    <row r="565" spans="1:22" x14ac:dyDescent="0.2">
      <c r="A565" s="263" t="s">
        <v>94</v>
      </c>
      <c r="B565" s="264"/>
      <c r="C565" s="267"/>
      <c r="D565" s="268"/>
      <c r="E565" s="268"/>
      <c r="F565" s="268"/>
      <c r="G565" s="268"/>
      <c r="H565" s="268"/>
      <c r="I565" s="268"/>
      <c r="J565" s="268"/>
      <c r="K565" s="268"/>
      <c r="L565" s="268"/>
      <c r="M565" s="268"/>
      <c r="N565" s="268"/>
      <c r="O565" s="268"/>
      <c r="P565" s="268"/>
      <c r="Q565" s="268"/>
      <c r="R565" s="268"/>
      <c r="S565" s="268"/>
      <c r="T565" s="268"/>
      <c r="U565" s="268"/>
      <c r="V565" s="268"/>
    </row>
    <row r="566" spans="1:22" x14ac:dyDescent="0.2">
      <c r="A566" s="261"/>
      <c r="B566" s="264" t="s">
        <v>34</v>
      </c>
      <c r="C566" s="272">
        <v>0</v>
      </c>
      <c r="D566" s="273">
        <v>1.787530920037963</v>
      </c>
      <c r="E566" s="273">
        <v>1.8232815384387222</v>
      </c>
      <c r="F566" s="273">
        <v>1.8597471692074967</v>
      </c>
      <c r="G566" s="273">
        <v>1.8969421125916468</v>
      </c>
      <c r="H566" s="273">
        <v>1.9348809548434798</v>
      </c>
      <c r="I566" s="273">
        <v>1.9735785739403493</v>
      </c>
      <c r="J566" s="273">
        <v>2.0130501454191565</v>
      </c>
      <c r="K566" s="273">
        <v>2.0533111483275395</v>
      </c>
      <c r="L566" s="273">
        <v>2.0943773712940903</v>
      </c>
      <c r="M566" s="273">
        <v>2.1362649187199723</v>
      </c>
      <c r="N566" s="273">
        <v>2.1789902170943716</v>
      </c>
      <c r="O566" s="273">
        <v>2.2225700214362591</v>
      </c>
      <c r="P566" s="273">
        <v>2.2670214218649845</v>
      </c>
      <c r="Q566" s="273">
        <v>2.3123618503022842</v>
      </c>
      <c r="R566" s="273">
        <v>2.3586090873083299</v>
      </c>
      <c r="S566" s="273">
        <v>2.4057812690544966</v>
      </c>
      <c r="T566" s="273">
        <v>2.4538968944355863</v>
      </c>
      <c r="U566" s="273">
        <v>2.5029748323242984</v>
      </c>
      <c r="V566" s="273">
        <v>2.5530343289707842</v>
      </c>
    </row>
    <row r="567" spans="1:22" x14ac:dyDescent="0.2">
      <c r="A567" s="261"/>
      <c r="B567" s="264" t="s">
        <v>95</v>
      </c>
      <c r="C567" s="272">
        <v>0</v>
      </c>
      <c r="D567" s="273">
        <v>0.88162831570278188</v>
      </c>
      <c r="E567" s="273">
        <v>0.88162831570278188</v>
      </c>
      <c r="F567" s="273">
        <v>0.88162831570278188</v>
      </c>
      <c r="G567" s="273">
        <v>0.88162831570278188</v>
      </c>
      <c r="H567" s="273">
        <v>0.88162831570278188</v>
      </c>
      <c r="I567" s="273">
        <v>0.88162831570278188</v>
      </c>
      <c r="J567" s="273">
        <v>0.88162831570278188</v>
      </c>
      <c r="K567" s="273">
        <v>0.88162831570278188</v>
      </c>
      <c r="L567" s="273">
        <v>0.88162831570278188</v>
      </c>
      <c r="M567" s="273">
        <v>0.88162831570278188</v>
      </c>
      <c r="N567" s="273">
        <v>0.88162831570278188</v>
      </c>
      <c r="O567" s="273">
        <v>0.88162831570278188</v>
      </c>
      <c r="P567" s="273">
        <v>0.88162831570278188</v>
      </c>
      <c r="Q567" s="273">
        <v>0.88162831570278188</v>
      </c>
      <c r="R567" s="273">
        <v>0.88162831570278188</v>
      </c>
      <c r="S567" s="273">
        <v>0.88162831570278188</v>
      </c>
      <c r="T567" s="273">
        <v>0.88162831570278188</v>
      </c>
      <c r="U567" s="273">
        <v>0.88162831570278188</v>
      </c>
      <c r="V567" s="273">
        <v>0.88162831570278188</v>
      </c>
    </row>
    <row r="568" spans="1:22" x14ac:dyDescent="0.2">
      <c r="A568" s="261"/>
      <c r="B568" s="264" t="s">
        <v>36</v>
      </c>
      <c r="C568" s="272">
        <v>0</v>
      </c>
      <c r="D568" s="273">
        <v>8.093046139000272E-2</v>
      </c>
      <c r="E568" s="273">
        <v>8.2638094125332157E-2</v>
      </c>
      <c r="F568" s="273">
        <v>8.4447868386677005E-2</v>
      </c>
      <c r="G568" s="273">
        <v>8.635639021221532E-2</v>
      </c>
      <c r="H568" s="273">
        <v>8.8411672299266178E-2</v>
      </c>
      <c r="I568" s="273">
        <v>9.0627277695270084E-2</v>
      </c>
      <c r="J568" s="273">
        <v>9.2875086658076519E-2</v>
      </c>
      <c r="K568" s="273">
        <v>9.5225947034650857E-2</v>
      </c>
      <c r="L568" s="273">
        <v>9.7578027926406824E-2</v>
      </c>
      <c r="M568" s="273">
        <v>0.10006626763853002</v>
      </c>
      <c r="N568" s="273">
        <v>0.10248787131538292</v>
      </c>
      <c r="O568" s="273">
        <v>0.1050705656725302</v>
      </c>
      <c r="P568" s="273">
        <v>0.1077393580406122</v>
      </c>
      <c r="Q568" s="273">
        <v>0.11043284199162752</v>
      </c>
      <c r="R568" s="273">
        <v>0.11320470632561737</v>
      </c>
      <c r="S568" s="273">
        <v>0.11603482398375792</v>
      </c>
      <c r="T568" s="273">
        <v>0.118912487618555</v>
      </c>
      <c r="U568" s="273">
        <v>0.12189719105778096</v>
      </c>
      <c r="V568" s="273">
        <v>0.12495681055333119</v>
      </c>
    </row>
    <row r="569" spans="1:22" x14ac:dyDescent="0.2">
      <c r="A569" s="261"/>
      <c r="B569" s="264" t="s">
        <v>39</v>
      </c>
      <c r="C569" s="272">
        <v>0</v>
      </c>
      <c r="D569" s="273">
        <v>2.7790727183992191E-2</v>
      </c>
      <c r="E569" s="273">
        <v>2.8912054660810153E-2</v>
      </c>
      <c r="F569" s="273">
        <v>3.0079648609077598E-2</v>
      </c>
      <c r="G569" s="273">
        <v>3.1416886285993165E-2</v>
      </c>
      <c r="H569" s="273">
        <v>1.9521717911176184</v>
      </c>
      <c r="I569" s="273">
        <v>2.0107369448511467</v>
      </c>
      <c r="J569" s="273">
        <v>2.0710590531966813</v>
      </c>
      <c r="K569" s="273">
        <v>2.1331908247925817</v>
      </c>
      <c r="L569" s="273">
        <v>2.1971865495363589</v>
      </c>
      <c r="M569" s="273">
        <v>2.2631021460224496</v>
      </c>
      <c r="N569" s="273">
        <v>2.3309952104031235</v>
      </c>
      <c r="O569" s="273">
        <v>2.4009250667152173</v>
      </c>
      <c r="P569" s="273">
        <v>2.4729528187166738</v>
      </c>
      <c r="Q569" s="273">
        <v>2.5471414032781738</v>
      </c>
      <c r="R569" s="273">
        <v>2.6235556453765194</v>
      </c>
      <c r="S569" s="273">
        <v>2.7022623147378151</v>
      </c>
      <c r="T569" s="273">
        <v>2.7833301841799498</v>
      </c>
      <c r="U569" s="273">
        <v>2.8668300897053483</v>
      </c>
      <c r="V569" s="273">
        <v>2.9528349923965087</v>
      </c>
    </row>
    <row r="570" spans="1:22" x14ac:dyDescent="0.2">
      <c r="A570" s="261"/>
      <c r="B570" s="264" t="s">
        <v>96</v>
      </c>
      <c r="C570" s="274">
        <v>0</v>
      </c>
      <c r="D570" s="275">
        <v>0</v>
      </c>
      <c r="E570" s="275">
        <v>0</v>
      </c>
      <c r="F570" s="275">
        <v>0</v>
      </c>
      <c r="G570" s="275">
        <v>0</v>
      </c>
      <c r="H570" s="275">
        <v>0</v>
      </c>
      <c r="I570" s="275">
        <v>0</v>
      </c>
      <c r="J570" s="275">
        <v>0</v>
      </c>
      <c r="K570" s="275">
        <v>0</v>
      </c>
      <c r="L570" s="275">
        <v>0</v>
      </c>
      <c r="M570" s="275">
        <v>0</v>
      </c>
      <c r="N570" s="275">
        <v>0</v>
      </c>
      <c r="O570" s="275">
        <v>0</v>
      </c>
      <c r="P570" s="275">
        <v>0</v>
      </c>
      <c r="Q570" s="275">
        <v>0</v>
      </c>
      <c r="R570" s="275">
        <v>0</v>
      </c>
      <c r="S570" s="275">
        <v>0</v>
      </c>
      <c r="T570" s="275">
        <v>0</v>
      </c>
      <c r="U570" s="275">
        <v>0</v>
      </c>
      <c r="V570" s="275">
        <v>0</v>
      </c>
    </row>
    <row r="571" spans="1:22" x14ac:dyDescent="0.2">
      <c r="A571" s="261"/>
      <c r="B571" s="264"/>
      <c r="C571" s="261"/>
      <c r="D571" s="261"/>
      <c r="E571" s="261"/>
      <c r="F571" s="261"/>
      <c r="G571" s="261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</row>
    <row r="572" spans="1:22" x14ac:dyDescent="0.2">
      <c r="A572" s="261"/>
      <c r="B572" s="264"/>
      <c r="C572" s="261"/>
      <c r="D572" s="261"/>
      <c r="E572" s="261"/>
      <c r="F572" s="261"/>
      <c r="G572" s="261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</row>
    <row r="573" spans="1:22" x14ac:dyDescent="0.2">
      <c r="A573" s="292"/>
      <c r="B573" s="289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spans="1:22" x14ac:dyDescent="0.2">
      <c r="A574" s="24"/>
      <c r="B574" s="289"/>
      <c r="C574" s="293"/>
      <c r="D574" s="293"/>
      <c r="E574" s="293"/>
      <c r="F574" s="293"/>
      <c r="G574" s="293"/>
      <c r="H574" s="293"/>
      <c r="I574" s="293"/>
      <c r="J574" s="293"/>
      <c r="K574" s="293"/>
      <c r="L574" s="293"/>
      <c r="M574" s="293"/>
      <c r="N574" s="293"/>
      <c r="O574" s="293"/>
      <c r="P574" s="293"/>
      <c r="Q574" s="293"/>
      <c r="R574" s="293"/>
      <c r="S574" s="293"/>
      <c r="T574" s="293"/>
      <c r="U574" s="293"/>
      <c r="V574" s="293"/>
    </row>
    <row r="575" spans="1:22" x14ac:dyDescent="0.2">
      <c r="A575" s="259" t="s">
        <v>98</v>
      </c>
      <c r="B575" s="260"/>
      <c r="C575" s="261"/>
      <c r="D575" s="261"/>
      <c r="E575" s="261"/>
      <c r="F575" s="261"/>
      <c r="G575" s="261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  <c r="V575" s="261"/>
    </row>
    <row r="576" spans="1:22" x14ac:dyDescent="0.2">
      <c r="A576" s="262" t="s">
        <v>78</v>
      </c>
      <c r="B576" s="260"/>
      <c r="C576" s="261"/>
      <c r="D576" s="261"/>
      <c r="E576" s="261"/>
      <c r="F576" s="261"/>
      <c r="G576" s="261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</row>
    <row r="577" spans="1:22" x14ac:dyDescent="0.2">
      <c r="A577" s="261"/>
      <c r="B577" s="260"/>
      <c r="C577" s="261"/>
      <c r="D577" s="261"/>
      <c r="E577" s="261"/>
      <c r="F577" s="261"/>
      <c r="G577" s="261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</row>
    <row r="578" spans="1:22" x14ac:dyDescent="0.2">
      <c r="A578" s="261"/>
      <c r="B578" s="260"/>
      <c r="C578" s="265">
        <v>2000</v>
      </c>
      <c r="D578" s="266">
        <v>2001</v>
      </c>
      <c r="E578" s="266">
        <v>2002</v>
      </c>
      <c r="F578" s="266">
        <v>2003</v>
      </c>
      <c r="G578" s="266">
        <v>2004</v>
      </c>
      <c r="H578" s="266">
        <v>2005</v>
      </c>
      <c r="I578" s="266">
        <v>2006</v>
      </c>
      <c r="J578" s="266">
        <v>2007</v>
      </c>
      <c r="K578" s="266">
        <v>2008</v>
      </c>
      <c r="L578" s="266">
        <v>2009</v>
      </c>
      <c r="M578" s="266">
        <v>2010</v>
      </c>
      <c r="N578" s="266">
        <v>2011</v>
      </c>
      <c r="O578" s="266">
        <v>2012</v>
      </c>
      <c r="P578" s="266">
        <v>2013</v>
      </c>
      <c r="Q578" s="266">
        <v>2014</v>
      </c>
      <c r="R578" s="266">
        <v>2015</v>
      </c>
      <c r="S578" s="266">
        <v>2016</v>
      </c>
      <c r="T578" s="266">
        <v>2017</v>
      </c>
      <c r="U578" s="266">
        <v>2018</v>
      </c>
      <c r="V578" s="266">
        <v>2019</v>
      </c>
    </row>
    <row r="579" spans="1:22" x14ac:dyDescent="0.2">
      <c r="A579" s="263" t="s">
        <v>129</v>
      </c>
      <c r="B579" s="260"/>
      <c r="C579" s="267"/>
      <c r="D579" s="268"/>
      <c r="E579" s="268"/>
      <c r="F579" s="268"/>
      <c r="G579" s="268"/>
      <c r="H579" s="268"/>
      <c r="I579" s="268"/>
      <c r="J579" s="268"/>
      <c r="K579" s="268"/>
      <c r="L579" s="268"/>
      <c r="M579" s="268"/>
      <c r="N579" s="268"/>
      <c r="O579" s="268"/>
      <c r="P579" s="268"/>
      <c r="Q579" s="268"/>
      <c r="R579" s="268"/>
      <c r="S579" s="268"/>
      <c r="T579" s="268"/>
      <c r="U579" s="268"/>
      <c r="V579" s="268"/>
    </row>
    <row r="580" spans="1:22" x14ac:dyDescent="0.2">
      <c r="A580" s="261"/>
      <c r="B580" s="264" t="s">
        <v>97</v>
      </c>
      <c r="C580" s="269">
        <v>0</v>
      </c>
      <c r="D580" s="270">
        <v>13696.613612929899</v>
      </c>
      <c r="E580" s="270">
        <v>16858.234560102788</v>
      </c>
      <c r="F580" s="270">
        <v>15084.908176016037</v>
      </c>
      <c r="G580" s="270">
        <v>14786.157584177972</v>
      </c>
      <c r="H580" s="270">
        <v>21105.874779139682</v>
      </c>
      <c r="I580" s="270">
        <v>23539.385416023746</v>
      </c>
      <c r="J580" s="270">
        <v>20927.495365175258</v>
      </c>
      <c r="K580" s="270">
        <v>33736.706100273666</v>
      </c>
      <c r="L580" s="270">
        <v>34089.373173032684</v>
      </c>
      <c r="M580" s="270">
        <v>32465.175706194626</v>
      </c>
      <c r="N580" s="270">
        <v>27289.083582366897</v>
      </c>
      <c r="O580" s="270">
        <v>35420.883932119446</v>
      </c>
      <c r="P580" s="270">
        <v>26596.369962363042</v>
      </c>
      <c r="Q580" s="270">
        <v>33551.852354364273</v>
      </c>
      <c r="R580" s="270">
        <v>30184.811443283998</v>
      </c>
      <c r="S580" s="270">
        <v>23067.74422748484</v>
      </c>
      <c r="T580" s="270">
        <v>23509.559852484843</v>
      </c>
      <c r="U580" s="270">
        <v>29474.235408949793</v>
      </c>
      <c r="V580" s="270">
        <v>37937.151098781993</v>
      </c>
    </row>
    <row r="581" spans="1:22" x14ac:dyDescent="0.2">
      <c r="A581" s="261"/>
      <c r="B581" s="264" t="s">
        <v>91</v>
      </c>
      <c r="C581" s="269">
        <v>0</v>
      </c>
      <c r="D581" s="271">
        <v>3.0522993982875932E-2</v>
      </c>
      <c r="E581" s="271">
        <v>3.7568687164699535E-2</v>
      </c>
      <c r="F581" s="271">
        <v>3.3616817594541132E-2</v>
      </c>
      <c r="G581" s="271">
        <v>3.2951049925630214E-2</v>
      </c>
      <c r="H581" s="271">
        <v>4.7034581473398715E-2</v>
      </c>
      <c r="I581" s="271">
        <v>5.2457676015304815E-2</v>
      </c>
      <c r="J581" s="271">
        <v>4.6637061770136802E-2</v>
      </c>
      <c r="K581" s="271">
        <v>7.5182472573264741E-2</v>
      </c>
      <c r="L581" s="271">
        <v>7.5968393476342586E-2</v>
      </c>
      <c r="M581" s="271">
        <v>7.2348858684144007E-2</v>
      </c>
      <c r="N581" s="271">
        <v>6.081390316774838E-2</v>
      </c>
      <c r="O581" s="271">
        <v>7.8935674005405118E-2</v>
      </c>
      <c r="P581" s="271">
        <v>5.9270186286133654E-2</v>
      </c>
      <c r="Q581" s="271">
        <v>7.4770524778462535E-2</v>
      </c>
      <c r="R581" s="271">
        <v>6.7267051849067699E-2</v>
      </c>
      <c r="S581" s="271">
        <v>5.1406620508689709E-2</v>
      </c>
      <c r="T581" s="271">
        <v>5.23912095497856E-2</v>
      </c>
      <c r="U581" s="271">
        <v>6.568352845903179E-2</v>
      </c>
      <c r="V581" s="271">
        <v>8.454319202101479E-2</v>
      </c>
    </row>
    <row r="582" spans="1:22" x14ac:dyDescent="0.2">
      <c r="A582" s="263" t="s">
        <v>93</v>
      </c>
      <c r="B582" s="264"/>
      <c r="C582" s="267"/>
      <c r="D582" s="268"/>
      <c r="E582" s="268"/>
      <c r="F582" s="268"/>
      <c r="G582" s="268"/>
      <c r="H582" s="268"/>
      <c r="I582" s="268"/>
      <c r="J582" s="268"/>
      <c r="K582" s="268"/>
      <c r="L582" s="268"/>
      <c r="M582" s="268"/>
      <c r="N582" s="268"/>
      <c r="O582" s="268"/>
      <c r="P582" s="268"/>
      <c r="Q582" s="268"/>
      <c r="R582" s="268"/>
      <c r="S582" s="268"/>
      <c r="T582" s="268"/>
      <c r="U582" s="268"/>
      <c r="V582" s="268"/>
    </row>
    <row r="583" spans="1:22" x14ac:dyDescent="0.2">
      <c r="A583" s="261"/>
      <c r="B583" s="264" t="s">
        <v>27</v>
      </c>
      <c r="C583" s="272">
        <v>0</v>
      </c>
      <c r="D583" s="273">
        <v>304.69371871116783</v>
      </c>
      <c r="E583" s="273">
        <v>197.91774799993175</v>
      </c>
      <c r="F583" s="273">
        <v>183.72871610248021</v>
      </c>
      <c r="G583" s="273">
        <v>168.15844730703677</v>
      </c>
      <c r="H583" s="273">
        <v>140.12958672135662</v>
      </c>
      <c r="I583" s="273">
        <v>116.0258644229784</v>
      </c>
      <c r="J583" s="273">
        <v>127.66309255624002</v>
      </c>
      <c r="K583" s="273">
        <v>121.50717124272428</v>
      </c>
      <c r="L583" s="273">
        <v>121.76484763696095</v>
      </c>
      <c r="M583" s="273">
        <v>135.01299836201213</v>
      </c>
      <c r="N583" s="273">
        <v>125.6024478648698</v>
      </c>
      <c r="O583" s="273">
        <v>123.10964083213447</v>
      </c>
      <c r="P583" s="273">
        <v>140.36836771520322</v>
      </c>
      <c r="Q583" s="273">
        <v>141.94456421526149</v>
      </c>
      <c r="R583" s="273">
        <v>140.25412912964515</v>
      </c>
      <c r="S583" s="273">
        <v>145.00380217565711</v>
      </c>
      <c r="T583" s="273">
        <v>155.52590386955376</v>
      </c>
      <c r="U583" s="273">
        <v>159.82566715164717</v>
      </c>
      <c r="V583" s="273">
        <v>140.15396390567753</v>
      </c>
    </row>
    <row r="584" spans="1:22" x14ac:dyDescent="0.2">
      <c r="A584" s="261"/>
      <c r="B584" s="264" t="s">
        <v>20</v>
      </c>
      <c r="C584" s="272">
        <v>0</v>
      </c>
      <c r="D584" s="273">
        <v>74.093405792625617</v>
      </c>
      <c r="E584" s="273">
        <v>65.439217367187581</v>
      </c>
      <c r="F584" s="273">
        <v>63.685017875182908</v>
      </c>
      <c r="G584" s="273">
        <v>67.066761656354558</v>
      </c>
      <c r="H584" s="273">
        <v>69.382042484005922</v>
      </c>
      <c r="I584" s="273">
        <v>64.936385043682591</v>
      </c>
      <c r="J584" s="273">
        <v>64.778572406298352</v>
      </c>
      <c r="K584" s="273">
        <v>62.660630628844643</v>
      </c>
      <c r="L584" s="273">
        <v>62.921346134698787</v>
      </c>
      <c r="M584" s="273">
        <v>66.676011698667722</v>
      </c>
      <c r="N584" s="273">
        <v>66.229143842001662</v>
      </c>
      <c r="O584" s="273">
        <v>66.909348456152401</v>
      </c>
      <c r="P584" s="273">
        <v>69.534732869222424</v>
      </c>
      <c r="Q584" s="273">
        <v>71.58538291257716</v>
      </c>
      <c r="R584" s="273">
        <v>75.735417792035079</v>
      </c>
      <c r="S584" s="273">
        <v>79.316727833598392</v>
      </c>
      <c r="T584" s="273">
        <v>81.564794561510155</v>
      </c>
      <c r="U584" s="273">
        <v>87.532063175965931</v>
      </c>
      <c r="V584" s="273">
        <v>91.460220883458661</v>
      </c>
    </row>
    <row r="585" spans="1:22" x14ac:dyDescent="0.2">
      <c r="A585" s="261"/>
      <c r="B585" s="264" t="s">
        <v>92</v>
      </c>
      <c r="C585" s="272">
        <v>0</v>
      </c>
      <c r="D585" s="273">
        <v>2.3846557938360826</v>
      </c>
      <c r="E585" s="273">
        <v>2.3807758415841391</v>
      </c>
      <c r="F585" s="273">
        <v>2.4247898812963546</v>
      </c>
      <c r="G585" s="273">
        <v>2.5220223048737043</v>
      </c>
      <c r="H585" s="273">
        <v>2.630544722981746</v>
      </c>
      <c r="I585" s="273">
        <v>2.5522261936321953</v>
      </c>
      <c r="J585" s="273">
        <v>2.5949222975772201</v>
      </c>
      <c r="K585" s="273">
        <v>2.7402978106064744</v>
      </c>
      <c r="L585" s="273">
        <v>2.7545732810559547</v>
      </c>
      <c r="M585" s="273">
        <v>2.8394818070896735</v>
      </c>
      <c r="N585" s="273">
        <v>2.8492353545162072</v>
      </c>
      <c r="O585" s="273">
        <v>2.9268726965672016</v>
      </c>
      <c r="P585" s="273">
        <v>2.976835019035724</v>
      </c>
      <c r="Q585" s="273">
        <v>3.0895562371710978</v>
      </c>
      <c r="R585" s="273">
        <v>3.0725643038322197</v>
      </c>
      <c r="S585" s="273">
        <v>3.1523248732612608</v>
      </c>
      <c r="T585" s="273">
        <v>3.2083461438252017</v>
      </c>
      <c r="U585" s="273">
        <v>3.2922763993641722</v>
      </c>
      <c r="V585" s="273">
        <v>3.4217506988626094</v>
      </c>
    </row>
    <row r="586" spans="1:22" x14ac:dyDescent="0.2">
      <c r="A586" s="261"/>
      <c r="B586" s="264" t="s">
        <v>22</v>
      </c>
      <c r="C586" s="272">
        <v>0</v>
      </c>
      <c r="D586" s="273">
        <v>0</v>
      </c>
      <c r="E586" s="273">
        <v>0</v>
      </c>
      <c r="F586" s="273">
        <v>0</v>
      </c>
      <c r="G586" s="273">
        <v>0</v>
      </c>
      <c r="H586" s="273">
        <v>0</v>
      </c>
      <c r="I586" s="273">
        <v>0.89962672055047666</v>
      </c>
      <c r="J586" s="273">
        <v>0.99348614579897243</v>
      </c>
      <c r="K586" s="273">
        <v>1.1799349378061008</v>
      </c>
      <c r="L586" s="273">
        <v>1.2295641278368172</v>
      </c>
      <c r="M586" s="273">
        <v>1.3819557985219195</v>
      </c>
      <c r="N586" s="273">
        <v>1.4978915573819873</v>
      </c>
      <c r="O586" s="273">
        <v>1.6708763067846963</v>
      </c>
      <c r="P586" s="273">
        <v>1.8660466497958919</v>
      </c>
      <c r="Q586" s="273">
        <v>2.1150543228829202</v>
      </c>
      <c r="R586" s="273">
        <v>2.2828605580156909</v>
      </c>
      <c r="S586" s="273">
        <v>2.5175094696022167</v>
      </c>
      <c r="T586" s="273">
        <v>2.4729439984529313</v>
      </c>
      <c r="U586" s="273">
        <v>2.1253584286788985</v>
      </c>
      <c r="V586" s="273">
        <v>2.2469553430330138</v>
      </c>
    </row>
    <row r="587" spans="1:22" x14ac:dyDescent="0.2">
      <c r="A587" s="261"/>
      <c r="B587" s="264" t="s">
        <v>23</v>
      </c>
      <c r="C587" s="272">
        <v>0</v>
      </c>
      <c r="D587" s="273">
        <v>0</v>
      </c>
      <c r="E587" s="273">
        <v>0</v>
      </c>
      <c r="F587" s="273">
        <v>0</v>
      </c>
      <c r="G587" s="273">
        <v>0</v>
      </c>
      <c r="H587" s="273">
        <v>0</v>
      </c>
      <c r="I587" s="273">
        <v>0.89962672055047666</v>
      </c>
      <c r="J587" s="273">
        <v>0.99348614579897243</v>
      </c>
      <c r="K587" s="273">
        <v>1.1799349378061008</v>
      </c>
      <c r="L587" s="273">
        <v>1.2295641278368172</v>
      </c>
      <c r="M587" s="273">
        <v>1.3819557985219195</v>
      </c>
      <c r="N587" s="273">
        <v>1.4978915573819873</v>
      </c>
      <c r="O587" s="273">
        <v>1.6708763067846963</v>
      </c>
      <c r="P587" s="273">
        <v>1.8660466497958919</v>
      </c>
      <c r="Q587" s="273">
        <v>2.1150543228829202</v>
      </c>
      <c r="R587" s="273">
        <v>2.2828605580156909</v>
      </c>
      <c r="S587" s="273">
        <v>2.5175094696022167</v>
      </c>
      <c r="T587" s="273">
        <v>2.4729439984529313</v>
      </c>
      <c r="U587" s="273">
        <v>2.1253584286788985</v>
      </c>
      <c r="V587" s="273">
        <v>2.2469553430330138</v>
      </c>
    </row>
    <row r="588" spans="1:22" x14ac:dyDescent="0.2">
      <c r="A588" s="263" t="s">
        <v>94</v>
      </c>
      <c r="B588" s="264"/>
      <c r="C588" s="267"/>
      <c r="D588" s="268"/>
      <c r="E588" s="268"/>
      <c r="F588" s="268"/>
      <c r="G588" s="268"/>
      <c r="H588" s="268"/>
      <c r="I588" s="268"/>
      <c r="J588" s="268"/>
      <c r="K588" s="268"/>
      <c r="L588" s="268"/>
      <c r="M588" s="268"/>
      <c r="N588" s="268"/>
      <c r="O588" s="268"/>
      <c r="P588" s="268"/>
      <c r="Q588" s="268"/>
      <c r="R588" s="268"/>
      <c r="S588" s="268"/>
      <c r="T588" s="268"/>
      <c r="U588" s="268"/>
      <c r="V588" s="268"/>
    </row>
    <row r="589" spans="1:22" x14ac:dyDescent="0.2">
      <c r="A589" s="261"/>
      <c r="B589" s="264" t="s">
        <v>34</v>
      </c>
      <c r="C589" s="272">
        <v>0</v>
      </c>
      <c r="D589" s="273">
        <v>1.787530920037963</v>
      </c>
      <c r="E589" s="273">
        <v>1.8232815384387222</v>
      </c>
      <c r="F589" s="273">
        <v>1.8597471692074967</v>
      </c>
      <c r="G589" s="273">
        <v>1.8969421125916468</v>
      </c>
      <c r="H589" s="273">
        <v>1.9348809548434798</v>
      </c>
      <c r="I589" s="273">
        <v>1.9735785739403493</v>
      </c>
      <c r="J589" s="273">
        <v>2.0130501454191565</v>
      </c>
      <c r="K589" s="273">
        <v>2.0533111483275395</v>
      </c>
      <c r="L589" s="273">
        <v>2.0943773712940903</v>
      </c>
      <c r="M589" s="273">
        <v>2.1362649187199723</v>
      </c>
      <c r="N589" s="273">
        <v>2.1789902170943716</v>
      </c>
      <c r="O589" s="273">
        <v>2.2225700214362591</v>
      </c>
      <c r="P589" s="273">
        <v>2.2670214218649845</v>
      </c>
      <c r="Q589" s="273">
        <v>2.3123618503022842</v>
      </c>
      <c r="R589" s="273">
        <v>2.3586090873083299</v>
      </c>
      <c r="S589" s="273">
        <v>2.4057812690544966</v>
      </c>
      <c r="T589" s="273">
        <v>2.4538968944355863</v>
      </c>
      <c r="U589" s="273">
        <v>2.5029748323242984</v>
      </c>
      <c r="V589" s="273">
        <v>2.5530343289707842</v>
      </c>
    </row>
    <row r="590" spans="1:22" x14ac:dyDescent="0.2">
      <c r="A590" s="261"/>
      <c r="B590" s="264" t="s">
        <v>95</v>
      </c>
      <c r="C590" s="272">
        <v>0</v>
      </c>
      <c r="D590" s="273">
        <v>0.88162831570278188</v>
      </c>
      <c r="E590" s="273">
        <v>0.88162831570278188</v>
      </c>
      <c r="F590" s="273">
        <v>0.88162831570278188</v>
      </c>
      <c r="G590" s="273">
        <v>0.88162831570278188</v>
      </c>
      <c r="H590" s="273">
        <v>0.88162831570278188</v>
      </c>
      <c r="I590" s="273">
        <v>0.88162831570278188</v>
      </c>
      <c r="J590" s="273">
        <v>0.88162831570278188</v>
      </c>
      <c r="K590" s="273">
        <v>0.88162831570278188</v>
      </c>
      <c r="L590" s="273">
        <v>0.88162831570278188</v>
      </c>
      <c r="M590" s="273">
        <v>0.88162831570278188</v>
      </c>
      <c r="N590" s="273">
        <v>0.88162831570278188</v>
      </c>
      <c r="O590" s="273">
        <v>0.88162831570278188</v>
      </c>
      <c r="P590" s="273">
        <v>0.88162831570278188</v>
      </c>
      <c r="Q590" s="273">
        <v>0.88162831570278188</v>
      </c>
      <c r="R590" s="273">
        <v>0.88162831570278188</v>
      </c>
      <c r="S590" s="273">
        <v>0.88162831570278188</v>
      </c>
      <c r="T590" s="273">
        <v>0.88162831570278188</v>
      </c>
      <c r="U590" s="273">
        <v>0.88162831570278188</v>
      </c>
      <c r="V590" s="273">
        <v>0.88162831570278188</v>
      </c>
    </row>
    <row r="591" spans="1:22" x14ac:dyDescent="0.2">
      <c r="A591" s="261"/>
      <c r="B591" s="264" t="s">
        <v>36</v>
      </c>
      <c r="C591" s="272">
        <v>0</v>
      </c>
      <c r="D591" s="273">
        <v>8.093046139000272E-2</v>
      </c>
      <c r="E591" s="273">
        <v>8.2638094125332157E-2</v>
      </c>
      <c r="F591" s="273">
        <v>8.4447868386677005E-2</v>
      </c>
      <c r="G591" s="273">
        <v>8.635639021221532E-2</v>
      </c>
      <c r="H591" s="273">
        <v>8.8411672299266178E-2</v>
      </c>
      <c r="I591" s="273">
        <v>9.0627277695270084E-2</v>
      </c>
      <c r="J591" s="273">
        <v>9.2875086658076519E-2</v>
      </c>
      <c r="K591" s="273">
        <v>9.5225947034650857E-2</v>
      </c>
      <c r="L591" s="273">
        <v>9.7578027926406824E-2</v>
      </c>
      <c r="M591" s="273">
        <v>0.10006626763853002</v>
      </c>
      <c r="N591" s="273">
        <v>0.10248787131538292</v>
      </c>
      <c r="O591" s="273">
        <v>0.1050705656725302</v>
      </c>
      <c r="P591" s="273">
        <v>0.1077393580406122</v>
      </c>
      <c r="Q591" s="273">
        <v>0.11043284199162752</v>
      </c>
      <c r="R591" s="273">
        <v>0.11320470632561737</v>
      </c>
      <c r="S591" s="273">
        <v>0.11603482398375792</v>
      </c>
      <c r="T591" s="273">
        <v>0.118912487618555</v>
      </c>
      <c r="U591" s="273">
        <v>0.12189719105778096</v>
      </c>
      <c r="V591" s="273">
        <v>0.12495681055333119</v>
      </c>
    </row>
    <row r="592" spans="1:22" x14ac:dyDescent="0.2">
      <c r="A592" s="261"/>
      <c r="B592" s="264" t="s">
        <v>39</v>
      </c>
      <c r="C592" s="272">
        <v>0</v>
      </c>
      <c r="D592" s="273">
        <v>2.7790727183992191E-2</v>
      </c>
      <c r="E592" s="273">
        <v>2.8912054660810153E-2</v>
      </c>
      <c r="F592" s="273">
        <v>3.0079648609077598E-2</v>
      </c>
      <c r="G592" s="273">
        <v>3.1416886285993165E-2</v>
      </c>
      <c r="H592" s="273">
        <v>1.9521717911176184</v>
      </c>
      <c r="I592" s="273">
        <v>2.0107369448511467</v>
      </c>
      <c r="J592" s="273">
        <v>2.0710590531966813</v>
      </c>
      <c r="K592" s="273">
        <v>2.1331908247925817</v>
      </c>
      <c r="L592" s="273">
        <v>2.1971865495363589</v>
      </c>
      <c r="M592" s="273">
        <v>2.2631021460224496</v>
      </c>
      <c r="N592" s="273">
        <v>2.3309952104031235</v>
      </c>
      <c r="O592" s="273">
        <v>2.4009250667152173</v>
      </c>
      <c r="P592" s="273">
        <v>2.4729528187166738</v>
      </c>
      <c r="Q592" s="273">
        <v>2.5471414032781738</v>
      </c>
      <c r="R592" s="273">
        <v>2.6235556453765194</v>
      </c>
      <c r="S592" s="273">
        <v>2.7022623147378151</v>
      </c>
      <c r="T592" s="273">
        <v>2.7833301841799498</v>
      </c>
      <c r="U592" s="273">
        <v>2.8668300897053483</v>
      </c>
      <c r="V592" s="273">
        <v>2.9528349923965087</v>
      </c>
    </row>
    <row r="593" spans="1:22" x14ac:dyDescent="0.2">
      <c r="A593" s="261"/>
      <c r="B593" s="264" t="s">
        <v>96</v>
      </c>
      <c r="C593" s="274">
        <v>0</v>
      </c>
      <c r="D593" s="275">
        <v>0</v>
      </c>
      <c r="E593" s="275">
        <v>0</v>
      </c>
      <c r="F593" s="275">
        <v>0</v>
      </c>
      <c r="G593" s="275">
        <v>0</v>
      </c>
      <c r="H593" s="275">
        <v>0</v>
      </c>
      <c r="I593" s="275">
        <v>0</v>
      </c>
      <c r="J593" s="275">
        <v>0</v>
      </c>
      <c r="K593" s="275">
        <v>0</v>
      </c>
      <c r="L593" s="275">
        <v>0</v>
      </c>
      <c r="M593" s="275">
        <v>0</v>
      </c>
      <c r="N593" s="275">
        <v>0</v>
      </c>
      <c r="O593" s="275">
        <v>0</v>
      </c>
      <c r="P593" s="275">
        <v>0</v>
      </c>
      <c r="Q593" s="275">
        <v>0</v>
      </c>
      <c r="R593" s="275">
        <v>0</v>
      </c>
      <c r="S593" s="275">
        <v>0</v>
      </c>
      <c r="T593" s="275">
        <v>0</v>
      </c>
      <c r="U593" s="275">
        <v>0</v>
      </c>
      <c r="V593" s="275">
        <v>0</v>
      </c>
    </row>
    <row r="594" spans="1:22" x14ac:dyDescent="0.2">
      <c r="A594" s="261"/>
      <c r="B594" s="264"/>
      <c r="C594" s="261"/>
      <c r="D594" s="261"/>
      <c r="E594" s="261"/>
      <c r="F594" s="261"/>
      <c r="G594" s="261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</row>
    <row r="595" spans="1:22" x14ac:dyDescent="0.2">
      <c r="A595" s="261"/>
      <c r="B595" s="264"/>
      <c r="C595" s="261"/>
      <c r="D595" s="261"/>
      <c r="E595" s="261"/>
      <c r="F595" s="261"/>
      <c r="G595" s="261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</row>
    <row r="596" spans="1:22" x14ac:dyDescent="0.2">
      <c r="A596" s="24"/>
      <c r="B596" s="289"/>
      <c r="C596" s="293"/>
      <c r="D596" s="293"/>
      <c r="E596" s="293"/>
      <c r="F596" s="293"/>
      <c r="G596" s="293"/>
      <c r="H596" s="293"/>
      <c r="I596" s="293"/>
      <c r="J596" s="293"/>
      <c r="K596" s="293"/>
      <c r="L596" s="293"/>
      <c r="M596" s="293"/>
      <c r="N596" s="293"/>
      <c r="O596" s="293"/>
      <c r="P596" s="293"/>
      <c r="Q596" s="293"/>
      <c r="R596" s="293"/>
      <c r="S596" s="293"/>
      <c r="T596" s="293"/>
      <c r="U596" s="293"/>
      <c r="V596" s="293"/>
    </row>
    <row r="597" spans="1:22" x14ac:dyDescent="0.2">
      <c r="A597" s="24"/>
      <c r="B597" s="289"/>
      <c r="C597" s="293"/>
      <c r="D597" s="293"/>
      <c r="E597" s="293"/>
      <c r="F597" s="293"/>
      <c r="G597" s="293"/>
      <c r="H597" s="293"/>
      <c r="I597" s="293"/>
      <c r="J597" s="293"/>
      <c r="K597" s="293"/>
      <c r="L597" s="293"/>
      <c r="M597" s="293"/>
      <c r="N597" s="293"/>
      <c r="O597" s="293"/>
      <c r="P597" s="293"/>
      <c r="Q597" s="293"/>
      <c r="R597" s="293"/>
      <c r="S597" s="293"/>
      <c r="T597" s="293"/>
      <c r="U597" s="293"/>
      <c r="V597" s="293"/>
    </row>
    <row r="598" spans="1:22" x14ac:dyDescent="0.2">
      <c r="A598" s="259" t="s">
        <v>98</v>
      </c>
      <c r="B598" s="260"/>
      <c r="C598" s="261"/>
      <c r="D598" s="261"/>
      <c r="E598" s="261"/>
      <c r="F598" s="261"/>
      <c r="G598" s="261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</row>
    <row r="599" spans="1:22" x14ac:dyDescent="0.2">
      <c r="A599" s="262" t="s">
        <v>79</v>
      </c>
      <c r="B599" s="260"/>
      <c r="C599" s="261"/>
      <c r="D599" s="261"/>
      <c r="E599" s="261"/>
      <c r="F599" s="261"/>
      <c r="G599" s="261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</row>
    <row r="600" spans="1:22" x14ac:dyDescent="0.2">
      <c r="A600" s="261"/>
      <c r="B600" s="260"/>
      <c r="C600" s="261"/>
      <c r="D600" s="261"/>
      <c r="E600" s="261"/>
      <c r="F600" s="261"/>
      <c r="G600" s="261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</row>
    <row r="601" spans="1:22" x14ac:dyDescent="0.2">
      <c r="A601" s="261"/>
      <c r="B601" s="260"/>
      <c r="C601" s="265">
        <v>2000</v>
      </c>
      <c r="D601" s="266">
        <v>2001</v>
      </c>
      <c r="E601" s="266">
        <v>2002</v>
      </c>
      <c r="F601" s="266">
        <v>2003</v>
      </c>
      <c r="G601" s="266">
        <v>2004</v>
      </c>
      <c r="H601" s="266">
        <v>2005</v>
      </c>
      <c r="I601" s="266">
        <v>2006</v>
      </c>
      <c r="J601" s="266">
        <v>2007</v>
      </c>
      <c r="K601" s="266">
        <v>2008</v>
      </c>
      <c r="L601" s="266">
        <v>2009</v>
      </c>
      <c r="M601" s="266">
        <v>2010</v>
      </c>
      <c r="N601" s="266">
        <v>2011</v>
      </c>
      <c r="O601" s="266">
        <v>2012</v>
      </c>
      <c r="P601" s="266">
        <v>2013</v>
      </c>
      <c r="Q601" s="266">
        <v>2014</v>
      </c>
      <c r="R601" s="266">
        <v>2015</v>
      </c>
      <c r="S601" s="266">
        <v>2016</v>
      </c>
      <c r="T601" s="266">
        <v>2017</v>
      </c>
      <c r="U601" s="266">
        <v>2018</v>
      </c>
      <c r="V601" s="266">
        <v>2019</v>
      </c>
    </row>
    <row r="602" spans="1:22" x14ac:dyDescent="0.2">
      <c r="A602" s="263" t="s">
        <v>129</v>
      </c>
      <c r="B602" s="260"/>
      <c r="C602" s="267"/>
      <c r="D602" s="268"/>
      <c r="E602" s="268"/>
      <c r="F602" s="268"/>
      <c r="G602" s="268"/>
      <c r="H602" s="268"/>
      <c r="I602" s="268"/>
      <c r="J602" s="268"/>
      <c r="K602" s="268"/>
      <c r="L602" s="268"/>
      <c r="M602" s="268"/>
      <c r="N602" s="268"/>
      <c r="O602" s="268"/>
      <c r="P602" s="268"/>
      <c r="Q602" s="268"/>
      <c r="R602" s="268"/>
      <c r="S602" s="268"/>
      <c r="T602" s="268"/>
      <c r="U602" s="268"/>
      <c r="V602" s="268"/>
    </row>
    <row r="603" spans="1:22" x14ac:dyDescent="0.2">
      <c r="A603" s="261"/>
      <c r="B603" s="264" t="s">
        <v>97</v>
      </c>
      <c r="C603" s="269">
        <v>0</v>
      </c>
      <c r="D603" s="270">
        <v>13696.613612929899</v>
      </c>
      <c r="E603" s="270">
        <v>16858.234560102788</v>
      </c>
      <c r="F603" s="270">
        <v>15084.908176016037</v>
      </c>
      <c r="G603" s="270">
        <v>14786.157584177972</v>
      </c>
      <c r="H603" s="270">
        <v>21105.874779139682</v>
      </c>
      <c r="I603" s="270">
        <v>23539.385416023746</v>
      </c>
      <c r="J603" s="270">
        <v>20927.495365175258</v>
      </c>
      <c r="K603" s="270">
        <v>33736.706100273666</v>
      </c>
      <c r="L603" s="270">
        <v>34089.373173032684</v>
      </c>
      <c r="M603" s="270">
        <v>32465.175706194626</v>
      </c>
      <c r="N603" s="270">
        <v>27289.083582366897</v>
      </c>
      <c r="O603" s="270">
        <v>35420.883932119446</v>
      </c>
      <c r="P603" s="270">
        <v>26596.369962363042</v>
      </c>
      <c r="Q603" s="270">
        <v>33551.852354364273</v>
      </c>
      <c r="R603" s="270">
        <v>30184.811443283998</v>
      </c>
      <c r="S603" s="270">
        <v>23067.74422748484</v>
      </c>
      <c r="T603" s="270">
        <v>23509.559852484843</v>
      </c>
      <c r="U603" s="270">
        <v>29474.235408949793</v>
      </c>
      <c r="V603" s="270">
        <v>37937.151098781993</v>
      </c>
    </row>
    <row r="604" spans="1:22" x14ac:dyDescent="0.2">
      <c r="A604" s="261"/>
      <c r="B604" s="264" t="s">
        <v>91</v>
      </c>
      <c r="C604" s="269">
        <v>0</v>
      </c>
      <c r="D604" s="271">
        <v>3.0522993982875932E-2</v>
      </c>
      <c r="E604" s="271">
        <v>3.7568687164699535E-2</v>
      </c>
      <c r="F604" s="271">
        <v>3.3616817594541132E-2</v>
      </c>
      <c r="G604" s="271">
        <v>3.2951049925630214E-2</v>
      </c>
      <c r="H604" s="271">
        <v>4.7034581473398715E-2</v>
      </c>
      <c r="I604" s="271">
        <v>5.2457676015304815E-2</v>
      </c>
      <c r="J604" s="271">
        <v>4.6637061770136802E-2</v>
      </c>
      <c r="K604" s="271">
        <v>7.5182472573264741E-2</v>
      </c>
      <c r="L604" s="271">
        <v>7.5968393476342586E-2</v>
      </c>
      <c r="M604" s="271">
        <v>7.2348858684144007E-2</v>
      </c>
      <c r="N604" s="271">
        <v>6.081390316774838E-2</v>
      </c>
      <c r="O604" s="271">
        <v>7.8935674005405118E-2</v>
      </c>
      <c r="P604" s="271">
        <v>5.9270186286133654E-2</v>
      </c>
      <c r="Q604" s="271">
        <v>7.4770524778462535E-2</v>
      </c>
      <c r="R604" s="271">
        <v>6.7267051849067699E-2</v>
      </c>
      <c r="S604" s="271">
        <v>5.1406620508689709E-2</v>
      </c>
      <c r="T604" s="271">
        <v>5.23912095497856E-2</v>
      </c>
      <c r="U604" s="271">
        <v>6.568352845903179E-2</v>
      </c>
      <c r="V604" s="271">
        <v>8.454319202101479E-2</v>
      </c>
    </row>
    <row r="605" spans="1:22" x14ac:dyDescent="0.2">
      <c r="A605" s="263" t="s">
        <v>93</v>
      </c>
      <c r="B605" s="264"/>
      <c r="C605" s="267"/>
      <c r="D605" s="268"/>
      <c r="E605" s="268"/>
      <c r="F605" s="268"/>
      <c r="G605" s="268"/>
      <c r="H605" s="268"/>
      <c r="I605" s="268"/>
      <c r="J605" s="268"/>
      <c r="K605" s="268"/>
      <c r="L605" s="268"/>
      <c r="M605" s="268"/>
      <c r="N605" s="268"/>
      <c r="O605" s="268"/>
      <c r="P605" s="268"/>
      <c r="Q605" s="268"/>
      <c r="R605" s="268"/>
      <c r="S605" s="268"/>
      <c r="T605" s="268"/>
      <c r="U605" s="268"/>
      <c r="V605" s="268"/>
    </row>
    <row r="606" spans="1:22" x14ac:dyDescent="0.2">
      <c r="A606" s="261"/>
      <c r="B606" s="264" t="s">
        <v>27</v>
      </c>
      <c r="C606" s="272">
        <v>0</v>
      </c>
      <c r="D606" s="273">
        <v>304.69371871116783</v>
      </c>
      <c r="E606" s="273">
        <v>197.91774799993175</v>
      </c>
      <c r="F606" s="273">
        <v>183.72871610248021</v>
      </c>
      <c r="G606" s="273">
        <v>168.15844730703677</v>
      </c>
      <c r="H606" s="273">
        <v>140.12958672135662</v>
      </c>
      <c r="I606" s="273">
        <v>116.0258644229784</v>
      </c>
      <c r="J606" s="273">
        <v>127.66309255624002</v>
      </c>
      <c r="K606" s="273">
        <v>121.50717124272428</v>
      </c>
      <c r="L606" s="273">
        <v>121.76484763696095</v>
      </c>
      <c r="M606" s="273">
        <v>135.01299836201213</v>
      </c>
      <c r="N606" s="273">
        <v>125.6024478648698</v>
      </c>
      <c r="O606" s="273">
        <v>123.10964083213447</v>
      </c>
      <c r="P606" s="273">
        <v>140.36836771520322</v>
      </c>
      <c r="Q606" s="273">
        <v>141.94456421526149</v>
      </c>
      <c r="R606" s="273">
        <v>140.25412912964515</v>
      </c>
      <c r="S606" s="273">
        <v>145.00380217565711</v>
      </c>
      <c r="T606" s="273">
        <v>155.52590386955376</v>
      </c>
      <c r="U606" s="273">
        <v>159.82566715164717</v>
      </c>
      <c r="V606" s="273">
        <v>140.15396390567753</v>
      </c>
    </row>
    <row r="607" spans="1:22" x14ac:dyDescent="0.2">
      <c r="A607" s="261"/>
      <c r="B607" s="264" t="s">
        <v>20</v>
      </c>
      <c r="C607" s="272">
        <v>0</v>
      </c>
      <c r="D607" s="273">
        <v>74.093405792625617</v>
      </c>
      <c r="E607" s="273">
        <v>65.439217367187581</v>
      </c>
      <c r="F607" s="273">
        <v>63.685017875182908</v>
      </c>
      <c r="G607" s="273">
        <v>67.066761656354558</v>
      </c>
      <c r="H607" s="273">
        <v>69.382042484005922</v>
      </c>
      <c r="I607" s="273">
        <v>64.936385043682591</v>
      </c>
      <c r="J607" s="273">
        <v>64.778572406298352</v>
      </c>
      <c r="K607" s="273">
        <v>62.660630628844643</v>
      </c>
      <c r="L607" s="273">
        <v>62.921346134698787</v>
      </c>
      <c r="M607" s="273">
        <v>66.676011698667722</v>
      </c>
      <c r="N607" s="273">
        <v>66.229143842001662</v>
      </c>
      <c r="O607" s="273">
        <v>66.909348456152401</v>
      </c>
      <c r="P607" s="273">
        <v>69.534732869222424</v>
      </c>
      <c r="Q607" s="273">
        <v>71.58538291257716</v>
      </c>
      <c r="R607" s="273">
        <v>75.735417792035079</v>
      </c>
      <c r="S607" s="273">
        <v>79.316727833598392</v>
      </c>
      <c r="T607" s="273">
        <v>81.564794561510155</v>
      </c>
      <c r="U607" s="273">
        <v>87.532063175965931</v>
      </c>
      <c r="V607" s="273">
        <v>91.460220883458661</v>
      </c>
    </row>
    <row r="608" spans="1:22" x14ac:dyDescent="0.2">
      <c r="A608" s="261"/>
      <c r="B608" s="264" t="s">
        <v>92</v>
      </c>
      <c r="C608" s="272">
        <v>0</v>
      </c>
      <c r="D608" s="273">
        <v>2.3846557938360826</v>
      </c>
      <c r="E608" s="273">
        <v>2.3807758415841391</v>
      </c>
      <c r="F608" s="273">
        <v>2.4247898812963546</v>
      </c>
      <c r="G608" s="273">
        <v>2.5220223048737043</v>
      </c>
      <c r="H608" s="273">
        <v>2.630544722981746</v>
      </c>
      <c r="I608" s="273">
        <v>2.5522261936321953</v>
      </c>
      <c r="J608" s="273">
        <v>2.5949222975772201</v>
      </c>
      <c r="K608" s="273">
        <v>2.7402978106064744</v>
      </c>
      <c r="L608" s="273">
        <v>2.7545732810559547</v>
      </c>
      <c r="M608" s="273">
        <v>2.8394818070896735</v>
      </c>
      <c r="N608" s="273">
        <v>2.8492353545162072</v>
      </c>
      <c r="O608" s="273">
        <v>2.9268726965672016</v>
      </c>
      <c r="P608" s="273">
        <v>2.976835019035724</v>
      </c>
      <c r="Q608" s="273">
        <v>3.0895562371710978</v>
      </c>
      <c r="R608" s="273">
        <v>3.0725643038322197</v>
      </c>
      <c r="S608" s="273">
        <v>3.1523248732612608</v>
      </c>
      <c r="T608" s="273">
        <v>3.2083461438252017</v>
      </c>
      <c r="U608" s="273">
        <v>3.2922763993641722</v>
      </c>
      <c r="V608" s="273">
        <v>3.4217506988626094</v>
      </c>
    </row>
    <row r="609" spans="1:22" x14ac:dyDescent="0.2">
      <c r="A609" s="261"/>
      <c r="B609" s="264" t="s">
        <v>22</v>
      </c>
      <c r="C609" s="272">
        <v>0</v>
      </c>
      <c r="D609" s="273">
        <v>0</v>
      </c>
      <c r="E609" s="273">
        <v>0</v>
      </c>
      <c r="F609" s="273">
        <v>0</v>
      </c>
      <c r="G609" s="273">
        <v>0</v>
      </c>
      <c r="H609" s="273">
        <v>0</v>
      </c>
      <c r="I609" s="273">
        <v>0.89962672055047666</v>
      </c>
      <c r="J609" s="273">
        <v>0.99348614579897243</v>
      </c>
      <c r="K609" s="273">
        <v>1.1799349378061008</v>
      </c>
      <c r="L609" s="273">
        <v>1.2295641278368172</v>
      </c>
      <c r="M609" s="273">
        <v>1.3819557985219195</v>
      </c>
      <c r="N609" s="273">
        <v>1.4978915573819873</v>
      </c>
      <c r="O609" s="273">
        <v>1.6708763067846963</v>
      </c>
      <c r="P609" s="273">
        <v>1.8660466497958919</v>
      </c>
      <c r="Q609" s="273">
        <v>2.1150543228829202</v>
      </c>
      <c r="R609" s="273">
        <v>2.2828605580156909</v>
      </c>
      <c r="S609" s="273">
        <v>2.5175094696022167</v>
      </c>
      <c r="T609" s="273">
        <v>2.4729439984529313</v>
      </c>
      <c r="U609" s="273">
        <v>2.1253584286788985</v>
      </c>
      <c r="V609" s="273">
        <v>2.2469553430330138</v>
      </c>
    </row>
    <row r="610" spans="1:22" x14ac:dyDescent="0.2">
      <c r="A610" s="261"/>
      <c r="B610" s="264" t="s">
        <v>23</v>
      </c>
      <c r="C610" s="272">
        <v>0</v>
      </c>
      <c r="D610" s="273">
        <v>0</v>
      </c>
      <c r="E610" s="273">
        <v>0</v>
      </c>
      <c r="F610" s="273">
        <v>0</v>
      </c>
      <c r="G610" s="273">
        <v>0</v>
      </c>
      <c r="H610" s="273">
        <v>0</v>
      </c>
      <c r="I610" s="273">
        <v>0.89962672055047666</v>
      </c>
      <c r="J610" s="273">
        <v>0.99348614579897243</v>
      </c>
      <c r="K610" s="273">
        <v>1.1799349378061008</v>
      </c>
      <c r="L610" s="273">
        <v>1.2295641278368172</v>
      </c>
      <c r="M610" s="273">
        <v>1.3819557985219195</v>
      </c>
      <c r="N610" s="273">
        <v>1.4978915573819873</v>
      </c>
      <c r="O610" s="273">
        <v>1.6708763067846963</v>
      </c>
      <c r="P610" s="273">
        <v>1.8660466497958919</v>
      </c>
      <c r="Q610" s="273">
        <v>2.1150543228829202</v>
      </c>
      <c r="R610" s="273">
        <v>2.2828605580156909</v>
      </c>
      <c r="S610" s="273">
        <v>2.5175094696022167</v>
      </c>
      <c r="T610" s="273">
        <v>2.4729439984529313</v>
      </c>
      <c r="U610" s="273">
        <v>2.1253584286788985</v>
      </c>
      <c r="V610" s="273">
        <v>2.2469553430330138</v>
      </c>
    </row>
    <row r="611" spans="1:22" x14ac:dyDescent="0.2">
      <c r="A611" s="263" t="s">
        <v>94</v>
      </c>
      <c r="B611" s="264"/>
      <c r="C611" s="267"/>
      <c r="D611" s="268"/>
      <c r="E611" s="268"/>
      <c r="F611" s="268"/>
      <c r="G611" s="268"/>
      <c r="H611" s="268"/>
      <c r="I611" s="268"/>
      <c r="J611" s="268"/>
      <c r="K611" s="268"/>
      <c r="L611" s="268"/>
      <c r="M611" s="268"/>
      <c r="N611" s="268"/>
      <c r="O611" s="268"/>
      <c r="P611" s="268"/>
      <c r="Q611" s="268"/>
      <c r="R611" s="268"/>
      <c r="S611" s="268"/>
      <c r="T611" s="268"/>
      <c r="U611" s="268"/>
      <c r="V611" s="268"/>
    </row>
    <row r="612" spans="1:22" x14ac:dyDescent="0.2">
      <c r="A612" s="261"/>
      <c r="B612" s="264" t="s">
        <v>34</v>
      </c>
      <c r="C612" s="272">
        <v>0</v>
      </c>
      <c r="D612" s="273">
        <v>1.787530920037963</v>
      </c>
      <c r="E612" s="273">
        <v>1.8232815384387222</v>
      </c>
      <c r="F612" s="273">
        <v>1.8597471692074967</v>
      </c>
      <c r="G612" s="273">
        <v>1.8969421125916468</v>
      </c>
      <c r="H612" s="273">
        <v>1.9348809548434798</v>
      </c>
      <c r="I612" s="273">
        <v>1.9735785739403493</v>
      </c>
      <c r="J612" s="273">
        <v>2.0130501454191565</v>
      </c>
      <c r="K612" s="273">
        <v>2.0533111483275395</v>
      </c>
      <c r="L612" s="273">
        <v>2.0943773712940903</v>
      </c>
      <c r="M612" s="273">
        <v>2.1362649187199723</v>
      </c>
      <c r="N612" s="273">
        <v>2.1789902170943716</v>
      </c>
      <c r="O612" s="273">
        <v>2.2225700214362591</v>
      </c>
      <c r="P612" s="273">
        <v>2.2670214218649845</v>
      </c>
      <c r="Q612" s="273">
        <v>2.3123618503022842</v>
      </c>
      <c r="R612" s="273">
        <v>2.3586090873083299</v>
      </c>
      <c r="S612" s="273">
        <v>2.4057812690544966</v>
      </c>
      <c r="T612" s="273">
        <v>2.4538968944355863</v>
      </c>
      <c r="U612" s="273">
        <v>2.5029748323242984</v>
      </c>
      <c r="V612" s="273">
        <v>2.5530343289707842</v>
      </c>
    </row>
    <row r="613" spans="1:22" x14ac:dyDescent="0.2">
      <c r="A613" s="261"/>
      <c r="B613" s="264" t="s">
        <v>95</v>
      </c>
      <c r="C613" s="272">
        <v>0</v>
      </c>
      <c r="D613" s="273">
        <v>0.88162831570278188</v>
      </c>
      <c r="E613" s="273">
        <v>0.88162831570278188</v>
      </c>
      <c r="F613" s="273">
        <v>0.88162831570278188</v>
      </c>
      <c r="G613" s="273">
        <v>0.88162831570278188</v>
      </c>
      <c r="H613" s="273">
        <v>0.88162831570278188</v>
      </c>
      <c r="I613" s="273">
        <v>0.88162831570278188</v>
      </c>
      <c r="J613" s="273">
        <v>0.88162831570278188</v>
      </c>
      <c r="K613" s="273">
        <v>0.88162831570278188</v>
      </c>
      <c r="L613" s="273">
        <v>0.88162831570278188</v>
      </c>
      <c r="M613" s="273">
        <v>0.88162831570278188</v>
      </c>
      <c r="N613" s="273">
        <v>0.88162831570278188</v>
      </c>
      <c r="O613" s="273">
        <v>0.88162831570278188</v>
      </c>
      <c r="P613" s="273">
        <v>0.88162831570278188</v>
      </c>
      <c r="Q613" s="273">
        <v>0.88162831570278188</v>
      </c>
      <c r="R613" s="273">
        <v>0.88162831570278188</v>
      </c>
      <c r="S613" s="273">
        <v>0.88162831570278188</v>
      </c>
      <c r="T613" s="273">
        <v>0.88162831570278188</v>
      </c>
      <c r="U613" s="273">
        <v>0.88162831570278188</v>
      </c>
      <c r="V613" s="273">
        <v>0.88162831570278188</v>
      </c>
    </row>
    <row r="614" spans="1:22" x14ac:dyDescent="0.2">
      <c r="A614" s="261"/>
      <c r="B614" s="264" t="s">
        <v>36</v>
      </c>
      <c r="C614" s="272">
        <v>0</v>
      </c>
      <c r="D614" s="273">
        <v>8.093046139000272E-2</v>
      </c>
      <c r="E614" s="273">
        <v>8.2638094125332157E-2</v>
      </c>
      <c r="F614" s="273">
        <v>8.4447868386677005E-2</v>
      </c>
      <c r="G614" s="273">
        <v>8.635639021221532E-2</v>
      </c>
      <c r="H614" s="273">
        <v>8.8411672299266178E-2</v>
      </c>
      <c r="I614" s="273">
        <v>9.0627277695270084E-2</v>
      </c>
      <c r="J614" s="273">
        <v>9.2875086658076519E-2</v>
      </c>
      <c r="K614" s="273">
        <v>9.5225947034650857E-2</v>
      </c>
      <c r="L614" s="273">
        <v>9.7578027926406824E-2</v>
      </c>
      <c r="M614" s="273">
        <v>0.10006626763853002</v>
      </c>
      <c r="N614" s="273">
        <v>0.10248787131538292</v>
      </c>
      <c r="O614" s="273">
        <v>0.1050705656725302</v>
      </c>
      <c r="P614" s="273">
        <v>0.1077393580406122</v>
      </c>
      <c r="Q614" s="273">
        <v>0.11043284199162752</v>
      </c>
      <c r="R614" s="273">
        <v>0.11320470632561737</v>
      </c>
      <c r="S614" s="273">
        <v>0.11603482398375792</v>
      </c>
      <c r="T614" s="273">
        <v>0.118912487618555</v>
      </c>
      <c r="U614" s="273">
        <v>0.12189719105778096</v>
      </c>
      <c r="V614" s="273">
        <v>0.12495681055333119</v>
      </c>
    </row>
    <row r="615" spans="1:22" x14ac:dyDescent="0.2">
      <c r="A615" s="261"/>
      <c r="B615" s="264" t="s">
        <v>39</v>
      </c>
      <c r="C615" s="272">
        <v>0</v>
      </c>
      <c r="D615" s="273">
        <v>2.7790727183992191E-2</v>
      </c>
      <c r="E615" s="273">
        <v>2.8912054660810153E-2</v>
      </c>
      <c r="F615" s="273">
        <v>3.0079648609077598E-2</v>
      </c>
      <c r="G615" s="273">
        <v>3.1416886285993165E-2</v>
      </c>
      <c r="H615" s="273">
        <v>1.9521717911176184</v>
      </c>
      <c r="I615" s="273">
        <v>2.0107369448511467</v>
      </c>
      <c r="J615" s="273">
        <v>2.0710590531966813</v>
      </c>
      <c r="K615" s="273">
        <v>2.1331908247925817</v>
      </c>
      <c r="L615" s="273">
        <v>2.1971865495363589</v>
      </c>
      <c r="M615" s="273">
        <v>2.2631021460224496</v>
      </c>
      <c r="N615" s="273">
        <v>2.3309952104031235</v>
      </c>
      <c r="O615" s="273">
        <v>2.4009250667152173</v>
      </c>
      <c r="P615" s="273">
        <v>2.4729528187166738</v>
      </c>
      <c r="Q615" s="273">
        <v>2.5471414032781738</v>
      </c>
      <c r="R615" s="273">
        <v>2.6235556453765194</v>
      </c>
      <c r="S615" s="273">
        <v>2.7022623147378151</v>
      </c>
      <c r="T615" s="273">
        <v>2.7833301841799498</v>
      </c>
      <c r="U615" s="273">
        <v>2.8668300897053483</v>
      </c>
      <c r="V615" s="273">
        <v>2.9528349923965087</v>
      </c>
    </row>
    <row r="616" spans="1:22" x14ac:dyDescent="0.2">
      <c r="A616" s="261"/>
      <c r="B616" s="264" t="s">
        <v>96</v>
      </c>
      <c r="C616" s="274">
        <v>0</v>
      </c>
      <c r="D616" s="275">
        <v>0</v>
      </c>
      <c r="E616" s="275">
        <v>0</v>
      </c>
      <c r="F616" s="275">
        <v>0</v>
      </c>
      <c r="G616" s="275">
        <v>0</v>
      </c>
      <c r="H616" s="275">
        <v>0</v>
      </c>
      <c r="I616" s="275">
        <v>0</v>
      </c>
      <c r="J616" s="275">
        <v>0</v>
      </c>
      <c r="K616" s="275">
        <v>0</v>
      </c>
      <c r="L616" s="275">
        <v>0</v>
      </c>
      <c r="M616" s="275">
        <v>0</v>
      </c>
      <c r="N616" s="275">
        <v>0</v>
      </c>
      <c r="O616" s="275">
        <v>0</v>
      </c>
      <c r="P616" s="275">
        <v>0</v>
      </c>
      <c r="Q616" s="275">
        <v>0</v>
      </c>
      <c r="R616" s="275">
        <v>0</v>
      </c>
      <c r="S616" s="275">
        <v>0</v>
      </c>
      <c r="T616" s="275">
        <v>0</v>
      </c>
      <c r="U616" s="275">
        <v>0</v>
      </c>
      <c r="V616" s="275">
        <v>0</v>
      </c>
    </row>
    <row r="617" spans="1:22" x14ac:dyDescent="0.2">
      <c r="A617" s="261"/>
      <c r="B617" s="264"/>
      <c r="C617" s="261"/>
      <c r="D617" s="261"/>
      <c r="E617" s="261"/>
      <c r="F617" s="261"/>
      <c r="G617" s="261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</row>
    <row r="618" spans="1:22" x14ac:dyDescent="0.2">
      <c r="A618" s="261"/>
      <c r="B618" s="264"/>
      <c r="C618" s="261"/>
      <c r="D618" s="261"/>
      <c r="E618" s="261"/>
      <c r="F618" s="261"/>
      <c r="G618" s="261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</row>
    <row r="619" spans="1:22" x14ac:dyDescent="0.2">
      <c r="A619" s="24"/>
      <c r="B619" s="289"/>
      <c r="C619" s="293"/>
      <c r="D619" s="293"/>
      <c r="E619" s="293"/>
      <c r="F619" s="293"/>
      <c r="G619" s="293"/>
      <c r="H619" s="293"/>
      <c r="I619" s="293"/>
      <c r="J619" s="293"/>
      <c r="K619" s="293"/>
      <c r="L619" s="293"/>
      <c r="M619" s="293"/>
      <c r="N619" s="293"/>
      <c r="O619" s="293"/>
      <c r="P619" s="293"/>
      <c r="Q619" s="293"/>
      <c r="R619" s="293"/>
      <c r="S619" s="293"/>
      <c r="T619" s="293"/>
      <c r="U619" s="293"/>
      <c r="V619" s="293"/>
    </row>
    <row r="620" spans="1:22" x14ac:dyDescent="0.2">
      <c r="A620" s="24"/>
      <c r="B620" s="289"/>
      <c r="C620" s="293"/>
      <c r="D620" s="293"/>
      <c r="E620" s="293"/>
      <c r="F620" s="293"/>
      <c r="G620" s="293"/>
      <c r="H620" s="293"/>
      <c r="I620" s="293"/>
      <c r="J620" s="293"/>
      <c r="K620" s="293"/>
      <c r="L620" s="293"/>
      <c r="M620" s="293"/>
      <c r="N620" s="293"/>
      <c r="O620" s="293"/>
      <c r="P620" s="293"/>
      <c r="Q620" s="293"/>
      <c r="R620" s="293"/>
      <c r="S620" s="293"/>
      <c r="T620" s="293"/>
      <c r="U620" s="293"/>
      <c r="V620" s="293"/>
    </row>
    <row r="621" spans="1:22" x14ac:dyDescent="0.2">
      <c r="A621" s="259" t="s">
        <v>98</v>
      </c>
      <c r="B621" s="260"/>
      <c r="C621" s="261"/>
      <c r="D621" s="261"/>
      <c r="E621" s="261"/>
      <c r="F621" s="261"/>
      <c r="G621" s="261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</row>
    <row r="622" spans="1:22" x14ac:dyDescent="0.2">
      <c r="A622" s="262" t="s">
        <v>80</v>
      </c>
      <c r="B622" s="260"/>
      <c r="C622" s="261"/>
      <c r="D622" s="261"/>
      <c r="E622" s="261"/>
      <c r="F622" s="261"/>
      <c r="G622" s="261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</row>
    <row r="623" spans="1:22" x14ac:dyDescent="0.2">
      <c r="A623" s="261"/>
      <c r="B623" s="260"/>
      <c r="C623" s="261"/>
      <c r="D623" s="261"/>
      <c r="E623" s="261"/>
      <c r="F623" s="261"/>
      <c r="G623" s="261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</row>
    <row r="624" spans="1:22" x14ac:dyDescent="0.2">
      <c r="A624" s="261"/>
      <c r="B624" s="260"/>
      <c r="C624" s="265">
        <v>2000</v>
      </c>
      <c r="D624" s="266">
        <v>2001</v>
      </c>
      <c r="E624" s="266">
        <v>2002</v>
      </c>
      <c r="F624" s="266">
        <v>2003</v>
      </c>
      <c r="G624" s="266">
        <v>2004</v>
      </c>
      <c r="H624" s="266">
        <v>2005</v>
      </c>
      <c r="I624" s="266">
        <v>2006</v>
      </c>
      <c r="J624" s="266">
        <v>2007</v>
      </c>
      <c r="K624" s="266">
        <v>2008</v>
      </c>
      <c r="L624" s="266">
        <v>2009</v>
      </c>
      <c r="M624" s="266">
        <v>2010</v>
      </c>
      <c r="N624" s="266">
        <v>2011</v>
      </c>
      <c r="O624" s="266">
        <v>2012</v>
      </c>
      <c r="P624" s="266">
        <v>2013</v>
      </c>
      <c r="Q624" s="266">
        <v>2014</v>
      </c>
      <c r="R624" s="266">
        <v>2015</v>
      </c>
      <c r="S624" s="266">
        <v>2016</v>
      </c>
      <c r="T624" s="266">
        <v>2017</v>
      </c>
      <c r="U624" s="266">
        <v>2018</v>
      </c>
      <c r="V624" s="266">
        <v>2019</v>
      </c>
    </row>
    <row r="625" spans="1:22" x14ac:dyDescent="0.2">
      <c r="A625" s="263" t="s">
        <v>129</v>
      </c>
      <c r="B625" s="260"/>
      <c r="C625" s="267"/>
      <c r="D625" s="268"/>
      <c r="E625" s="268"/>
      <c r="F625" s="268"/>
      <c r="G625" s="268"/>
      <c r="H625" s="268"/>
      <c r="I625" s="268"/>
      <c r="J625" s="268"/>
      <c r="K625" s="268"/>
      <c r="L625" s="268"/>
      <c r="M625" s="268"/>
      <c r="N625" s="268"/>
      <c r="O625" s="268"/>
      <c r="P625" s="268"/>
      <c r="Q625" s="268"/>
      <c r="R625" s="268"/>
      <c r="S625" s="268"/>
      <c r="T625" s="268"/>
      <c r="U625" s="268"/>
      <c r="V625" s="268"/>
    </row>
    <row r="626" spans="1:22" x14ac:dyDescent="0.2">
      <c r="A626" s="261"/>
      <c r="B626" s="264" t="s">
        <v>97</v>
      </c>
      <c r="C626" s="269">
        <v>0</v>
      </c>
      <c r="D626" s="270">
        <v>35727.43956262288</v>
      </c>
      <c r="E626" s="270">
        <v>50112.670062704296</v>
      </c>
      <c r="F626" s="270">
        <v>56679.369831059463</v>
      </c>
      <c r="G626" s="270">
        <v>59907.885916076004</v>
      </c>
      <c r="H626" s="270">
        <v>62114.032106890583</v>
      </c>
      <c r="I626" s="270">
        <v>84517.863367525555</v>
      </c>
      <c r="J626" s="270">
        <v>99897.974017265646</v>
      </c>
      <c r="K626" s="270">
        <v>132951.95666716856</v>
      </c>
      <c r="L626" s="270">
        <v>135950.71635798312</v>
      </c>
      <c r="M626" s="270">
        <v>101010.45101693997</v>
      </c>
      <c r="N626" s="270">
        <v>112515.69997635398</v>
      </c>
      <c r="O626" s="270">
        <v>102928.77872853605</v>
      </c>
      <c r="P626" s="270">
        <v>91575.532267265662</v>
      </c>
      <c r="Q626" s="270">
        <v>99586.630419350622</v>
      </c>
      <c r="R626" s="270">
        <v>90332.809883128764</v>
      </c>
      <c r="S626" s="270">
        <v>97091.781746809822</v>
      </c>
      <c r="T626" s="270">
        <v>81613.766058095905</v>
      </c>
      <c r="U626" s="270">
        <v>83959.856862672925</v>
      </c>
      <c r="V626" s="270">
        <v>100262.23574680982</v>
      </c>
    </row>
    <row r="627" spans="1:22" x14ac:dyDescent="0.2">
      <c r="A627" s="261"/>
      <c r="B627" s="264" t="s">
        <v>91</v>
      </c>
      <c r="C627" s="269">
        <v>0</v>
      </c>
      <c r="D627" s="271">
        <v>4.8883233683504772E-2</v>
      </c>
      <c r="E627" s="271">
        <v>6.8565488911842651E-2</v>
      </c>
      <c r="F627" s="271">
        <v>7.7550222305437025E-2</v>
      </c>
      <c r="G627" s="271">
        <v>8.1967563938838736E-2</v>
      </c>
      <c r="H627" s="271">
        <v>8.4986071872958535E-2</v>
      </c>
      <c r="I627" s="271">
        <v>0.11563959007427876</v>
      </c>
      <c r="J627" s="271">
        <v>0.13668306680178402</v>
      </c>
      <c r="K627" s="271">
        <v>0.18190840558413857</v>
      </c>
      <c r="L627" s="271">
        <v>0.18601138840410311</v>
      </c>
      <c r="M627" s="271">
        <v>0.13820518744094387</v>
      </c>
      <c r="N627" s="271">
        <v>0.15394697527558954</v>
      </c>
      <c r="O627" s="271">
        <v>0.14082989447160379</v>
      </c>
      <c r="P627" s="271">
        <v>0.12529608050041419</v>
      </c>
      <c r="Q627" s="271">
        <v>0.13625707820481037</v>
      </c>
      <c r="R627" s="271">
        <v>0.12359575465979504</v>
      </c>
      <c r="S627" s="271">
        <v>0.13284355985147217</v>
      </c>
      <c r="T627" s="271">
        <v>0.11166612684393286</v>
      </c>
      <c r="U627" s="271">
        <v>0.11487611072318181</v>
      </c>
      <c r="V627" s="271">
        <v>0.13718145939485119</v>
      </c>
    </row>
    <row r="628" spans="1:22" x14ac:dyDescent="0.2">
      <c r="A628" s="263" t="s">
        <v>93</v>
      </c>
      <c r="B628" s="264"/>
      <c r="C628" s="267"/>
      <c r="D628" s="268"/>
      <c r="E628" s="268"/>
      <c r="F628" s="268"/>
      <c r="G628" s="268"/>
      <c r="H628" s="268"/>
      <c r="I628" s="268"/>
      <c r="J628" s="268"/>
      <c r="K628" s="268"/>
      <c r="L628" s="268"/>
      <c r="M628" s="268"/>
      <c r="N628" s="268"/>
      <c r="O628" s="268"/>
      <c r="P628" s="268"/>
      <c r="Q628" s="268"/>
      <c r="R628" s="268"/>
      <c r="S628" s="268"/>
      <c r="T628" s="268"/>
      <c r="U628" s="268"/>
      <c r="V628" s="268"/>
    </row>
    <row r="629" spans="1:22" x14ac:dyDescent="0.2">
      <c r="A629" s="261"/>
      <c r="B629" s="264" t="s">
        <v>27</v>
      </c>
      <c r="C629" s="272">
        <v>0</v>
      </c>
      <c r="D629" s="273">
        <v>229.57635620775335</v>
      </c>
      <c r="E629" s="273">
        <v>144.05788369546903</v>
      </c>
      <c r="F629" s="273">
        <v>123.06823363953353</v>
      </c>
      <c r="G629" s="273">
        <v>111.81835975991193</v>
      </c>
      <c r="H629" s="273">
        <v>110.72034237632789</v>
      </c>
      <c r="I629" s="273">
        <v>93.186432398505119</v>
      </c>
      <c r="J629" s="273">
        <v>95.421019356134536</v>
      </c>
      <c r="K629" s="273">
        <v>91.139034837234917</v>
      </c>
      <c r="L629" s="273">
        <v>94.604106625883034</v>
      </c>
      <c r="M629" s="273">
        <v>109.55991172940627</v>
      </c>
      <c r="N629" s="273">
        <v>96.396307362319121</v>
      </c>
      <c r="O629" s="273">
        <v>105.28800201310784</v>
      </c>
      <c r="P629" s="273">
        <v>109.30912256699085</v>
      </c>
      <c r="Q629" s="273">
        <v>116.55842305757247</v>
      </c>
      <c r="R629" s="273">
        <v>119.81093791136331</v>
      </c>
      <c r="S629" s="273">
        <v>112.42840418904464</v>
      </c>
      <c r="T629" s="273">
        <v>123.33579938271444</v>
      </c>
      <c r="U629" s="273">
        <v>135.86501112027457</v>
      </c>
      <c r="V629" s="273">
        <v>123.10590714625611</v>
      </c>
    </row>
    <row r="630" spans="1:22" x14ac:dyDescent="0.2">
      <c r="A630" s="261"/>
      <c r="B630" s="264" t="s">
        <v>20</v>
      </c>
      <c r="C630" s="272">
        <v>0</v>
      </c>
      <c r="D630" s="273">
        <v>68.39972807652471</v>
      </c>
      <c r="E630" s="273">
        <v>59.697099529358645</v>
      </c>
      <c r="F630" s="273">
        <v>57.076140922795489</v>
      </c>
      <c r="G630" s="273">
        <v>59.160691808806973</v>
      </c>
      <c r="H630" s="273">
        <v>61.094036837666778</v>
      </c>
      <c r="I630" s="273">
        <v>58.50155437701865</v>
      </c>
      <c r="J630" s="273">
        <v>62.255344854253764</v>
      </c>
      <c r="K630" s="273">
        <v>58.089272021220317</v>
      </c>
      <c r="L630" s="273">
        <v>60.934538224248961</v>
      </c>
      <c r="M630" s="273">
        <v>64.175021510734766</v>
      </c>
      <c r="N630" s="273">
        <v>63.216228210349051</v>
      </c>
      <c r="O630" s="273">
        <v>64.11100246378551</v>
      </c>
      <c r="P630" s="273">
        <v>65.8891633092842</v>
      </c>
      <c r="Q630" s="273">
        <v>68.137285999529837</v>
      </c>
      <c r="R630" s="273">
        <v>73.164819794012217</v>
      </c>
      <c r="S630" s="273">
        <v>76.061230453573359</v>
      </c>
      <c r="T630" s="273">
        <v>77.200525412256795</v>
      </c>
      <c r="U630" s="273">
        <v>84.261462853630235</v>
      </c>
      <c r="V630" s="273">
        <v>83.514269877905676</v>
      </c>
    </row>
    <row r="631" spans="1:22" x14ac:dyDescent="0.2">
      <c r="A631" s="261"/>
      <c r="B631" s="264" t="s">
        <v>92</v>
      </c>
      <c r="C631" s="272">
        <v>0</v>
      </c>
      <c r="D631" s="273">
        <v>1.7064194012612581</v>
      </c>
      <c r="E631" s="273">
        <v>1.7206602968191436</v>
      </c>
      <c r="F631" s="273">
        <v>1.7452574582840712</v>
      </c>
      <c r="G631" s="273">
        <v>1.8078147166154082</v>
      </c>
      <c r="H631" s="273">
        <v>1.8643728635212851</v>
      </c>
      <c r="I631" s="273">
        <v>1.8559968239683577</v>
      </c>
      <c r="J631" s="273">
        <v>1.9256800001266743</v>
      </c>
      <c r="K631" s="273">
        <v>1.9718001105571288</v>
      </c>
      <c r="L631" s="273">
        <v>2.0192216254287416</v>
      </c>
      <c r="M631" s="273">
        <v>2.0694439264538467</v>
      </c>
      <c r="N631" s="273">
        <v>2.0883162143689371</v>
      </c>
      <c r="O631" s="273">
        <v>2.1342825095309004</v>
      </c>
      <c r="P631" s="273">
        <v>2.1710660324300028</v>
      </c>
      <c r="Q631" s="273">
        <v>2.2329329947042678</v>
      </c>
      <c r="R631" s="273">
        <v>2.2638670384943769</v>
      </c>
      <c r="S631" s="273">
        <v>2.3079053615696465</v>
      </c>
      <c r="T631" s="273">
        <v>2.3494108477123423</v>
      </c>
      <c r="U631" s="273">
        <v>2.4107932911545382</v>
      </c>
      <c r="V631" s="273">
        <v>2.4506833334813658</v>
      </c>
    </row>
    <row r="632" spans="1:22" x14ac:dyDescent="0.2">
      <c r="A632" s="261"/>
      <c r="B632" s="264" t="s">
        <v>22</v>
      </c>
      <c r="C632" s="272">
        <v>0</v>
      </c>
      <c r="D632" s="273">
        <v>0</v>
      </c>
      <c r="E632" s="273">
        <v>0</v>
      </c>
      <c r="F632" s="273">
        <v>0</v>
      </c>
      <c r="G632" s="273">
        <v>0</v>
      </c>
      <c r="H632" s="273">
        <v>0</v>
      </c>
      <c r="I632" s="273">
        <v>-1.1053050752225066</v>
      </c>
      <c r="J632" s="273">
        <v>-1.0365216840028084</v>
      </c>
      <c r="K632" s="273">
        <v>-0.85940192478259314</v>
      </c>
      <c r="L632" s="273">
        <v>-0.92309655349875452</v>
      </c>
      <c r="M632" s="273">
        <v>-1.3817426093053538</v>
      </c>
      <c r="N632" s="273">
        <v>-1.3664528515685486</v>
      </c>
      <c r="O632" s="273">
        <v>-1.6550036908754773</v>
      </c>
      <c r="P632" s="273">
        <v>-2.0857576700371978</v>
      </c>
      <c r="Q632" s="273">
        <v>-2.1350021308794673</v>
      </c>
      <c r="R632" s="273">
        <v>-2.6071969384897948</v>
      </c>
      <c r="S632" s="273">
        <v>-2.6634143773954202</v>
      </c>
      <c r="T632" s="273">
        <v>-3.1129260261676674</v>
      </c>
      <c r="U632" s="273">
        <v>-2.5888566315559625</v>
      </c>
      <c r="V632" s="273">
        <v>-2.2477281656824486</v>
      </c>
    </row>
    <row r="633" spans="1:22" x14ac:dyDescent="0.2">
      <c r="A633" s="261"/>
      <c r="B633" s="264" t="s">
        <v>23</v>
      </c>
      <c r="C633" s="272">
        <v>0</v>
      </c>
      <c r="D633" s="273">
        <v>0</v>
      </c>
      <c r="E633" s="273">
        <v>0</v>
      </c>
      <c r="F633" s="273">
        <v>0</v>
      </c>
      <c r="G633" s="273">
        <v>0</v>
      </c>
      <c r="H633" s="273">
        <v>0</v>
      </c>
      <c r="I633" s="273">
        <v>0</v>
      </c>
      <c r="J633" s="273">
        <v>0</v>
      </c>
      <c r="K633" s="273">
        <v>0</v>
      </c>
      <c r="L633" s="273">
        <v>0</v>
      </c>
      <c r="M633" s="273">
        <v>0</v>
      </c>
      <c r="N633" s="273">
        <v>0</v>
      </c>
      <c r="O633" s="273">
        <v>0</v>
      </c>
      <c r="P633" s="273">
        <v>0</v>
      </c>
      <c r="Q633" s="273">
        <v>0</v>
      </c>
      <c r="R633" s="273">
        <v>0</v>
      </c>
      <c r="S633" s="273">
        <v>0</v>
      </c>
      <c r="T633" s="273">
        <v>0</v>
      </c>
      <c r="U633" s="273">
        <v>0</v>
      </c>
      <c r="V633" s="273">
        <v>0</v>
      </c>
    </row>
    <row r="634" spans="1:22" x14ac:dyDescent="0.2">
      <c r="A634" s="263" t="s">
        <v>94</v>
      </c>
      <c r="B634" s="264"/>
      <c r="C634" s="267"/>
      <c r="D634" s="268"/>
      <c r="E634" s="268"/>
      <c r="F634" s="268"/>
      <c r="G634" s="268"/>
      <c r="H634" s="268"/>
      <c r="I634" s="268"/>
      <c r="J634" s="268"/>
      <c r="K634" s="268"/>
      <c r="L634" s="268"/>
      <c r="M634" s="268"/>
      <c r="N634" s="268"/>
      <c r="O634" s="268"/>
      <c r="P634" s="268"/>
      <c r="Q634" s="268"/>
      <c r="R634" s="268"/>
      <c r="S634" s="268"/>
      <c r="T634" s="268"/>
      <c r="U634" s="268"/>
      <c r="V634" s="268"/>
    </row>
    <row r="635" spans="1:22" x14ac:dyDescent="0.2">
      <c r="A635" s="261"/>
      <c r="B635" s="264" t="s">
        <v>34</v>
      </c>
      <c r="C635" s="272">
        <v>0</v>
      </c>
      <c r="D635" s="273">
        <v>4.2613254080613263</v>
      </c>
      <c r="E635" s="273">
        <v>4.3465519162225528</v>
      </c>
      <c r="F635" s="273">
        <v>4.4334829545470038</v>
      </c>
      <c r="G635" s="273">
        <v>4.5221526136379433</v>
      </c>
      <c r="H635" s="273">
        <v>4.6125956659107024</v>
      </c>
      <c r="I635" s="273">
        <v>4.7048475792289164</v>
      </c>
      <c r="J635" s="273">
        <v>4.798944530813495</v>
      </c>
      <c r="K635" s="273">
        <v>4.8949234214297652</v>
      </c>
      <c r="L635" s="273">
        <v>4.9928218898583605</v>
      </c>
      <c r="M635" s="273">
        <v>5.0926783276555279</v>
      </c>
      <c r="N635" s="273">
        <v>5.1945318942086383</v>
      </c>
      <c r="O635" s="273">
        <v>5.2984225320928111</v>
      </c>
      <c r="P635" s="273">
        <v>5.4043909827346681</v>
      </c>
      <c r="Q635" s="273">
        <v>5.5124788023893609</v>
      </c>
      <c r="R635" s="273">
        <v>5.6227283784371487</v>
      </c>
      <c r="S635" s="273">
        <v>5.7351829460058914</v>
      </c>
      <c r="T635" s="273">
        <v>5.8498866049260094</v>
      </c>
      <c r="U635" s="273">
        <v>5.9668843370245295</v>
      </c>
      <c r="V635" s="273">
        <v>6.0862220237650195</v>
      </c>
    </row>
    <row r="636" spans="1:22" x14ac:dyDescent="0.2">
      <c r="A636" s="261"/>
      <c r="B636" s="264" t="s">
        <v>95</v>
      </c>
      <c r="C636" s="272">
        <v>0</v>
      </c>
      <c r="D636" s="273">
        <v>2.0568909100340993</v>
      </c>
      <c r="E636" s="273">
        <v>2.0568909100340993</v>
      </c>
      <c r="F636" s="273">
        <v>2.0568909100340993</v>
      </c>
      <c r="G636" s="273">
        <v>2.0568909100340993</v>
      </c>
      <c r="H636" s="273">
        <v>2.0568909100340993</v>
      </c>
      <c r="I636" s="273">
        <v>2.0568909100340993</v>
      </c>
      <c r="J636" s="273">
        <v>2.0568909100340993</v>
      </c>
      <c r="K636" s="273">
        <v>2.0568909100340993</v>
      </c>
      <c r="L636" s="273">
        <v>2.0568909100340993</v>
      </c>
      <c r="M636" s="273">
        <v>2.0568909100340993</v>
      </c>
      <c r="N636" s="273">
        <v>2.0568909100340993</v>
      </c>
      <c r="O636" s="273">
        <v>2.0568909100340993</v>
      </c>
      <c r="P636" s="273">
        <v>2.0568909100340993</v>
      </c>
      <c r="Q636" s="273">
        <v>2.0568909100340993</v>
      </c>
      <c r="R636" s="273">
        <v>2.0568909100340993</v>
      </c>
      <c r="S636" s="273">
        <v>2.0568909100340993</v>
      </c>
      <c r="T636" s="273">
        <v>2.0568909100340993</v>
      </c>
      <c r="U636" s="273">
        <v>2.0568909100340993</v>
      </c>
      <c r="V636" s="273">
        <v>2.0568909100340993</v>
      </c>
    </row>
    <row r="637" spans="1:22" x14ac:dyDescent="0.2">
      <c r="A637" s="261"/>
      <c r="B637" s="264" t="s">
        <v>36</v>
      </c>
      <c r="C637" s="272">
        <v>0</v>
      </c>
      <c r="D637" s="273">
        <v>0.41407105948314693</v>
      </c>
      <c r="E637" s="273">
        <v>0.42280795883824385</v>
      </c>
      <c r="F637" s="273">
        <v>0.432067453136802</v>
      </c>
      <c r="G637" s="273">
        <v>0.44183217757768989</v>
      </c>
      <c r="H637" s="273">
        <v>0.45234778340404036</v>
      </c>
      <c r="I637" s="273">
        <v>0.46368366433148034</v>
      </c>
      <c r="J637" s="273">
        <v>0.47518431097007663</v>
      </c>
      <c r="K637" s="273">
        <v>0.48721220788436947</v>
      </c>
      <c r="L637" s="273">
        <v>0.49924634941911356</v>
      </c>
      <c r="M637" s="273">
        <v>0.51197713132930012</v>
      </c>
      <c r="N637" s="273">
        <v>0.52436697790747067</v>
      </c>
      <c r="O637" s="273">
        <v>0.53758102575073774</v>
      </c>
      <c r="P637" s="273">
        <v>0.55123558380480508</v>
      </c>
      <c r="Q637" s="273">
        <v>0.56501647339992567</v>
      </c>
      <c r="R637" s="273">
        <v>0.57919838688226355</v>
      </c>
      <c r="S637" s="273">
        <v>0.5936783465543215</v>
      </c>
      <c r="T637" s="273">
        <v>0.60840156954886682</v>
      </c>
      <c r="U637" s="273">
        <v>0.62367244894454466</v>
      </c>
      <c r="V637" s="273">
        <v>0.63932662741305357</v>
      </c>
    </row>
    <row r="638" spans="1:22" x14ac:dyDescent="0.2">
      <c r="A638" s="261"/>
      <c r="B638" s="264" t="s">
        <v>39</v>
      </c>
      <c r="C638" s="272">
        <v>0</v>
      </c>
      <c r="D638" s="273">
        <v>0.17113636091234882</v>
      </c>
      <c r="E638" s="273">
        <v>0.17627737226277373</v>
      </c>
      <c r="F638" s="273">
        <v>4.63934138770031</v>
      </c>
      <c r="G638" s="273">
        <v>0.18770798125441973</v>
      </c>
      <c r="H638" s="273">
        <v>1.0707648292642</v>
      </c>
      <c r="I638" s="273">
        <v>1.1028877741421261</v>
      </c>
      <c r="J638" s="273">
        <v>1.1359744073663898</v>
      </c>
      <c r="K638" s="273">
        <v>1.1700536395873817</v>
      </c>
      <c r="L638" s="273">
        <v>1.205155248775003</v>
      </c>
      <c r="M638" s="273">
        <v>1.2413099062382533</v>
      </c>
      <c r="N638" s="273">
        <v>1.2785492034254009</v>
      </c>
      <c r="O638" s="273">
        <v>1.3169056795281631</v>
      </c>
      <c r="P638" s="273">
        <v>1.356412849914008</v>
      </c>
      <c r="Q638" s="273">
        <v>1.3971052354114282</v>
      </c>
      <c r="R638" s="273">
        <v>1.4390183924737709</v>
      </c>
      <c r="S638" s="273">
        <v>1.4821889442479841</v>
      </c>
      <c r="T638" s="273">
        <v>1.5266546125754237</v>
      </c>
      <c r="U638" s="273">
        <v>1.5724542509526864</v>
      </c>
      <c r="V638" s="273">
        <v>1.619627878481267</v>
      </c>
    </row>
    <row r="639" spans="1:22" x14ac:dyDescent="0.2">
      <c r="A639" s="261"/>
      <c r="B639" s="264" t="s">
        <v>96</v>
      </c>
      <c r="C639" s="274">
        <v>0</v>
      </c>
      <c r="D639" s="275">
        <v>0</v>
      </c>
      <c r="E639" s="275">
        <v>0</v>
      </c>
      <c r="F639" s="275">
        <v>0</v>
      </c>
      <c r="G639" s="275">
        <v>0</v>
      </c>
      <c r="H639" s="275">
        <v>0</v>
      </c>
      <c r="I639" s="275">
        <v>0</v>
      </c>
      <c r="J639" s="275">
        <v>0</v>
      </c>
      <c r="K639" s="275">
        <v>0</v>
      </c>
      <c r="L639" s="275">
        <v>0</v>
      </c>
      <c r="M639" s="275">
        <v>0</v>
      </c>
      <c r="N639" s="275">
        <v>0</v>
      </c>
      <c r="O639" s="275">
        <v>0</v>
      </c>
      <c r="P639" s="275">
        <v>0</v>
      </c>
      <c r="Q639" s="275">
        <v>0</v>
      </c>
      <c r="R639" s="275">
        <v>0</v>
      </c>
      <c r="S639" s="275">
        <v>0</v>
      </c>
      <c r="T639" s="275">
        <v>0</v>
      </c>
      <c r="U639" s="275">
        <v>0</v>
      </c>
      <c r="V639" s="275">
        <v>0</v>
      </c>
    </row>
    <row r="640" spans="1:22" x14ac:dyDescent="0.2">
      <c r="A640" s="261"/>
      <c r="B640" s="264"/>
      <c r="C640" s="261"/>
      <c r="D640" s="261"/>
      <c r="E640" s="261"/>
      <c r="F640" s="261"/>
      <c r="G640" s="261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</row>
    <row r="641" spans="1:22" x14ac:dyDescent="0.2">
      <c r="A641" s="261"/>
      <c r="B641" s="264"/>
      <c r="C641" s="261"/>
      <c r="D641" s="261"/>
      <c r="E641" s="261"/>
      <c r="F641" s="261"/>
      <c r="G641" s="261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</row>
    <row r="642" spans="1:22" x14ac:dyDescent="0.2">
      <c r="A642" s="292"/>
      <c r="B642" s="289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spans="1:22" x14ac:dyDescent="0.2">
      <c r="A643" s="24"/>
      <c r="B643" s="289"/>
      <c r="C643" s="293"/>
      <c r="D643" s="293"/>
      <c r="E643" s="293"/>
      <c r="F643" s="293"/>
      <c r="G643" s="293"/>
      <c r="H643" s="293"/>
      <c r="I643" s="293"/>
      <c r="J643" s="293"/>
      <c r="K643" s="293"/>
      <c r="L643" s="293"/>
      <c r="M643" s="293"/>
      <c r="N643" s="293"/>
      <c r="O643" s="293"/>
      <c r="P643" s="293"/>
      <c r="Q643" s="293"/>
      <c r="R643" s="293"/>
      <c r="S643" s="293"/>
      <c r="T643" s="293"/>
      <c r="U643" s="293"/>
      <c r="V643" s="293"/>
    </row>
    <row r="644" spans="1:22" x14ac:dyDescent="0.2">
      <c r="A644" s="259" t="s">
        <v>98</v>
      </c>
      <c r="B644" s="260"/>
      <c r="C644" s="261"/>
      <c r="D644" s="261"/>
      <c r="E644" s="261"/>
      <c r="F644" s="261"/>
      <c r="G644" s="261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</row>
    <row r="645" spans="1:22" x14ac:dyDescent="0.2">
      <c r="A645" s="262" t="s">
        <v>81</v>
      </c>
      <c r="B645" s="260"/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</row>
    <row r="646" spans="1:22" x14ac:dyDescent="0.2">
      <c r="A646" s="261"/>
      <c r="B646" s="260"/>
      <c r="C646" s="261"/>
      <c r="D646" s="261"/>
      <c r="E646" s="261"/>
      <c r="F646" s="261"/>
      <c r="G646" s="261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</row>
    <row r="647" spans="1:22" x14ac:dyDescent="0.2">
      <c r="A647" s="261"/>
      <c r="B647" s="260"/>
      <c r="C647" s="265">
        <v>2000</v>
      </c>
      <c r="D647" s="266">
        <v>2001</v>
      </c>
      <c r="E647" s="266">
        <v>2002</v>
      </c>
      <c r="F647" s="266">
        <v>2003</v>
      </c>
      <c r="G647" s="266">
        <v>2004</v>
      </c>
      <c r="H647" s="266">
        <v>2005</v>
      </c>
      <c r="I647" s="266">
        <v>2006</v>
      </c>
      <c r="J647" s="266">
        <v>2007</v>
      </c>
      <c r="K647" s="266">
        <v>2008</v>
      </c>
      <c r="L647" s="266">
        <v>2009</v>
      </c>
      <c r="M647" s="266">
        <v>2010</v>
      </c>
      <c r="N647" s="266">
        <v>2011</v>
      </c>
      <c r="O647" s="266">
        <v>2012</v>
      </c>
      <c r="P647" s="266">
        <v>2013</v>
      </c>
      <c r="Q647" s="266">
        <v>2014</v>
      </c>
      <c r="R647" s="266">
        <v>2015</v>
      </c>
      <c r="S647" s="266">
        <v>2016</v>
      </c>
      <c r="T647" s="266">
        <v>2017</v>
      </c>
      <c r="U647" s="266">
        <v>2018</v>
      </c>
      <c r="V647" s="266">
        <v>2019</v>
      </c>
    </row>
    <row r="648" spans="1:22" x14ac:dyDescent="0.2">
      <c r="A648" s="263" t="s">
        <v>129</v>
      </c>
      <c r="B648" s="260"/>
      <c r="C648" s="267"/>
      <c r="D648" s="268"/>
      <c r="E648" s="268"/>
      <c r="F648" s="268"/>
      <c r="G648" s="268"/>
      <c r="H648" s="268"/>
      <c r="I648" s="268"/>
      <c r="J648" s="268"/>
      <c r="K648" s="268"/>
      <c r="L648" s="268"/>
      <c r="M648" s="268"/>
      <c r="N648" s="268"/>
      <c r="O648" s="268"/>
      <c r="P648" s="268"/>
      <c r="Q648" s="268"/>
      <c r="R648" s="268"/>
      <c r="S648" s="268"/>
      <c r="T648" s="268"/>
      <c r="U648" s="268"/>
      <c r="V648" s="268"/>
    </row>
    <row r="649" spans="1:22" x14ac:dyDescent="0.2">
      <c r="A649" s="261"/>
      <c r="B649" s="264" t="s">
        <v>97</v>
      </c>
      <c r="C649" s="269">
        <v>0</v>
      </c>
      <c r="D649" s="270">
        <v>35727.43956262288</v>
      </c>
      <c r="E649" s="270">
        <v>50112.670062704296</v>
      </c>
      <c r="F649" s="270">
        <v>56679.369831059463</v>
      </c>
      <c r="G649" s="270">
        <v>59907.885916076004</v>
      </c>
      <c r="H649" s="270">
        <v>62114.032106890583</v>
      </c>
      <c r="I649" s="270">
        <v>84517.863367525555</v>
      </c>
      <c r="J649" s="270">
        <v>99897.974017265646</v>
      </c>
      <c r="K649" s="270">
        <v>132951.95666716856</v>
      </c>
      <c r="L649" s="270">
        <v>135950.71635798312</v>
      </c>
      <c r="M649" s="270">
        <v>101010.45101693997</v>
      </c>
      <c r="N649" s="270">
        <v>112515.69997635398</v>
      </c>
      <c r="O649" s="270">
        <v>102928.77872853605</v>
      </c>
      <c r="P649" s="270">
        <v>91575.532267265662</v>
      </c>
      <c r="Q649" s="270">
        <v>99586.630419350622</v>
      </c>
      <c r="R649" s="270">
        <v>90332.809883128764</v>
      </c>
      <c r="S649" s="270">
        <v>97091.781746809822</v>
      </c>
      <c r="T649" s="270">
        <v>81613.766058095905</v>
      </c>
      <c r="U649" s="270">
        <v>83959.856862672925</v>
      </c>
      <c r="V649" s="270">
        <v>100262.23574680982</v>
      </c>
    </row>
    <row r="650" spans="1:22" x14ac:dyDescent="0.2">
      <c r="A650" s="261"/>
      <c r="B650" s="264" t="s">
        <v>91</v>
      </c>
      <c r="C650" s="269">
        <v>0</v>
      </c>
      <c r="D650" s="271">
        <v>4.8883233683504772E-2</v>
      </c>
      <c r="E650" s="271">
        <v>6.8565488911842651E-2</v>
      </c>
      <c r="F650" s="271">
        <v>7.7550222305437025E-2</v>
      </c>
      <c r="G650" s="271">
        <v>8.1967563938838736E-2</v>
      </c>
      <c r="H650" s="271">
        <v>8.4986071872958535E-2</v>
      </c>
      <c r="I650" s="271">
        <v>0.11563959007427876</v>
      </c>
      <c r="J650" s="271">
        <v>0.13668306680178402</v>
      </c>
      <c r="K650" s="271">
        <v>0.18190840558413857</v>
      </c>
      <c r="L650" s="271">
        <v>0.18601138840410311</v>
      </c>
      <c r="M650" s="271">
        <v>0.13820518744094387</v>
      </c>
      <c r="N650" s="271">
        <v>0.15394697527558954</v>
      </c>
      <c r="O650" s="271">
        <v>0.14082989447160379</v>
      </c>
      <c r="P650" s="271">
        <v>0.12529608050041419</v>
      </c>
      <c r="Q650" s="271">
        <v>0.13625707820481037</v>
      </c>
      <c r="R650" s="271">
        <v>0.12359575465979504</v>
      </c>
      <c r="S650" s="271">
        <v>0.13284355985147217</v>
      </c>
      <c r="T650" s="271">
        <v>0.11166612684393286</v>
      </c>
      <c r="U650" s="271">
        <v>0.11487611072318181</v>
      </c>
      <c r="V650" s="271">
        <v>0.13718145939485119</v>
      </c>
    </row>
    <row r="651" spans="1:22" x14ac:dyDescent="0.2">
      <c r="A651" s="263" t="s">
        <v>93</v>
      </c>
      <c r="B651" s="264"/>
      <c r="C651" s="267"/>
      <c r="D651" s="268"/>
      <c r="E651" s="268"/>
      <c r="F651" s="268"/>
      <c r="G651" s="268"/>
      <c r="H651" s="268"/>
      <c r="I651" s="268"/>
      <c r="J651" s="268"/>
      <c r="K651" s="268"/>
      <c r="L651" s="268"/>
      <c r="M651" s="268"/>
      <c r="N651" s="268"/>
      <c r="O651" s="268"/>
      <c r="P651" s="268"/>
      <c r="Q651" s="268"/>
      <c r="R651" s="268"/>
      <c r="S651" s="268"/>
      <c r="T651" s="268"/>
      <c r="U651" s="268"/>
      <c r="V651" s="268"/>
    </row>
    <row r="652" spans="1:22" x14ac:dyDescent="0.2">
      <c r="A652" s="261"/>
      <c r="B652" s="264" t="s">
        <v>27</v>
      </c>
      <c r="C652" s="272">
        <v>0</v>
      </c>
      <c r="D652" s="273">
        <v>229.57635620775335</v>
      </c>
      <c r="E652" s="273">
        <v>144.05788369546903</v>
      </c>
      <c r="F652" s="273">
        <v>123.06823363953353</v>
      </c>
      <c r="G652" s="273">
        <v>111.81835975991193</v>
      </c>
      <c r="H652" s="273">
        <v>110.72034237632789</v>
      </c>
      <c r="I652" s="273">
        <v>93.186432398505119</v>
      </c>
      <c r="J652" s="273">
        <v>95.421019356134536</v>
      </c>
      <c r="K652" s="273">
        <v>91.139034837234917</v>
      </c>
      <c r="L652" s="273">
        <v>94.604106625883034</v>
      </c>
      <c r="M652" s="273">
        <v>109.55991172940627</v>
      </c>
      <c r="N652" s="273">
        <v>96.396307362319121</v>
      </c>
      <c r="O652" s="273">
        <v>105.28800201310784</v>
      </c>
      <c r="P652" s="273">
        <v>109.30912256699085</v>
      </c>
      <c r="Q652" s="273">
        <v>116.55842305757247</v>
      </c>
      <c r="R652" s="273">
        <v>119.81093791136331</v>
      </c>
      <c r="S652" s="273">
        <v>112.42840418904464</v>
      </c>
      <c r="T652" s="273">
        <v>123.33579938271444</v>
      </c>
      <c r="U652" s="273">
        <v>135.86501112027457</v>
      </c>
      <c r="V652" s="273">
        <v>123.10590714625611</v>
      </c>
    </row>
    <row r="653" spans="1:22" x14ac:dyDescent="0.2">
      <c r="A653" s="261"/>
      <c r="B653" s="264" t="s">
        <v>20</v>
      </c>
      <c r="C653" s="272">
        <v>0</v>
      </c>
      <c r="D653" s="273">
        <v>68.39972807652471</v>
      </c>
      <c r="E653" s="273">
        <v>59.697099529358645</v>
      </c>
      <c r="F653" s="273">
        <v>57.076140922795489</v>
      </c>
      <c r="G653" s="273">
        <v>59.160691808806973</v>
      </c>
      <c r="H653" s="273">
        <v>61.094036837666778</v>
      </c>
      <c r="I653" s="273">
        <v>58.50155437701865</v>
      </c>
      <c r="J653" s="273">
        <v>62.255344854253764</v>
      </c>
      <c r="K653" s="273">
        <v>58.089272021220317</v>
      </c>
      <c r="L653" s="273">
        <v>60.934538224248961</v>
      </c>
      <c r="M653" s="273">
        <v>64.175021510734766</v>
      </c>
      <c r="N653" s="273">
        <v>63.216228210349051</v>
      </c>
      <c r="O653" s="273">
        <v>64.11100246378551</v>
      </c>
      <c r="P653" s="273">
        <v>65.8891633092842</v>
      </c>
      <c r="Q653" s="273">
        <v>68.137285999529837</v>
      </c>
      <c r="R653" s="273">
        <v>73.164819794012217</v>
      </c>
      <c r="S653" s="273">
        <v>76.061230453573359</v>
      </c>
      <c r="T653" s="273">
        <v>77.200525412256795</v>
      </c>
      <c r="U653" s="273">
        <v>84.261462853630235</v>
      </c>
      <c r="V653" s="273">
        <v>83.514269877905676</v>
      </c>
    </row>
    <row r="654" spans="1:22" x14ac:dyDescent="0.2">
      <c r="A654" s="261"/>
      <c r="B654" s="264" t="s">
        <v>92</v>
      </c>
      <c r="C654" s="272">
        <v>0</v>
      </c>
      <c r="D654" s="273">
        <v>1.7064194012612581</v>
      </c>
      <c r="E654" s="273">
        <v>1.7206602968191436</v>
      </c>
      <c r="F654" s="273">
        <v>1.7452574582840712</v>
      </c>
      <c r="G654" s="273">
        <v>1.8078147166154082</v>
      </c>
      <c r="H654" s="273">
        <v>1.8643728635212851</v>
      </c>
      <c r="I654" s="273">
        <v>1.8559968239683577</v>
      </c>
      <c r="J654" s="273">
        <v>1.9256800001266743</v>
      </c>
      <c r="K654" s="273">
        <v>1.9718001105571288</v>
      </c>
      <c r="L654" s="273">
        <v>2.0192216254287416</v>
      </c>
      <c r="M654" s="273">
        <v>2.0694439264538467</v>
      </c>
      <c r="N654" s="273">
        <v>2.0883162143689371</v>
      </c>
      <c r="O654" s="273">
        <v>2.1342825095309004</v>
      </c>
      <c r="P654" s="273">
        <v>2.1710660324300028</v>
      </c>
      <c r="Q654" s="273">
        <v>2.2329329947042678</v>
      </c>
      <c r="R654" s="273">
        <v>2.2638670384943769</v>
      </c>
      <c r="S654" s="273">
        <v>2.3079053615696465</v>
      </c>
      <c r="T654" s="273">
        <v>2.3494108477123423</v>
      </c>
      <c r="U654" s="273">
        <v>2.4107932911545382</v>
      </c>
      <c r="V654" s="273">
        <v>2.4506833334813658</v>
      </c>
    </row>
    <row r="655" spans="1:22" x14ac:dyDescent="0.2">
      <c r="A655" s="261"/>
      <c r="B655" s="264" t="s">
        <v>22</v>
      </c>
      <c r="C655" s="272">
        <v>0</v>
      </c>
      <c r="D655" s="273">
        <v>0</v>
      </c>
      <c r="E655" s="273">
        <v>0</v>
      </c>
      <c r="F655" s="273">
        <v>0</v>
      </c>
      <c r="G655" s="273">
        <v>0</v>
      </c>
      <c r="H655" s="273">
        <v>0</v>
      </c>
      <c r="I655" s="273">
        <v>-1.1053050752225066</v>
      </c>
      <c r="J655" s="273">
        <v>-1.0365216840028084</v>
      </c>
      <c r="K655" s="273">
        <v>-0.85940192478259314</v>
      </c>
      <c r="L655" s="273">
        <v>-0.92309655349875452</v>
      </c>
      <c r="M655" s="273">
        <v>-1.3817426093053538</v>
      </c>
      <c r="N655" s="273">
        <v>-1.3664528515685486</v>
      </c>
      <c r="O655" s="273">
        <v>-1.6550036908754773</v>
      </c>
      <c r="P655" s="273">
        <v>-2.0857576700371978</v>
      </c>
      <c r="Q655" s="273">
        <v>-2.1350021308794673</v>
      </c>
      <c r="R655" s="273">
        <v>-2.6071969384897948</v>
      </c>
      <c r="S655" s="273">
        <v>-2.6634143773954202</v>
      </c>
      <c r="T655" s="273">
        <v>-3.1129260261676674</v>
      </c>
      <c r="U655" s="273">
        <v>-2.5888566315559625</v>
      </c>
      <c r="V655" s="273">
        <v>-2.2477281656824486</v>
      </c>
    </row>
    <row r="656" spans="1:22" x14ac:dyDescent="0.2">
      <c r="A656" s="261"/>
      <c r="B656" s="264" t="s">
        <v>23</v>
      </c>
      <c r="C656" s="272">
        <v>0</v>
      </c>
      <c r="D656" s="273">
        <v>0</v>
      </c>
      <c r="E656" s="273">
        <v>0</v>
      </c>
      <c r="F656" s="273">
        <v>0</v>
      </c>
      <c r="G656" s="273">
        <v>0</v>
      </c>
      <c r="H656" s="273">
        <v>0</v>
      </c>
      <c r="I656" s="273">
        <v>0</v>
      </c>
      <c r="J656" s="273">
        <v>0</v>
      </c>
      <c r="K656" s="273">
        <v>0</v>
      </c>
      <c r="L656" s="273">
        <v>0</v>
      </c>
      <c r="M656" s="273">
        <v>0</v>
      </c>
      <c r="N656" s="273">
        <v>0</v>
      </c>
      <c r="O656" s="273">
        <v>0</v>
      </c>
      <c r="P656" s="273">
        <v>0</v>
      </c>
      <c r="Q656" s="273">
        <v>0</v>
      </c>
      <c r="R656" s="273">
        <v>0</v>
      </c>
      <c r="S656" s="273">
        <v>0</v>
      </c>
      <c r="T656" s="273">
        <v>0</v>
      </c>
      <c r="U656" s="273">
        <v>0</v>
      </c>
      <c r="V656" s="273">
        <v>0</v>
      </c>
    </row>
    <row r="657" spans="1:22" x14ac:dyDescent="0.2">
      <c r="A657" s="263" t="s">
        <v>94</v>
      </c>
      <c r="B657" s="264"/>
      <c r="C657" s="267"/>
      <c r="D657" s="268"/>
      <c r="E657" s="268"/>
      <c r="F657" s="268"/>
      <c r="G657" s="268"/>
      <c r="H657" s="268"/>
      <c r="I657" s="268"/>
      <c r="J657" s="268"/>
      <c r="K657" s="268"/>
      <c r="L657" s="268"/>
      <c r="M657" s="268"/>
      <c r="N657" s="268"/>
      <c r="O657" s="268"/>
      <c r="P657" s="268"/>
      <c r="Q657" s="268"/>
      <c r="R657" s="268"/>
      <c r="S657" s="268"/>
      <c r="T657" s="268"/>
      <c r="U657" s="268"/>
      <c r="V657" s="268"/>
    </row>
    <row r="658" spans="1:22" x14ac:dyDescent="0.2">
      <c r="A658" s="261"/>
      <c r="B658" s="264" t="s">
        <v>34</v>
      </c>
      <c r="C658" s="272">
        <v>0</v>
      </c>
      <c r="D658" s="273">
        <v>4.2613254080613263</v>
      </c>
      <c r="E658" s="273">
        <v>4.3465519162225528</v>
      </c>
      <c r="F658" s="273">
        <v>4.4334829545470038</v>
      </c>
      <c r="G658" s="273">
        <v>4.5221526136379433</v>
      </c>
      <c r="H658" s="273">
        <v>4.6125956659107024</v>
      </c>
      <c r="I658" s="273">
        <v>4.7048475792289164</v>
      </c>
      <c r="J658" s="273">
        <v>4.798944530813495</v>
      </c>
      <c r="K658" s="273">
        <v>4.8949234214297652</v>
      </c>
      <c r="L658" s="273">
        <v>4.9928218898583605</v>
      </c>
      <c r="M658" s="273">
        <v>5.0926783276555279</v>
      </c>
      <c r="N658" s="273">
        <v>5.1945318942086383</v>
      </c>
      <c r="O658" s="273">
        <v>5.2984225320928111</v>
      </c>
      <c r="P658" s="273">
        <v>5.4043909827346681</v>
      </c>
      <c r="Q658" s="273">
        <v>5.5124788023893609</v>
      </c>
      <c r="R658" s="273">
        <v>5.6227283784371487</v>
      </c>
      <c r="S658" s="273">
        <v>5.7351829460058914</v>
      </c>
      <c r="T658" s="273">
        <v>5.8498866049260094</v>
      </c>
      <c r="U658" s="273">
        <v>5.9668843370245295</v>
      </c>
      <c r="V658" s="273">
        <v>6.0862220237650195</v>
      </c>
    </row>
    <row r="659" spans="1:22" x14ac:dyDescent="0.2">
      <c r="A659" s="261"/>
      <c r="B659" s="264" t="s">
        <v>95</v>
      </c>
      <c r="C659" s="272">
        <v>0</v>
      </c>
      <c r="D659" s="273">
        <v>2.0568909100340993</v>
      </c>
      <c r="E659" s="273">
        <v>2.0568909100340993</v>
      </c>
      <c r="F659" s="273">
        <v>2.0568909100340993</v>
      </c>
      <c r="G659" s="273">
        <v>2.0568909100340993</v>
      </c>
      <c r="H659" s="273">
        <v>2.0568909100340993</v>
      </c>
      <c r="I659" s="273">
        <v>2.0568909100340993</v>
      </c>
      <c r="J659" s="273">
        <v>2.0568909100340993</v>
      </c>
      <c r="K659" s="273">
        <v>2.0568909100340993</v>
      </c>
      <c r="L659" s="273">
        <v>2.0568909100340993</v>
      </c>
      <c r="M659" s="273">
        <v>2.0568909100340993</v>
      </c>
      <c r="N659" s="273">
        <v>2.0568909100340993</v>
      </c>
      <c r="O659" s="273">
        <v>2.0568909100340993</v>
      </c>
      <c r="P659" s="273">
        <v>2.0568909100340993</v>
      </c>
      <c r="Q659" s="273">
        <v>2.0568909100340993</v>
      </c>
      <c r="R659" s="273">
        <v>2.0568909100340993</v>
      </c>
      <c r="S659" s="273">
        <v>2.0568909100340993</v>
      </c>
      <c r="T659" s="273">
        <v>2.0568909100340993</v>
      </c>
      <c r="U659" s="273">
        <v>2.0568909100340993</v>
      </c>
      <c r="V659" s="273">
        <v>2.0568909100340993</v>
      </c>
    </row>
    <row r="660" spans="1:22" x14ac:dyDescent="0.2">
      <c r="A660" s="261"/>
      <c r="B660" s="264" t="s">
        <v>36</v>
      </c>
      <c r="C660" s="272">
        <v>0</v>
      </c>
      <c r="D660" s="273">
        <v>0.41407105948314693</v>
      </c>
      <c r="E660" s="273">
        <v>0.42280795883824385</v>
      </c>
      <c r="F660" s="273">
        <v>0.432067453136802</v>
      </c>
      <c r="G660" s="273">
        <v>0.44183217757768989</v>
      </c>
      <c r="H660" s="273">
        <v>0.45234778340404036</v>
      </c>
      <c r="I660" s="273">
        <v>0.46368366433148034</v>
      </c>
      <c r="J660" s="273">
        <v>0.47518431097007663</v>
      </c>
      <c r="K660" s="273">
        <v>0.48721220788436947</v>
      </c>
      <c r="L660" s="273">
        <v>0.49924634941911356</v>
      </c>
      <c r="M660" s="273">
        <v>0.51197713132930012</v>
      </c>
      <c r="N660" s="273">
        <v>0.52436697790747067</v>
      </c>
      <c r="O660" s="273">
        <v>0.53758102575073774</v>
      </c>
      <c r="P660" s="273">
        <v>0.55123558380480508</v>
      </c>
      <c r="Q660" s="273">
        <v>0.56501647339992567</v>
      </c>
      <c r="R660" s="273">
        <v>0.57919838688226355</v>
      </c>
      <c r="S660" s="273">
        <v>0.5936783465543215</v>
      </c>
      <c r="T660" s="273">
        <v>0.60840156954886682</v>
      </c>
      <c r="U660" s="273">
        <v>0.62367244894454466</v>
      </c>
      <c r="V660" s="273">
        <v>0.63932662741305357</v>
      </c>
    </row>
    <row r="661" spans="1:22" x14ac:dyDescent="0.2">
      <c r="A661" s="261"/>
      <c r="B661" s="264" t="s">
        <v>39</v>
      </c>
      <c r="C661" s="272">
        <v>0</v>
      </c>
      <c r="D661" s="273">
        <v>0.17833603010799084</v>
      </c>
      <c r="E661" s="273">
        <v>0.18365742571884028</v>
      </c>
      <c r="F661" s="273">
        <v>4.6082604005609289</v>
      </c>
      <c r="G661" s="273">
        <v>0.19548727721644912</v>
      </c>
      <c r="H661" s="273">
        <v>1.070589550897127</v>
      </c>
      <c r="I661" s="273">
        <v>1.102707237424041</v>
      </c>
      <c r="J661" s="273">
        <v>1.1357884545467622</v>
      </c>
      <c r="K661" s="273">
        <v>1.1698621081831651</v>
      </c>
      <c r="L661" s="273">
        <v>1.20495797142866</v>
      </c>
      <c r="M661" s="273">
        <v>1.2411067105715199</v>
      </c>
      <c r="N661" s="273">
        <v>1.2783399118886656</v>
      </c>
      <c r="O661" s="273">
        <v>1.3166901092453258</v>
      </c>
      <c r="P661" s="273">
        <v>1.3561908125226856</v>
      </c>
      <c r="Q661" s="273">
        <v>1.3968765368983662</v>
      </c>
      <c r="R661" s="273">
        <v>1.4387828330053174</v>
      </c>
      <c r="S661" s="273">
        <v>1.4819463179954768</v>
      </c>
      <c r="T661" s="273">
        <v>1.5264047075353411</v>
      </c>
      <c r="U661" s="273">
        <v>1.5721968487614015</v>
      </c>
      <c r="V661" s="273">
        <v>1.6193627542242437</v>
      </c>
    </row>
    <row r="662" spans="1:22" x14ac:dyDescent="0.2">
      <c r="A662" s="261"/>
      <c r="B662" s="264" t="s">
        <v>96</v>
      </c>
      <c r="C662" s="274">
        <v>0</v>
      </c>
      <c r="D662" s="275">
        <v>0</v>
      </c>
      <c r="E662" s="275">
        <v>0</v>
      </c>
      <c r="F662" s="275">
        <v>0</v>
      </c>
      <c r="G662" s="275">
        <v>0</v>
      </c>
      <c r="H662" s="275">
        <v>0</v>
      </c>
      <c r="I662" s="275">
        <v>0</v>
      </c>
      <c r="J662" s="275">
        <v>0</v>
      </c>
      <c r="K662" s="275">
        <v>0</v>
      </c>
      <c r="L662" s="275">
        <v>0</v>
      </c>
      <c r="M662" s="275">
        <v>0</v>
      </c>
      <c r="N662" s="275">
        <v>0</v>
      </c>
      <c r="O662" s="275">
        <v>0</v>
      </c>
      <c r="P662" s="275">
        <v>0</v>
      </c>
      <c r="Q662" s="275">
        <v>0</v>
      </c>
      <c r="R662" s="275">
        <v>0</v>
      </c>
      <c r="S662" s="275">
        <v>0</v>
      </c>
      <c r="T662" s="275">
        <v>0</v>
      </c>
      <c r="U662" s="275">
        <v>0</v>
      </c>
      <c r="V662" s="275">
        <v>0</v>
      </c>
    </row>
    <row r="663" spans="1:22" x14ac:dyDescent="0.2">
      <c r="A663" s="261"/>
      <c r="B663" s="264"/>
      <c r="C663" s="261"/>
      <c r="D663" s="261"/>
      <c r="E663" s="261"/>
      <c r="F663" s="261"/>
      <c r="G663" s="261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</row>
    <row r="664" spans="1:22" x14ac:dyDescent="0.2">
      <c r="A664" s="261"/>
      <c r="B664" s="264"/>
      <c r="C664" s="261"/>
      <c r="D664" s="261"/>
      <c r="E664" s="261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</row>
    <row r="665" spans="1:22" x14ac:dyDescent="0.2">
      <c r="A665" s="24"/>
      <c r="B665" s="289"/>
      <c r="C665" s="293"/>
      <c r="D665" s="293"/>
      <c r="E665" s="293"/>
      <c r="F665" s="293"/>
      <c r="G665" s="293"/>
      <c r="H665" s="293"/>
      <c r="I665" s="293"/>
      <c r="J665" s="293"/>
      <c r="K665" s="293"/>
      <c r="L665" s="293"/>
      <c r="M665" s="293"/>
      <c r="N665" s="293"/>
      <c r="O665" s="293"/>
      <c r="P665" s="293"/>
      <c r="Q665" s="293"/>
      <c r="R665" s="293"/>
      <c r="S665" s="293"/>
      <c r="T665" s="293"/>
      <c r="U665" s="293"/>
      <c r="V665" s="293"/>
    </row>
    <row r="666" spans="1:22" x14ac:dyDescent="0.2">
      <c r="A666" s="24"/>
      <c r="B666" s="289"/>
      <c r="C666" s="293"/>
      <c r="D666" s="293"/>
      <c r="E666" s="293"/>
      <c r="F666" s="293"/>
      <c r="G666" s="293"/>
      <c r="H666" s="293"/>
      <c r="I666" s="293"/>
      <c r="J666" s="293"/>
      <c r="K666" s="293"/>
      <c r="L666" s="293"/>
      <c r="M666" s="293"/>
      <c r="N666" s="293"/>
      <c r="O666" s="293"/>
      <c r="P666" s="293"/>
      <c r="Q666" s="293"/>
      <c r="R666" s="293"/>
      <c r="S666" s="293"/>
      <c r="T666" s="293"/>
      <c r="U666" s="293"/>
      <c r="V666" s="293"/>
    </row>
    <row r="667" spans="1:22" x14ac:dyDescent="0.2">
      <c r="A667" s="259" t="s">
        <v>98</v>
      </c>
      <c r="B667" s="260"/>
      <c r="C667" s="261"/>
      <c r="D667" s="261"/>
      <c r="E667" s="261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</row>
    <row r="668" spans="1:22" x14ac:dyDescent="0.2">
      <c r="A668" s="262" t="s">
        <v>82</v>
      </c>
      <c r="B668" s="260"/>
      <c r="C668" s="261"/>
      <c r="D668" s="261"/>
      <c r="E668" s="261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</row>
    <row r="669" spans="1:22" x14ac:dyDescent="0.2">
      <c r="A669" s="261"/>
      <c r="B669" s="260"/>
      <c r="C669" s="261"/>
      <c r="D669" s="261"/>
      <c r="E669" s="261"/>
      <c r="F669" s="261"/>
      <c r="G669" s="261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</row>
    <row r="670" spans="1:22" x14ac:dyDescent="0.2">
      <c r="A670" s="261"/>
      <c r="B670" s="260"/>
      <c r="C670" s="265">
        <v>2000</v>
      </c>
      <c r="D670" s="266">
        <v>2001</v>
      </c>
      <c r="E670" s="266">
        <v>2002</v>
      </c>
      <c r="F670" s="266">
        <v>2003</v>
      </c>
      <c r="G670" s="266">
        <v>2004</v>
      </c>
      <c r="H670" s="266">
        <v>2005</v>
      </c>
      <c r="I670" s="266">
        <v>2006</v>
      </c>
      <c r="J670" s="266">
        <v>2007</v>
      </c>
      <c r="K670" s="266">
        <v>2008</v>
      </c>
      <c r="L670" s="266">
        <v>2009</v>
      </c>
      <c r="M670" s="266">
        <v>2010</v>
      </c>
      <c r="N670" s="266">
        <v>2011</v>
      </c>
      <c r="O670" s="266">
        <v>2012</v>
      </c>
      <c r="P670" s="266">
        <v>2013</v>
      </c>
      <c r="Q670" s="266">
        <v>2014</v>
      </c>
      <c r="R670" s="266">
        <v>2015</v>
      </c>
      <c r="S670" s="266">
        <v>2016</v>
      </c>
      <c r="T670" s="266">
        <v>2017</v>
      </c>
      <c r="U670" s="266">
        <v>2018</v>
      </c>
      <c r="V670" s="266">
        <v>2019</v>
      </c>
    </row>
    <row r="671" spans="1:22" x14ac:dyDescent="0.2">
      <c r="A671" s="263" t="s">
        <v>129</v>
      </c>
      <c r="B671" s="260"/>
      <c r="C671" s="267"/>
      <c r="D671" s="268"/>
      <c r="E671" s="268"/>
      <c r="F671" s="268"/>
      <c r="G671" s="268"/>
      <c r="H671" s="268"/>
      <c r="I671" s="268"/>
      <c r="J671" s="268"/>
      <c r="K671" s="268"/>
      <c r="L671" s="268"/>
      <c r="M671" s="268"/>
      <c r="N671" s="268"/>
      <c r="O671" s="268"/>
      <c r="P671" s="268"/>
      <c r="Q671" s="268"/>
      <c r="R671" s="268"/>
      <c r="S671" s="268"/>
      <c r="T671" s="268"/>
      <c r="U671" s="268"/>
      <c r="V671" s="268"/>
    </row>
    <row r="672" spans="1:22" x14ac:dyDescent="0.2">
      <c r="A672" s="261"/>
      <c r="B672" s="264" t="s">
        <v>97</v>
      </c>
      <c r="C672" s="269">
        <v>0</v>
      </c>
      <c r="D672" s="270">
        <v>35727.43956262288</v>
      </c>
      <c r="E672" s="270">
        <v>50112.670062704296</v>
      </c>
      <c r="F672" s="270">
        <v>56679.369831059463</v>
      </c>
      <c r="G672" s="270">
        <v>59907.885916076004</v>
      </c>
      <c r="H672" s="270">
        <v>62114.032106890583</v>
      </c>
      <c r="I672" s="270">
        <v>84517.863367525555</v>
      </c>
      <c r="J672" s="270">
        <v>99897.974017265646</v>
      </c>
      <c r="K672" s="270">
        <v>132951.95666716856</v>
      </c>
      <c r="L672" s="270">
        <v>135950.71635798312</v>
      </c>
      <c r="M672" s="270">
        <v>101010.45101693997</v>
      </c>
      <c r="N672" s="270">
        <v>112515.69997635398</v>
      </c>
      <c r="O672" s="270">
        <v>102928.77872853605</v>
      </c>
      <c r="P672" s="270">
        <v>91575.532267265662</v>
      </c>
      <c r="Q672" s="270">
        <v>99586.630419350622</v>
      </c>
      <c r="R672" s="270">
        <v>90332.809883128764</v>
      </c>
      <c r="S672" s="270">
        <v>97091.781746809822</v>
      </c>
      <c r="T672" s="270">
        <v>81613.766058095905</v>
      </c>
      <c r="U672" s="270">
        <v>83959.856862672925</v>
      </c>
      <c r="V672" s="270">
        <v>100262.23574680982</v>
      </c>
    </row>
    <row r="673" spans="1:22" x14ac:dyDescent="0.2">
      <c r="A673" s="261"/>
      <c r="B673" s="264" t="s">
        <v>91</v>
      </c>
      <c r="C673" s="269">
        <v>0</v>
      </c>
      <c r="D673" s="271">
        <v>4.8883233683504772E-2</v>
      </c>
      <c r="E673" s="271">
        <v>6.8565488911842651E-2</v>
      </c>
      <c r="F673" s="271">
        <v>7.7550222305437025E-2</v>
      </c>
      <c r="G673" s="271">
        <v>8.1967563938838736E-2</v>
      </c>
      <c r="H673" s="271">
        <v>8.4986071872958535E-2</v>
      </c>
      <c r="I673" s="271">
        <v>0.11563959007427876</v>
      </c>
      <c r="J673" s="271">
        <v>0.13668306680178402</v>
      </c>
      <c r="K673" s="271">
        <v>0.18190840558413857</v>
      </c>
      <c r="L673" s="271">
        <v>0.18601138840410311</v>
      </c>
      <c r="M673" s="271">
        <v>0.13820518744094387</v>
      </c>
      <c r="N673" s="271">
        <v>0.15394697527558954</v>
      </c>
      <c r="O673" s="271">
        <v>0.14082989447160379</v>
      </c>
      <c r="P673" s="271">
        <v>0.12529608050041419</v>
      </c>
      <c r="Q673" s="271">
        <v>0.13625707820481037</v>
      </c>
      <c r="R673" s="271">
        <v>0.12359575465979504</v>
      </c>
      <c r="S673" s="271">
        <v>0.13284355985147217</v>
      </c>
      <c r="T673" s="271">
        <v>0.11166612684393286</v>
      </c>
      <c r="U673" s="271">
        <v>0.11487611072318181</v>
      </c>
      <c r="V673" s="271">
        <v>0.13718145939485119</v>
      </c>
    </row>
    <row r="674" spans="1:22" x14ac:dyDescent="0.2">
      <c r="A674" s="263" t="s">
        <v>93</v>
      </c>
      <c r="B674" s="264"/>
      <c r="C674" s="267"/>
      <c r="D674" s="268"/>
      <c r="E674" s="268"/>
      <c r="F674" s="268"/>
      <c r="G674" s="268"/>
      <c r="H674" s="268"/>
      <c r="I674" s="268"/>
      <c r="J674" s="268"/>
      <c r="K674" s="268"/>
      <c r="L674" s="268"/>
      <c r="M674" s="268"/>
      <c r="N674" s="268"/>
      <c r="O674" s="268"/>
      <c r="P674" s="268"/>
      <c r="Q674" s="268"/>
      <c r="R674" s="268"/>
      <c r="S674" s="268"/>
      <c r="T674" s="268"/>
      <c r="U674" s="268"/>
      <c r="V674" s="268"/>
    </row>
    <row r="675" spans="1:22" x14ac:dyDescent="0.2">
      <c r="A675" s="261"/>
      <c r="B675" s="264" t="s">
        <v>27</v>
      </c>
      <c r="C675" s="272">
        <v>0</v>
      </c>
      <c r="D675" s="273">
        <v>229.57635620775335</v>
      </c>
      <c r="E675" s="273">
        <v>144.05788369546903</v>
      </c>
      <c r="F675" s="273">
        <v>123.06823363953353</v>
      </c>
      <c r="G675" s="273">
        <v>111.81835975991193</v>
      </c>
      <c r="H675" s="273">
        <v>110.72034237632789</v>
      </c>
      <c r="I675" s="273">
        <v>93.186432398505119</v>
      </c>
      <c r="J675" s="273">
        <v>95.421019356134536</v>
      </c>
      <c r="K675" s="273">
        <v>91.139034837234917</v>
      </c>
      <c r="L675" s="273">
        <v>94.604106625883034</v>
      </c>
      <c r="M675" s="273">
        <v>109.55991172940627</v>
      </c>
      <c r="N675" s="273">
        <v>96.396307362319121</v>
      </c>
      <c r="O675" s="273">
        <v>105.28800201310784</v>
      </c>
      <c r="P675" s="273">
        <v>109.30912256699085</v>
      </c>
      <c r="Q675" s="273">
        <v>116.55842305757247</v>
      </c>
      <c r="R675" s="273">
        <v>119.81093791136331</v>
      </c>
      <c r="S675" s="273">
        <v>112.42840418904464</v>
      </c>
      <c r="T675" s="273">
        <v>123.33579938271444</v>
      </c>
      <c r="U675" s="273">
        <v>135.86501112027457</v>
      </c>
      <c r="V675" s="273">
        <v>123.10590714625611</v>
      </c>
    </row>
    <row r="676" spans="1:22" x14ac:dyDescent="0.2">
      <c r="A676" s="261"/>
      <c r="B676" s="264" t="s">
        <v>20</v>
      </c>
      <c r="C676" s="272">
        <v>0</v>
      </c>
      <c r="D676" s="273">
        <v>68.39972807652471</v>
      </c>
      <c r="E676" s="273">
        <v>59.697099529358645</v>
      </c>
      <c r="F676" s="273">
        <v>57.076140922795489</v>
      </c>
      <c r="G676" s="273">
        <v>59.160691808806973</v>
      </c>
      <c r="H676" s="273">
        <v>61.094036837666778</v>
      </c>
      <c r="I676" s="273">
        <v>58.50155437701865</v>
      </c>
      <c r="J676" s="273">
        <v>62.255344854253764</v>
      </c>
      <c r="K676" s="273">
        <v>58.089272021220317</v>
      </c>
      <c r="L676" s="273">
        <v>60.934538224248961</v>
      </c>
      <c r="M676" s="273">
        <v>64.175021510734766</v>
      </c>
      <c r="N676" s="273">
        <v>63.216228210349051</v>
      </c>
      <c r="O676" s="273">
        <v>64.11100246378551</v>
      </c>
      <c r="P676" s="273">
        <v>65.8891633092842</v>
      </c>
      <c r="Q676" s="273">
        <v>68.137285999529837</v>
      </c>
      <c r="R676" s="273">
        <v>73.164819794012217</v>
      </c>
      <c r="S676" s="273">
        <v>76.061230453573359</v>
      </c>
      <c r="T676" s="273">
        <v>77.200525412256795</v>
      </c>
      <c r="U676" s="273">
        <v>84.261462853630235</v>
      </c>
      <c r="V676" s="273">
        <v>83.514269877905676</v>
      </c>
    </row>
    <row r="677" spans="1:22" x14ac:dyDescent="0.2">
      <c r="A677" s="261"/>
      <c r="B677" s="264" t="s">
        <v>92</v>
      </c>
      <c r="C677" s="272">
        <v>0</v>
      </c>
      <c r="D677" s="273">
        <v>1.7064194012612581</v>
      </c>
      <c r="E677" s="273">
        <v>1.7206602968191436</v>
      </c>
      <c r="F677" s="273">
        <v>1.7452574582840712</v>
      </c>
      <c r="G677" s="273">
        <v>1.8078147166154082</v>
      </c>
      <c r="H677" s="273">
        <v>1.8643728635212851</v>
      </c>
      <c r="I677" s="273">
        <v>1.8559968239683577</v>
      </c>
      <c r="J677" s="273">
        <v>1.9256800001266743</v>
      </c>
      <c r="K677" s="273">
        <v>1.9718001105571288</v>
      </c>
      <c r="L677" s="273">
        <v>2.0192216254287416</v>
      </c>
      <c r="M677" s="273">
        <v>2.0694439264538467</v>
      </c>
      <c r="N677" s="273">
        <v>2.0883162143689371</v>
      </c>
      <c r="O677" s="273">
        <v>2.1342825095309004</v>
      </c>
      <c r="P677" s="273">
        <v>2.1710660324300028</v>
      </c>
      <c r="Q677" s="273">
        <v>2.2329329947042678</v>
      </c>
      <c r="R677" s="273">
        <v>2.2638670384943769</v>
      </c>
      <c r="S677" s="273">
        <v>2.3079053615696465</v>
      </c>
      <c r="T677" s="273">
        <v>2.3494108477123423</v>
      </c>
      <c r="U677" s="273">
        <v>2.4107932911545382</v>
      </c>
      <c r="V677" s="273">
        <v>2.4506833334813658</v>
      </c>
    </row>
    <row r="678" spans="1:22" x14ac:dyDescent="0.2">
      <c r="A678" s="261"/>
      <c r="B678" s="264" t="s">
        <v>22</v>
      </c>
      <c r="C678" s="272">
        <v>0</v>
      </c>
      <c r="D678" s="273">
        <v>0</v>
      </c>
      <c r="E678" s="273">
        <v>0</v>
      </c>
      <c r="F678" s="273">
        <v>0</v>
      </c>
      <c r="G678" s="273">
        <v>0</v>
      </c>
      <c r="H678" s="273">
        <v>0</v>
      </c>
      <c r="I678" s="273">
        <v>-1.1053050752225066</v>
      </c>
      <c r="J678" s="273">
        <v>-1.0365216840028084</v>
      </c>
      <c r="K678" s="273">
        <v>-0.85940192478259314</v>
      </c>
      <c r="L678" s="273">
        <v>-0.92309655349875452</v>
      </c>
      <c r="M678" s="273">
        <v>-1.3817426093053538</v>
      </c>
      <c r="N678" s="273">
        <v>-1.3664528515685486</v>
      </c>
      <c r="O678" s="273">
        <v>-1.6550036908754773</v>
      </c>
      <c r="P678" s="273">
        <v>-2.0857576700371978</v>
      </c>
      <c r="Q678" s="273">
        <v>-2.1350021308794673</v>
      </c>
      <c r="R678" s="273">
        <v>-2.6071969384897948</v>
      </c>
      <c r="S678" s="273">
        <v>-2.6634143773954202</v>
      </c>
      <c r="T678" s="273">
        <v>-3.1129260261676674</v>
      </c>
      <c r="U678" s="273">
        <v>-2.5888566315559625</v>
      </c>
      <c r="V678" s="273">
        <v>-2.2477281656824486</v>
      </c>
    </row>
    <row r="679" spans="1:22" x14ac:dyDescent="0.2">
      <c r="A679" s="261"/>
      <c r="B679" s="264" t="s">
        <v>23</v>
      </c>
      <c r="C679" s="272">
        <v>0</v>
      </c>
      <c r="D679" s="273">
        <v>0</v>
      </c>
      <c r="E679" s="273">
        <v>0</v>
      </c>
      <c r="F679" s="273">
        <v>0</v>
      </c>
      <c r="G679" s="273">
        <v>0</v>
      </c>
      <c r="H679" s="273">
        <v>0</v>
      </c>
      <c r="I679" s="273">
        <v>0</v>
      </c>
      <c r="J679" s="273">
        <v>0</v>
      </c>
      <c r="K679" s="273">
        <v>0</v>
      </c>
      <c r="L679" s="273">
        <v>0</v>
      </c>
      <c r="M679" s="273">
        <v>0</v>
      </c>
      <c r="N679" s="273">
        <v>0</v>
      </c>
      <c r="O679" s="273">
        <v>0</v>
      </c>
      <c r="P679" s="273">
        <v>0</v>
      </c>
      <c r="Q679" s="273">
        <v>0</v>
      </c>
      <c r="R679" s="273">
        <v>0</v>
      </c>
      <c r="S679" s="273">
        <v>0</v>
      </c>
      <c r="T679" s="273">
        <v>0</v>
      </c>
      <c r="U679" s="273">
        <v>0</v>
      </c>
      <c r="V679" s="273">
        <v>0</v>
      </c>
    </row>
    <row r="680" spans="1:22" x14ac:dyDescent="0.2">
      <c r="A680" s="263" t="s">
        <v>94</v>
      </c>
      <c r="B680" s="264"/>
      <c r="C680" s="267"/>
      <c r="D680" s="268"/>
      <c r="E680" s="268"/>
      <c r="F680" s="268"/>
      <c r="G680" s="268"/>
      <c r="H680" s="268"/>
      <c r="I680" s="268"/>
      <c r="J680" s="268"/>
      <c r="K680" s="268"/>
      <c r="L680" s="268"/>
      <c r="M680" s="268"/>
      <c r="N680" s="268"/>
      <c r="O680" s="268"/>
      <c r="P680" s="268"/>
      <c r="Q680" s="268"/>
      <c r="R680" s="268"/>
      <c r="S680" s="268"/>
      <c r="T680" s="268"/>
      <c r="U680" s="268"/>
      <c r="V680" s="268"/>
    </row>
    <row r="681" spans="1:22" x14ac:dyDescent="0.2">
      <c r="A681" s="261"/>
      <c r="B681" s="264" t="s">
        <v>34</v>
      </c>
      <c r="C681" s="272">
        <v>0</v>
      </c>
      <c r="D681" s="273">
        <v>4.2613254080613263</v>
      </c>
      <c r="E681" s="273">
        <v>4.3465519162225528</v>
      </c>
      <c r="F681" s="273">
        <v>4.4334829545470038</v>
      </c>
      <c r="G681" s="273">
        <v>4.5221526136379433</v>
      </c>
      <c r="H681" s="273">
        <v>4.6125956659107024</v>
      </c>
      <c r="I681" s="273">
        <v>4.7048475792289164</v>
      </c>
      <c r="J681" s="273">
        <v>4.798944530813495</v>
      </c>
      <c r="K681" s="273">
        <v>4.8949234214297652</v>
      </c>
      <c r="L681" s="273">
        <v>4.9928218898583605</v>
      </c>
      <c r="M681" s="273">
        <v>5.0926783276555279</v>
      </c>
      <c r="N681" s="273">
        <v>5.1945318942086383</v>
      </c>
      <c r="O681" s="273">
        <v>5.2984225320928111</v>
      </c>
      <c r="P681" s="273">
        <v>5.4043909827346681</v>
      </c>
      <c r="Q681" s="273">
        <v>5.5124788023893609</v>
      </c>
      <c r="R681" s="273">
        <v>5.6227283784371487</v>
      </c>
      <c r="S681" s="273">
        <v>5.7351829460058914</v>
      </c>
      <c r="T681" s="273">
        <v>5.8498866049260094</v>
      </c>
      <c r="U681" s="273">
        <v>5.9668843370245295</v>
      </c>
      <c r="V681" s="273">
        <v>6.0862220237650195</v>
      </c>
    </row>
    <row r="682" spans="1:22" x14ac:dyDescent="0.2">
      <c r="A682" s="261"/>
      <c r="B682" s="264" t="s">
        <v>95</v>
      </c>
      <c r="C682" s="272">
        <v>0</v>
      </c>
      <c r="D682" s="273">
        <v>2.0568909100340993</v>
      </c>
      <c r="E682" s="273">
        <v>2.0568909100340993</v>
      </c>
      <c r="F682" s="273">
        <v>2.0568909100340993</v>
      </c>
      <c r="G682" s="273">
        <v>2.0568909100340993</v>
      </c>
      <c r="H682" s="273">
        <v>2.0568909100340993</v>
      </c>
      <c r="I682" s="273">
        <v>2.0568909100340993</v>
      </c>
      <c r="J682" s="273">
        <v>2.0568909100340993</v>
      </c>
      <c r="K682" s="273">
        <v>2.0568909100340993</v>
      </c>
      <c r="L682" s="273">
        <v>2.0568909100340993</v>
      </c>
      <c r="M682" s="273">
        <v>2.0568909100340993</v>
      </c>
      <c r="N682" s="273">
        <v>2.0568909100340993</v>
      </c>
      <c r="O682" s="273">
        <v>2.0568909100340993</v>
      </c>
      <c r="P682" s="273">
        <v>2.0568909100340993</v>
      </c>
      <c r="Q682" s="273">
        <v>2.0568909100340993</v>
      </c>
      <c r="R682" s="273">
        <v>2.0568909100340993</v>
      </c>
      <c r="S682" s="273">
        <v>2.0568909100340993</v>
      </c>
      <c r="T682" s="273">
        <v>2.0568909100340993</v>
      </c>
      <c r="U682" s="273">
        <v>2.0568909100340993</v>
      </c>
      <c r="V682" s="273">
        <v>2.0568909100340993</v>
      </c>
    </row>
    <row r="683" spans="1:22" x14ac:dyDescent="0.2">
      <c r="A683" s="261"/>
      <c r="B683" s="264" t="s">
        <v>36</v>
      </c>
      <c r="C683" s="272">
        <v>0</v>
      </c>
      <c r="D683" s="273">
        <v>0.41407105948314693</v>
      </c>
      <c r="E683" s="273">
        <v>0.42280795883824385</v>
      </c>
      <c r="F683" s="273">
        <v>0.432067453136802</v>
      </c>
      <c r="G683" s="273">
        <v>0.44183217757768989</v>
      </c>
      <c r="H683" s="273">
        <v>0.45234778340404036</v>
      </c>
      <c r="I683" s="273">
        <v>0.46368366433148034</v>
      </c>
      <c r="J683" s="273">
        <v>0.47518431097007663</v>
      </c>
      <c r="K683" s="273">
        <v>0.48721220788436947</v>
      </c>
      <c r="L683" s="273">
        <v>0.49924634941911356</v>
      </c>
      <c r="M683" s="273">
        <v>0.51197713132930012</v>
      </c>
      <c r="N683" s="273">
        <v>0.52436697790747067</v>
      </c>
      <c r="O683" s="273">
        <v>0.53758102575073774</v>
      </c>
      <c r="P683" s="273">
        <v>0.55123558380480508</v>
      </c>
      <c r="Q683" s="273">
        <v>0.56501647339992567</v>
      </c>
      <c r="R683" s="273">
        <v>0.57919838688226355</v>
      </c>
      <c r="S683" s="273">
        <v>0.5936783465543215</v>
      </c>
      <c r="T683" s="273">
        <v>0.60840156954886682</v>
      </c>
      <c r="U683" s="273">
        <v>0.62367244894454466</v>
      </c>
      <c r="V683" s="273">
        <v>0.63932662741305357</v>
      </c>
    </row>
    <row r="684" spans="1:22" x14ac:dyDescent="0.2">
      <c r="A684" s="261"/>
      <c r="B684" s="264" t="s">
        <v>39</v>
      </c>
      <c r="C684" s="272">
        <v>0</v>
      </c>
      <c r="D684" s="273">
        <v>0.17833603010799084</v>
      </c>
      <c r="E684" s="273">
        <v>4.5325094387113012</v>
      </c>
      <c r="F684" s="273">
        <v>0.18914374408207785</v>
      </c>
      <c r="G684" s="273">
        <v>0.19548727721644912</v>
      </c>
      <c r="H684" s="273">
        <v>1.0565366221998491</v>
      </c>
      <c r="I684" s="273">
        <v>1.0882327208658444</v>
      </c>
      <c r="J684" s="273">
        <v>1.1208797024918198</v>
      </c>
      <c r="K684" s="273">
        <v>1.1545060935665745</v>
      </c>
      <c r="L684" s="273">
        <v>1.1891412763735718</v>
      </c>
      <c r="M684" s="273">
        <v>1.224815514664779</v>
      </c>
      <c r="N684" s="273">
        <v>1.2615599801047224</v>
      </c>
      <c r="O684" s="273">
        <v>1.2994067795078643</v>
      </c>
      <c r="P684" s="273">
        <v>1.3383889828931002</v>
      </c>
      <c r="Q684" s="273">
        <v>1.3785406523798933</v>
      </c>
      <c r="R684" s="273">
        <v>1.4198968719512901</v>
      </c>
      <c r="S684" s="273">
        <v>1.4624937781098288</v>
      </c>
      <c r="T684" s="273">
        <v>1.5063685914531237</v>
      </c>
      <c r="U684" s="273">
        <v>1.5515596491967176</v>
      </c>
      <c r="V684" s="273">
        <v>1.5981064386726191</v>
      </c>
    </row>
    <row r="685" spans="1:22" x14ac:dyDescent="0.2">
      <c r="A685" s="261"/>
      <c r="B685" s="264" t="s">
        <v>96</v>
      </c>
      <c r="C685" s="274">
        <v>0</v>
      </c>
      <c r="D685" s="275">
        <v>0</v>
      </c>
      <c r="E685" s="275">
        <v>0</v>
      </c>
      <c r="F685" s="275">
        <v>0</v>
      </c>
      <c r="G685" s="275">
        <v>0</v>
      </c>
      <c r="H685" s="275">
        <v>0</v>
      </c>
      <c r="I685" s="275">
        <v>0</v>
      </c>
      <c r="J685" s="275">
        <v>0</v>
      </c>
      <c r="K685" s="275">
        <v>0</v>
      </c>
      <c r="L685" s="275">
        <v>0</v>
      </c>
      <c r="M685" s="275">
        <v>0</v>
      </c>
      <c r="N685" s="275">
        <v>0</v>
      </c>
      <c r="O685" s="275">
        <v>0</v>
      </c>
      <c r="P685" s="275">
        <v>0</v>
      </c>
      <c r="Q685" s="275">
        <v>0</v>
      </c>
      <c r="R685" s="275">
        <v>0</v>
      </c>
      <c r="S685" s="275">
        <v>0</v>
      </c>
      <c r="T685" s="275">
        <v>0</v>
      </c>
      <c r="U685" s="275">
        <v>0</v>
      </c>
      <c r="V685" s="275">
        <v>0</v>
      </c>
    </row>
    <row r="686" spans="1:22" x14ac:dyDescent="0.2">
      <c r="A686" s="261"/>
      <c r="B686" s="264"/>
      <c r="C686" s="261"/>
      <c r="D686" s="261"/>
      <c r="E686" s="261"/>
      <c r="F686" s="261"/>
      <c r="G686" s="261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</row>
    <row r="687" spans="1:22" x14ac:dyDescent="0.2">
      <c r="A687" s="261"/>
      <c r="B687" s="264"/>
      <c r="C687" s="261"/>
      <c r="D687" s="261"/>
      <c r="E687" s="261"/>
      <c r="F687" s="261"/>
      <c r="G687" s="261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</row>
    <row r="688" spans="1:22" x14ac:dyDescent="0.2">
      <c r="A688" s="24"/>
      <c r="B688" s="289"/>
      <c r="C688" s="293"/>
      <c r="D688" s="293"/>
      <c r="E688" s="293"/>
      <c r="F688" s="293"/>
      <c r="G688" s="293"/>
      <c r="H688" s="293"/>
      <c r="I688" s="293"/>
      <c r="J688" s="293"/>
      <c r="K688" s="293"/>
      <c r="L688" s="293"/>
      <c r="M688" s="293"/>
      <c r="N688" s="293"/>
      <c r="O688" s="293"/>
      <c r="P688" s="293"/>
      <c r="Q688" s="293"/>
      <c r="R688" s="293"/>
      <c r="S688" s="293"/>
      <c r="T688" s="293"/>
      <c r="U688" s="293"/>
      <c r="V688" s="293"/>
    </row>
    <row r="689" spans="1:22" x14ac:dyDescent="0.2">
      <c r="A689" s="24"/>
      <c r="B689" s="289"/>
      <c r="C689" s="293"/>
      <c r="D689" s="293"/>
      <c r="E689" s="293"/>
      <c r="F689" s="293"/>
      <c r="G689" s="293"/>
      <c r="H689" s="293"/>
      <c r="I689" s="293"/>
      <c r="J689" s="293"/>
      <c r="K689" s="293"/>
      <c r="L689" s="293"/>
      <c r="M689" s="293"/>
      <c r="N689" s="293"/>
      <c r="O689" s="293"/>
      <c r="P689" s="293"/>
      <c r="Q689" s="293"/>
      <c r="R689" s="293"/>
      <c r="S689" s="293"/>
      <c r="T689" s="293"/>
      <c r="U689" s="293"/>
      <c r="V689" s="293"/>
    </row>
    <row r="690" spans="1:22" x14ac:dyDescent="0.2">
      <c r="A690" s="259" t="s">
        <v>98</v>
      </c>
      <c r="B690" s="260"/>
      <c r="C690" s="261"/>
      <c r="D690" s="261"/>
      <c r="E690" s="261"/>
      <c r="F690" s="261"/>
      <c r="G690" s="261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</row>
    <row r="691" spans="1:22" x14ac:dyDescent="0.2">
      <c r="A691" s="262" t="s">
        <v>83</v>
      </c>
      <c r="B691" s="260"/>
      <c r="C691" s="261"/>
      <c r="D691" s="261"/>
      <c r="E691" s="261"/>
      <c r="F691" s="261"/>
      <c r="G691" s="261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</row>
    <row r="692" spans="1:22" x14ac:dyDescent="0.2">
      <c r="A692" s="261"/>
      <c r="B692" s="260"/>
      <c r="C692" s="261"/>
      <c r="D692" s="261"/>
      <c r="E692" s="261"/>
      <c r="F692" s="261"/>
      <c r="G692" s="261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</row>
    <row r="693" spans="1:22" x14ac:dyDescent="0.2">
      <c r="A693" s="261"/>
      <c r="B693" s="260"/>
      <c r="C693" s="265">
        <v>2000</v>
      </c>
      <c r="D693" s="266">
        <v>2001</v>
      </c>
      <c r="E693" s="266">
        <v>2002</v>
      </c>
      <c r="F693" s="266">
        <v>2003</v>
      </c>
      <c r="G693" s="266">
        <v>2004</v>
      </c>
      <c r="H693" s="266">
        <v>2005</v>
      </c>
      <c r="I693" s="266">
        <v>2006</v>
      </c>
      <c r="J693" s="266">
        <v>2007</v>
      </c>
      <c r="K693" s="266">
        <v>2008</v>
      </c>
      <c r="L693" s="266">
        <v>2009</v>
      </c>
      <c r="M693" s="266">
        <v>2010</v>
      </c>
      <c r="N693" s="266">
        <v>2011</v>
      </c>
      <c r="O693" s="266">
        <v>2012</v>
      </c>
      <c r="P693" s="266">
        <v>2013</v>
      </c>
      <c r="Q693" s="266">
        <v>2014</v>
      </c>
      <c r="R693" s="266">
        <v>2015</v>
      </c>
      <c r="S693" s="266">
        <v>2016</v>
      </c>
      <c r="T693" s="266">
        <v>2017</v>
      </c>
      <c r="U693" s="266">
        <v>2018</v>
      </c>
      <c r="V693" s="266">
        <v>2019</v>
      </c>
    </row>
    <row r="694" spans="1:22" x14ac:dyDescent="0.2">
      <c r="A694" s="263" t="s">
        <v>129</v>
      </c>
      <c r="B694" s="260"/>
      <c r="C694" s="267"/>
      <c r="D694" s="268"/>
      <c r="E694" s="268"/>
      <c r="F694" s="268"/>
      <c r="G694" s="268"/>
      <c r="H694" s="268"/>
      <c r="I694" s="268"/>
      <c r="J694" s="268"/>
      <c r="K694" s="268"/>
      <c r="L694" s="268"/>
      <c r="M694" s="268"/>
      <c r="N694" s="268"/>
      <c r="O694" s="268"/>
      <c r="P694" s="268"/>
      <c r="Q694" s="268"/>
      <c r="R694" s="268"/>
      <c r="S694" s="268"/>
      <c r="T694" s="268"/>
      <c r="U694" s="268"/>
      <c r="V694" s="268"/>
    </row>
    <row r="695" spans="1:22" x14ac:dyDescent="0.2">
      <c r="A695" s="261"/>
      <c r="B695" s="264" t="s">
        <v>97</v>
      </c>
      <c r="C695" s="269">
        <v>0</v>
      </c>
      <c r="D695" s="270">
        <v>35727.43956262288</v>
      </c>
      <c r="E695" s="270">
        <v>50112.670062704296</v>
      </c>
      <c r="F695" s="270">
        <v>56679.369831059463</v>
      </c>
      <c r="G695" s="270">
        <v>59907.885916076004</v>
      </c>
      <c r="H695" s="270">
        <v>62114.032106890583</v>
      </c>
      <c r="I695" s="270">
        <v>84517.863367525555</v>
      </c>
      <c r="J695" s="270">
        <v>99897.974017265646</v>
      </c>
      <c r="K695" s="270">
        <v>132951.95666716856</v>
      </c>
      <c r="L695" s="270">
        <v>135950.71635798312</v>
      </c>
      <c r="M695" s="270">
        <v>101010.45101693997</v>
      </c>
      <c r="N695" s="270">
        <v>112515.69997635398</v>
      </c>
      <c r="O695" s="270">
        <v>102928.77872853605</v>
      </c>
      <c r="P695" s="270">
        <v>91575.532267265662</v>
      </c>
      <c r="Q695" s="270">
        <v>99586.630419350622</v>
      </c>
      <c r="R695" s="270">
        <v>90332.809883128764</v>
      </c>
      <c r="S695" s="270">
        <v>97091.781746809822</v>
      </c>
      <c r="T695" s="270">
        <v>81613.766058095905</v>
      </c>
      <c r="U695" s="270">
        <v>83959.856862672925</v>
      </c>
      <c r="V695" s="270">
        <v>100262.23574680982</v>
      </c>
    </row>
    <row r="696" spans="1:22" x14ac:dyDescent="0.2">
      <c r="A696" s="261"/>
      <c r="B696" s="264" t="s">
        <v>91</v>
      </c>
      <c r="C696" s="269">
        <v>0</v>
      </c>
      <c r="D696" s="271">
        <v>4.8883233683504772E-2</v>
      </c>
      <c r="E696" s="271">
        <v>6.8565488911842651E-2</v>
      </c>
      <c r="F696" s="271">
        <v>7.7550222305437025E-2</v>
      </c>
      <c r="G696" s="271">
        <v>8.1967563938838736E-2</v>
      </c>
      <c r="H696" s="271">
        <v>8.4986071872958535E-2</v>
      </c>
      <c r="I696" s="271">
        <v>0.11563959007427876</v>
      </c>
      <c r="J696" s="271">
        <v>0.13668306680178402</v>
      </c>
      <c r="K696" s="271">
        <v>0.18190840558413857</v>
      </c>
      <c r="L696" s="271">
        <v>0.18601138840410311</v>
      </c>
      <c r="M696" s="271">
        <v>0.13820518744094387</v>
      </c>
      <c r="N696" s="271">
        <v>0.15394697527558954</v>
      </c>
      <c r="O696" s="271">
        <v>0.14082989447160379</v>
      </c>
      <c r="P696" s="271">
        <v>0.12529608050041419</v>
      </c>
      <c r="Q696" s="271">
        <v>0.13625707820481037</v>
      </c>
      <c r="R696" s="271">
        <v>0.12359575465979504</v>
      </c>
      <c r="S696" s="271">
        <v>0.13284355985147217</v>
      </c>
      <c r="T696" s="271">
        <v>0.11166612684393286</v>
      </c>
      <c r="U696" s="271">
        <v>0.11487611072318181</v>
      </c>
      <c r="V696" s="271">
        <v>0.13718145939485119</v>
      </c>
    </row>
    <row r="697" spans="1:22" x14ac:dyDescent="0.2">
      <c r="A697" s="263" t="s">
        <v>93</v>
      </c>
      <c r="B697" s="264"/>
      <c r="C697" s="267"/>
      <c r="D697" s="268"/>
      <c r="E697" s="268"/>
      <c r="F697" s="268"/>
      <c r="G697" s="268"/>
      <c r="H697" s="268"/>
      <c r="I697" s="268"/>
      <c r="J697" s="268"/>
      <c r="K697" s="268"/>
      <c r="L697" s="268"/>
      <c r="M697" s="268"/>
      <c r="N697" s="268"/>
      <c r="O697" s="268"/>
      <c r="P697" s="268"/>
      <c r="Q697" s="268"/>
      <c r="R697" s="268"/>
      <c r="S697" s="268"/>
      <c r="T697" s="268"/>
      <c r="U697" s="268"/>
      <c r="V697" s="268"/>
    </row>
    <row r="698" spans="1:22" x14ac:dyDescent="0.2">
      <c r="A698" s="261"/>
      <c r="B698" s="264" t="s">
        <v>27</v>
      </c>
      <c r="C698" s="272">
        <v>0</v>
      </c>
      <c r="D698" s="273">
        <v>229.57635620775335</v>
      </c>
      <c r="E698" s="273">
        <v>144.05788369546903</v>
      </c>
      <c r="F698" s="273">
        <v>123.06823363953353</v>
      </c>
      <c r="G698" s="273">
        <v>111.81835975991193</v>
      </c>
      <c r="H698" s="273">
        <v>110.72034237632789</v>
      </c>
      <c r="I698" s="273">
        <v>93.186432398505119</v>
      </c>
      <c r="J698" s="273">
        <v>95.421019356134536</v>
      </c>
      <c r="K698" s="273">
        <v>91.139034837234917</v>
      </c>
      <c r="L698" s="273">
        <v>94.604106625883034</v>
      </c>
      <c r="M698" s="273">
        <v>109.55991172940627</v>
      </c>
      <c r="N698" s="273">
        <v>96.396307362319121</v>
      </c>
      <c r="O698" s="273">
        <v>105.28800201310784</v>
      </c>
      <c r="P698" s="273">
        <v>109.30912256699085</v>
      </c>
      <c r="Q698" s="273">
        <v>116.55842305757247</v>
      </c>
      <c r="R698" s="273">
        <v>119.81093791136331</v>
      </c>
      <c r="S698" s="273">
        <v>112.42840418904464</v>
      </c>
      <c r="T698" s="273">
        <v>123.33579938271444</v>
      </c>
      <c r="U698" s="273">
        <v>135.86501112027457</v>
      </c>
      <c r="V698" s="273">
        <v>123.10590714625611</v>
      </c>
    </row>
    <row r="699" spans="1:22" x14ac:dyDescent="0.2">
      <c r="A699" s="261"/>
      <c r="B699" s="264" t="s">
        <v>20</v>
      </c>
      <c r="C699" s="272">
        <v>0</v>
      </c>
      <c r="D699" s="273">
        <v>68.39972807652471</v>
      </c>
      <c r="E699" s="273">
        <v>59.697099529358645</v>
      </c>
      <c r="F699" s="273">
        <v>57.076140922795489</v>
      </c>
      <c r="G699" s="273">
        <v>59.160691808806973</v>
      </c>
      <c r="H699" s="273">
        <v>61.094036837666778</v>
      </c>
      <c r="I699" s="273">
        <v>58.50155437701865</v>
      </c>
      <c r="J699" s="273">
        <v>62.255344854253764</v>
      </c>
      <c r="K699" s="273">
        <v>58.089272021220317</v>
      </c>
      <c r="L699" s="273">
        <v>60.934538224248961</v>
      </c>
      <c r="M699" s="273">
        <v>64.175021510734766</v>
      </c>
      <c r="N699" s="273">
        <v>63.216228210349051</v>
      </c>
      <c r="O699" s="273">
        <v>64.11100246378551</v>
      </c>
      <c r="P699" s="273">
        <v>65.8891633092842</v>
      </c>
      <c r="Q699" s="273">
        <v>68.137285999529837</v>
      </c>
      <c r="R699" s="273">
        <v>73.164819794012217</v>
      </c>
      <c r="S699" s="273">
        <v>76.061230453573359</v>
      </c>
      <c r="T699" s="273">
        <v>77.200525412256795</v>
      </c>
      <c r="U699" s="273">
        <v>84.261462853630235</v>
      </c>
      <c r="V699" s="273">
        <v>83.514269877905676</v>
      </c>
    </row>
    <row r="700" spans="1:22" x14ac:dyDescent="0.2">
      <c r="A700" s="261"/>
      <c r="B700" s="264" t="s">
        <v>92</v>
      </c>
      <c r="C700" s="272">
        <v>0</v>
      </c>
      <c r="D700" s="273">
        <v>1.7064194012612581</v>
      </c>
      <c r="E700" s="273">
        <v>1.7206602968191436</v>
      </c>
      <c r="F700" s="273">
        <v>1.7452574582840712</v>
      </c>
      <c r="G700" s="273">
        <v>1.8078147166154082</v>
      </c>
      <c r="H700" s="273">
        <v>1.8643728635212851</v>
      </c>
      <c r="I700" s="273">
        <v>1.8559968239683577</v>
      </c>
      <c r="J700" s="273">
        <v>1.9256800001266743</v>
      </c>
      <c r="K700" s="273">
        <v>1.9718001105571288</v>
      </c>
      <c r="L700" s="273">
        <v>2.0192216254287416</v>
      </c>
      <c r="M700" s="273">
        <v>2.0694439264538467</v>
      </c>
      <c r="N700" s="273">
        <v>2.0883162143689371</v>
      </c>
      <c r="O700" s="273">
        <v>2.1342825095309004</v>
      </c>
      <c r="P700" s="273">
        <v>2.1710660324300028</v>
      </c>
      <c r="Q700" s="273">
        <v>2.2329329947042678</v>
      </c>
      <c r="R700" s="273">
        <v>2.2638670384943769</v>
      </c>
      <c r="S700" s="273">
        <v>2.3079053615696465</v>
      </c>
      <c r="T700" s="273">
        <v>2.3494108477123423</v>
      </c>
      <c r="U700" s="273">
        <v>2.4107932911545382</v>
      </c>
      <c r="V700" s="273">
        <v>2.4506833334813658</v>
      </c>
    </row>
    <row r="701" spans="1:22" x14ac:dyDescent="0.2">
      <c r="A701" s="261"/>
      <c r="B701" s="264" t="s">
        <v>22</v>
      </c>
      <c r="C701" s="272">
        <v>0</v>
      </c>
      <c r="D701" s="273">
        <v>0</v>
      </c>
      <c r="E701" s="273">
        <v>0</v>
      </c>
      <c r="F701" s="273">
        <v>0</v>
      </c>
      <c r="G701" s="273">
        <v>0</v>
      </c>
      <c r="H701" s="273">
        <v>0</v>
      </c>
      <c r="I701" s="273">
        <v>-1.1053050752225066</v>
      </c>
      <c r="J701" s="273">
        <v>-1.0365216840028084</v>
      </c>
      <c r="K701" s="273">
        <v>-0.85940192478259314</v>
      </c>
      <c r="L701" s="273">
        <v>-0.92309655349875452</v>
      </c>
      <c r="M701" s="273">
        <v>-1.3817426093053538</v>
      </c>
      <c r="N701" s="273">
        <v>-1.3664528515685486</v>
      </c>
      <c r="O701" s="273">
        <v>-1.6550036908754773</v>
      </c>
      <c r="P701" s="273">
        <v>-2.0857576700371978</v>
      </c>
      <c r="Q701" s="273">
        <v>-2.1350021308794673</v>
      </c>
      <c r="R701" s="273">
        <v>-2.6071969384897948</v>
      </c>
      <c r="S701" s="273">
        <v>-2.6634143773954202</v>
      </c>
      <c r="T701" s="273">
        <v>-3.1129260261676674</v>
      </c>
      <c r="U701" s="273">
        <v>-2.5888566315559625</v>
      </c>
      <c r="V701" s="273">
        <v>-2.2477281656824486</v>
      </c>
    </row>
    <row r="702" spans="1:22" x14ac:dyDescent="0.2">
      <c r="A702" s="261"/>
      <c r="B702" s="264" t="s">
        <v>23</v>
      </c>
      <c r="C702" s="272">
        <v>0</v>
      </c>
      <c r="D702" s="273">
        <v>0</v>
      </c>
      <c r="E702" s="273">
        <v>0</v>
      </c>
      <c r="F702" s="273">
        <v>0</v>
      </c>
      <c r="G702" s="273">
        <v>0</v>
      </c>
      <c r="H702" s="273">
        <v>0</v>
      </c>
      <c r="I702" s="273">
        <v>0</v>
      </c>
      <c r="J702" s="273">
        <v>0</v>
      </c>
      <c r="K702" s="273">
        <v>0</v>
      </c>
      <c r="L702" s="273">
        <v>0</v>
      </c>
      <c r="M702" s="273">
        <v>0</v>
      </c>
      <c r="N702" s="273">
        <v>0</v>
      </c>
      <c r="O702" s="273">
        <v>0</v>
      </c>
      <c r="P702" s="273">
        <v>0</v>
      </c>
      <c r="Q702" s="273">
        <v>0</v>
      </c>
      <c r="R702" s="273">
        <v>0</v>
      </c>
      <c r="S702" s="273">
        <v>0</v>
      </c>
      <c r="T702" s="273">
        <v>0</v>
      </c>
      <c r="U702" s="273">
        <v>0</v>
      </c>
      <c r="V702" s="273">
        <v>0</v>
      </c>
    </row>
    <row r="703" spans="1:22" x14ac:dyDescent="0.2">
      <c r="A703" s="263" t="s">
        <v>94</v>
      </c>
      <c r="B703" s="264"/>
      <c r="C703" s="267"/>
      <c r="D703" s="268"/>
      <c r="E703" s="268"/>
      <c r="F703" s="268"/>
      <c r="G703" s="268"/>
      <c r="H703" s="268"/>
      <c r="I703" s="268"/>
      <c r="J703" s="268"/>
      <c r="K703" s="268"/>
      <c r="L703" s="268"/>
      <c r="M703" s="268"/>
      <c r="N703" s="268"/>
      <c r="O703" s="268"/>
      <c r="P703" s="268"/>
      <c r="Q703" s="268"/>
      <c r="R703" s="268"/>
      <c r="S703" s="268"/>
      <c r="T703" s="268"/>
      <c r="U703" s="268"/>
      <c r="V703" s="268"/>
    </row>
    <row r="704" spans="1:22" x14ac:dyDescent="0.2">
      <c r="A704" s="261"/>
      <c r="B704" s="264" t="s">
        <v>34</v>
      </c>
      <c r="C704" s="272">
        <v>0</v>
      </c>
      <c r="D704" s="273">
        <v>4.2613254080613263</v>
      </c>
      <c r="E704" s="273">
        <v>4.3465519162225528</v>
      </c>
      <c r="F704" s="273">
        <v>4.4334829545470038</v>
      </c>
      <c r="G704" s="273">
        <v>4.5221526136379433</v>
      </c>
      <c r="H704" s="273">
        <v>4.6125956659107024</v>
      </c>
      <c r="I704" s="273">
        <v>4.7048475792289164</v>
      </c>
      <c r="J704" s="273">
        <v>4.798944530813495</v>
      </c>
      <c r="K704" s="273">
        <v>4.8949234214297652</v>
      </c>
      <c r="L704" s="273">
        <v>4.9928218898583605</v>
      </c>
      <c r="M704" s="273">
        <v>5.0926783276555279</v>
      </c>
      <c r="N704" s="273">
        <v>5.1945318942086383</v>
      </c>
      <c r="O704" s="273">
        <v>5.2984225320928111</v>
      </c>
      <c r="P704" s="273">
        <v>5.4043909827346681</v>
      </c>
      <c r="Q704" s="273">
        <v>5.5124788023893609</v>
      </c>
      <c r="R704" s="273">
        <v>5.6227283784371487</v>
      </c>
      <c r="S704" s="273">
        <v>5.7351829460058914</v>
      </c>
      <c r="T704" s="273">
        <v>5.8498866049260094</v>
      </c>
      <c r="U704" s="273">
        <v>5.9668843370245295</v>
      </c>
      <c r="V704" s="273">
        <v>6.0862220237650195</v>
      </c>
    </row>
    <row r="705" spans="1:22" x14ac:dyDescent="0.2">
      <c r="A705" s="261"/>
      <c r="B705" s="264" t="s">
        <v>95</v>
      </c>
      <c r="C705" s="272">
        <v>0</v>
      </c>
      <c r="D705" s="273">
        <v>2.0568909100340993</v>
      </c>
      <c r="E705" s="273">
        <v>2.0568909100340993</v>
      </c>
      <c r="F705" s="273">
        <v>2.0568909100340993</v>
      </c>
      <c r="G705" s="273">
        <v>2.0568909100340993</v>
      </c>
      <c r="H705" s="273">
        <v>2.0568909100340993</v>
      </c>
      <c r="I705" s="273">
        <v>2.0568909100340993</v>
      </c>
      <c r="J705" s="273">
        <v>2.0568909100340993</v>
      </c>
      <c r="K705" s="273">
        <v>2.0568909100340993</v>
      </c>
      <c r="L705" s="273">
        <v>2.0568909100340993</v>
      </c>
      <c r="M705" s="273">
        <v>2.0568909100340993</v>
      </c>
      <c r="N705" s="273">
        <v>2.0568909100340993</v>
      </c>
      <c r="O705" s="273">
        <v>2.0568909100340993</v>
      </c>
      <c r="P705" s="273">
        <v>2.0568909100340993</v>
      </c>
      <c r="Q705" s="273">
        <v>2.0568909100340993</v>
      </c>
      <c r="R705" s="273">
        <v>2.0568909100340993</v>
      </c>
      <c r="S705" s="273">
        <v>2.0568909100340993</v>
      </c>
      <c r="T705" s="273">
        <v>2.0568909100340993</v>
      </c>
      <c r="U705" s="273">
        <v>2.0568909100340993</v>
      </c>
      <c r="V705" s="273">
        <v>2.0568909100340993</v>
      </c>
    </row>
    <row r="706" spans="1:22" x14ac:dyDescent="0.2">
      <c r="A706" s="261"/>
      <c r="B706" s="264" t="s">
        <v>36</v>
      </c>
      <c r="C706" s="272">
        <v>0</v>
      </c>
      <c r="D706" s="273">
        <v>0.41407105948314693</v>
      </c>
      <c r="E706" s="273">
        <v>0.42280795883824385</v>
      </c>
      <c r="F706" s="273">
        <v>0.432067453136802</v>
      </c>
      <c r="G706" s="273">
        <v>0.44183217757768989</v>
      </c>
      <c r="H706" s="273">
        <v>0.45234778340404036</v>
      </c>
      <c r="I706" s="273">
        <v>0.46368366433148034</v>
      </c>
      <c r="J706" s="273">
        <v>0.47518431097007663</v>
      </c>
      <c r="K706" s="273">
        <v>0.48721220788436947</v>
      </c>
      <c r="L706" s="273">
        <v>0.49924634941911356</v>
      </c>
      <c r="M706" s="273">
        <v>0.51197713132930012</v>
      </c>
      <c r="N706" s="273">
        <v>0.52436697790747067</v>
      </c>
      <c r="O706" s="273">
        <v>0.53758102575073774</v>
      </c>
      <c r="P706" s="273">
        <v>0.55123558380480508</v>
      </c>
      <c r="Q706" s="273">
        <v>0.56501647339992567</v>
      </c>
      <c r="R706" s="273">
        <v>0.57919838688226355</v>
      </c>
      <c r="S706" s="273">
        <v>0.5936783465543215</v>
      </c>
      <c r="T706" s="273">
        <v>0.60840156954886682</v>
      </c>
      <c r="U706" s="273">
        <v>0.62367244894454466</v>
      </c>
      <c r="V706" s="273">
        <v>0.63932662741305357</v>
      </c>
    </row>
    <row r="707" spans="1:22" x14ac:dyDescent="0.2">
      <c r="A707" s="261"/>
      <c r="B707" s="264" t="s">
        <v>39</v>
      </c>
      <c r="C707" s="272">
        <v>0</v>
      </c>
      <c r="D707" s="273">
        <v>0.17833603010799084</v>
      </c>
      <c r="E707" s="273">
        <v>4.5325094387113012</v>
      </c>
      <c r="F707" s="273">
        <v>0.18914374408207785</v>
      </c>
      <c r="G707" s="273">
        <v>0.19548727721644912</v>
      </c>
      <c r="H707" s="273">
        <v>1.0565366221998491</v>
      </c>
      <c r="I707" s="273">
        <v>1.0882327208658444</v>
      </c>
      <c r="J707" s="273">
        <v>1.1208797024918198</v>
      </c>
      <c r="K707" s="273">
        <v>1.1545060935665745</v>
      </c>
      <c r="L707" s="273">
        <v>1.1891412763735718</v>
      </c>
      <c r="M707" s="273">
        <v>1.224815514664779</v>
      </c>
      <c r="N707" s="273">
        <v>1.2615599801047224</v>
      </c>
      <c r="O707" s="273">
        <v>1.2994067795078643</v>
      </c>
      <c r="P707" s="273">
        <v>1.3383889828931002</v>
      </c>
      <c r="Q707" s="273">
        <v>1.3785406523798933</v>
      </c>
      <c r="R707" s="273">
        <v>1.4198968719512901</v>
      </c>
      <c r="S707" s="273">
        <v>1.4624937781098288</v>
      </c>
      <c r="T707" s="273">
        <v>1.5063685914531237</v>
      </c>
      <c r="U707" s="273">
        <v>1.5515596491967176</v>
      </c>
      <c r="V707" s="273">
        <v>1.5981064386726191</v>
      </c>
    </row>
    <row r="708" spans="1:22" x14ac:dyDescent="0.2">
      <c r="A708" s="261"/>
      <c r="B708" s="264" t="s">
        <v>96</v>
      </c>
      <c r="C708" s="274">
        <v>0</v>
      </c>
      <c r="D708" s="275">
        <v>0</v>
      </c>
      <c r="E708" s="275">
        <v>0</v>
      </c>
      <c r="F708" s="275">
        <v>0</v>
      </c>
      <c r="G708" s="275">
        <v>0</v>
      </c>
      <c r="H708" s="275">
        <v>0</v>
      </c>
      <c r="I708" s="275">
        <v>0</v>
      </c>
      <c r="J708" s="275">
        <v>0</v>
      </c>
      <c r="K708" s="275">
        <v>0</v>
      </c>
      <c r="L708" s="275">
        <v>0</v>
      </c>
      <c r="M708" s="275">
        <v>0</v>
      </c>
      <c r="N708" s="275">
        <v>0</v>
      </c>
      <c r="O708" s="275">
        <v>0</v>
      </c>
      <c r="P708" s="275">
        <v>0</v>
      </c>
      <c r="Q708" s="275">
        <v>0</v>
      </c>
      <c r="R708" s="275">
        <v>0</v>
      </c>
      <c r="S708" s="275">
        <v>0</v>
      </c>
      <c r="T708" s="275">
        <v>0</v>
      </c>
      <c r="U708" s="275">
        <v>0</v>
      </c>
      <c r="V708" s="275">
        <v>0</v>
      </c>
    </row>
    <row r="709" spans="1:22" x14ac:dyDescent="0.2">
      <c r="A709" s="261"/>
      <c r="B709" s="264"/>
      <c r="C709" s="261"/>
      <c r="D709" s="261"/>
      <c r="E709" s="261"/>
      <c r="F709" s="261"/>
      <c r="G709" s="261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</row>
    <row r="710" spans="1:22" x14ac:dyDescent="0.2">
      <c r="A710" s="261"/>
      <c r="B710" s="264"/>
      <c r="C710" s="261"/>
      <c r="D710" s="261"/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</row>
    <row r="713" spans="1:22" x14ac:dyDescent="0.2">
      <c r="A713" s="259" t="s">
        <v>98</v>
      </c>
      <c r="B713" s="260"/>
      <c r="C713" s="261"/>
      <c r="D713" s="261"/>
      <c r="E713" s="261"/>
      <c r="F713" s="261"/>
      <c r="G713" s="261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</row>
    <row r="714" spans="1:22" x14ac:dyDescent="0.2">
      <c r="A714" s="262" t="s">
        <v>84</v>
      </c>
      <c r="B714" s="260"/>
      <c r="C714" s="261"/>
      <c r="D714" s="261"/>
      <c r="E714" s="261"/>
      <c r="F714" s="261"/>
      <c r="G714" s="261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</row>
    <row r="715" spans="1:22" x14ac:dyDescent="0.2">
      <c r="A715" s="261"/>
      <c r="B715" s="260"/>
      <c r="C715" s="261"/>
      <c r="D715" s="261"/>
      <c r="E715" s="261"/>
      <c r="F715" s="261"/>
      <c r="G715" s="261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</row>
    <row r="716" spans="1:22" x14ac:dyDescent="0.2">
      <c r="A716" s="261"/>
      <c r="B716" s="260"/>
      <c r="C716" s="265">
        <v>2000</v>
      </c>
      <c r="D716" s="266">
        <v>2001</v>
      </c>
      <c r="E716" s="266">
        <v>2002</v>
      </c>
      <c r="F716" s="266">
        <v>2003</v>
      </c>
      <c r="G716" s="266">
        <v>2004</v>
      </c>
      <c r="H716" s="266">
        <v>2005</v>
      </c>
      <c r="I716" s="266">
        <v>2006</v>
      </c>
      <c r="J716" s="266">
        <v>2007</v>
      </c>
      <c r="K716" s="266">
        <v>2008</v>
      </c>
      <c r="L716" s="266">
        <v>2009</v>
      </c>
      <c r="M716" s="266">
        <v>2010</v>
      </c>
      <c r="N716" s="266">
        <v>2011</v>
      </c>
      <c r="O716" s="266">
        <v>2012</v>
      </c>
      <c r="P716" s="266">
        <v>2013</v>
      </c>
      <c r="Q716" s="266">
        <v>2014</v>
      </c>
      <c r="R716" s="266">
        <v>2015</v>
      </c>
      <c r="S716" s="266">
        <v>2016</v>
      </c>
      <c r="T716" s="266">
        <v>2017</v>
      </c>
      <c r="U716" s="266">
        <v>2018</v>
      </c>
      <c r="V716" s="266">
        <v>2019</v>
      </c>
    </row>
    <row r="717" spans="1:22" x14ac:dyDescent="0.2">
      <c r="A717" s="263" t="s">
        <v>129</v>
      </c>
      <c r="B717" s="260"/>
      <c r="C717" s="267"/>
      <c r="D717" s="268"/>
      <c r="E717" s="268"/>
      <c r="F717" s="268"/>
      <c r="G717" s="268"/>
      <c r="H717" s="268"/>
      <c r="I717" s="268"/>
      <c r="J717" s="268"/>
      <c r="K717" s="268"/>
      <c r="L717" s="268"/>
      <c r="M717" s="268"/>
      <c r="N717" s="268"/>
      <c r="O717" s="268"/>
      <c r="P717" s="268"/>
      <c r="Q717" s="268"/>
      <c r="R717" s="268"/>
      <c r="S717" s="268"/>
      <c r="T717" s="268"/>
      <c r="U717" s="268"/>
      <c r="V717" s="268"/>
    </row>
    <row r="718" spans="1:22" x14ac:dyDescent="0.2">
      <c r="A718" s="261"/>
      <c r="B718" s="264" t="s">
        <v>97</v>
      </c>
      <c r="C718" s="269">
        <v>0</v>
      </c>
      <c r="D718" s="270">
        <v>35727.43956262288</v>
      </c>
      <c r="E718" s="270">
        <v>50112.670062704296</v>
      </c>
      <c r="F718" s="270">
        <v>56679.369831059463</v>
      </c>
      <c r="G718" s="270">
        <v>59907.885916076004</v>
      </c>
      <c r="H718" s="270">
        <v>62114.032106890583</v>
      </c>
      <c r="I718" s="270">
        <v>84517.863367525555</v>
      </c>
      <c r="J718" s="270">
        <v>99897.974017265646</v>
      </c>
      <c r="K718" s="270">
        <v>132951.95666716856</v>
      </c>
      <c r="L718" s="270">
        <v>135950.71635798312</v>
      </c>
      <c r="M718" s="270">
        <v>101010.45101693997</v>
      </c>
      <c r="N718" s="270">
        <v>112515.69997635398</v>
      </c>
      <c r="O718" s="270">
        <v>102928.77872853605</v>
      </c>
      <c r="P718" s="270">
        <v>91575.532267265662</v>
      </c>
      <c r="Q718" s="270">
        <v>99586.630419350622</v>
      </c>
      <c r="R718" s="270">
        <v>90332.809883128764</v>
      </c>
      <c r="S718" s="270">
        <v>97091.781746809822</v>
      </c>
      <c r="T718" s="270">
        <v>81613.766058095905</v>
      </c>
      <c r="U718" s="270">
        <v>83959.856862672925</v>
      </c>
      <c r="V718" s="270">
        <v>100262.23574680982</v>
      </c>
    </row>
    <row r="719" spans="1:22" x14ac:dyDescent="0.2">
      <c r="A719" s="261"/>
      <c r="B719" s="264" t="s">
        <v>91</v>
      </c>
      <c r="C719" s="269">
        <v>0</v>
      </c>
      <c r="D719" s="271">
        <v>4.8883233683504772E-2</v>
      </c>
      <c r="E719" s="271">
        <v>6.8565488911842651E-2</v>
      </c>
      <c r="F719" s="271">
        <v>7.7550222305437025E-2</v>
      </c>
      <c r="G719" s="271">
        <v>8.1967563938838736E-2</v>
      </c>
      <c r="H719" s="271">
        <v>8.4986071872958535E-2</v>
      </c>
      <c r="I719" s="271">
        <v>0.11563959007427876</v>
      </c>
      <c r="J719" s="271">
        <v>0.13668306680178402</v>
      </c>
      <c r="K719" s="271">
        <v>0.18190840558413857</v>
      </c>
      <c r="L719" s="271">
        <v>0.18601138840410311</v>
      </c>
      <c r="M719" s="271">
        <v>0.13820518744094387</v>
      </c>
      <c r="N719" s="271">
        <v>0.15394697527558954</v>
      </c>
      <c r="O719" s="271">
        <v>0.14082989447160379</v>
      </c>
      <c r="P719" s="271">
        <v>0.12529608050041419</v>
      </c>
      <c r="Q719" s="271">
        <v>0.13625707820481037</v>
      </c>
      <c r="R719" s="271">
        <v>0.12359575465979504</v>
      </c>
      <c r="S719" s="271">
        <v>0.13284355985147217</v>
      </c>
      <c r="T719" s="271">
        <v>0.11166612684393286</v>
      </c>
      <c r="U719" s="271">
        <v>0.11487611072318181</v>
      </c>
      <c r="V719" s="271">
        <v>0.13718145939485119</v>
      </c>
    </row>
    <row r="720" spans="1:22" x14ac:dyDescent="0.2">
      <c r="A720" s="263" t="s">
        <v>93</v>
      </c>
      <c r="B720" s="264"/>
      <c r="C720" s="267"/>
      <c r="D720" s="268"/>
      <c r="E720" s="268"/>
      <c r="F720" s="268"/>
      <c r="G720" s="268"/>
      <c r="H720" s="268"/>
      <c r="I720" s="268"/>
      <c r="J720" s="268"/>
      <c r="K720" s="268"/>
      <c r="L720" s="268"/>
      <c r="M720" s="268"/>
      <c r="N720" s="268"/>
      <c r="O720" s="268"/>
      <c r="P720" s="268"/>
      <c r="Q720" s="268"/>
      <c r="R720" s="268"/>
      <c r="S720" s="268"/>
      <c r="T720" s="268"/>
      <c r="U720" s="268"/>
      <c r="V720" s="268"/>
    </row>
    <row r="721" spans="1:22" x14ac:dyDescent="0.2">
      <c r="A721" s="261"/>
      <c r="B721" s="264" t="s">
        <v>27</v>
      </c>
      <c r="C721" s="272">
        <v>0</v>
      </c>
      <c r="D721" s="273">
        <v>229.57635620775335</v>
      </c>
      <c r="E721" s="273">
        <v>144.05788369546903</v>
      </c>
      <c r="F721" s="273">
        <v>123.06823363953353</v>
      </c>
      <c r="G721" s="273">
        <v>111.81835975991193</v>
      </c>
      <c r="H721" s="273">
        <v>110.72034237632789</v>
      </c>
      <c r="I721" s="273">
        <v>93.186432398505119</v>
      </c>
      <c r="J721" s="273">
        <v>95.421019356134536</v>
      </c>
      <c r="K721" s="273">
        <v>91.139034837234917</v>
      </c>
      <c r="L721" s="273">
        <v>94.604106625883034</v>
      </c>
      <c r="M721" s="273">
        <v>109.55991172940627</v>
      </c>
      <c r="N721" s="273">
        <v>96.396307362319121</v>
      </c>
      <c r="O721" s="273">
        <v>105.28800201310784</v>
      </c>
      <c r="P721" s="273">
        <v>109.30912256699085</v>
      </c>
      <c r="Q721" s="273">
        <v>116.55842305757247</v>
      </c>
      <c r="R721" s="273">
        <v>119.81093791136331</v>
      </c>
      <c r="S721" s="273">
        <v>112.42840418904464</v>
      </c>
      <c r="T721" s="273">
        <v>123.33579938271444</v>
      </c>
      <c r="U721" s="273">
        <v>135.86501112027457</v>
      </c>
      <c r="V721" s="273">
        <v>123.10590714625611</v>
      </c>
    </row>
    <row r="722" spans="1:22" x14ac:dyDescent="0.2">
      <c r="A722" s="261"/>
      <c r="B722" s="264" t="s">
        <v>20</v>
      </c>
      <c r="C722" s="272">
        <v>0</v>
      </c>
      <c r="D722" s="273">
        <v>68.39972807652471</v>
      </c>
      <c r="E722" s="273">
        <v>59.697099529358645</v>
      </c>
      <c r="F722" s="273">
        <v>57.076140922795489</v>
      </c>
      <c r="G722" s="273">
        <v>59.160691808806973</v>
      </c>
      <c r="H722" s="273">
        <v>61.094036837666778</v>
      </c>
      <c r="I722" s="273">
        <v>58.50155437701865</v>
      </c>
      <c r="J722" s="273">
        <v>62.255344854253764</v>
      </c>
      <c r="K722" s="273">
        <v>58.089272021220317</v>
      </c>
      <c r="L722" s="273">
        <v>60.934538224248961</v>
      </c>
      <c r="M722" s="273">
        <v>64.175021510734766</v>
      </c>
      <c r="N722" s="273">
        <v>63.216228210349051</v>
      </c>
      <c r="O722" s="273">
        <v>64.11100246378551</v>
      </c>
      <c r="P722" s="273">
        <v>65.8891633092842</v>
      </c>
      <c r="Q722" s="273">
        <v>68.137285999529837</v>
      </c>
      <c r="R722" s="273">
        <v>73.164819794012217</v>
      </c>
      <c r="S722" s="273">
        <v>76.061230453573359</v>
      </c>
      <c r="T722" s="273">
        <v>77.200525412256795</v>
      </c>
      <c r="U722" s="273">
        <v>84.261462853630235</v>
      </c>
      <c r="V722" s="273">
        <v>83.514269877905676</v>
      </c>
    </row>
    <row r="723" spans="1:22" x14ac:dyDescent="0.2">
      <c r="A723" s="261"/>
      <c r="B723" s="264" t="s">
        <v>92</v>
      </c>
      <c r="C723" s="272">
        <v>0</v>
      </c>
      <c r="D723" s="273">
        <v>1.7064194012612581</v>
      </c>
      <c r="E723" s="273">
        <v>1.7206602968191436</v>
      </c>
      <c r="F723" s="273">
        <v>1.7452574582840712</v>
      </c>
      <c r="G723" s="273">
        <v>1.8078147166154082</v>
      </c>
      <c r="H723" s="273">
        <v>1.8643728635212851</v>
      </c>
      <c r="I723" s="273">
        <v>1.8559968239683577</v>
      </c>
      <c r="J723" s="273">
        <v>1.9256800001266743</v>
      </c>
      <c r="K723" s="273">
        <v>1.9718001105571288</v>
      </c>
      <c r="L723" s="273">
        <v>2.0192216254287416</v>
      </c>
      <c r="M723" s="273">
        <v>2.0694439264538467</v>
      </c>
      <c r="N723" s="273">
        <v>2.0883162143689371</v>
      </c>
      <c r="O723" s="273">
        <v>2.1342825095309004</v>
      </c>
      <c r="P723" s="273">
        <v>2.1710660324300028</v>
      </c>
      <c r="Q723" s="273">
        <v>2.2329329947042678</v>
      </c>
      <c r="R723" s="273">
        <v>2.2638670384943769</v>
      </c>
      <c r="S723" s="273">
        <v>2.3079053615696465</v>
      </c>
      <c r="T723" s="273">
        <v>2.3494108477123423</v>
      </c>
      <c r="U723" s="273">
        <v>2.4107932911545382</v>
      </c>
      <c r="V723" s="273">
        <v>2.4506833334813658</v>
      </c>
    </row>
    <row r="724" spans="1:22" x14ac:dyDescent="0.2">
      <c r="A724" s="261"/>
      <c r="B724" s="264" t="s">
        <v>22</v>
      </c>
      <c r="C724" s="272">
        <v>0</v>
      </c>
      <c r="D724" s="273">
        <v>0</v>
      </c>
      <c r="E724" s="273">
        <v>0</v>
      </c>
      <c r="F724" s="273">
        <v>0</v>
      </c>
      <c r="G724" s="273">
        <v>0</v>
      </c>
      <c r="H724" s="273">
        <v>0</v>
      </c>
      <c r="I724" s="273">
        <v>-1.1053050752225066</v>
      </c>
      <c r="J724" s="273">
        <v>-1.0365216840028084</v>
      </c>
      <c r="K724" s="273">
        <v>-0.85940192478259314</v>
      </c>
      <c r="L724" s="273">
        <v>-0.92309655349875452</v>
      </c>
      <c r="M724" s="273">
        <v>-1.3817426093053538</v>
      </c>
      <c r="N724" s="273">
        <v>-1.3664528515685486</v>
      </c>
      <c r="O724" s="273">
        <v>-1.6550036908754773</v>
      </c>
      <c r="P724" s="273">
        <v>-2.0857576700371978</v>
      </c>
      <c r="Q724" s="273">
        <v>-2.1350021308794673</v>
      </c>
      <c r="R724" s="273">
        <v>-2.6071969384897948</v>
      </c>
      <c r="S724" s="273">
        <v>-2.6634143773954202</v>
      </c>
      <c r="T724" s="273">
        <v>-3.1129260261676674</v>
      </c>
      <c r="U724" s="273">
        <v>-2.5888566315559625</v>
      </c>
      <c r="V724" s="273">
        <v>-2.2477281656824486</v>
      </c>
    </row>
    <row r="725" spans="1:22" x14ac:dyDescent="0.2">
      <c r="A725" s="261"/>
      <c r="B725" s="264" t="s">
        <v>23</v>
      </c>
      <c r="C725" s="272">
        <v>0</v>
      </c>
      <c r="D725" s="273">
        <v>0</v>
      </c>
      <c r="E725" s="273">
        <v>0</v>
      </c>
      <c r="F725" s="273">
        <v>0</v>
      </c>
      <c r="G725" s="273">
        <v>0</v>
      </c>
      <c r="H725" s="273">
        <v>0</v>
      </c>
      <c r="I725" s="273">
        <v>0</v>
      </c>
      <c r="J725" s="273">
        <v>0</v>
      </c>
      <c r="K725" s="273">
        <v>0</v>
      </c>
      <c r="L725" s="273">
        <v>0</v>
      </c>
      <c r="M725" s="273">
        <v>0</v>
      </c>
      <c r="N725" s="273">
        <v>0</v>
      </c>
      <c r="O725" s="273">
        <v>0</v>
      </c>
      <c r="P725" s="273">
        <v>0</v>
      </c>
      <c r="Q725" s="273">
        <v>0</v>
      </c>
      <c r="R725" s="273">
        <v>0</v>
      </c>
      <c r="S725" s="273">
        <v>0</v>
      </c>
      <c r="T725" s="273">
        <v>0</v>
      </c>
      <c r="U725" s="273">
        <v>0</v>
      </c>
      <c r="V725" s="273">
        <v>0</v>
      </c>
    </row>
    <row r="726" spans="1:22" x14ac:dyDescent="0.2">
      <c r="A726" s="263" t="s">
        <v>94</v>
      </c>
      <c r="B726" s="264"/>
      <c r="C726" s="267"/>
      <c r="D726" s="268"/>
      <c r="E726" s="268"/>
      <c r="F726" s="268"/>
      <c r="G726" s="268"/>
      <c r="H726" s="268"/>
      <c r="I726" s="268"/>
      <c r="J726" s="268"/>
      <c r="K726" s="268"/>
      <c r="L726" s="268"/>
      <c r="M726" s="268"/>
      <c r="N726" s="268"/>
      <c r="O726" s="268"/>
      <c r="P726" s="268"/>
      <c r="Q726" s="268"/>
      <c r="R726" s="268"/>
      <c r="S726" s="268"/>
      <c r="T726" s="268"/>
      <c r="U726" s="268"/>
      <c r="V726" s="268"/>
    </row>
    <row r="727" spans="1:22" x14ac:dyDescent="0.2">
      <c r="A727" s="261"/>
      <c r="B727" s="264" t="s">
        <v>34</v>
      </c>
      <c r="C727" s="272">
        <v>0</v>
      </c>
      <c r="D727" s="273">
        <v>4.2613254080613263</v>
      </c>
      <c r="E727" s="273">
        <v>4.3465519162225528</v>
      </c>
      <c r="F727" s="273">
        <v>4.4334829545470038</v>
      </c>
      <c r="G727" s="273">
        <v>4.5221526136379433</v>
      </c>
      <c r="H727" s="273">
        <v>4.6125956659107024</v>
      </c>
      <c r="I727" s="273">
        <v>4.7048475792289164</v>
      </c>
      <c r="J727" s="273">
        <v>4.798944530813495</v>
      </c>
      <c r="K727" s="273">
        <v>4.8949234214297652</v>
      </c>
      <c r="L727" s="273">
        <v>4.9928218898583605</v>
      </c>
      <c r="M727" s="273">
        <v>5.0926783276555279</v>
      </c>
      <c r="N727" s="273">
        <v>5.1945318942086383</v>
      </c>
      <c r="O727" s="273">
        <v>5.2984225320928111</v>
      </c>
      <c r="P727" s="273">
        <v>5.4043909827346681</v>
      </c>
      <c r="Q727" s="273">
        <v>5.5124788023893609</v>
      </c>
      <c r="R727" s="273">
        <v>5.6227283784371487</v>
      </c>
      <c r="S727" s="273">
        <v>5.7351829460058914</v>
      </c>
      <c r="T727" s="273">
        <v>5.8498866049260094</v>
      </c>
      <c r="U727" s="273">
        <v>5.9668843370245295</v>
      </c>
      <c r="V727" s="273">
        <v>6.0862220237650195</v>
      </c>
    </row>
    <row r="728" spans="1:22" x14ac:dyDescent="0.2">
      <c r="A728" s="261"/>
      <c r="B728" s="264" t="s">
        <v>95</v>
      </c>
      <c r="C728" s="272">
        <v>0</v>
      </c>
      <c r="D728" s="273">
        <v>2.0568909100340993</v>
      </c>
      <c r="E728" s="273">
        <v>2.0568909100340993</v>
      </c>
      <c r="F728" s="273">
        <v>2.0568909100340993</v>
      </c>
      <c r="G728" s="273">
        <v>2.0568909100340993</v>
      </c>
      <c r="H728" s="273">
        <v>2.0568909100340993</v>
      </c>
      <c r="I728" s="273">
        <v>2.0568909100340993</v>
      </c>
      <c r="J728" s="273">
        <v>2.0568909100340993</v>
      </c>
      <c r="K728" s="273">
        <v>2.0568909100340993</v>
      </c>
      <c r="L728" s="273">
        <v>2.0568909100340993</v>
      </c>
      <c r="M728" s="273">
        <v>2.0568909100340993</v>
      </c>
      <c r="N728" s="273">
        <v>2.0568909100340993</v>
      </c>
      <c r="O728" s="273">
        <v>2.0568909100340993</v>
      </c>
      <c r="P728" s="273">
        <v>2.0568909100340993</v>
      </c>
      <c r="Q728" s="273">
        <v>2.0568909100340993</v>
      </c>
      <c r="R728" s="273">
        <v>2.0568909100340993</v>
      </c>
      <c r="S728" s="273">
        <v>2.0568909100340993</v>
      </c>
      <c r="T728" s="273">
        <v>2.0568909100340993</v>
      </c>
      <c r="U728" s="273">
        <v>2.0568909100340993</v>
      </c>
      <c r="V728" s="273">
        <v>2.0568909100340993</v>
      </c>
    </row>
    <row r="729" spans="1:22" x14ac:dyDescent="0.2">
      <c r="A729" s="261"/>
      <c r="B729" s="264" t="s">
        <v>36</v>
      </c>
      <c r="C729" s="272">
        <v>0</v>
      </c>
      <c r="D729" s="273">
        <v>0.41407105948314693</v>
      </c>
      <c r="E729" s="273">
        <v>0.42280795883824385</v>
      </c>
      <c r="F729" s="273">
        <v>0.432067453136802</v>
      </c>
      <c r="G729" s="273">
        <v>0.44183217757768989</v>
      </c>
      <c r="H729" s="273">
        <v>0.45234778340404036</v>
      </c>
      <c r="I729" s="273">
        <v>0.46368366433148034</v>
      </c>
      <c r="J729" s="273">
        <v>0.47518431097007663</v>
      </c>
      <c r="K729" s="273">
        <v>0.48721220788436947</v>
      </c>
      <c r="L729" s="273">
        <v>0.49924634941911356</v>
      </c>
      <c r="M729" s="273">
        <v>0.51197713132930012</v>
      </c>
      <c r="N729" s="273">
        <v>0.52436697790747067</v>
      </c>
      <c r="O729" s="273">
        <v>0.53758102575073774</v>
      </c>
      <c r="P729" s="273">
        <v>0.55123558380480508</v>
      </c>
      <c r="Q729" s="273">
        <v>0.56501647339992567</v>
      </c>
      <c r="R729" s="273">
        <v>0.57919838688226355</v>
      </c>
      <c r="S729" s="273">
        <v>0.5936783465543215</v>
      </c>
      <c r="T729" s="273">
        <v>0.60840156954886682</v>
      </c>
      <c r="U729" s="273">
        <v>0.62367244894454466</v>
      </c>
      <c r="V729" s="273">
        <v>0.63932662741305357</v>
      </c>
    </row>
    <row r="730" spans="1:22" x14ac:dyDescent="0.2">
      <c r="A730" s="261"/>
      <c r="B730" s="264" t="s">
        <v>39</v>
      </c>
      <c r="C730" s="272">
        <v>0</v>
      </c>
      <c r="D730" s="273">
        <v>4.4210602519386812</v>
      </c>
      <c r="E730" s="273">
        <v>0.18365742571884028</v>
      </c>
      <c r="F730" s="273">
        <v>0.18914374408207785</v>
      </c>
      <c r="G730" s="273">
        <v>0.19548727721644912</v>
      </c>
      <c r="H730" s="273">
        <v>1.0353110639674952</v>
      </c>
      <c r="I730" s="273">
        <v>1.0663703958865201</v>
      </c>
      <c r="J730" s="273">
        <v>1.0983615077631155</v>
      </c>
      <c r="K730" s="273">
        <v>1.131312352996009</v>
      </c>
      <c r="L730" s="273">
        <v>1.1652517235858892</v>
      </c>
      <c r="M730" s="273">
        <v>1.2002092752934661</v>
      </c>
      <c r="N730" s="273">
        <v>1.2362155535522701</v>
      </c>
      <c r="O730" s="273">
        <v>1.2733020201588383</v>
      </c>
      <c r="P730" s="273">
        <v>1.3115010807636034</v>
      </c>
      <c r="Q730" s="273">
        <v>1.3508461131865117</v>
      </c>
      <c r="R730" s="273">
        <v>1.3913714965821069</v>
      </c>
      <c r="S730" s="273">
        <v>1.4331126414795703</v>
      </c>
      <c r="T730" s="273">
        <v>1.4761060207239574</v>
      </c>
      <c r="U730" s="273">
        <v>1.5203892013456763</v>
      </c>
      <c r="V730" s="273">
        <v>1.5660008773860465</v>
      </c>
    </row>
    <row r="731" spans="1:22" x14ac:dyDescent="0.2">
      <c r="A731" s="261"/>
      <c r="B731" s="264" t="s">
        <v>96</v>
      </c>
      <c r="C731" s="274">
        <v>0</v>
      </c>
      <c r="D731" s="275">
        <v>0</v>
      </c>
      <c r="E731" s="275">
        <v>0</v>
      </c>
      <c r="F731" s="275">
        <v>0</v>
      </c>
      <c r="G731" s="275">
        <v>0</v>
      </c>
      <c r="H731" s="275">
        <v>0</v>
      </c>
      <c r="I731" s="275">
        <v>0</v>
      </c>
      <c r="J731" s="275">
        <v>0</v>
      </c>
      <c r="K731" s="275">
        <v>0</v>
      </c>
      <c r="L731" s="275">
        <v>0</v>
      </c>
      <c r="M731" s="275">
        <v>0</v>
      </c>
      <c r="N731" s="275">
        <v>0</v>
      </c>
      <c r="O731" s="275">
        <v>0</v>
      </c>
      <c r="P731" s="275">
        <v>0</v>
      </c>
      <c r="Q731" s="275">
        <v>0</v>
      </c>
      <c r="R731" s="275">
        <v>0</v>
      </c>
      <c r="S731" s="275">
        <v>0</v>
      </c>
      <c r="T731" s="275">
        <v>0</v>
      </c>
      <c r="U731" s="275">
        <v>0</v>
      </c>
      <c r="V731" s="275">
        <v>0</v>
      </c>
    </row>
    <row r="732" spans="1:22" x14ac:dyDescent="0.2">
      <c r="A732" s="261"/>
      <c r="B732" s="264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</row>
    <row r="733" spans="1:22" x14ac:dyDescent="0.2">
      <c r="A733" s="261"/>
      <c r="B733" s="264"/>
      <c r="C733" s="261"/>
      <c r="D733" s="261"/>
      <c r="E733" s="261"/>
      <c r="F733" s="261"/>
      <c r="G733" s="261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</row>
    <row r="734" spans="1:22" x14ac:dyDescent="0.2">
      <c r="B734" s="13"/>
    </row>
    <row r="735" spans="1:22" x14ac:dyDescent="0.2">
      <c r="B735" s="13"/>
    </row>
    <row r="736" spans="1:22" x14ac:dyDescent="0.2">
      <c r="A736" s="259" t="s">
        <v>98</v>
      </c>
      <c r="B736" s="260"/>
      <c r="C736" s="261"/>
      <c r="D736" s="261"/>
      <c r="E736" s="261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</row>
    <row r="737" spans="1:22" x14ac:dyDescent="0.2">
      <c r="A737" s="262" t="s">
        <v>85</v>
      </c>
      <c r="B737" s="260"/>
      <c r="C737" s="261"/>
      <c r="D737" s="261"/>
      <c r="E737" s="261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</row>
    <row r="738" spans="1:22" x14ac:dyDescent="0.2">
      <c r="A738" s="261"/>
      <c r="B738" s="260"/>
      <c r="C738" s="261"/>
      <c r="D738" s="261"/>
      <c r="E738" s="261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</row>
    <row r="739" spans="1:22" x14ac:dyDescent="0.2">
      <c r="A739" s="261"/>
      <c r="B739" s="260"/>
      <c r="C739" s="265">
        <v>2000</v>
      </c>
      <c r="D739" s="266">
        <v>2001</v>
      </c>
      <c r="E739" s="266">
        <v>2002</v>
      </c>
      <c r="F739" s="266">
        <v>2003</v>
      </c>
      <c r="G739" s="266">
        <v>2004</v>
      </c>
      <c r="H739" s="266">
        <v>2005</v>
      </c>
      <c r="I739" s="266">
        <v>2006</v>
      </c>
      <c r="J739" s="266">
        <v>2007</v>
      </c>
      <c r="K739" s="266">
        <v>2008</v>
      </c>
      <c r="L739" s="266">
        <v>2009</v>
      </c>
      <c r="M739" s="266">
        <v>2010</v>
      </c>
      <c r="N739" s="266">
        <v>2011</v>
      </c>
      <c r="O739" s="266">
        <v>2012</v>
      </c>
      <c r="P739" s="266">
        <v>2013</v>
      </c>
      <c r="Q739" s="266">
        <v>2014</v>
      </c>
      <c r="R739" s="266">
        <v>2015</v>
      </c>
      <c r="S739" s="266">
        <v>2016</v>
      </c>
      <c r="T739" s="266">
        <v>2017</v>
      </c>
      <c r="U739" s="266">
        <v>2018</v>
      </c>
      <c r="V739" s="266">
        <v>2019</v>
      </c>
    </row>
    <row r="740" spans="1:22" x14ac:dyDescent="0.2">
      <c r="A740" s="263" t="s">
        <v>129</v>
      </c>
      <c r="B740" s="260"/>
      <c r="C740" s="267"/>
      <c r="D740" s="268"/>
      <c r="E740" s="268"/>
      <c r="F740" s="268"/>
      <c r="G740" s="268"/>
      <c r="H740" s="268"/>
      <c r="I740" s="268"/>
      <c r="J740" s="268"/>
      <c r="K740" s="268"/>
      <c r="L740" s="268"/>
      <c r="M740" s="268"/>
      <c r="N740" s="268"/>
      <c r="O740" s="268"/>
      <c r="P740" s="268"/>
      <c r="Q740" s="268"/>
      <c r="R740" s="268"/>
      <c r="S740" s="268"/>
      <c r="T740" s="268"/>
      <c r="U740" s="268"/>
      <c r="V740" s="268"/>
    </row>
    <row r="741" spans="1:22" x14ac:dyDescent="0.2">
      <c r="A741" s="261"/>
      <c r="B741" s="264" t="s">
        <v>97</v>
      </c>
      <c r="C741" s="269">
        <v>0</v>
      </c>
      <c r="D741" s="270">
        <v>35727.43956262288</v>
      </c>
      <c r="E741" s="270">
        <v>50112.670062704296</v>
      </c>
      <c r="F741" s="270">
        <v>56679.369831059463</v>
      </c>
      <c r="G741" s="270">
        <v>59907.885916076004</v>
      </c>
      <c r="H741" s="270">
        <v>62114.032106890583</v>
      </c>
      <c r="I741" s="270">
        <v>84517.863367525555</v>
      </c>
      <c r="J741" s="270">
        <v>99897.974017265646</v>
      </c>
      <c r="K741" s="270">
        <v>132951.95666716856</v>
      </c>
      <c r="L741" s="270">
        <v>135950.71635798312</v>
      </c>
      <c r="M741" s="270">
        <v>101010.45101693997</v>
      </c>
      <c r="N741" s="270">
        <v>112515.69997635398</v>
      </c>
      <c r="O741" s="270">
        <v>102928.77872853605</v>
      </c>
      <c r="P741" s="270">
        <v>91575.532267265662</v>
      </c>
      <c r="Q741" s="270">
        <v>99586.630419350622</v>
      </c>
      <c r="R741" s="270">
        <v>90332.809883128764</v>
      </c>
      <c r="S741" s="270">
        <v>97091.781746809822</v>
      </c>
      <c r="T741" s="270">
        <v>81613.766058095905</v>
      </c>
      <c r="U741" s="270">
        <v>83959.856862672925</v>
      </c>
      <c r="V741" s="270">
        <v>100262.23574680982</v>
      </c>
    </row>
    <row r="742" spans="1:22" x14ac:dyDescent="0.2">
      <c r="A742" s="261"/>
      <c r="B742" s="264" t="s">
        <v>91</v>
      </c>
      <c r="C742" s="269">
        <v>0</v>
      </c>
      <c r="D742" s="271">
        <v>4.8883233683504772E-2</v>
      </c>
      <c r="E742" s="271">
        <v>6.8565488911842651E-2</v>
      </c>
      <c r="F742" s="271">
        <v>7.7550222305437025E-2</v>
      </c>
      <c r="G742" s="271">
        <v>8.1967563938838736E-2</v>
      </c>
      <c r="H742" s="271">
        <v>8.4986071872958535E-2</v>
      </c>
      <c r="I742" s="271">
        <v>0.11563959007427876</v>
      </c>
      <c r="J742" s="271">
        <v>0.13668306680178402</v>
      </c>
      <c r="K742" s="271">
        <v>0.18190840558413857</v>
      </c>
      <c r="L742" s="271">
        <v>0.18601138840410311</v>
      </c>
      <c r="M742" s="271">
        <v>0.13820518744094387</v>
      </c>
      <c r="N742" s="271">
        <v>0.15394697527558954</v>
      </c>
      <c r="O742" s="271">
        <v>0.14082989447160379</v>
      </c>
      <c r="P742" s="271">
        <v>0.12529608050041419</v>
      </c>
      <c r="Q742" s="271">
        <v>0.13625707820481037</v>
      </c>
      <c r="R742" s="271">
        <v>0.12359575465979504</v>
      </c>
      <c r="S742" s="271">
        <v>0.13284355985147217</v>
      </c>
      <c r="T742" s="271">
        <v>0.11166612684393286</v>
      </c>
      <c r="U742" s="271">
        <v>0.11487611072318181</v>
      </c>
      <c r="V742" s="271">
        <v>0.13718145939485119</v>
      </c>
    </row>
    <row r="743" spans="1:22" x14ac:dyDescent="0.2">
      <c r="A743" s="263" t="s">
        <v>93</v>
      </c>
      <c r="B743" s="264"/>
      <c r="C743" s="267"/>
      <c r="D743" s="268"/>
      <c r="E743" s="268"/>
      <c r="F743" s="268"/>
      <c r="G743" s="268"/>
      <c r="H743" s="268"/>
      <c r="I743" s="268"/>
      <c r="J743" s="268"/>
      <c r="K743" s="268"/>
      <c r="L743" s="268"/>
      <c r="M743" s="268"/>
      <c r="N743" s="268"/>
      <c r="O743" s="268"/>
      <c r="P743" s="268"/>
      <c r="Q743" s="268"/>
      <c r="R743" s="268"/>
      <c r="S743" s="268"/>
      <c r="T743" s="268"/>
      <c r="U743" s="268"/>
      <c r="V743" s="268"/>
    </row>
    <row r="744" spans="1:22" x14ac:dyDescent="0.2">
      <c r="A744" s="261"/>
      <c r="B744" s="264" t="s">
        <v>27</v>
      </c>
      <c r="C744" s="272">
        <v>0</v>
      </c>
      <c r="D744" s="273">
        <v>229.57635620775335</v>
      </c>
      <c r="E744" s="273">
        <v>144.05788369546903</v>
      </c>
      <c r="F744" s="273">
        <v>123.06823363953353</v>
      </c>
      <c r="G744" s="273">
        <v>111.81835975991193</v>
      </c>
      <c r="H744" s="273">
        <v>110.72034237632789</v>
      </c>
      <c r="I744" s="273">
        <v>93.186432398505119</v>
      </c>
      <c r="J744" s="273">
        <v>95.421019356134536</v>
      </c>
      <c r="K744" s="273">
        <v>91.139034837234917</v>
      </c>
      <c r="L744" s="273">
        <v>94.604106625883034</v>
      </c>
      <c r="M744" s="273">
        <v>109.55991172940627</v>
      </c>
      <c r="N744" s="273">
        <v>96.396307362319121</v>
      </c>
      <c r="O744" s="273">
        <v>105.28800201310784</v>
      </c>
      <c r="P744" s="273">
        <v>109.30912256699085</v>
      </c>
      <c r="Q744" s="273">
        <v>116.55842305757247</v>
      </c>
      <c r="R744" s="273">
        <v>119.81093791136331</v>
      </c>
      <c r="S744" s="273">
        <v>112.42840418904464</v>
      </c>
      <c r="T744" s="273">
        <v>123.33579938271444</v>
      </c>
      <c r="U744" s="273">
        <v>135.86501112027457</v>
      </c>
      <c r="V744" s="273">
        <v>123.10590714625611</v>
      </c>
    </row>
    <row r="745" spans="1:22" x14ac:dyDescent="0.2">
      <c r="A745" s="261"/>
      <c r="B745" s="264" t="s">
        <v>20</v>
      </c>
      <c r="C745" s="272">
        <v>0</v>
      </c>
      <c r="D745" s="273">
        <v>68.39972807652471</v>
      </c>
      <c r="E745" s="273">
        <v>59.697099529358645</v>
      </c>
      <c r="F745" s="273">
        <v>57.076140922795489</v>
      </c>
      <c r="G745" s="273">
        <v>59.160691808806973</v>
      </c>
      <c r="H745" s="273">
        <v>61.094036837666778</v>
      </c>
      <c r="I745" s="273">
        <v>58.50155437701865</v>
      </c>
      <c r="J745" s="273">
        <v>62.255344854253764</v>
      </c>
      <c r="K745" s="273">
        <v>58.089272021220317</v>
      </c>
      <c r="L745" s="273">
        <v>60.934538224248961</v>
      </c>
      <c r="M745" s="273">
        <v>64.175021510734766</v>
      </c>
      <c r="N745" s="273">
        <v>63.216228210349051</v>
      </c>
      <c r="O745" s="273">
        <v>64.11100246378551</v>
      </c>
      <c r="P745" s="273">
        <v>65.8891633092842</v>
      </c>
      <c r="Q745" s="273">
        <v>68.137285999529837</v>
      </c>
      <c r="R745" s="273">
        <v>73.164819794012217</v>
      </c>
      <c r="S745" s="273">
        <v>76.061230453573359</v>
      </c>
      <c r="T745" s="273">
        <v>77.200525412256795</v>
      </c>
      <c r="U745" s="273">
        <v>84.261462853630235</v>
      </c>
      <c r="V745" s="273">
        <v>83.514269877905676</v>
      </c>
    </row>
    <row r="746" spans="1:22" x14ac:dyDescent="0.2">
      <c r="A746" s="261"/>
      <c r="B746" s="264" t="s">
        <v>92</v>
      </c>
      <c r="C746" s="272">
        <v>0</v>
      </c>
      <c r="D746" s="273">
        <v>1.7064194012612581</v>
      </c>
      <c r="E746" s="273">
        <v>1.7206602968191436</v>
      </c>
      <c r="F746" s="273">
        <v>1.7452574582840712</v>
      </c>
      <c r="G746" s="273">
        <v>1.8078147166154082</v>
      </c>
      <c r="H746" s="273">
        <v>1.8643728635212851</v>
      </c>
      <c r="I746" s="273">
        <v>1.8559968239683577</v>
      </c>
      <c r="J746" s="273">
        <v>1.9256800001266743</v>
      </c>
      <c r="K746" s="273">
        <v>1.9718001105571288</v>
      </c>
      <c r="L746" s="273">
        <v>2.0192216254287416</v>
      </c>
      <c r="M746" s="273">
        <v>2.0694439264538467</v>
      </c>
      <c r="N746" s="273">
        <v>2.0883162143689371</v>
      </c>
      <c r="O746" s="273">
        <v>2.1342825095309004</v>
      </c>
      <c r="P746" s="273">
        <v>2.1710660324300028</v>
      </c>
      <c r="Q746" s="273">
        <v>2.2329329947042678</v>
      </c>
      <c r="R746" s="273">
        <v>2.2638670384943769</v>
      </c>
      <c r="S746" s="273">
        <v>2.3079053615696465</v>
      </c>
      <c r="T746" s="273">
        <v>2.3494108477123423</v>
      </c>
      <c r="U746" s="273">
        <v>2.4107932911545382</v>
      </c>
      <c r="V746" s="273">
        <v>2.4506833334813658</v>
      </c>
    </row>
    <row r="747" spans="1:22" x14ac:dyDescent="0.2">
      <c r="A747" s="261"/>
      <c r="B747" s="264" t="s">
        <v>22</v>
      </c>
      <c r="C747" s="272">
        <v>0</v>
      </c>
      <c r="D747" s="273">
        <v>0</v>
      </c>
      <c r="E747" s="273">
        <v>0</v>
      </c>
      <c r="F747" s="273">
        <v>0</v>
      </c>
      <c r="G747" s="273">
        <v>0</v>
      </c>
      <c r="H747" s="273">
        <v>0</v>
      </c>
      <c r="I747" s="273">
        <v>-1.1053050752225066</v>
      </c>
      <c r="J747" s="273">
        <v>-1.0365216840028084</v>
      </c>
      <c r="K747" s="273">
        <v>-0.85940192478259314</v>
      </c>
      <c r="L747" s="273">
        <v>-0.92309655349875452</v>
      </c>
      <c r="M747" s="273">
        <v>-1.3817426093053538</v>
      </c>
      <c r="N747" s="273">
        <v>-1.3664528515685486</v>
      </c>
      <c r="O747" s="273">
        <v>-1.6550036908754773</v>
      </c>
      <c r="P747" s="273">
        <v>-2.0857576700371978</v>
      </c>
      <c r="Q747" s="273">
        <v>-2.1350021308794673</v>
      </c>
      <c r="R747" s="273">
        <v>-2.6071969384897948</v>
      </c>
      <c r="S747" s="273">
        <v>-2.6634143773954202</v>
      </c>
      <c r="T747" s="273">
        <v>-3.1129260261676674</v>
      </c>
      <c r="U747" s="273">
        <v>-2.5888566315559625</v>
      </c>
      <c r="V747" s="273">
        <v>-2.2477281656824486</v>
      </c>
    </row>
    <row r="748" spans="1:22" x14ac:dyDescent="0.2">
      <c r="A748" s="261"/>
      <c r="B748" s="264" t="s">
        <v>23</v>
      </c>
      <c r="C748" s="272">
        <v>0</v>
      </c>
      <c r="D748" s="273">
        <v>0</v>
      </c>
      <c r="E748" s="273">
        <v>0</v>
      </c>
      <c r="F748" s="273">
        <v>0</v>
      </c>
      <c r="G748" s="273">
        <v>0</v>
      </c>
      <c r="H748" s="273">
        <v>0</v>
      </c>
      <c r="I748" s="273">
        <v>0</v>
      </c>
      <c r="J748" s="273">
        <v>0</v>
      </c>
      <c r="K748" s="273">
        <v>0</v>
      </c>
      <c r="L748" s="273">
        <v>0</v>
      </c>
      <c r="M748" s="273">
        <v>0</v>
      </c>
      <c r="N748" s="273">
        <v>0</v>
      </c>
      <c r="O748" s="273">
        <v>0</v>
      </c>
      <c r="P748" s="273">
        <v>0</v>
      </c>
      <c r="Q748" s="273">
        <v>0</v>
      </c>
      <c r="R748" s="273">
        <v>0</v>
      </c>
      <c r="S748" s="273">
        <v>0</v>
      </c>
      <c r="T748" s="273">
        <v>0</v>
      </c>
      <c r="U748" s="273">
        <v>0</v>
      </c>
      <c r="V748" s="273">
        <v>0</v>
      </c>
    </row>
    <row r="749" spans="1:22" x14ac:dyDescent="0.2">
      <c r="A749" s="263" t="s">
        <v>94</v>
      </c>
      <c r="B749" s="264"/>
      <c r="C749" s="267"/>
      <c r="D749" s="268"/>
      <c r="E749" s="268"/>
      <c r="F749" s="268"/>
      <c r="G749" s="268"/>
      <c r="H749" s="268"/>
      <c r="I749" s="268"/>
      <c r="J749" s="268"/>
      <c r="K749" s="268"/>
      <c r="L749" s="268"/>
      <c r="M749" s="268"/>
      <c r="N749" s="268"/>
      <c r="O749" s="268"/>
      <c r="P749" s="268"/>
      <c r="Q749" s="268"/>
      <c r="R749" s="268"/>
      <c r="S749" s="268"/>
      <c r="T749" s="268"/>
      <c r="U749" s="268"/>
      <c r="V749" s="268"/>
    </row>
    <row r="750" spans="1:22" x14ac:dyDescent="0.2">
      <c r="A750" s="261"/>
      <c r="B750" s="264" t="s">
        <v>34</v>
      </c>
      <c r="C750" s="272">
        <v>0</v>
      </c>
      <c r="D750" s="273">
        <v>4.2613254080613263</v>
      </c>
      <c r="E750" s="273">
        <v>4.3465519162225528</v>
      </c>
      <c r="F750" s="273">
        <v>4.4334829545470038</v>
      </c>
      <c r="G750" s="273">
        <v>4.5221526136379433</v>
      </c>
      <c r="H750" s="273">
        <v>4.6125956659107024</v>
      </c>
      <c r="I750" s="273">
        <v>4.7048475792289164</v>
      </c>
      <c r="J750" s="273">
        <v>4.798944530813495</v>
      </c>
      <c r="K750" s="273">
        <v>4.8949234214297652</v>
      </c>
      <c r="L750" s="273">
        <v>4.9928218898583605</v>
      </c>
      <c r="M750" s="273">
        <v>5.0926783276555279</v>
      </c>
      <c r="N750" s="273">
        <v>5.1945318942086383</v>
      </c>
      <c r="O750" s="273">
        <v>5.2984225320928111</v>
      </c>
      <c r="P750" s="273">
        <v>5.4043909827346681</v>
      </c>
      <c r="Q750" s="273">
        <v>5.5124788023893609</v>
      </c>
      <c r="R750" s="273">
        <v>5.6227283784371487</v>
      </c>
      <c r="S750" s="273">
        <v>5.7351829460058914</v>
      </c>
      <c r="T750" s="273">
        <v>5.8498866049260094</v>
      </c>
      <c r="U750" s="273">
        <v>5.9668843370245295</v>
      </c>
      <c r="V750" s="273">
        <v>6.0862220237650195</v>
      </c>
    </row>
    <row r="751" spans="1:22" x14ac:dyDescent="0.2">
      <c r="A751" s="261"/>
      <c r="B751" s="264" t="s">
        <v>95</v>
      </c>
      <c r="C751" s="272">
        <v>0</v>
      </c>
      <c r="D751" s="273">
        <v>2.0568909100340993</v>
      </c>
      <c r="E751" s="273">
        <v>2.0568909100340993</v>
      </c>
      <c r="F751" s="273">
        <v>2.0568909100340993</v>
      </c>
      <c r="G751" s="273">
        <v>2.0568909100340993</v>
      </c>
      <c r="H751" s="273">
        <v>2.0568909100340993</v>
      </c>
      <c r="I751" s="273">
        <v>2.0568909100340993</v>
      </c>
      <c r="J751" s="273">
        <v>2.0568909100340993</v>
      </c>
      <c r="K751" s="273">
        <v>2.0568909100340993</v>
      </c>
      <c r="L751" s="273">
        <v>2.0568909100340993</v>
      </c>
      <c r="M751" s="273">
        <v>2.0568909100340993</v>
      </c>
      <c r="N751" s="273">
        <v>2.0568909100340993</v>
      </c>
      <c r="O751" s="273">
        <v>2.0568909100340993</v>
      </c>
      <c r="P751" s="273">
        <v>2.0568909100340993</v>
      </c>
      <c r="Q751" s="273">
        <v>2.0568909100340993</v>
      </c>
      <c r="R751" s="273">
        <v>2.0568909100340993</v>
      </c>
      <c r="S751" s="273">
        <v>2.0568909100340993</v>
      </c>
      <c r="T751" s="273">
        <v>2.0568909100340993</v>
      </c>
      <c r="U751" s="273">
        <v>2.0568909100340993</v>
      </c>
      <c r="V751" s="273">
        <v>2.0568909100340993</v>
      </c>
    </row>
    <row r="752" spans="1:22" x14ac:dyDescent="0.2">
      <c r="A752" s="261"/>
      <c r="B752" s="264" t="s">
        <v>36</v>
      </c>
      <c r="C752" s="272">
        <v>0</v>
      </c>
      <c r="D752" s="273">
        <v>0.41407105948314693</v>
      </c>
      <c r="E752" s="273">
        <v>0.42280795883824385</v>
      </c>
      <c r="F752" s="273">
        <v>0.432067453136802</v>
      </c>
      <c r="G752" s="273">
        <v>0.44183217757768989</v>
      </c>
      <c r="H752" s="273">
        <v>0.45234778340404036</v>
      </c>
      <c r="I752" s="273">
        <v>0.46368366433148034</v>
      </c>
      <c r="J752" s="273">
        <v>0.47518431097007663</v>
      </c>
      <c r="K752" s="273">
        <v>0.48721220788436947</v>
      </c>
      <c r="L752" s="273">
        <v>0.49924634941911356</v>
      </c>
      <c r="M752" s="273">
        <v>0.51197713132930012</v>
      </c>
      <c r="N752" s="273">
        <v>0.52436697790747067</v>
      </c>
      <c r="O752" s="273">
        <v>0.53758102575073774</v>
      </c>
      <c r="P752" s="273">
        <v>0.55123558380480508</v>
      </c>
      <c r="Q752" s="273">
        <v>0.56501647339992567</v>
      </c>
      <c r="R752" s="273">
        <v>0.57919838688226355</v>
      </c>
      <c r="S752" s="273">
        <v>0.5936783465543215</v>
      </c>
      <c r="T752" s="273">
        <v>0.60840156954886682</v>
      </c>
      <c r="U752" s="273">
        <v>0.62367244894454466</v>
      </c>
      <c r="V752" s="273">
        <v>0.63932662741305357</v>
      </c>
    </row>
    <row r="753" spans="1:22" x14ac:dyDescent="0.2">
      <c r="A753" s="261"/>
      <c r="B753" s="264" t="s">
        <v>39</v>
      </c>
      <c r="C753" s="272">
        <v>0</v>
      </c>
      <c r="D753" s="273">
        <v>4.4138605827430393</v>
      </c>
      <c r="E753" s="273">
        <v>0.17627737226277373</v>
      </c>
      <c r="F753" s="273">
        <v>0.18157911138278621</v>
      </c>
      <c r="G753" s="273">
        <v>0.18770798125441973</v>
      </c>
      <c r="H753" s="273">
        <v>1.0277572183668331</v>
      </c>
      <c r="I753" s="273">
        <v>1.058589934917838</v>
      </c>
      <c r="J753" s="273">
        <v>1.0903476329653732</v>
      </c>
      <c r="K753" s="273">
        <v>1.1230580619543344</v>
      </c>
      <c r="L753" s="273">
        <v>1.1567498038129647</v>
      </c>
      <c r="M753" s="273">
        <v>1.1914522979273534</v>
      </c>
      <c r="N753" s="273">
        <v>1.2271958668651741</v>
      </c>
      <c r="O753" s="273">
        <v>1.2640117428711293</v>
      </c>
      <c r="P753" s="273">
        <v>1.3019320951572633</v>
      </c>
      <c r="Q753" s="273">
        <v>1.3409900580119811</v>
      </c>
      <c r="R753" s="273">
        <v>1.3812197597523408</v>
      </c>
      <c r="S753" s="273">
        <v>1.422656352544911</v>
      </c>
      <c r="T753" s="273">
        <v>1.4653360431212583</v>
      </c>
      <c r="U753" s="273">
        <v>1.5092961244148961</v>
      </c>
      <c r="V753" s="273">
        <v>1.5545750081473433</v>
      </c>
    </row>
    <row r="754" spans="1:22" x14ac:dyDescent="0.2">
      <c r="A754" s="261"/>
      <c r="B754" s="264" t="s">
        <v>96</v>
      </c>
      <c r="C754" s="274">
        <v>0</v>
      </c>
      <c r="D754" s="275">
        <v>0</v>
      </c>
      <c r="E754" s="275">
        <v>0</v>
      </c>
      <c r="F754" s="275">
        <v>0</v>
      </c>
      <c r="G754" s="275">
        <v>0</v>
      </c>
      <c r="H754" s="275">
        <v>0</v>
      </c>
      <c r="I754" s="275">
        <v>0</v>
      </c>
      <c r="J754" s="275">
        <v>0</v>
      </c>
      <c r="K754" s="275">
        <v>0</v>
      </c>
      <c r="L754" s="275">
        <v>0</v>
      </c>
      <c r="M754" s="275">
        <v>0</v>
      </c>
      <c r="N754" s="275">
        <v>0</v>
      </c>
      <c r="O754" s="275">
        <v>0</v>
      </c>
      <c r="P754" s="275">
        <v>0</v>
      </c>
      <c r="Q754" s="275">
        <v>0</v>
      </c>
      <c r="R754" s="275">
        <v>0</v>
      </c>
      <c r="S754" s="275">
        <v>0</v>
      </c>
      <c r="T754" s="275">
        <v>0</v>
      </c>
      <c r="U754" s="275">
        <v>0</v>
      </c>
      <c r="V754" s="275">
        <v>0</v>
      </c>
    </row>
    <row r="755" spans="1:22" x14ac:dyDescent="0.2">
      <c r="A755" s="261"/>
      <c r="B755" s="264"/>
      <c r="C755" s="261"/>
      <c r="D755" s="261"/>
      <c r="E755" s="261"/>
      <c r="F755" s="261"/>
      <c r="G755" s="261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</row>
    <row r="756" spans="1:22" x14ac:dyDescent="0.2">
      <c r="A756" s="261"/>
      <c r="B756" s="264"/>
      <c r="C756" s="261"/>
      <c r="D756" s="261"/>
      <c r="E756" s="261"/>
      <c r="F756" s="261"/>
      <c r="G756" s="261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</row>
    <row r="759" spans="1:22" x14ac:dyDescent="0.2">
      <c r="A759" s="259" t="s">
        <v>98</v>
      </c>
      <c r="B759" s="260"/>
      <c r="C759" s="261"/>
      <c r="D759" s="261"/>
      <c r="E759" s="261"/>
      <c r="F759" s="261"/>
      <c r="G759" s="261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</row>
    <row r="760" spans="1:22" x14ac:dyDescent="0.2">
      <c r="A760" s="262" t="s">
        <v>181</v>
      </c>
      <c r="B760" s="260"/>
      <c r="C760" s="261"/>
      <c r="D760" s="261"/>
      <c r="E760" s="261"/>
      <c r="F760" s="261"/>
      <c r="G760" s="261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</row>
    <row r="761" spans="1:22" x14ac:dyDescent="0.2">
      <c r="A761" s="261"/>
      <c r="B761" s="260"/>
      <c r="C761" s="261"/>
      <c r="D761" s="261"/>
      <c r="E761" s="261"/>
      <c r="F761" s="261"/>
      <c r="G761" s="261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</row>
    <row r="762" spans="1:22" x14ac:dyDescent="0.2">
      <c r="A762" s="261"/>
      <c r="B762" s="260"/>
      <c r="C762" s="265">
        <v>2000</v>
      </c>
      <c r="D762" s="266">
        <v>2001</v>
      </c>
      <c r="E762" s="266">
        <v>2002</v>
      </c>
      <c r="F762" s="266">
        <v>2003</v>
      </c>
      <c r="G762" s="266">
        <v>2004</v>
      </c>
      <c r="H762" s="266">
        <v>2005</v>
      </c>
      <c r="I762" s="266">
        <v>2006</v>
      </c>
      <c r="J762" s="266">
        <v>2007</v>
      </c>
      <c r="K762" s="266">
        <v>2008</v>
      </c>
      <c r="L762" s="266">
        <v>2009</v>
      </c>
      <c r="M762" s="266">
        <v>2010</v>
      </c>
      <c r="N762" s="266">
        <v>2011</v>
      </c>
      <c r="O762" s="266">
        <v>2012</v>
      </c>
      <c r="P762" s="266">
        <v>2013</v>
      </c>
      <c r="Q762" s="266">
        <v>2014</v>
      </c>
      <c r="R762" s="266">
        <v>2015</v>
      </c>
      <c r="S762" s="266">
        <v>2016</v>
      </c>
      <c r="T762" s="266">
        <v>2017</v>
      </c>
      <c r="U762" s="266">
        <v>2018</v>
      </c>
      <c r="V762" s="266">
        <v>2019</v>
      </c>
    </row>
    <row r="763" spans="1:22" x14ac:dyDescent="0.2">
      <c r="A763" s="263" t="s">
        <v>129</v>
      </c>
      <c r="B763" s="260"/>
      <c r="C763" s="267"/>
      <c r="D763" s="268"/>
      <c r="E763" s="268"/>
      <c r="F763" s="268"/>
      <c r="G763" s="268"/>
      <c r="H763" s="268"/>
      <c r="I763" s="268"/>
      <c r="J763" s="268"/>
      <c r="K763" s="268"/>
      <c r="L763" s="268"/>
      <c r="M763" s="268"/>
      <c r="N763" s="268"/>
      <c r="O763" s="268"/>
      <c r="P763" s="268"/>
      <c r="Q763" s="268"/>
      <c r="R763" s="268"/>
      <c r="S763" s="268"/>
      <c r="T763" s="268"/>
      <c r="U763" s="268"/>
      <c r="V763" s="268"/>
    </row>
    <row r="764" spans="1:22" x14ac:dyDescent="0.2">
      <c r="A764" s="261"/>
      <c r="B764" s="264" t="s">
        <v>97</v>
      </c>
      <c r="C764" s="269">
        <v>0</v>
      </c>
      <c r="D764" s="270">
        <v>1255019.8878530688</v>
      </c>
      <c r="E764" s="270">
        <v>1524012.9778088196</v>
      </c>
      <c r="F764" s="270">
        <v>1874739.9347440565</v>
      </c>
      <c r="G764" s="270">
        <v>1472338.398835778</v>
      </c>
      <c r="H764" s="270">
        <v>1552437.6218120418</v>
      </c>
      <c r="I764" s="270">
        <v>1900804.5353938248</v>
      </c>
      <c r="J764" s="270">
        <v>2034754.535393825</v>
      </c>
      <c r="K764" s="270">
        <v>2405191.3622687003</v>
      </c>
      <c r="L764" s="270">
        <v>2328361.4272988806</v>
      </c>
      <c r="M764" s="270">
        <v>1979539.8913906023</v>
      </c>
      <c r="N764" s="270">
        <v>2303206.0713021033</v>
      </c>
      <c r="O764" s="270">
        <v>2088334.535393825</v>
      </c>
      <c r="P764" s="270">
        <v>2031214.470363644</v>
      </c>
      <c r="Q764" s="270">
        <v>2193589.1143668666</v>
      </c>
      <c r="R764" s="270">
        <v>2326813.7150166351</v>
      </c>
      <c r="S764" s="270">
        <v>1900804.535393825</v>
      </c>
      <c r="T764" s="270">
        <v>1708825.2257106528</v>
      </c>
      <c r="U764" s="270">
        <v>1550077.5784585879</v>
      </c>
      <c r="V764" s="270">
        <v>1874285.312417561</v>
      </c>
    </row>
    <row r="765" spans="1:22" x14ac:dyDescent="0.2">
      <c r="A765" s="261"/>
      <c r="B765" s="264" t="s">
        <v>91</v>
      </c>
      <c r="C765" s="269">
        <v>0</v>
      </c>
      <c r="D765" s="271">
        <v>0.2032157595539151</v>
      </c>
      <c r="E765" s="271">
        <v>0.24677175067340582</v>
      </c>
      <c r="F765" s="271">
        <v>0.30356228095858939</v>
      </c>
      <c r="G765" s="271">
        <v>0.23840448182191423</v>
      </c>
      <c r="H765" s="271">
        <v>0.25137433560219596</v>
      </c>
      <c r="I765" s="271">
        <v>0.30778272214026114</v>
      </c>
      <c r="J765" s="271">
        <v>0.32947221985715619</v>
      </c>
      <c r="K765" s="271">
        <v>0.38945421844436351</v>
      </c>
      <c r="L765" s="271">
        <v>0.37701373543490407</v>
      </c>
      <c r="M765" s="271">
        <v>0.32053173538498692</v>
      </c>
      <c r="N765" s="271">
        <v>0.37294052127693633</v>
      </c>
      <c r="O765" s="271">
        <v>0.33814801894391416</v>
      </c>
      <c r="P765" s="271">
        <v>0.3288990042364785</v>
      </c>
      <c r="Q765" s="271">
        <v>0.35519108688216372</v>
      </c>
      <c r="R765" s="271">
        <v>0.37676312623735142</v>
      </c>
      <c r="S765" s="271">
        <v>0.3077827221402612</v>
      </c>
      <c r="T765" s="271">
        <v>0.27669698269222659</v>
      </c>
      <c r="U765" s="271">
        <v>0.25099219185507754</v>
      </c>
      <c r="V765" s="271">
        <v>0.30348866744673741</v>
      </c>
    </row>
    <row r="766" spans="1:22" x14ac:dyDescent="0.2">
      <c r="A766" s="263" t="s">
        <v>93</v>
      </c>
      <c r="B766" s="264"/>
      <c r="C766" s="267"/>
      <c r="D766" s="268"/>
      <c r="E766" s="268"/>
      <c r="F766" s="268"/>
      <c r="G766" s="268"/>
      <c r="H766" s="268"/>
      <c r="I766" s="268"/>
      <c r="J766" s="268"/>
      <c r="K766" s="268"/>
      <c r="L766" s="268"/>
      <c r="M766" s="268"/>
      <c r="N766" s="268"/>
      <c r="O766" s="268"/>
      <c r="P766" s="268"/>
      <c r="Q766" s="268"/>
      <c r="R766" s="268"/>
      <c r="S766" s="268"/>
      <c r="T766" s="268"/>
      <c r="U766" s="268"/>
      <c r="V766" s="268"/>
    </row>
    <row r="767" spans="1:22" x14ac:dyDescent="0.2">
      <c r="A767" s="261"/>
      <c r="B767" s="264" t="s">
        <v>27</v>
      </c>
      <c r="C767" s="272">
        <v>0</v>
      </c>
      <c r="D767" s="273">
        <v>95.916974469907927</v>
      </c>
      <c r="E767" s="273">
        <v>77.131927740250447</v>
      </c>
      <c r="F767" s="273">
        <v>68.552837515241933</v>
      </c>
      <c r="G767" s="273">
        <v>70.762849313531262</v>
      </c>
      <c r="H767" s="273">
        <v>70.390112792033889</v>
      </c>
      <c r="I767" s="273">
        <v>66.499919600625802</v>
      </c>
      <c r="J767" s="273">
        <v>68.12265116835357</v>
      </c>
      <c r="K767" s="273">
        <v>66.623132964959566</v>
      </c>
      <c r="L767" s="273">
        <v>67.930624854974056</v>
      </c>
      <c r="M767" s="273">
        <v>73.740871462922144</v>
      </c>
      <c r="N767" s="273">
        <v>68.511573296774571</v>
      </c>
      <c r="O767" s="273">
        <v>71.686296759698521</v>
      </c>
      <c r="P767" s="273">
        <v>74.502760041726461</v>
      </c>
      <c r="Q767" s="273">
        <v>75.546332146886144</v>
      </c>
      <c r="R767" s="273">
        <v>75.850290556521841</v>
      </c>
      <c r="S767" s="273">
        <v>81.108822992809905</v>
      </c>
      <c r="T767" s="273">
        <v>88.271694811738087</v>
      </c>
      <c r="U767" s="273">
        <v>97.856296619664832</v>
      </c>
      <c r="V767" s="273">
        <v>90.118780696878275</v>
      </c>
    </row>
    <row r="768" spans="1:22" x14ac:dyDescent="0.2">
      <c r="A768" s="261"/>
      <c r="B768" s="264" t="s">
        <v>20</v>
      </c>
      <c r="C768" s="272">
        <v>0</v>
      </c>
      <c r="D768" s="273">
        <v>46.273639005876639</v>
      </c>
      <c r="E768" s="273">
        <v>41.61815461301871</v>
      </c>
      <c r="F768" s="273">
        <v>39.461368169172943</v>
      </c>
      <c r="G768" s="273">
        <v>39.874366809233862</v>
      </c>
      <c r="H768" s="273">
        <v>40.280077908468172</v>
      </c>
      <c r="I768" s="273">
        <v>40.662217067129809</v>
      </c>
      <c r="J768" s="273">
        <v>40.929679032061664</v>
      </c>
      <c r="K768" s="273">
        <v>38.482596605254692</v>
      </c>
      <c r="L768" s="273">
        <v>39.59618432955542</v>
      </c>
      <c r="M768" s="273">
        <v>41.605209911524057</v>
      </c>
      <c r="N768" s="273">
        <v>41.852558885436778</v>
      </c>
      <c r="O768" s="273">
        <v>41.942382306010607</v>
      </c>
      <c r="P768" s="273">
        <v>44.259050858640059</v>
      </c>
      <c r="Q768" s="273">
        <v>44.114795618740757</v>
      </c>
      <c r="R768" s="273">
        <v>48.018986708327276</v>
      </c>
      <c r="S768" s="273">
        <v>50.434676999395762</v>
      </c>
      <c r="T768" s="273">
        <v>52.963102837180273</v>
      </c>
      <c r="U768" s="273">
        <v>55.751260814561554</v>
      </c>
      <c r="V768" s="273">
        <v>55.265178781517676</v>
      </c>
    </row>
    <row r="769" spans="1:22" x14ac:dyDescent="0.2">
      <c r="A769" s="261"/>
      <c r="B769" s="264" t="s">
        <v>92</v>
      </c>
      <c r="C769" s="272">
        <v>0</v>
      </c>
      <c r="D769" s="273">
        <v>0.62123066096215429</v>
      </c>
      <c r="E769" s="273">
        <v>0.63313832487914279</v>
      </c>
      <c r="F769" s="273">
        <v>0.6463720236848931</v>
      </c>
      <c r="G769" s="273">
        <v>0.65943941578038046</v>
      </c>
      <c r="H769" s="273">
        <v>0.67309278084843327</v>
      </c>
      <c r="I769" s="273">
        <v>0.68638620817887541</v>
      </c>
      <c r="J769" s="273">
        <v>0.70015396898282289</v>
      </c>
      <c r="K769" s="273">
        <v>0.7139215152301478</v>
      </c>
      <c r="L769" s="273">
        <v>0.72837955956035083</v>
      </c>
      <c r="M769" s="273">
        <v>0.74369926427722044</v>
      </c>
      <c r="N769" s="273">
        <v>0.75818065502780418</v>
      </c>
      <c r="O769" s="273">
        <v>0.77383482824704586</v>
      </c>
      <c r="P769" s="273">
        <v>0.7893415122926728</v>
      </c>
      <c r="Q769" s="273">
        <v>0.8053111576118146</v>
      </c>
      <c r="R769" s="273">
        <v>0.82153745182204885</v>
      </c>
      <c r="S769" s="273">
        <v>0.83782534043715717</v>
      </c>
      <c r="T769" s="273">
        <v>0.85570589646761341</v>
      </c>
      <c r="U769" s="273">
        <v>0.87232044164397482</v>
      </c>
      <c r="V769" s="273">
        <v>0.88955401416785096</v>
      </c>
    </row>
    <row r="770" spans="1:22" x14ac:dyDescent="0.2">
      <c r="A770" s="261"/>
      <c r="B770" s="264" t="s">
        <v>22</v>
      </c>
      <c r="C770" s="272">
        <v>0</v>
      </c>
      <c r="D770" s="273">
        <v>0</v>
      </c>
      <c r="E770" s="273">
        <v>0</v>
      </c>
      <c r="F770" s="273">
        <v>0</v>
      </c>
      <c r="G770" s="273">
        <v>0</v>
      </c>
      <c r="H770" s="273">
        <v>0</v>
      </c>
      <c r="I770" s="273">
        <v>0</v>
      </c>
      <c r="J770" s="273">
        <v>0</v>
      </c>
      <c r="K770" s="273">
        <v>0</v>
      </c>
      <c r="L770" s="273">
        <v>0</v>
      </c>
      <c r="M770" s="273">
        <v>0</v>
      </c>
      <c r="N770" s="273">
        <v>0</v>
      </c>
      <c r="O770" s="273">
        <v>0</v>
      </c>
      <c r="P770" s="273">
        <v>0</v>
      </c>
      <c r="Q770" s="273">
        <v>0</v>
      </c>
      <c r="R770" s="273">
        <v>0</v>
      </c>
      <c r="S770" s="273">
        <v>0</v>
      </c>
      <c r="T770" s="273">
        <v>0</v>
      </c>
      <c r="U770" s="273">
        <v>0</v>
      </c>
      <c r="V770" s="273">
        <v>0</v>
      </c>
    </row>
    <row r="771" spans="1:22" x14ac:dyDescent="0.2">
      <c r="A771" s="261"/>
      <c r="B771" s="264" t="s">
        <v>23</v>
      </c>
      <c r="C771" s="272">
        <v>0</v>
      </c>
      <c r="D771" s="273">
        <v>0</v>
      </c>
      <c r="E771" s="273">
        <v>0</v>
      </c>
      <c r="F771" s="273">
        <v>0</v>
      </c>
      <c r="G771" s="273">
        <v>0</v>
      </c>
      <c r="H771" s="273">
        <v>0</v>
      </c>
      <c r="I771" s="273">
        <v>0</v>
      </c>
      <c r="J771" s="273">
        <v>0</v>
      </c>
      <c r="K771" s="273">
        <v>0</v>
      </c>
      <c r="L771" s="273">
        <v>0</v>
      </c>
      <c r="M771" s="273">
        <v>0</v>
      </c>
      <c r="N771" s="273">
        <v>0</v>
      </c>
      <c r="O771" s="273">
        <v>0</v>
      </c>
      <c r="P771" s="273">
        <v>0</v>
      </c>
      <c r="Q771" s="273">
        <v>0</v>
      </c>
      <c r="R771" s="273">
        <v>0</v>
      </c>
      <c r="S771" s="273">
        <v>0</v>
      </c>
      <c r="T771" s="273">
        <v>0</v>
      </c>
      <c r="U771" s="273">
        <v>0</v>
      </c>
      <c r="V771" s="273">
        <v>0</v>
      </c>
    </row>
    <row r="772" spans="1:22" x14ac:dyDescent="0.2">
      <c r="A772" s="263" t="s">
        <v>94</v>
      </c>
      <c r="B772" s="264"/>
      <c r="C772" s="267"/>
      <c r="D772" s="268"/>
      <c r="E772" s="268"/>
      <c r="F772" s="268"/>
      <c r="G772" s="268"/>
      <c r="H772" s="268"/>
      <c r="I772" s="268"/>
      <c r="J772" s="268"/>
      <c r="K772" s="268"/>
      <c r="L772" s="268"/>
      <c r="M772" s="268"/>
      <c r="N772" s="268"/>
      <c r="O772" s="268"/>
      <c r="P772" s="268"/>
      <c r="Q772" s="268"/>
      <c r="R772" s="268"/>
      <c r="S772" s="268"/>
      <c r="T772" s="268"/>
      <c r="U772" s="268"/>
      <c r="V772" s="268"/>
    </row>
    <row r="773" spans="1:22" x14ac:dyDescent="0.2">
      <c r="A773" s="261"/>
      <c r="B773" s="264" t="s">
        <v>34</v>
      </c>
      <c r="C773" s="272">
        <v>0</v>
      </c>
      <c r="D773" s="273">
        <v>4.59</v>
      </c>
      <c r="E773" s="273">
        <v>4.6818</v>
      </c>
      <c r="F773" s="273">
        <v>4.775436</v>
      </c>
      <c r="G773" s="273">
        <v>4.8709447199999998</v>
      </c>
      <c r="H773" s="273">
        <v>4.9683636144000003</v>
      </c>
      <c r="I773" s="273">
        <v>5.0677308866880004</v>
      </c>
      <c r="J773" s="273">
        <v>5.1690855044217603</v>
      </c>
      <c r="K773" s="273">
        <v>5.2724672145101952</v>
      </c>
      <c r="L773" s="273">
        <v>5.3779165588003996</v>
      </c>
      <c r="M773" s="273">
        <v>5.4854748899764072</v>
      </c>
      <c r="N773" s="273">
        <v>5.5951843877759355</v>
      </c>
      <c r="O773" s="273">
        <v>5.7070880755314537</v>
      </c>
      <c r="P773" s="273">
        <v>5.8212298370420825</v>
      </c>
      <c r="Q773" s="273">
        <v>5.9376544337829245</v>
      </c>
      <c r="R773" s="273">
        <v>6.0564075224585832</v>
      </c>
      <c r="S773" s="273">
        <v>6.1775356729077542</v>
      </c>
      <c r="T773" s="273">
        <v>6.3010863863659097</v>
      </c>
      <c r="U773" s="273">
        <v>6.4271081140932278</v>
      </c>
      <c r="V773" s="273">
        <v>6.5556502763750926</v>
      </c>
    </row>
    <row r="774" spans="1:22" x14ac:dyDescent="0.2">
      <c r="A774" s="261"/>
      <c r="B774" s="264" t="s">
        <v>95</v>
      </c>
      <c r="C774" s="272">
        <v>0</v>
      </c>
      <c r="D774" s="273">
        <v>0.24342209829343969</v>
      </c>
      <c r="E774" s="273">
        <v>0.24342209829343969</v>
      </c>
      <c r="F774" s="273">
        <v>0.24342209829343969</v>
      </c>
      <c r="G774" s="273">
        <v>0.24342209829343969</v>
      </c>
      <c r="H774" s="273">
        <v>0.24342209829343969</v>
      </c>
      <c r="I774" s="273">
        <v>0.24342209829343969</v>
      </c>
      <c r="J774" s="273">
        <v>0.24342209829343969</v>
      </c>
      <c r="K774" s="273">
        <v>0.24342209829343969</v>
      </c>
      <c r="L774" s="273">
        <v>0.24342209829343969</v>
      </c>
      <c r="M774" s="273">
        <v>0.24342209829343969</v>
      </c>
      <c r="N774" s="273">
        <v>0.24342209829343969</v>
      </c>
      <c r="O774" s="273">
        <v>0.24342209829343969</v>
      </c>
      <c r="P774" s="273">
        <v>0.24342209829343969</v>
      </c>
      <c r="Q774" s="273">
        <v>0.24342209829343969</v>
      </c>
      <c r="R774" s="273">
        <v>0.24342209829343969</v>
      </c>
      <c r="S774" s="273">
        <v>0.24342209829343969</v>
      </c>
      <c r="T774" s="273">
        <v>0.24342209829343969</v>
      </c>
      <c r="U774" s="273">
        <v>0.24342209829343969</v>
      </c>
      <c r="V774" s="273">
        <v>0.24342209829343969</v>
      </c>
    </row>
    <row r="775" spans="1:22" x14ac:dyDescent="0.2">
      <c r="A775" s="261"/>
      <c r="B775" s="264" t="s">
        <v>36</v>
      </c>
      <c r="C775" s="272">
        <v>0</v>
      </c>
      <c r="D775" s="273">
        <v>0.53177304964539007</v>
      </c>
      <c r="E775" s="273">
        <v>0.54347205673758858</v>
      </c>
      <c r="F775" s="273">
        <v>0.55542844198581565</v>
      </c>
      <c r="G775" s="273">
        <v>0.56764786770950348</v>
      </c>
      <c r="H775" s="273">
        <v>0.58013612079911214</v>
      </c>
      <c r="I775" s="273">
        <v>0.5928991154566936</v>
      </c>
      <c r="J775" s="273">
        <v>0.60594289599674045</v>
      </c>
      <c r="K775" s="273">
        <v>0.61927363970866811</v>
      </c>
      <c r="L775" s="273">
        <v>0.63289765978225954</v>
      </c>
      <c r="M775" s="273">
        <v>0.64682140829746948</v>
      </c>
      <c r="N775" s="273">
        <v>0.66105147928001284</v>
      </c>
      <c r="O775" s="273">
        <v>0.67559461182417446</v>
      </c>
      <c r="P775" s="273">
        <v>0.69045769328430495</v>
      </c>
      <c r="Q775" s="273">
        <v>0.70564776253656025</v>
      </c>
      <c r="R775" s="273">
        <v>0.72117201331236458</v>
      </c>
      <c r="S775" s="273">
        <v>0.73703779760523691</v>
      </c>
      <c r="T775" s="273">
        <v>0.75325262915255187</v>
      </c>
      <c r="U775" s="273">
        <v>0.76982418699390787</v>
      </c>
      <c r="V775" s="273">
        <v>0.78676031910777444</v>
      </c>
    </row>
    <row r="776" spans="1:22" x14ac:dyDescent="0.2">
      <c r="A776" s="261"/>
      <c r="B776" s="264" t="s">
        <v>39</v>
      </c>
      <c r="C776" s="272">
        <v>0</v>
      </c>
      <c r="D776" s="273">
        <v>0</v>
      </c>
      <c r="E776" s="273">
        <v>0</v>
      </c>
      <c r="F776" s="273">
        <v>0</v>
      </c>
      <c r="G776" s="273">
        <v>0</v>
      </c>
      <c r="H776" s="273">
        <v>0</v>
      </c>
      <c r="I776" s="273">
        <v>0</v>
      </c>
      <c r="J776" s="273">
        <v>0</v>
      </c>
      <c r="K776" s="273">
        <v>0</v>
      </c>
      <c r="L776" s="273">
        <v>0</v>
      </c>
      <c r="M776" s="273">
        <v>0</v>
      </c>
      <c r="N776" s="273">
        <v>0</v>
      </c>
      <c r="O776" s="273">
        <v>0</v>
      </c>
      <c r="P776" s="273">
        <v>0</v>
      </c>
      <c r="Q776" s="273">
        <v>0</v>
      </c>
      <c r="R776" s="273">
        <v>0</v>
      </c>
      <c r="S776" s="273">
        <v>0</v>
      </c>
      <c r="T776" s="273">
        <v>0</v>
      </c>
      <c r="U776" s="273">
        <v>0</v>
      </c>
      <c r="V776" s="273">
        <v>0</v>
      </c>
    </row>
    <row r="777" spans="1:22" x14ac:dyDescent="0.2">
      <c r="A777" s="261"/>
      <c r="B777" s="264" t="s">
        <v>96</v>
      </c>
      <c r="C777" s="274">
        <v>0</v>
      </c>
      <c r="D777" s="275">
        <v>0</v>
      </c>
      <c r="E777" s="275">
        <v>0</v>
      </c>
      <c r="F777" s="275">
        <v>0</v>
      </c>
      <c r="G777" s="275">
        <v>0</v>
      </c>
      <c r="H777" s="275">
        <v>0</v>
      </c>
      <c r="I777" s="275">
        <v>0</v>
      </c>
      <c r="J777" s="275">
        <v>0</v>
      </c>
      <c r="K777" s="275">
        <v>0</v>
      </c>
      <c r="L777" s="275">
        <v>0</v>
      </c>
      <c r="M777" s="275">
        <v>0</v>
      </c>
      <c r="N777" s="275">
        <v>0</v>
      </c>
      <c r="O777" s="275">
        <v>0</v>
      </c>
      <c r="P777" s="275">
        <v>0</v>
      </c>
      <c r="Q777" s="275">
        <v>0</v>
      </c>
      <c r="R777" s="275">
        <v>0</v>
      </c>
      <c r="S777" s="275">
        <v>0</v>
      </c>
      <c r="T777" s="275">
        <v>0</v>
      </c>
      <c r="U777" s="275">
        <v>0</v>
      </c>
      <c r="V777" s="275">
        <v>0</v>
      </c>
    </row>
    <row r="778" spans="1:22" x14ac:dyDescent="0.2">
      <c r="A778" s="261"/>
      <c r="B778" s="264"/>
      <c r="C778" s="261"/>
      <c r="D778" s="261"/>
      <c r="E778" s="261"/>
      <c r="F778" s="261"/>
      <c r="G778" s="261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</row>
    <row r="779" spans="1:22" x14ac:dyDescent="0.2">
      <c r="A779" s="261"/>
      <c r="B779" s="264"/>
      <c r="C779" s="261"/>
      <c r="D779" s="261"/>
      <c r="E779" s="261"/>
      <c r="F779" s="261"/>
      <c r="G779" s="261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</row>
    <row r="781" spans="1:22" x14ac:dyDescent="0.2">
      <c r="B781" s="297" t="s">
        <v>55</v>
      </c>
    </row>
    <row r="782" spans="1:22" x14ac:dyDescent="0.2">
      <c r="B782" s="297" t="s">
        <v>56</v>
      </c>
    </row>
    <row r="783" spans="1:22" x14ac:dyDescent="0.2">
      <c r="B783" s="297" t="s">
        <v>57</v>
      </c>
    </row>
    <row r="784" spans="1:22" x14ac:dyDescent="0.2">
      <c r="B784" s="297" t="s">
        <v>58</v>
      </c>
    </row>
    <row r="785" spans="2:2" x14ac:dyDescent="0.2">
      <c r="B785" s="297" t="s">
        <v>59</v>
      </c>
    </row>
    <row r="786" spans="2:2" x14ac:dyDescent="0.2">
      <c r="B786" s="297" t="s">
        <v>60</v>
      </c>
    </row>
    <row r="787" spans="2:2" x14ac:dyDescent="0.2">
      <c r="B787" s="297" t="s">
        <v>61</v>
      </c>
    </row>
    <row r="788" spans="2:2" x14ac:dyDescent="0.2">
      <c r="B788" s="297" t="s">
        <v>62</v>
      </c>
    </row>
    <row r="789" spans="2:2" x14ac:dyDescent="0.2">
      <c r="B789" s="297" t="s">
        <v>63</v>
      </c>
    </row>
    <row r="790" spans="2:2" x14ac:dyDescent="0.2">
      <c r="B790" s="297" t="s">
        <v>64</v>
      </c>
    </row>
    <row r="791" spans="2:2" x14ac:dyDescent="0.2">
      <c r="B791" s="297" t="s">
        <v>65</v>
      </c>
    </row>
    <row r="792" spans="2:2" x14ac:dyDescent="0.2">
      <c r="B792" s="297" t="s">
        <v>66</v>
      </c>
    </row>
    <row r="793" spans="2:2" x14ac:dyDescent="0.2">
      <c r="B793" s="297" t="s">
        <v>67</v>
      </c>
    </row>
    <row r="794" spans="2:2" x14ac:dyDescent="0.2">
      <c r="B794" s="297" t="s">
        <v>70</v>
      </c>
    </row>
    <row r="795" spans="2:2" x14ac:dyDescent="0.2">
      <c r="B795" s="297" t="s">
        <v>68</v>
      </c>
    </row>
    <row r="796" spans="2:2" x14ac:dyDescent="0.2">
      <c r="B796" s="297" t="s">
        <v>69</v>
      </c>
    </row>
    <row r="797" spans="2:2" x14ac:dyDescent="0.2">
      <c r="B797" s="297" t="s">
        <v>71</v>
      </c>
    </row>
    <row r="798" spans="2:2" x14ac:dyDescent="0.2">
      <c r="B798" s="297" t="s">
        <v>72</v>
      </c>
    </row>
    <row r="799" spans="2:2" x14ac:dyDescent="0.2">
      <c r="B799" s="297" t="s">
        <v>73</v>
      </c>
    </row>
    <row r="800" spans="2:2" x14ac:dyDescent="0.2">
      <c r="B800" s="297" t="s">
        <v>74</v>
      </c>
    </row>
    <row r="801" spans="2:2" x14ac:dyDescent="0.2">
      <c r="B801" s="297" t="s">
        <v>75</v>
      </c>
    </row>
    <row r="802" spans="2:2" x14ac:dyDescent="0.2">
      <c r="B802" s="297" t="s">
        <v>86</v>
      </c>
    </row>
    <row r="803" spans="2:2" x14ac:dyDescent="0.2">
      <c r="B803" s="297" t="s">
        <v>76</v>
      </c>
    </row>
    <row r="804" spans="2:2" x14ac:dyDescent="0.2">
      <c r="B804" s="297" t="s">
        <v>77</v>
      </c>
    </row>
    <row r="805" spans="2:2" x14ac:dyDescent="0.2">
      <c r="B805" s="297" t="s">
        <v>78</v>
      </c>
    </row>
    <row r="806" spans="2:2" x14ac:dyDescent="0.2">
      <c r="B806" s="297" t="s">
        <v>79</v>
      </c>
    </row>
    <row r="807" spans="2:2" x14ac:dyDescent="0.2">
      <c r="B807" s="297" t="s">
        <v>80</v>
      </c>
    </row>
    <row r="808" spans="2:2" x14ac:dyDescent="0.2">
      <c r="B808" s="297" t="s">
        <v>81</v>
      </c>
    </row>
    <row r="809" spans="2:2" x14ac:dyDescent="0.2">
      <c r="B809" s="297" t="s">
        <v>82</v>
      </c>
    </row>
    <row r="810" spans="2:2" x14ac:dyDescent="0.2">
      <c r="B810" s="297" t="s">
        <v>83</v>
      </c>
    </row>
    <row r="811" spans="2:2" x14ac:dyDescent="0.2">
      <c r="B811" s="297" t="s">
        <v>84</v>
      </c>
    </row>
    <row r="812" spans="2:2" x14ac:dyDescent="0.2">
      <c r="B812" s="297" t="s">
        <v>85</v>
      </c>
    </row>
    <row r="813" spans="2:2" x14ac:dyDescent="0.2">
      <c r="B813" s="298" t="s">
        <v>181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4" name="Drop Down 13">
              <controlPr defaultSize="0" autoLine="0" autoPict="0" macro="[0]!DropDwn">
                <anchor moveWithCells="1">
                  <from>
                    <xdr:col>2</xdr:col>
                    <xdr:colOff>0</xdr:colOff>
                    <xdr:row>15</xdr:row>
                    <xdr:rowOff>152400</xdr:rowOff>
                  </from>
                  <to>
                    <xdr:col>3</xdr:col>
                    <xdr:colOff>1019175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5" name="Button 46">
              <controlPr defaultSize="0" print="0" autoFill="0" autoPict="0" macro="[0]!Home">
                <anchor moveWithCells="1">
                  <from>
                    <xdr:col>2</xdr:col>
                    <xdr:colOff>9525</xdr:colOff>
                    <xdr:row>0</xdr:row>
                    <xdr:rowOff>19050</xdr:rowOff>
                  </from>
                  <to>
                    <xdr:col>2</xdr:col>
                    <xdr:colOff>590550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6" name="Button 4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43</xdr:row>
                    <xdr:rowOff>95250</xdr:rowOff>
                  </from>
                  <to>
                    <xdr:col>1</xdr:col>
                    <xdr:colOff>142875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" name="Button 50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66</xdr:row>
                    <xdr:rowOff>85725</xdr:rowOff>
                  </from>
                  <to>
                    <xdr:col>1</xdr:col>
                    <xdr:colOff>161925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" name="Button 51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89</xdr:row>
                    <xdr:rowOff>85725</xdr:rowOff>
                  </from>
                  <to>
                    <xdr:col>1</xdr:col>
                    <xdr:colOff>161925</xdr:colOff>
                    <xdr:row>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" name="Button 52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112</xdr:row>
                    <xdr:rowOff>85725</xdr:rowOff>
                  </from>
                  <to>
                    <xdr:col>1</xdr:col>
                    <xdr:colOff>161925</xdr:colOff>
                    <xdr:row>113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" name="Button 53">
              <controlPr defaultSize="0" print="0" autoFill="0" autoPict="0" macro="[0]!Home">
                <anchor moveWithCells="1">
                  <from>
                    <xdr:col>0</xdr:col>
                    <xdr:colOff>161925</xdr:colOff>
                    <xdr:row>135</xdr:row>
                    <xdr:rowOff>95250</xdr:rowOff>
                  </from>
                  <to>
                    <xdr:col>1</xdr:col>
                    <xdr:colOff>133350</xdr:colOff>
                    <xdr:row>136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1" name="Button 54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158</xdr:row>
                    <xdr:rowOff>76200</xdr:rowOff>
                  </from>
                  <to>
                    <xdr:col>1</xdr:col>
                    <xdr:colOff>123825</xdr:colOff>
                    <xdr:row>159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2" name="Button 5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181</xdr:row>
                    <xdr:rowOff>76200</xdr:rowOff>
                  </from>
                  <to>
                    <xdr:col>1</xdr:col>
                    <xdr:colOff>123825</xdr:colOff>
                    <xdr:row>182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3" name="Button 5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204</xdr:row>
                    <xdr:rowOff>76200</xdr:rowOff>
                  </from>
                  <to>
                    <xdr:col>1</xdr:col>
                    <xdr:colOff>123825</xdr:colOff>
                    <xdr:row>205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4" name="Button 5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227</xdr:row>
                    <xdr:rowOff>76200</xdr:rowOff>
                  </from>
                  <to>
                    <xdr:col>1</xdr:col>
                    <xdr:colOff>123825</xdr:colOff>
                    <xdr:row>228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5" name="Button 5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249</xdr:row>
                    <xdr:rowOff>95250</xdr:rowOff>
                  </from>
                  <to>
                    <xdr:col>1</xdr:col>
                    <xdr:colOff>142875</xdr:colOff>
                    <xdr:row>250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6" name="Button 5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273</xdr:row>
                    <xdr:rowOff>95250</xdr:rowOff>
                  </from>
                  <to>
                    <xdr:col>1</xdr:col>
                    <xdr:colOff>142875</xdr:colOff>
                    <xdr:row>274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7" name="Button 6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296</xdr:row>
                    <xdr:rowOff>95250</xdr:rowOff>
                  </from>
                  <to>
                    <xdr:col>1</xdr:col>
                    <xdr:colOff>142875</xdr:colOff>
                    <xdr:row>297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8" name="Button 61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319</xdr:row>
                    <xdr:rowOff>95250</xdr:rowOff>
                  </from>
                  <to>
                    <xdr:col>1</xdr:col>
                    <xdr:colOff>142875</xdr:colOff>
                    <xdr:row>320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9" name="Button 62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342</xdr:row>
                    <xdr:rowOff>95250</xdr:rowOff>
                  </from>
                  <to>
                    <xdr:col>1</xdr:col>
                    <xdr:colOff>142875</xdr:colOff>
                    <xdr:row>343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0" name="Button 63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365</xdr:row>
                    <xdr:rowOff>95250</xdr:rowOff>
                  </from>
                  <to>
                    <xdr:col>1</xdr:col>
                    <xdr:colOff>142875</xdr:colOff>
                    <xdr:row>366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Button 64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388</xdr:row>
                    <xdr:rowOff>95250</xdr:rowOff>
                  </from>
                  <to>
                    <xdr:col>1</xdr:col>
                    <xdr:colOff>142875</xdr:colOff>
                    <xdr:row>389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Button 65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411</xdr:row>
                    <xdr:rowOff>95250</xdr:rowOff>
                  </from>
                  <to>
                    <xdr:col>1</xdr:col>
                    <xdr:colOff>142875</xdr:colOff>
                    <xdr:row>412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3" name="Button 66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434</xdr:row>
                    <xdr:rowOff>95250</xdr:rowOff>
                  </from>
                  <to>
                    <xdr:col>1</xdr:col>
                    <xdr:colOff>142875</xdr:colOff>
                    <xdr:row>435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4" name="Button 67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457</xdr:row>
                    <xdr:rowOff>95250</xdr:rowOff>
                  </from>
                  <to>
                    <xdr:col>1</xdr:col>
                    <xdr:colOff>142875</xdr:colOff>
                    <xdr:row>458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25" name="Button 6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480</xdr:row>
                    <xdr:rowOff>95250</xdr:rowOff>
                  </from>
                  <to>
                    <xdr:col>1</xdr:col>
                    <xdr:colOff>142875</xdr:colOff>
                    <xdr:row>481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26" name="Button 6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503</xdr:row>
                    <xdr:rowOff>95250</xdr:rowOff>
                  </from>
                  <to>
                    <xdr:col>1</xdr:col>
                    <xdr:colOff>142875</xdr:colOff>
                    <xdr:row>504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27" name="Button 7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526</xdr:row>
                    <xdr:rowOff>95250</xdr:rowOff>
                  </from>
                  <to>
                    <xdr:col>1</xdr:col>
                    <xdr:colOff>142875</xdr:colOff>
                    <xdr:row>527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28" name="Button 71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549</xdr:row>
                    <xdr:rowOff>95250</xdr:rowOff>
                  </from>
                  <to>
                    <xdr:col>1</xdr:col>
                    <xdr:colOff>142875</xdr:colOff>
                    <xdr:row>550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29" name="Button 72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572</xdr:row>
                    <xdr:rowOff>95250</xdr:rowOff>
                  </from>
                  <to>
                    <xdr:col>1</xdr:col>
                    <xdr:colOff>142875</xdr:colOff>
                    <xdr:row>573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0" name="Button 73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595</xdr:row>
                    <xdr:rowOff>95250</xdr:rowOff>
                  </from>
                  <to>
                    <xdr:col>1</xdr:col>
                    <xdr:colOff>142875</xdr:colOff>
                    <xdr:row>596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1" name="Button 74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618</xdr:row>
                    <xdr:rowOff>95250</xdr:rowOff>
                  </from>
                  <to>
                    <xdr:col>1</xdr:col>
                    <xdr:colOff>142875</xdr:colOff>
                    <xdr:row>619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2" name="Button 75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641</xdr:row>
                    <xdr:rowOff>95250</xdr:rowOff>
                  </from>
                  <to>
                    <xdr:col>1</xdr:col>
                    <xdr:colOff>142875</xdr:colOff>
                    <xdr:row>642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33" name="Button 76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664</xdr:row>
                    <xdr:rowOff>95250</xdr:rowOff>
                  </from>
                  <to>
                    <xdr:col>1</xdr:col>
                    <xdr:colOff>142875</xdr:colOff>
                    <xdr:row>665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34" name="Button 77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687</xdr:row>
                    <xdr:rowOff>95250</xdr:rowOff>
                  </from>
                  <to>
                    <xdr:col>1</xdr:col>
                    <xdr:colOff>142875</xdr:colOff>
                    <xdr:row>688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35" name="Button 7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710</xdr:row>
                    <xdr:rowOff>95250</xdr:rowOff>
                  </from>
                  <to>
                    <xdr:col>1</xdr:col>
                    <xdr:colOff>142875</xdr:colOff>
                    <xdr:row>711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36" name="Button 7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733</xdr:row>
                    <xdr:rowOff>95250</xdr:rowOff>
                  </from>
                  <to>
                    <xdr:col>1</xdr:col>
                    <xdr:colOff>142875</xdr:colOff>
                    <xdr:row>734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7" name="Button 8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756</xdr:row>
                    <xdr:rowOff>95250</xdr:rowOff>
                  </from>
                  <to>
                    <xdr:col>1</xdr:col>
                    <xdr:colOff>142875</xdr:colOff>
                    <xdr:row>757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1"/>
  <sheetViews>
    <sheetView workbookViewId="0"/>
  </sheetViews>
  <sheetFormatPr defaultRowHeight="12.75" x14ac:dyDescent="0.2"/>
  <cols>
    <col min="11" max="11" width="32.140625" bestFit="1" customWidth="1"/>
  </cols>
  <sheetData>
    <row r="1" spans="1:12" x14ac:dyDescent="0.2">
      <c r="A1" s="138" t="s">
        <v>130</v>
      </c>
    </row>
    <row r="2" spans="1:12" x14ac:dyDescent="0.2">
      <c r="A2" s="138"/>
    </row>
    <row r="3" spans="1:12" x14ac:dyDescent="0.2">
      <c r="A3" s="138"/>
    </row>
    <row r="4" spans="1:12" x14ac:dyDescent="0.2">
      <c r="A4" s="138"/>
    </row>
    <row r="5" spans="1:12" x14ac:dyDescent="0.2">
      <c r="A5" s="138"/>
    </row>
    <row r="6" spans="1:12" x14ac:dyDescent="0.2">
      <c r="A6" s="13"/>
    </row>
    <row r="7" spans="1:12" ht="13.5" thickBot="1" x14ac:dyDescent="0.25">
      <c r="B7" s="13" t="s">
        <v>131</v>
      </c>
    </row>
    <row r="8" spans="1:12" x14ac:dyDescent="0.2">
      <c r="B8" s="36"/>
      <c r="C8" s="37"/>
      <c r="D8" s="38" t="s">
        <v>23</v>
      </c>
      <c r="E8" s="37"/>
      <c r="F8" s="37"/>
      <c r="G8" s="41"/>
      <c r="H8" s="29"/>
      <c r="I8" s="30"/>
      <c r="J8" s="43"/>
      <c r="K8" s="22"/>
      <c r="L8" s="22"/>
    </row>
    <row r="9" spans="1:12" x14ac:dyDescent="0.2">
      <c r="B9" s="39" t="s">
        <v>22</v>
      </c>
      <c r="C9" s="39" t="s">
        <v>23</v>
      </c>
      <c r="D9" s="39" t="s">
        <v>104</v>
      </c>
      <c r="E9" s="39" t="s">
        <v>103</v>
      </c>
      <c r="F9" s="39" t="s">
        <v>102</v>
      </c>
      <c r="G9" s="31"/>
      <c r="H9" s="32" t="s">
        <v>125</v>
      </c>
      <c r="I9" s="33"/>
      <c r="J9" s="43"/>
      <c r="K9" s="22"/>
      <c r="L9" s="22"/>
    </row>
    <row r="10" spans="1:12" ht="13.5" thickBot="1" x14ac:dyDescent="0.25">
      <c r="B10" s="40" t="s">
        <v>47</v>
      </c>
      <c r="C10" s="40" t="s">
        <v>47</v>
      </c>
      <c r="D10" s="40" t="s">
        <v>105</v>
      </c>
      <c r="E10" s="40" t="s">
        <v>47</v>
      </c>
      <c r="F10" s="40" t="s">
        <v>47</v>
      </c>
      <c r="G10" s="34"/>
      <c r="H10" s="35" t="s">
        <v>103</v>
      </c>
      <c r="I10" s="42" t="s">
        <v>102</v>
      </c>
      <c r="J10" s="31"/>
      <c r="K10" s="44" t="s">
        <v>112</v>
      </c>
      <c r="L10" s="22"/>
    </row>
    <row r="11" spans="1:12" x14ac:dyDescent="0.2">
      <c r="A11" s="37"/>
      <c r="B11" s="46"/>
      <c r="C11" s="47"/>
      <c r="D11" s="47"/>
      <c r="E11" s="47"/>
      <c r="F11" s="48"/>
      <c r="G11" s="46"/>
      <c r="H11" s="47"/>
      <c r="I11" s="48"/>
    </row>
    <row r="12" spans="1:12" x14ac:dyDescent="0.2">
      <c r="A12" s="39">
        <v>2000</v>
      </c>
      <c r="B12" s="74">
        <v>181.15599510176347</v>
      </c>
      <c r="C12" s="49">
        <v>0</v>
      </c>
      <c r="D12" s="50"/>
      <c r="E12" s="51">
        <v>2.8842100158337058</v>
      </c>
      <c r="F12" s="52">
        <v>3.1226697025634609</v>
      </c>
      <c r="G12" s="58" t="s">
        <v>113</v>
      </c>
      <c r="H12" s="234">
        <v>1.1279999999999999</v>
      </c>
      <c r="I12" s="59">
        <v>1.08</v>
      </c>
      <c r="K12" s="292"/>
      <c r="L12" s="448"/>
    </row>
    <row r="13" spans="1:12" x14ac:dyDescent="0.2">
      <c r="A13" s="39">
        <v>2001</v>
      </c>
      <c r="B13" s="74">
        <v>198.92520866387423</v>
      </c>
      <c r="C13" s="49">
        <v>0</v>
      </c>
      <c r="D13" s="50"/>
      <c r="E13" s="51">
        <v>4.0471897895104085</v>
      </c>
      <c r="F13" s="52">
        <v>3.9743902439024388</v>
      </c>
      <c r="G13" s="58" t="s">
        <v>114</v>
      </c>
      <c r="H13" s="234">
        <v>1.0109999999999999</v>
      </c>
      <c r="I13" s="59">
        <v>1.07</v>
      </c>
      <c r="K13" s="241" t="s">
        <v>48</v>
      </c>
      <c r="L13" s="243">
        <v>0.02</v>
      </c>
    </row>
    <row r="14" spans="1:12" x14ac:dyDescent="0.2">
      <c r="A14" s="39">
        <v>2002</v>
      </c>
      <c r="B14" s="74">
        <v>218.80258102590736</v>
      </c>
      <c r="C14" s="49">
        <v>0</v>
      </c>
      <c r="D14" s="50"/>
      <c r="E14" s="51">
        <v>3.6885616733889885</v>
      </c>
      <c r="F14" s="52">
        <v>3.6161670702179189</v>
      </c>
      <c r="G14" s="58" t="s">
        <v>115</v>
      </c>
      <c r="H14" s="234">
        <v>0.99399999999999999</v>
      </c>
      <c r="I14" s="59">
        <v>1.03</v>
      </c>
      <c r="K14" s="242" t="s">
        <v>136</v>
      </c>
      <c r="L14" s="244">
        <v>0.02</v>
      </c>
    </row>
    <row r="15" spans="1:12" x14ac:dyDescent="0.2">
      <c r="A15" s="39">
        <v>2003</v>
      </c>
      <c r="B15" s="74">
        <v>240.4080539178627</v>
      </c>
      <c r="C15" s="49">
        <v>4274.5039754649742</v>
      </c>
      <c r="D15" s="53">
        <v>1</v>
      </c>
      <c r="E15" s="51">
        <v>3.5369286669638882</v>
      </c>
      <c r="F15" s="52">
        <v>3.5262926829268286</v>
      </c>
      <c r="G15" s="58" t="s">
        <v>116</v>
      </c>
      <c r="H15" s="234">
        <v>0.94499999999999995</v>
      </c>
      <c r="I15" s="59">
        <v>0.99</v>
      </c>
      <c r="K15" s="242" t="s">
        <v>53</v>
      </c>
      <c r="L15" s="245">
        <v>0.4</v>
      </c>
    </row>
    <row r="16" spans="1:12" x14ac:dyDescent="0.2">
      <c r="A16" s="39">
        <v>2004</v>
      </c>
      <c r="B16" s="74">
        <v>264.14659569665338</v>
      </c>
      <c r="C16" s="49">
        <v>3642.145326358393</v>
      </c>
      <c r="D16" s="53">
        <v>1</v>
      </c>
      <c r="E16" s="51">
        <v>3.559125311854018</v>
      </c>
      <c r="F16" s="52">
        <v>3.5594905660377365</v>
      </c>
      <c r="G16" s="58" t="s">
        <v>117</v>
      </c>
      <c r="H16" s="234">
        <v>0.995</v>
      </c>
      <c r="I16" s="59">
        <v>0.95</v>
      </c>
      <c r="K16" s="242" t="s">
        <v>110</v>
      </c>
      <c r="L16" s="245">
        <v>0.1</v>
      </c>
    </row>
    <row r="17" spans="1:13" x14ac:dyDescent="0.2">
      <c r="A17" s="39">
        <v>2005</v>
      </c>
      <c r="B17" s="74">
        <v>290.22096928831274</v>
      </c>
      <c r="C17" s="49">
        <v>3781.0444397566248</v>
      </c>
      <c r="D17" s="53">
        <v>1</v>
      </c>
      <c r="E17" s="51">
        <v>3.5939275639493191</v>
      </c>
      <c r="F17" s="52">
        <v>3.5950426395939092</v>
      </c>
      <c r="G17" s="58" t="s">
        <v>118</v>
      </c>
      <c r="H17" s="234">
        <v>0.94799999999999995</v>
      </c>
      <c r="I17" s="59">
        <v>0.95</v>
      </c>
      <c r="K17" s="242" t="s">
        <v>190</v>
      </c>
      <c r="L17" s="344">
        <v>0</v>
      </c>
      <c r="M17" s="240"/>
    </row>
    <row r="18" spans="1:13" x14ac:dyDescent="0.2">
      <c r="A18" s="39">
        <v>2006</v>
      </c>
      <c r="B18" s="74">
        <v>319.92473742153555</v>
      </c>
      <c r="C18" s="49">
        <v>3926.9475616572372</v>
      </c>
      <c r="D18" s="53">
        <v>1</v>
      </c>
      <c r="E18" s="51">
        <v>3.619467015511121</v>
      </c>
      <c r="F18" s="52">
        <v>3.6262647058823534</v>
      </c>
      <c r="G18" s="58" t="s">
        <v>119</v>
      </c>
      <c r="H18" s="234">
        <v>0.94499999999999995</v>
      </c>
      <c r="I18" s="59">
        <v>0.95</v>
      </c>
      <c r="K18" s="242" t="s">
        <v>201</v>
      </c>
      <c r="L18" s="246">
        <v>15</v>
      </c>
    </row>
    <row r="19" spans="1:13" x14ac:dyDescent="0.2">
      <c r="A19" s="39">
        <v>2007</v>
      </c>
      <c r="B19" s="74">
        <v>354.61101457823628</v>
      </c>
      <c r="C19" s="49">
        <v>2147.6543804486269</v>
      </c>
      <c r="D19" s="53">
        <v>2</v>
      </c>
      <c r="E19" s="51">
        <v>3.6768758036335591</v>
      </c>
      <c r="F19" s="52">
        <v>3.6801320754716986</v>
      </c>
      <c r="G19" s="58" t="s">
        <v>120</v>
      </c>
      <c r="H19" s="234">
        <v>0.89600000000000002</v>
      </c>
      <c r="I19" s="59">
        <v>0.95</v>
      </c>
      <c r="K19" s="242" t="s">
        <v>204</v>
      </c>
      <c r="L19" s="244">
        <v>8.7499999999999994E-2</v>
      </c>
    </row>
    <row r="20" spans="1:13" x14ac:dyDescent="0.2">
      <c r="A20" s="39">
        <v>2008</v>
      </c>
      <c r="B20" s="74">
        <v>391.29851871019378</v>
      </c>
      <c r="C20" s="49">
        <v>1807.3421300276059</v>
      </c>
      <c r="D20" s="53">
        <v>2</v>
      </c>
      <c r="E20" s="51">
        <v>3.4106012557319048</v>
      </c>
      <c r="F20" s="52">
        <v>3.3181785294875827</v>
      </c>
      <c r="G20" s="58" t="s">
        <v>121</v>
      </c>
      <c r="H20" s="234">
        <v>0.89300000000000002</v>
      </c>
      <c r="I20" s="59">
        <v>0.95</v>
      </c>
      <c r="K20" s="242" t="s">
        <v>208</v>
      </c>
      <c r="L20" s="246">
        <v>20</v>
      </c>
    </row>
    <row r="21" spans="1:13" x14ac:dyDescent="0.2">
      <c r="A21" s="39">
        <v>2009</v>
      </c>
      <c r="B21" s="74">
        <v>429.77958121829101</v>
      </c>
      <c r="C21" s="49">
        <v>1985.5626792411545</v>
      </c>
      <c r="D21" s="53">
        <v>2</v>
      </c>
      <c r="E21" s="51">
        <v>3.5357354576923781</v>
      </c>
      <c r="F21" s="52">
        <v>3.4390943025177481</v>
      </c>
      <c r="G21" s="58" t="s">
        <v>122</v>
      </c>
      <c r="H21" s="234">
        <v>0.98899999999999999</v>
      </c>
      <c r="I21" s="59">
        <v>0.95</v>
      </c>
      <c r="K21" s="242" t="s">
        <v>212</v>
      </c>
      <c r="L21" s="246">
        <v>20</v>
      </c>
    </row>
    <row r="22" spans="1:13" x14ac:dyDescent="0.2">
      <c r="A22" s="39">
        <v>2010</v>
      </c>
      <c r="B22" s="74">
        <v>477.98097313444265</v>
      </c>
      <c r="C22" s="49">
        <v>1889.3389342835719</v>
      </c>
      <c r="D22" s="53">
        <v>2</v>
      </c>
      <c r="E22" s="51">
        <v>3.6870553815792508</v>
      </c>
      <c r="F22" s="52">
        <v>3.5800881416773298</v>
      </c>
      <c r="G22" s="58" t="s">
        <v>123</v>
      </c>
      <c r="H22" s="234">
        <v>1.083</v>
      </c>
      <c r="I22" s="59">
        <v>1.03</v>
      </c>
    </row>
    <row r="23" spans="1:13" ht="13.5" thickBot="1" x14ac:dyDescent="0.25">
      <c r="A23" s="39">
        <v>2011</v>
      </c>
      <c r="B23" s="74">
        <v>526.53218862643894</v>
      </c>
      <c r="C23" s="49">
        <v>1943.451158513079</v>
      </c>
      <c r="D23" s="53">
        <v>2</v>
      </c>
      <c r="E23" s="51">
        <v>3.7634084024757275</v>
      </c>
      <c r="F23" s="52">
        <v>3.6559109080648438</v>
      </c>
      <c r="G23" s="60" t="s">
        <v>124</v>
      </c>
      <c r="H23" s="235">
        <v>1.1719999999999999</v>
      </c>
      <c r="I23" s="61">
        <v>1.08</v>
      </c>
      <c r="K23" s="28"/>
    </row>
    <row r="24" spans="1:13" x14ac:dyDescent="0.2">
      <c r="A24" s="39">
        <v>2012</v>
      </c>
      <c r="B24" s="74">
        <v>583.38187908572775</v>
      </c>
      <c r="C24" s="49">
        <v>1993.8465416709116</v>
      </c>
      <c r="D24" s="53">
        <v>2</v>
      </c>
      <c r="E24" s="51">
        <v>3.7546298747932632</v>
      </c>
      <c r="F24" s="52">
        <v>3.6495369143791132</v>
      </c>
      <c r="G24" s="27"/>
      <c r="H24" s="27"/>
      <c r="K24" s="13"/>
    </row>
    <row r="25" spans="1:13" x14ac:dyDescent="0.2">
      <c r="A25" s="39">
        <v>2013</v>
      </c>
      <c r="B25" s="74">
        <v>654.12455073352146</v>
      </c>
      <c r="C25" s="49">
        <v>1780.92328465844</v>
      </c>
      <c r="D25" s="53">
        <v>2</v>
      </c>
      <c r="E25" s="51">
        <v>3.9191966397975428</v>
      </c>
      <c r="F25" s="52">
        <v>3.8177608140022636</v>
      </c>
      <c r="G25" s="27"/>
      <c r="H25" s="468"/>
    </row>
    <row r="26" spans="1:13" x14ac:dyDescent="0.2">
      <c r="A26" s="39">
        <v>2014</v>
      </c>
      <c r="B26" s="74">
        <v>728.14269915212174</v>
      </c>
      <c r="C26" s="49">
        <v>1844.5996241870525</v>
      </c>
      <c r="D26" s="53">
        <v>2</v>
      </c>
      <c r="E26" s="51">
        <v>3.941551233649534</v>
      </c>
      <c r="F26" s="52">
        <v>3.8120988594681284</v>
      </c>
      <c r="G26" s="27"/>
      <c r="H26" s="468"/>
      <c r="I26" s="467"/>
      <c r="K26" s="28"/>
    </row>
    <row r="27" spans="1:13" x14ac:dyDescent="0.2">
      <c r="A27" s="39">
        <v>2015</v>
      </c>
      <c r="B27" s="74">
        <v>806.55967593313017</v>
      </c>
      <c r="C27" s="49">
        <v>1882.7189785852679</v>
      </c>
      <c r="D27" s="53">
        <v>2</v>
      </c>
      <c r="E27" s="51">
        <v>4.3057491191238428</v>
      </c>
      <c r="F27" s="52">
        <v>4.2158844376307609</v>
      </c>
      <c r="G27" s="27"/>
      <c r="H27" s="469"/>
      <c r="I27" s="467"/>
      <c r="K27" s="28"/>
    </row>
    <row r="28" spans="1:13" x14ac:dyDescent="0.2">
      <c r="A28" s="39">
        <v>2016</v>
      </c>
      <c r="B28" s="74">
        <v>885.60153229928596</v>
      </c>
      <c r="C28" s="49">
        <v>1999.3152787201918</v>
      </c>
      <c r="D28" s="53">
        <v>2</v>
      </c>
      <c r="E28" s="51">
        <v>4.499597819240261</v>
      </c>
      <c r="F28" s="52">
        <v>4.3845868035630469</v>
      </c>
      <c r="G28" s="27"/>
      <c r="H28" s="27"/>
    </row>
    <row r="29" spans="1:13" x14ac:dyDescent="0.2">
      <c r="A29" s="39">
        <v>2017</v>
      </c>
      <c r="B29" s="74">
        <v>870.0603303281033</v>
      </c>
      <c r="C29" s="49">
        <v>1879.5637242099006</v>
      </c>
      <c r="D29" s="53">
        <v>2</v>
      </c>
      <c r="E29" s="51">
        <v>4.6478320413351248</v>
      </c>
      <c r="F29" s="52">
        <v>4.5212135962612745</v>
      </c>
      <c r="G29" s="27"/>
      <c r="H29" s="27"/>
    </row>
    <row r="30" spans="1:13" x14ac:dyDescent="0.2">
      <c r="A30" s="39">
        <v>2018</v>
      </c>
      <c r="B30" s="74">
        <v>744.38367199801439</v>
      </c>
      <c r="C30" s="49">
        <v>2070.1083333808137</v>
      </c>
      <c r="D30" s="53">
        <v>2</v>
      </c>
      <c r="E30" s="51">
        <v>4.9090198970072167</v>
      </c>
      <c r="F30" s="52">
        <v>4.7944047621399228</v>
      </c>
      <c r="G30" s="27"/>
      <c r="H30" s="27"/>
    </row>
    <row r="31" spans="1:13" ht="13.5" thickBot="1" x14ac:dyDescent="0.25">
      <c r="A31" s="40">
        <v>2019</v>
      </c>
      <c r="B31" s="75">
        <v>771.78853165204816</v>
      </c>
      <c r="C31" s="54">
        <v>1127.0716297512272</v>
      </c>
      <c r="D31" s="55">
        <v>2</v>
      </c>
      <c r="E31" s="56">
        <v>4.9538795610683142</v>
      </c>
      <c r="F31" s="57">
        <v>4.8619012033718967</v>
      </c>
      <c r="G31" s="27"/>
      <c r="H31" s="27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6"/>
  <sheetViews>
    <sheetView workbookViewId="0"/>
  </sheetViews>
  <sheetFormatPr defaultRowHeight="12.75" x14ac:dyDescent="0.2"/>
  <cols>
    <col min="1" max="1" width="13.7109375" bestFit="1" customWidth="1"/>
    <col min="2" max="2" width="18.42578125" style="9" bestFit="1" customWidth="1"/>
    <col min="4" max="4" width="15" bestFit="1" customWidth="1"/>
  </cols>
  <sheetData>
    <row r="1" spans="1:11" ht="13.5" thickBot="1" x14ac:dyDescent="0.25">
      <c r="A1" s="13" t="s">
        <v>160</v>
      </c>
      <c r="B1" s="9" t="str">
        <f>IS!B6</f>
        <v>VMC</v>
      </c>
    </row>
    <row r="2" spans="1:11" x14ac:dyDescent="0.2">
      <c r="B2" s="479" t="s">
        <v>168</v>
      </c>
    </row>
    <row r="3" spans="1:11" ht="13.5" thickBot="1" x14ac:dyDescent="0.25">
      <c r="B3" s="480"/>
      <c r="D3" s="200" t="s">
        <v>179</v>
      </c>
      <c r="E3" s="199"/>
      <c r="F3" s="199"/>
      <c r="G3" s="200">
        <v>2001</v>
      </c>
      <c r="H3" s="200">
        <v>2002</v>
      </c>
      <c r="I3" s="200">
        <v>2003</v>
      </c>
      <c r="J3" s="200">
        <v>2004</v>
      </c>
      <c r="K3" s="200">
        <v>2005</v>
      </c>
    </row>
    <row r="4" spans="1:11" x14ac:dyDescent="0.2">
      <c r="D4" s="20" t="s">
        <v>177</v>
      </c>
      <c r="E4" s="20"/>
      <c r="F4" s="20"/>
      <c r="G4" s="229">
        <v>0.72435053917041736</v>
      </c>
      <c r="H4" s="229">
        <v>0.73883754995382578</v>
      </c>
      <c r="I4" s="229">
        <v>0.75361430095290238</v>
      </c>
      <c r="J4" s="229">
        <v>0.76868658697196035</v>
      </c>
      <c r="K4" s="229">
        <v>0.78406031871139958</v>
      </c>
    </row>
    <row r="5" spans="1:11" ht="13.5" thickBot="1" x14ac:dyDescent="0.25">
      <c r="A5" s="178" t="s">
        <v>187</v>
      </c>
      <c r="B5" s="179">
        <v>39</v>
      </c>
      <c r="D5" s="230" t="s">
        <v>178</v>
      </c>
      <c r="E5" s="230"/>
      <c r="F5" s="230"/>
      <c r="G5" s="231">
        <f>1-G4</f>
        <v>0.27564946082958264</v>
      </c>
      <c r="H5" s="231">
        <f>1-H4</f>
        <v>0.26116245004617422</v>
      </c>
      <c r="I5" s="231">
        <f>1-I4</f>
        <v>0.24638569904709762</v>
      </c>
      <c r="J5" s="231">
        <f>1-J4</f>
        <v>0.23131341302803965</v>
      </c>
      <c r="K5" s="231">
        <f>1-K4</f>
        <v>0.21593968128860042</v>
      </c>
    </row>
    <row r="6" spans="1:11" ht="13.5" thickTop="1" x14ac:dyDescent="0.2">
      <c r="D6" s="13" t="s">
        <v>135</v>
      </c>
      <c r="G6" s="198">
        <f>G4+G5</f>
        <v>1</v>
      </c>
      <c r="H6" s="198">
        <f>H4+H5</f>
        <v>1</v>
      </c>
      <c r="I6" s="198">
        <f>I4+I5</f>
        <v>1</v>
      </c>
      <c r="J6" s="198">
        <f>J4+J5</f>
        <v>1</v>
      </c>
      <c r="K6" s="198">
        <f>K4+K5</f>
        <v>1</v>
      </c>
    </row>
  </sheetData>
  <mergeCells count="1">
    <mergeCell ref="B2:B3"/>
  </mergeCell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41"/>
  <sheetViews>
    <sheetView workbookViewId="0"/>
  </sheetViews>
  <sheetFormatPr defaultRowHeight="12.75" x14ac:dyDescent="0.2"/>
  <cols>
    <col min="2" max="2" width="15.42578125" bestFit="1" customWidth="1"/>
    <col min="3" max="4" width="6.7109375" bestFit="1" customWidth="1"/>
    <col min="22" max="22" width="6" bestFit="1" customWidth="1"/>
  </cols>
  <sheetData>
    <row r="1" spans="1:22" x14ac:dyDescent="0.2">
      <c r="A1" s="138"/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77"/>
    </row>
    <row r="7" spans="1:22" x14ac:dyDescent="0.2">
      <c r="C7" s="133">
        <v>2000</v>
      </c>
      <c r="D7" s="135">
        <v>2001</v>
      </c>
      <c r="E7" s="135">
        <v>2002</v>
      </c>
      <c r="F7" s="135">
        <v>2003</v>
      </c>
      <c r="G7" s="135">
        <v>2004</v>
      </c>
      <c r="H7" s="135">
        <v>2005</v>
      </c>
      <c r="I7" s="135">
        <v>2006</v>
      </c>
      <c r="J7" s="135">
        <v>2007</v>
      </c>
      <c r="K7" s="135">
        <v>2008</v>
      </c>
      <c r="L7" s="135">
        <v>2009</v>
      </c>
      <c r="M7" s="135">
        <v>2010</v>
      </c>
      <c r="N7" s="135">
        <v>2011</v>
      </c>
      <c r="O7" s="135">
        <v>2012</v>
      </c>
      <c r="P7" s="135">
        <v>2013</v>
      </c>
      <c r="Q7" s="135">
        <v>2014</v>
      </c>
      <c r="R7" s="135">
        <v>2015</v>
      </c>
      <c r="S7" s="135">
        <v>2016</v>
      </c>
      <c r="T7" s="135">
        <v>2017</v>
      </c>
      <c r="U7" s="135">
        <v>2018</v>
      </c>
      <c r="V7" s="135">
        <v>2019</v>
      </c>
    </row>
    <row r="8" spans="1:22" x14ac:dyDescent="0.2">
      <c r="C8" s="134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x14ac:dyDescent="0.2">
      <c r="A9">
        <f>Summary!A17</f>
        <v>1</v>
      </c>
      <c r="B9" s="80" t="s">
        <v>55</v>
      </c>
      <c r="C9" s="182">
        <v>1.0566</v>
      </c>
      <c r="D9" s="182">
        <v>1.0351999999999999</v>
      </c>
      <c r="E9" s="182">
        <v>1.0327999999999999</v>
      </c>
      <c r="F9" s="182">
        <v>1.0227999999999999</v>
      </c>
      <c r="G9" s="182">
        <v>1.0184</v>
      </c>
      <c r="H9" s="182">
        <v>1.0116000000000001</v>
      </c>
      <c r="I9" s="182">
        <v>1.0302</v>
      </c>
      <c r="J9" s="182">
        <v>1.0623</v>
      </c>
      <c r="K9" s="182">
        <v>1.0916999999999999</v>
      </c>
      <c r="L9" s="182">
        <v>1.125</v>
      </c>
      <c r="M9" s="182">
        <v>1.1412</v>
      </c>
      <c r="N9" s="182">
        <v>1.1604000000000001</v>
      </c>
      <c r="O9" s="182">
        <v>1.1668000000000001</v>
      </c>
      <c r="P9" s="182">
        <v>1.1665000000000001</v>
      </c>
      <c r="Q9" s="182">
        <v>1.175</v>
      </c>
      <c r="R9" s="182">
        <v>1.1800999999999999</v>
      </c>
      <c r="S9" s="182">
        <v>1.1894</v>
      </c>
      <c r="T9" s="182">
        <v>1.1993</v>
      </c>
      <c r="U9" s="182">
        <v>1.2073</v>
      </c>
      <c r="V9" s="182">
        <v>1.2136</v>
      </c>
    </row>
    <row r="10" spans="1:22" x14ac:dyDescent="0.2">
      <c r="A10">
        <f>Summary!A18</f>
        <v>2</v>
      </c>
      <c r="B10" s="233" t="s">
        <v>56</v>
      </c>
      <c r="C10" s="182">
        <v>0.92390000000000005</v>
      </c>
      <c r="D10" s="182">
        <v>0.92310000000000003</v>
      </c>
      <c r="E10" s="182">
        <v>0.91979999999999995</v>
      </c>
      <c r="F10" s="182">
        <v>0.92179999999999995</v>
      </c>
      <c r="G10" s="182">
        <v>0.93300000000000005</v>
      </c>
      <c r="H10" s="182">
        <v>0.95050000000000001</v>
      </c>
      <c r="I10" s="182">
        <v>0.98299999999999998</v>
      </c>
      <c r="J10" s="182">
        <v>1.0222</v>
      </c>
      <c r="K10" s="182">
        <v>1.0539000000000001</v>
      </c>
      <c r="L10" s="182">
        <v>1.0858000000000001</v>
      </c>
      <c r="M10" s="182">
        <v>1.1238999999999999</v>
      </c>
      <c r="N10" s="182">
        <v>1.1611</v>
      </c>
      <c r="O10" s="182">
        <v>1.1847000000000001</v>
      </c>
      <c r="P10" s="182">
        <v>1.2009000000000001</v>
      </c>
      <c r="Q10" s="182">
        <v>1.2246999999999999</v>
      </c>
      <c r="R10" s="182">
        <v>1.2484</v>
      </c>
      <c r="S10" s="182">
        <v>1.2728999999999999</v>
      </c>
      <c r="T10" s="182">
        <v>1.2977000000000001</v>
      </c>
      <c r="U10" s="182">
        <v>1.3230999999999999</v>
      </c>
      <c r="V10" s="182">
        <v>1.3488</v>
      </c>
    </row>
    <row r="11" spans="1:22" x14ac:dyDescent="0.2">
      <c r="A11">
        <f>Summary!A19</f>
        <v>3</v>
      </c>
      <c r="B11" s="180" t="s">
        <v>57</v>
      </c>
      <c r="C11" s="182">
        <v>1.1598999999999999</v>
      </c>
      <c r="D11" s="182">
        <v>1.1936</v>
      </c>
      <c r="E11" s="182">
        <v>1.2107000000000001</v>
      </c>
      <c r="F11" s="182">
        <v>1.2317</v>
      </c>
      <c r="G11" s="182">
        <v>1.2670999999999999</v>
      </c>
      <c r="H11" s="182">
        <v>1.3113999999999999</v>
      </c>
      <c r="I11" s="182">
        <v>1.3621000000000001</v>
      </c>
      <c r="J11" s="182">
        <v>1.3935</v>
      </c>
      <c r="K11" s="182">
        <v>1.4235</v>
      </c>
      <c r="L11" s="182">
        <v>1.4467000000000001</v>
      </c>
      <c r="M11" s="182">
        <v>1.4579</v>
      </c>
      <c r="N11" s="182">
        <v>1.4775</v>
      </c>
      <c r="O11" s="182">
        <v>1.5095000000000001</v>
      </c>
      <c r="P11" s="182">
        <v>1.5438000000000001</v>
      </c>
      <c r="Q11" s="182">
        <v>1.5765</v>
      </c>
      <c r="R11" s="182">
        <v>1.5986</v>
      </c>
      <c r="S11" s="182">
        <v>1.6313</v>
      </c>
      <c r="T11" s="182">
        <v>1.6685000000000001</v>
      </c>
      <c r="U11" s="182">
        <v>1.7095</v>
      </c>
      <c r="V11" s="182">
        <v>1.7517</v>
      </c>
    </row>
    <row r="12" spans="1:22" x14ac:dyDescent="0.2">
      <c r="A12">
        <f>Summary!A20</f>
        <v>4</v>
      </c>
      <c r="B12" s="180" t="s">
        <v>58</v>
      </c>
      <c r="C12" s="182">
        <v>1.1598999999999999</v>
      </c>
      <c r="D12" s="182">
        <v>1.1936</v>
      </c>
      <c r="E12" s="182">
        <v>1.2107000000000001</v>
      </c>
      <c r="F12" s="182">
        <v>1.2317</v>
      </c>
      <c r="G12" s="182">
        <v>1.2670999999999999</v>
      </c>
      <c r="H12" s="182">
        <v>1.3113999999999999</v>
      </c>
      <c r="I12" s="182">
        <v>1.3621000000000001</v>
      </c>
      <c r="J12" s="182">
        <v>1.3935</v>
      </c>
      <c r="K12" s="182">
        <v>1.4235</v>
      </c>
      <c r="L12" s="182">
        <v>1.4467000000000001</v>
      </c>
      <c r="M12" s="182">
        <v>1.4579</v>
      </c>
      <c r="N12" s="182">
        <v>1.4775</v>
      </c>
      <c r="O12" s="182">
        <v>1.5095000000000001</v>
      </c>
      <c r="P12" s="182">
        <v>1.5438000000000001</v>
      </c>
      <c r="Q12" s="182">
        <v>1.5765</v>
      </c>
      <c r="R12" s="182">
        <v>1.5986</v>
      </c>
      <c r="S12" s="182">
        <v>1.6313</v>
      </c>
      <c r="T12" s="182">
        <v>1.6685000000000001</v>
      </c>
      <c r="U12" s="182">
        <v>1.7095</v>
      </c>
      <c r="V12" s="182">
        <v>1.7517</v>
      </c>
    </row>
    <row r="13" spans="1:22" x14ac:dyDescent="0.2">
      <c r="A13">
        <f>Summary!A21</f>
        <v>5</v>
      </c>
      <c r="B13" s="180" t="s">
        <v>59</v>
      </c>
      <c r="C13" s="182">
        <v>1.1598999999999999</v>
      </c>
      <c r="D13" s="182">
        <v>1.1936</v>
      </c>
      <c r="E13" s="182">
        <v>1.2107000000000001</v>
      </c>
      <c r="F13" s="182">
        <v>1.2317</v>
      </c>
      <c r="G13" s="182">
        <v>1.2670999999999999</v>
      </c>
      <c r="H13" s="182">
        <v>1.3113999999999999</v>
      </c>
      <c r="I13" s="182">
        <v>1.3621000000000001</v>
      </c>
      <c r="J13" s="182">
        <v>1.3935</v>
      </c>
      <c r="K13" s="182">
        <v>1.4235</v>
      </c>
      <c r="L13" s="182">
        <v>1.4467000000000001</v>
      </c>
      <c r="M13" s="182">
        <v>1.4579</v>
      </c>
      <c r="N13" s="182">
        <v>1.4775</v>
      </c>
      <c r="O13" s="182">
        <v>1.5095000000000001</v>
      </c>
      <c r="P13" s="182">
        <v>1.5438000000000001</v>
      </c>
      <c r="Q13" s="182">
        <v>1.5765</v>
      </c>
      <c r="R13" s="182">
        <v>1.5986</v>
      </c>
      <c r="S13" s="182">
        <v>1.6313</v>
      </c>
      <c r="T13" s="182">
        <v>1.6685000000000001</v>
      </c>
      <c r="U13" s="182">
        <v>1.7095</v>
      </c>
      <c r="V13" s="182">
        <v>1.7517</v>
      </c>
    </row>
    <row r="14" spans="1:22" x14ac:dyDescent="0.2">
      <c r="A14">
        <f>Summary!A22</f>
        <v>6</v>
      </c>
      <c r="B14" s="180" t="s">
        <v>60</v>
      </c>
      <c r="C14" s="182">
        <v>1.1598999999999999</v>
      </c>
      <c r="D14" s="182">
        <v>1.1936</v>
      </c>
      <c r="E14" s="182">
        <v>1.2107000000000001</v>
      </c>
      <c r="F14" s="182">
        <v>1.2317</v>
      </c>
      <c r="G14" s="182">
        <v>1.2670999999999999</v>
      </c>
      <c r="H14" s="182">
        <v>1.3113999999999999</v>
      </c>
      <c r="I14" s="182">
        <v>1.3621000000000001</v>
      </c>
      <c r="J14" s="182">
        <v>1.3935</v>
      </c>
      <c r="K14" s="182">
        <v>1.4235</v>
      </c>
      <c r="L14" s="182">
        <v>1.4467000000000001</v>
      </c>
      <c r="M14" s="182">
        <v>1.4579</v>
      </c>
      <c r="N14" s="182">
        <v>1.4775</v>
      </c>
      <c r="O14" s="182">
        <v>1.5095000000000001</v>
      </c>
      <c r="P14" s="182">
        <v>1.5438000000000001</v>
      </c>
      <c r="Q14" s="182">
        <v>1.5765</v>
      </c>
      <c r="R14" s="182">
        <v>1.5986</v>
      </c>
      <c r="S14" s="182">
        <v>1.6313</v>
      </c>
      <c r="T14" s="182">
        <v>1.6685000000000001</v>
      </c>
      <c r="U14" s="182">
        <v>1.7095</v>
      </c>
      <c r="V14" s="182">
        <v>1.7517</v>
      </c>
    </row>
    <row r="15" spans="1:22" x14ac:dyDescent="0.2">
      <c r="A15">
        <f>Summary!A23</f>
        <v>7</v>
      </c>
      <c r="B15" s="181" t="s">
        <v>61</v>
      </c>
      <c r="C15" s="182">
        <v>1.1532</v>
      </c>
      <c r="D15" s="182">
        <v>1.1867000000000001</v>
      </c>
      <c r="E15" s="182">
        <v>1.2037</v>
      </c>
      <c r="F15" s="182">
        <v>1.2244999999999999</v>
      </c>
      <c r="G15" s="182">
        <v>1.2598</v>
      </c>
      <c r="H15" s="182">
        <v>1.3039000000000001</v>
      </c>
      <c r="I15" s="182">
        <v>1.3545</v>
      </c>
      <c r="J15" s="182">
        <v>1.3856999999999999</v>
      </c>
      <c r="K15" s="182">
        <v>1.4154</v>
      </c>
      <c r="L15" s="182">
        <v>1.4384999999999999</v>
      </c>
      <c r="M15" s="182">
        <v>1.4495</v>
      </c>
      <c r="N15" s="182">
        <v>1.4689000000000001</v>
      </c>
      <c r="O15" s="182">
        <v>1.5006999999999999</v>
      </c>
      <c r="P15" s="182">
        <v>1.5347</v>
      </c>
      <c r="Q15" s="182">
        <v>1.5672999999999999</v>
      </c>
      <c r="R15" s="182">
        <v>1.5891999999999999</v>
      </c>
      <c r="S15" s="182">
        <v>1.6215999999999999</v>
      </c>
      <c r="T15" s="182">
        <v>1.6586000000000001</v>
      </c>
      <c r="U15" s="182">
        <v>1.6993</v>
      </c>
      <c r="V15" s="182">
        <v>1.7413000000000001</v>
      </c>
    </row>
    <row r="16" spans="1:22" x14ac:dyDescent="0.2">
      <c r="A16">
        <f>Summary!A24</f>
        <v>8</v>
      </c>
      <c r="B16" s="181" t="s">
        <v>62</v>
      </c>
      <c r="C16" s="182">
        <v>1.1969000000000001</v>
      </c>
      <c r="D16" s="182">
        <v>1.2318</v>
      </c>
      <c r="E16" s="182">
        <v>1.2497</v>
      </c>
      <c r="F16" s="182">
        <v>1.2714000000000001</v>
      </c>
      <c r="G16" s="182">
        <v>1.3077000000000001</v>
      </c>
      <c r="H16" s="182">
        <v>1.3529</v>
      </c>
      <c r="I16" s="182">
        <v>1.4047000000000001</v>
      </c>
      <c r="J16" s="182">
        <v>1.4371</v>
      </c>
      <c r="K16" s="182">
        <v>1.468</v>
      </c>
      <c r="L16" s="182">
        <v>1.4923</v>
      </c>
      <c r="M16" s="182">
        <v>1.5045999999999999</v>
      </c>
      <c r="N16" s="182">
        <v>1.5251999999999999</v>
      </c>
      <c r="O16" s="182">
        <v>1.5584</v>
      </c>
      <c r="P16" s="182">
        <v>1.5939000000000001</v>
      </c>
      <c r="Q16" s="182">
        <v>1.6278999999999999</v>
      </c>
      <c r="R16" s="182">
        <v>1.6511</v>
      </c>
      <c r="S16" s="182">
        <v>1.6850000000000001</v>
      </c>
      <c r="T16" s="182">
        <v>1.7235</v>
      </c>
      <c r="U16" s="182">
        <v>1.7658</v>
      </c>
      <c r="V16" s="182">
        <v>1.8095000000000001</v>
      </c>
    </row>
    <row r="17" spans="1:22" x14ac:dyDescent="0.2">
      <c r="A17">
        <f>Summary!A25</f>
        <v>9</v>
      </c>
      <c r="B17" s="181" t="s">
        <v>63</v>
      </c>
      <c r="C17" s="182">
        <v>1.1969000000000001</v>
      </c>
      <c r="D17" s="182">
        <v>1.2318</v>
      </c>
      <c r="E17" s="182">
        <v>1.2497</v>
      </c>
      <c r="F17" s="182">
        <v>1.2714000000000001</v>
      </c>
      <c r="G17" s="182">
        <v>1.3077000000000001</v>
      </c>
      <c r="H17" s="182">
        <v>1.3529</v>
      </c>
      <c r="I17" s="182">
        <v>1.4047000000000001</v>
      </c>
      <c r="J17" s="182">
        <v>1.4371</v>
      </c>
      <c r="K17" s="182">
        <v>1.468</v>
      </c>
      <c r="L17" s="182">
        <v>1.4923</v>
      </c>
      <c r="M17" s="182">
        <v>1.5045999999999999</v>
      </c>
      <c r="N17" s="182">
        <v>1.5251999999999999</v>
      </c>
      <c r="O17" s="182">
        <v>1.5584</v>
      </c>
      <c r="P17" s="182">
        <v>1.5939000000000001</v>
      </c>
      <c r="Q17" s="182">
        <v>1.6278999999999999</v>
      </c>
      <c r="R17" s="182">
        <v>1.6511</v>
      </c>
      <c r="S17" s="182">
        <v>1.6850000000000001</v>
      </c>
      <c r="T17" s="182">
        <v>1.7235</v>
      </c>
      <c r="U17" s="182">
        <v>1.7658</v>
      </c>
      <c r="V17" s="182">
        <v>1.8095000000000001</v>
      </c>
    </row>
    <row r="18" spans="1:22" x14ac:dyDescent="0.2">
      <c r="A18">
        <f>Summary!A26</f>
        <v>10</v>
      </c>
      <c r="B18" s="181" t="s">
        <v>64</v>
      </c>
      <c r="C18" s="182">
        <v>1.1969000000000001</v>
      </c>
      <c r="D18" s="182">
        <v>1.2318</v>
      </c>
      <c r="E18" s="182">
        <v>1.2497</v>
      </c>
      <c r="F18" s="182">
        <v>1.2714000000000001</v>
      </c>
      <c r="G18" s="182">
        <v>1.3077000000000001</v>
      </c>
      <c r="H18" s="182">
        <v>1.3529</v>
      </c>
      <c r="I18" s="182">
        <v>1.4047000000000001</v>
      </c>
      <c r="J18" s="182">
        <v>1.4371</v>
      </c>
      <c r="K18" s="182">
        <v>1.468</v>
      </c>
      <c r="L18" s="182">
        <v>1.4923</v>
      </c>
      <c r="M18" s="182">
        <v>1.5045999999999999</v>
      </c>
      <c r="N18" s="182">
        <v>1.5251999999999999</v>
      </c>
      <c r="O18" s="182">
        <v>1.5584</v>
      </c>
      <c r="P18" s="182">
        <v>1.5939000000000001</v>
      </c>
      <c r="Q18" s="182">
        <v>1.6278999999999999</v>
      </c>
      <c r="R18" s="182">
        <v>1.6511</v>
      </c>
      <c r="S18" s="182">
        <v>1.6850000000000001</v>
      </c>
      <c r="T18" s="182">
        <v>1.7235</v>
      </c>
      <c r="U18" s="182">
        <v>1.7658</v>
      </c>
      <c r="V18" s="182">
        <v>1.8095000000000001</v>
      </c>
    </row>
    <row r="19" spans="1:22" x14ac:dyDescent="0.2">
      <c r="A19">
        <f>Summary!A27</f>
        <v>11</v>
      </c>
      <c r="B19" s="181" t="s">
        <v>65</v>
      </c>
      <c r="C19" s="182">
        <v>1.1969000000000001</v>
      </c>
      <c r="D19" s="182">
        <v>1.2318</v>
      </c>
      <c r="E19" s="182">
        <v>1.2497</v>
      </c>
      <c r="F19" s="182">
        <v>1.2714000000000001</v>
      </c>
      <c r="G19" s="182">
        <v>1.3077000000000001</v>
      </c>
      <c r="H19" s="182">
        <v>1.3529</v>
      </c>
      <c r="I19" s="182">
        <v>1.4047000000000001</v>
      </c>
      <c r="J19" s="182">
        <v>1.4371</v>
      </c>
      <c r="K19" s="182">
        <v>1.468</v>
      </c>
      <c r="L19" s="182">
        <v>1.4923</v>
      </c>
      <c r="M19" s="182">
        <v>1.5045999999999999</v>
      </c>
      <c r="N19" s="182">
        <v>1.5251999999999999</v>
      </c>
      <c r="O19" s="182">
        <v>1.5584</v>
      </c>
      <c r="P19" s="182">
        <v>1.5939000000000001</v>
      </c>
      <c r="Q19" s="182">
        <v>1.6278999999999999</v>
      </c>
      <c r="R19" s="182">
        <v>1.6511</v>
      </c>
      <c r="S19" s="182">
        <v>1.6850000000000001</v>
      </c>
      <c r="T19" s="182">
        <v>1.7235</v>
      </c>
      <c r="U19" s="182">
        <v>1.7658</v>
      </c>
      <c r="V19" s="182">
        <v>1.8095000000000001</v>
      </c>
    </row>
    <row r="20" spans="1:22" x14ac:dyDescent="0.2">
      <c r="A20">
        <f>Summary!A28</f>
        <v>12</v>
      </c>
      <c r="B20" s="181" t="s">
        <v>66</v>
      </c>
      <c r="C20" s="182">
        <v>1.1818</v>
      </c>
      <c r="D20" s="182">
        <v>1.2162999999999999</v>
      </c>
      <c r="E20" s="182">
        <v>1.2338</v>
      </c>
      <c r="F20" s="182">
        <v>1.2553000000000001</v>
      </c>
      <c r="G20" s="182">
        <v>1.2911999999999999</v>
      </c>
      <c r="H20" s="182">
        <v>1.3361000000000001</v>
      </c>
      <c r="I20" s="182">
        <v>1.3874</v>
      </c>
      <c r="J20" s="182">
        <v>1.4194</v>
      </c>
      <c r="K20" s="182">
        <v>1.4499</v>
      </c>
      <c r="L20" s="182">
        <v>1.4738</v>
      </c>
      <c r="M20" s="182">
        <v>1.4856</v>
      </c>
      <c r="N20" s="182">
        <v>1.5058</v>
      </c>
      <c r="O20" s="182">
        <v>1.5385</v>
      </c>
      <c r="P20" s="182">
        <v>1.5736000000000001</v>
      </c>
      <c r="Q20" s="182">
        <v>1.607</v>
      </c>
      <c r="R20" s="182">
        <v>1.6297999999999999</v>
      </c>
      <c r="S20" s="182">
        <v>1.6632</v>
      </c>
      <c r="T20" s="182">
        <v>1.7012</v>
      </c>
      <c r="U20" s="182">
        <v>1.7428999999999999</v>
      </c>
      <c r="V20" s="182">
        <v>1.786</v>
      </c>
    </row>
    <row r="21" spans="1:22" x14ac:dyDescent="0.2">
      <c r="A21">
        <f>Summary!A29</f>
        <v>13</v>
      </c>
      <c r="B21" s="181" t="s">
        <v>67</v>
      </c>
      <c r="C21" s="182">
        <v>1.1818</v>
      </c>
      <c r="D21" s="182">
        <v>1.2162999999999999</v>
      </c>
      <c r="E21" s="182">
        <v>1.2338</v>
      </c>
      <c r="F21" s="182">
        <v>1.2553000000000001</v>
      </c>
      <c r="G21" s="182">
        <v>1.2911999999999999</v>
      </c>
      <c r="H21" s="182">
        <v>1.3361000000000001</v>
      </c>
      <c r="I21" s="182">
        <v>1.3874</v>
      </c>
      <c r="J21" s="182">
        <v>1.4194</v>
      </c>
      <c r="K21" s="182">
        <v>1.4499</v>
      </c>
      <c r="L21" s="182">
        <v>1.4738</v>
      </c>
      <c r="M21" s="182">
        <v>1.4856</v>
      </c>
      <c r="N21" s="182">
        <v>1.5058</v>
      </c>
      <c r="O21" s="182">
        <v>1.5385</v>
      </c>
      <c r="P21" s="182">
        <v>1.5736000000000001</v>
      </c>
      <c r="Q21" s="182">
        <v>1.607</v>
      </c>
      <c r="R21" s="182">
        <v>1.6297999999999999</v>
      </c>
      <c r="S21" s="182">
        <v>1.6632</v>
      </c>
      <c r="T21" s="182">
        <v>1.7012</v>
      </c>
      <c r="U21" s="182">
        <v>1.7428999999999999</v>
      </c>
      <c r="V21" s="182">
        <v>1.786</v>
      </c>
    </row>
    <row r="22" spans="1:22" x14ac:dyDescent="0.2">
      <c r="A22">
        <f>Summary!A30</f>
        <v>14</v>
      </c>
      <c r="B22" s="181" t="s">
        <v>70</v>
      </c>
      <c r="C22" s="182">
        <v>1.1818</v>
      </c>
      <c r="D22" s="182">
        <v>1.2162999999999999</v>
      </c>
      <c r="E22" s="182">
        <v>1.2338</v>
      </c>
      <c r="F22" s="182">
        <v>1.2553000000000001</v>
      </c>
      <c r="G22" s="182">
        <v>1.2911999999999999</v>
      </c>
      <c r="H22" s="182">
        <v>1.3361000000000001</v>
      </c>
      <c r="I22" s="182">
        <v>1.3874</v>
      </c>
      <c r="J22" s="182">
        <v>1.4194</v>
      </c>
      <c r="K22" s="182">
        <v>1.4499</v>
      </c>
      <c r="L22" s="182">
        <v>1.4738</v>
      </c>
      <c r="M22" s="182">
        <v>1.4856</v>
      </c>
      <c r="N22" s="182">
        <v>1.5058</v>
      </c>
      <c r="O22" s="182">
        <v>1.5385</v>
      </c>
      <c r="P22" s="182">
        <v>1.5736000000000001</v>
      </c>
      <c r="Q22" s="182">
        <v>1.607</v>
      </c>
      <c r="R22" s="182">
        <v>1.6297999999999999</v>
      </c>
      <c r="S22" s="182">
        <v>1.6632</v>
      </c>
      <c r="T22" s="182">
        <v>1.7012</v>
      </c>
      <c r="U22" s="182">
        <v>1.7428999999999999</v>
      </c>
      <c r="V22" s="182">
        <v>1.786</v>
      </c>
    </row>
    <row r="23" spans="1:22" x14ac:dyDescent="0.2">
      <c r="A23">
        <f>Summary!A31</f>
        <v>15</v>
      </c>
      <c r="B23" s="181" t="s">
        <v>68</v>
      </c>
      <c r="C23" s="182">
        <v>1.1818</v>
      </c>
      <c r="D23" s="182">
        <v>1.2162999999999999</v>
      </c>
      <c r="E23" s="182">
        <v>1.2338</v>
      </c>
      <c r="F23" s="182">
        <v>1.2553000000000001</v>
      </c>
      <c r="G23" s="182">
        <v>1.2911999999999999</v>
      </c>
      <c r="H23" s="182">
        <v>1.3361000000000001</v>
      </c>
      <c r="I23" s="182">
        <v>1.3874</v>
      </c>
      <c r="J23" s="182">
        <v>1.4194</v>
      </c>
      <c r="K23" s="182">
        <v>1.4499</v>
      </c>
      <c r="L23" s="182">
        <v>1.4738</v>
      </c>
      <c r="M23" s="182">
        <v>1.4856</v>
      </c>
      <c r="N23" s="182">
        <v>1.5058</v>
      </c>
      <c r="O23" s="182">
        <v>1.5385</v>
      </c>
      <c r="P23" s="182">
        <v>1.5736000000000001</v>
      </c>
      <c r="Q23" s="182">
        <v>1.607</v>
      </c>
      <c r="R23" s="182">
        <v>1.6297999999999999</v>
      </c>
      <c r="S23" s="182">
        <v>1.6632</v>
      </c>
      <c r="T23" s="182">
        <v>1.7012</v>
      </c>
      <c r="U23" s="182">
        <v>1.7428999999999999</v>
      </c>
      <c r="V23" s="182">
        <v>1.786</v>
      </c>
    </row>
    <row r="24" spans="1:22" x14ac:dyDescent="0.2">
      <c r="A24">
        <f>Summary!A32</f>
        <v>16</v>
      </c>
      <c r="B24" s="181" t="s">
        <v>69</v>
      </c>
      <c r="C24" s="182">
        <v>1.1818</v>
      </c>
      <c r="D24" s="182">
        <v>1.2162999999999999</v>
      </c>
      <c r="E24" s="182">
        <v>1.2338</v>
      </c>
      <c r="F24" s="182">
        <v>1.2553000000000001</v>
      </c>
      <c r="G24" s="182">
        <v>1.2911999999999999</v>
      </c>
      <c r="H24" s="182">
        <v>1.3361000000000001</v>
      </c>
      <c r="I24" s="182">
        <v>1.3874</v>
      </c>
      <c r="J24" s="182">
        <v>1.4194</v>
      </c>
      <c r="K24" s="182">
        <v>1.4499</v>
      </c>
      <c r="L24" s="182">
        <v>1.4738</v>
      </c>
      <c r="M24" s="182">
        <v>1.4856</v>
      </c>
      <c r="N24" s="182">
        <v>1.5058</v>
      </c>
      <c r="O24" s="182">
        <v>1.5385</v>
      </c>
      <c r="P24" s="182">
        <v>1.5736000000000001</v>
      </c>
      <c r="Q24" s="182">
        <v>1.607</v>
      </c>
      <c r="R24" s="182">
        <v>1.6297999999999999</v>
      </c>
      <c r="S24" s="182">
        <v>1.6632</v>
      </c>
      <c r="T24" s="182">
        <v>1.7012</v>
      </c>
      <c r="U24" s="182">
        <v>1.7428999999999999</v>
      </c>
      <c r="V24" s="182">
        <v>1.786</v>
      </c>
    </row>
    <row r="25" spans="1:22" x14ac:dyDescent="0.2">
      <c r="A25">
        <f>Summary!A33</f>
        <v>17</v>
      </c>
      <c r="B25" s="181" t="s">
        <v>71</v>
      </c>
      <c r="C25" s="182">
        <v>1.1818</v>
      </c>
      <c r="D25" s="182">
        <v>1.2162999999999999</v>
      </c>
      <c r="E25" s="182">
        <v>1.2338</v>
      </c>
      <c r="F25" s="182">
        <v>1.2553000000000001</v>
      </c>
      <c r="G25" s="182">
        <v>1.2911999999999999</v>
      </c>
      <c r="H25" s="182">
        <v>1.3361000000000001</v>
      </c>
      <c r="I25" s="182">
        <v>1.3874</v>
      </c>
      <c r="J25" s="182">
        <v>1.4194</v>
      </c>
      <c r="K25" s="182">
        <v>1.4499</v>
      </c>
      <c r="L25" s="182">
        <v>1.4738</v>
      </c>
      <c r="M25" s="182">
        <v>1.4856</v>
      </c>
      <c r="N25" s="182">
        <v>1.5058</v>
      </c>
      <c r="O25" s="182">
        <v>1.5385</v>
      </c>
      <c r="P25" s="182">
        <v>1.5736000000000001</v>
      </c>
      <c r="Q25" s="182">
        <v>1.607</v>
      </c>
      <c r="R25" s="182">
        <v>1.6297999999999999</v>
      </c>
      <c r="S25" s="182">
        <v>1.6632</v>
      </c>
      <c r="T25" s="182">
        <v>1.7012</v>
      </c>
      <c r="U25" s="182">
        <v>1.7428999999999999</v>
      </c>
      <c r="V25" s="182">
        <v>1.786</v>
      </c>
    </row>
    <row r="26" spans="1:22" x14ac:dyDescent="0.2">
      <c r="A26">
        <f>Summary!A34</f>
        <v>18</v>
      </c>
      <c r="B26" s="181" t="s">
        <v>72</v>
      </c>
      <c r="C26" s="182">
        <v>0.90920000000000001</v>
      </c>
      <c r="D26" s="182">
        <v>0.90790000000000004</v>
      </c>
      <c r="E26" s="182">
        <v>0.90429999999999999</v>
      </c>
      <c r="F26" s="182">
        <v>0.90600000000000003</v>
      </c>
      <c r="G26" s="182">
        <v>0.91679999999999995</v>
      </c>
      <c r="H26" s="182">
        <v>0.93400000000000005</v>
      </c>
      <c r="I26" s="182">
        <v>0.96609999999999996</v>
      </c>
      <c r="J26" s="182">
        <v>1.0048999999999999</v>
      </c>
      <c r="K26" s="182">
        <v>1.0362</v>
      </c>
      <c r="L26" s="182">
        <v>1.0677000000000001</v>
      </c>
      <c r="M26" s="182">
        <v>1.1053999999999999</v>
      </c>
      <c r="N26" s="182">
        <v>1.1420999999999999</v>
      </c>
      <c r="O26" s="182">
        <v>1.1653</v>
      </c>
      <c r="P26" s="182">
        <v>1.181</v>
      </c>
      <c r="Q26" s="182">
        <v>1.2042999999999999</v>
      </c>
      <c r="R26" s="182">
        <v>1.2275</v>
      </c>
      <c r="S26" s="182">
        <v>1.2515000000000001</v>
      </c>
      <c r="T26" s="182">
        <v>1.2758</v>
      </c>
      <c r="U26" s="182">
        <v>1.3006</v>
      </c>
      <c r="V26" s="182">
        <v>1.3258000000000001</v>
      </c>
    </row>
    <row r="27" spans="1:22" x14ac:dyDescent="0.2">
      <c r="A27">
        <f>Summary!A35</f>
        <v>19</v>
      </c>
      <c r="B27" s="181" t="s">
        <v>73</v>
      </c>
      <c r="C27" s="183">
        <v>0</v>
      </c>
      <c r="D27" s="184">
        <v>0</v>
      </c>
      <c r="E27" s="184">
        <v>0</v>
      </c>
      <c r="F27" s="184">
        <v>0</v>
      </c>
      <c r="G27" s="184">
        <v>0</v>
      </c>
      <c r="H27" s="184">
        <v>0</v>
      </c>
      <c r="I27" s="184">
        <v>0</v>
      </c>
      <c r="J27" s="184">
        <v>0</v>
      </c>
      <c r="K27" s="184">
        <v>0</v>
      </c>
      <c r="L27" s="184">
        <v>0</v>
      </c>
      <c r="M27" s="184">
        <v>0</v>
      </c>
      <c r="N27" s="184">
        <v>0</v>
      </c>
      <c r="O27" s="184">
        <v>0</v>
      </c>
      <c r="P27" s="184">
        <v>0</v>
      </c>
      <c r="Q27" s="184">
        <v>0</v>
      </c>
      <c r="R27" s="184">
        <v>0</v>
      </c>
      <c r="S27" s="184">
        <v>0</v>
      </c>
      <c r="T27" s="184">
        <v>0</v>
      </c>
      <c r="U27" s="184">
        <v>0</v>
      </c>
      <c r="V27" s="184">
        <v>0</v>
      </c>
    </row>
    <row r="28" spans="1:22" x14ac:dyDescent="0.2">
      <c r="A28">
        <f>Summary!A36</f>
        <v>20</v>
      </c>
      <c r="B28" s="181" t="s">
        <v>74</v>
      </c>
      <c r="C28" s="183">
        <v>0</v>
      </c>
      <c r="D28" s="184">
        <v>0</v>
      </c>
      <c r="E28" s="184">
        <v>0</v>
      </c>
      <c r="F28" s="184">
        <v>0</v>
      </c>
      <c r="G28" s="184">
        <v>0</v>
      </c>
      <c r="H28" s="184">
        <v>0</v>
      </c>
      <c r="I28" s="184">
        <v>0</v>
      </c>
      <c r="J28" s="184">
        <v>0</v>
      </c>
      <c r="K28" s="184">
        <v>0</v>
      </c>
      <c r="L28" s="184">
        <v>0</v>
      </c>
      <c r="M28" s="184">
        <v>0</v>
      </c>
      <c r="N28" s="184">
        <v>0</v>
      </c>
      <c r="O28" s="184">
        <v>0</v>
      </c>
      <c r="P28" s="184">
        <v>0</v>
      </c>
      <c r="Q28" s="184">
        <v>0</v>
      </c>
      <c r="R28" s="184">
        <v>0</v>
      </c>
      <c r="S28" s="184">
        <v>0</v>
      </c>
      <c r="T28" s="184">
        <v>0</v>
      </c>
      <c r="U28" s="184">
        <v>0</v>
      </c>
      <c r="V28" s="184">
        <v>0</v>
      </c>
    </row>
    <row r="29" spans="1:22" x14ac:dyDescent="0.2">
      <c r="A29">
        <f>Summary!A37</f>
        <v>21</v>
      </c>
      <c r="B29" s="181" t="s">
        <v>75</v>
      </c>
      <c r="C29" s="183">
        <v>0</v>
      </c>
      <c r="D29" s="184">
        <v>0</v>
      </c>
      <c r="E29" s="184">
        <v>0</v>
      </c>
      <c r="F29" s="184">
        <v>0</v>
      </c>
      <c r="G29" s="184">
        <v>0</v>
      </c>
      <c r="H29" s="184">
        <v>0</v>
      </c>
      <c r="I29" s="184">
        <v>0</v>
      </c>
      <c r="J29" s="184">
        <v>0</v>
      </c>
      <c r="K29" s="184">
        <v>0</v>
      </c>
      <c r="L29" s="184">
        <v>0</v>
      </c>
      <c r="M29" s="184">
        <v>0</v>
      </c>
      <c r="N29" s="184">
        <v>0</v>
      </c>
      <c r="O29" s="184">
        <v>0</v>
      </c>
      <c r="P29" s="184">
        <v>0</v>
      </c>
      <c r="Q29" s="184">
        <v>0</v>
      </c>
      <c r="R29" s="184">
        <v>0</v>
      </c>
      <c r="S29" s="184">
        <v>0</v>
      </c>
      <c r="T29" s="184">
        <v>0</v>
      </c>
      <c r="U29" s="184">
        <v>0</v>
      </c>
      <c r="V29" s="184">
        <v>0</v>
      </c>
    </row>
    <row r="30" spans="1:22" x14ac:dyDescent="0.2">
      <c r="A30">
        <f>Summary!A38</f>
        <v>22</v>
      </c>
      <c r="B30" s="181" t="s">
        <v>86</v>
      </c>
      <c r="C30" s="183">
        <v>0</v>
      </c>
      <c r="D30" s="184">
        <v>0</v>
      </c>
      <c r="E30" s="184">
        <v>0</v>
      </c>
      <c r="F30" s="184">
        <v>0</v>
      </c>
      <c r="G30" s="184">
        <v>0</v>
      </c>
      <c r="H30" s="184">
        <v>0</v>
      </c>
      <c r="I30" s="184">
        <v>0</v>
      </c>
      <c r="J30" s="184">
        <v>0</v>
      </c>
      <c r="K30" s="184">
        <v>0</v>
      </c>
      <c r="L30" s="184">
        <v>0</v>
      </c>
      <c r="M30" s="184">
        <v>0</v>
      </c>
      <c r="N30" s="184">
        <v>0</v>
      </c>
      <c r="O30" s="184">
        <v>0</v>
      </c>
      <c r="P30" s="184">
        <v>0</v>
      </c>
      <c r="Q30" s="184">
        <v>0</v>
      </c>
      <c r="R30" s="184">
        <v>0</v>
      </c>
      <c r="S30" s="184">
        <v>0</v>
      </c>
      <c r="T30" s="184">
        <v>0</v>
      </c>
      <c r="U30" s="184">
        <v>0</v>
      </c>
      <c r="V30" s="184">
        <v>0</v>
      </c>
    </row>
    <row r="31" spans="1:22" x14ac:dyDescent="0.2">
      <c r="A31">
        <f>Summary!A39</f>
        <v>23</v>
      </c>
      <c r="B31" s="181" t="s">
        <v>76</v>
      </c>
      <c r="C31" s="183">
        <v>0</v>
      </c>
      <c r="D31" s="184">
        <v>0</v>
      </c>
      <c r="E31" s="184">
        <v>0</v>
      </c>
      <c r="F31" s="184">
        <v>0</v>
      </c>
      <c r="G31" s="184">
        <v>0</v>
      </c>
      <c r="H31" s="184">
        <v>0</v>
      </c>
      <c r="I31" s="184">
        <v>0</v>
      </c>
      <c r="J31" s="184">
        <v>0</v>
      </c>
      <c r="K31" s="184">
        <v>0</v>
      </c>
      <c r="L31" s="184">
        <v>0</v>
      </c>
      <c r="M31" s="184">
        <v>0</v>
      </c>
      <c r="N31" s="184">
        <v>0</v>
      </c>
      <c r="O31" s="184">
        <v>0</v>
      </c>
      <c r="P31" s="184">
        <v>0</v>
      </c>
      <c r="Q31" s="184">
        <v>0</v>
      </c>
      <c r="R31" s="184">
        <v>0</v>
      </c>
      <c r="S31" s="184">
        <v>0</v>
      </c>
      <c r="T31" s="184">
        <v>0</v>
      </c>
      <c r="U31" s="184">
        <v>0</v>
      </c>
      <c r="V31" s="184">
        <v>0</v>
      </c>
    </row>
    <row r="32" spans="1:22" x14ac:dyDescent="0.2">
      <c r="A32">
        <f>Summary!A40</f>
        <v>24</v>
      </c>
      <c r="B32" s="181" t="s">
        <v>77</v>
      </c>
      <c r="C32" s="183">
        <v>0</v>
      </c>
      <c r="D32" s="184">
        <v>0</v>
      </c>
      <c r="E32" s="184">
        <v>0</v>
      </c>
      <c r="F32" s="184">
        <v>0</v>
      </c>
      <c r="G32" s="184">
        <v>0</v>
      </c>
      <c r="H32" s="184">
        <v>0</v>
      </c>
      <c r="I32" s="184">
        <v>0</v>
      </c>
      <c r="J32" s="184">
        <v>0</v>
      </c>
      <c r="K32" s="184">
        <v>0</v>
      </c>
      <c r="L32" s="184">
        <v>0</v>
      </c>
      <c r="M32" s="184">
        <v>0</v>
      </c>
      <c r="N32" s="184">
        <v>0</v>
      </c>
      <c r="O32" s="184">
        <v>0</v>
      </c>
      <c r="P32" s="184">
        <v>0</v>
      </c>
      <c r="Q32" s="184">
        <v>0</v>
      </c>
      <c r="R32" s="184">
        <v>0</v>
      </c>
      <c r="S32" s="184">
        <v>0</v>
      </c>
      <c r="T32" s="184">
        <v>0</v>
      </c>
      <c r="U32" s="184">
        <v>0</v>
      </c>
      <c r="V32" s="184">
        <v>0</v>
      </c>
    </row>
    <row r="33" spans="1:22" x14ac:dyDescent="0.2">
      <c r="A33">
        <f>Summary!A41</f>
        <v>25</v>
      </c>
      <c r="B33" s="181" t="s">
        <v>78</v>
      </c>
      <c r="C33" s="183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0</v>
      </c>
      <c r="K33" s="184">
        <v>0</v>
      </c>
      <c r="L33" s="184">
        <v>0</v>
      </c>
      <c r="M33" s="184">
        <v>0</v>
      </c>
      <c r="N33" s="184">
        <v>0</v>
      </c>
      <c r="O33" s="184">
        <v>0</v>
      </c>
      <c r="P33" s="184">
        <v>0</v>
      </c>
      <c r="Q33" s="184">
        <v>0</v>
      </c>
      <c r="R33" s="184">
        <v>0</v>
      </c>
      <c r="S33" s="184">
        <v>0</v>
      </c>
      <c r="T33" s="184">
        <v>0</v>
      </c>
      <c r="U33" s="184">
        <v>0</v>
      </c>
      <c r="V33" s="184">
        <v>0</v>
      </c>
    </row>
    <row r="34" spans="1:22" x14ac:dyDescent="0.2">
      <c r="A34">
        <f>Summary!A42</f>
        <v>26</v>
      </c>
      <c r="B34" s="181" t="s">
        <v>79</v>
      </c>
      <c r="C34" s="183">
        <v>0</v>
      </c>
      <c r="D34" s="184">
        <v>0</v>
      </c>
      <c r="E34" s="184">
        <v>0</v>
      </c>
      <c r="F34" s="184">
        <v>0</v>
      </c>
      <c r="G34" s="184">
        <v>0</v>
      </c>
      <c r="H34" s="184">
        <v>0</v>
      </c>
      <c r="I34" s="184">
        <v>0</v>
      </c>
      <c r="J34" s="184">
        <v>0</v>
      </c>
      <c r="K34" s="184">
        <v>0</v>
      </c>
      <c r="L34" s="184">
        <v>0</v>
      </c>
      <c r="M34" s="184">
        <v>0</v>
      </c>
      <c r="N34" s="184">
        <v>0</v>
      </c>
      <c r="O34" s="184">
        <v>0</v>
      </c>
      <c r="P34" s="184">
        <v>0</v>
      </c>
      <c r="Q34" s="184">
        <v>0</v>
      </c>
      <c r="R34" s="184">
        <v>0</v>
      </c>
      <c r="S34" s="184">
        <v>0</v>
      </c>
      <c r="T34" s="184">
        <v>0</v>
      </c>
      <c r="U34" s="184">
        <v>0</v>
      </c>
      <c r="V34" s="184">
        <v>0</v>
      </c>
    </row>
    <row r="35" spans="1:22" x14ac:dyDescent="0.2">
      <c r="A35">
        <f>Summary!A43</f>
        <v>27</v>
      </c>
      <c r="B35" s="181" t="s">
        <v>80</v>
      </c>
      <c r="C35" s="183">
        <v>0</v>
      </c>
      <c r="D35" s="184">
        <v>0</v>
      </c>
      <c r="E35" s="184">
        <v>0</v>
      </c>
      <c r="F35" s="184">
        <v>0</v>
      </c>
      <c r="G35" s="184">
        <v>0</v>
      </c>
      <c r="H35" s="184">
        <v>0</v>
      </c>
      <c r="I35" s="184">
        <v>0</v>
      </c>
      <c r="J35" s="184">
        <v>0</v>
      </c>
      <c r="K35" s="184">
        <v>0</v>
      </c>
      <c r="L35" s="184">
        <v>0</v>
      </c>
      <c r="M35" s="184">
        <v>0</v>
      </c>
      <c r="N35" s="184">
        <v>0</v>
      </c>
      <c r="O35" s="184">
        <v>0</v>
      </c>
      <c r="P35" s="184">
        <v>0</v>
      </c>
      <c r="Q35" s="184">
        <v>0</v>
      </c>
      <c r="R35" s="184">
        <v>0</v>
      </c>
      <c r="S35" s="184">
        <v>0</v>
      </c>
      <c r="T35" s="184">
        <v>0</v>
      </c>
      <c r="U35" s="184">
        <v>0</v>
      </c>
      <c r="V35" s="184">
        <v>0</v>
      </c>
    </row>
    <row r="36" spans="1:22" x14ac:dyDescent="0.2">
      <c r="A36">
        <f>Summary!A44</f>
        <v>28</v>
      </c>
      <c r="B36" s="181" t="s">
        <v>81</v>
      </c>
      <c r="C36" s="183">
        <v>0</v>
      </c>
      <c r="D36" s="184">
        <v>0</v>
      </c>
      <c r="E36" s="184">
        <v>0</v>
      </c>
      <c r="F36" s="184">
        <v>0</v>
      </c>
      <c r="G36" s="184">
        <v>0</v>
      </c>
      <c r="H36" s="184">
        <v>0</v>
      </c>
      <c r="I36" s="184">
        <v>0</v>
      </c>
      <c r="J36" s="184">
        <v>0</v>
      </c>
      <c r="K36" s="184">
        <v>0</v>
      </c>
      <c r="L36" s="184">
        <v>0</v>
      </c>
      <c r="M36" s="184">
        <v>0</v>
      </c>
      <c r="N36" s="184">
        <v>0</v>
      </c>
      <c r="O36" s="184">
        <v>0</v>
      </c>
      <c r="P36" s="184">
        <v>0</v>
      </c>
      <c r="Q36" s="184">
        <v>0</v>
      </c>
      <c r="R36" s="184">
        <v>0</v>
      </c>
      <c r="S36" s="184">
        <v>0</v>
      </c>
      <c r="T36" s="184">
        <v>0</v>
      </c>
      <c r="U36" s="184">
        <v>0</v>
      </c>
      <c r="V36" s="184">
        <v>0</v>
      </c>
    </row>
    <row r="37" spans="1:22" x14ac:dyDescent="0.2">
      <c r="A37">
        <f>Summary!A45</f>
        <v>29</v>
      </c>
      <c r="B37" s="181" t="s">
        <v>82</v>
      </c>
      <c r="C37" s="183">
        <v>0</v>
      </c>
      <c r="D37" s="184">
        <v>0</v>
      </c>
      <c r="E37" s="184">
        <v>0</v>
      </c>
      <c r="F37" s="184">
        <v>0</v>
      </c>
      <c r="G37" s="184">
        <v>0</v>
      </c>
      <c r="H37" s="184">
        <v>0</v>
      </c>
      <c r="I37" s="184">
        <v>0</v>
      </c>
      <c r="J37" s="184">
        <v>0</v>
      </c>
      <c r="K37" s="184">
        <v>0</v>
      </c>
      <c r="L37" s="184">
        <v>0</v>
      </c>
      <c r="M37" s="184">
        <v>0</v>
      </c>
      <c r="N37" s="184">
        <v>0</v>
      </c>
      <c r="O37" s="184">
        <v>0</v>
      </c>
      <c r="P37" s="184">
        <v>0</v>
      </c>
      <c r="Q37" s="184">
        <v>0</v>
      </c>
      <c r="R37" s="184">
        <v>0</v>
      </c>
      <c r="S37" s="184">
        <v>0</v>
      </c>
      <c r="T37" s="184">
        <v>0</v>
      </c>
      <c r="U37" s="184">
        <v>0</v>
      </c>
      <c r="V37" s="184">
        <v>0</v>
      </c>
    </row>
    <row r="38" spans="1:22" x14ac:dyDescent="0.2">
      <c r="A38">
        <f>Summary!A46</f>
        <v>30</v>
      </c>
      <c r="B38" s="181" t="s">
        <v>83</v>
      </c>
      <c r="C38" s="183">
        <v>0</v>
      </c>
      <c r="D38" s="184">
        <v>0</v>
      </c>
      <c r="E38" s="184">
        <v>0</v>
      </c>
      <c r="F38" s="184">
        <v>0</v>
      </c>
      <c r="G38" s="184">
        <v>0</v>
      </c>
      <c r="H38" s="184">
        <v>0</v>
      </c>
      <c r="I38" s="184">
        <v>0</v>
      </c>
      <c r="J38" s="184">
        <v>0</v>
      </c>
      <c r="K38" s="184">
        <v>0</v>
      </c>
      <c r="L38" s="184">
        <v>0</v>
      </c>
      <c r="M38" s="184">
        <v>0</v>
      </c>
      <c r="N38" s="184">
        <v>0</v>
      </c>
      <c r="O38" s="184">
        <v>0</v>
      </c>
      <c r="P38" s="184">
        <v>0</v>
      </c>
      <c r="Q38" s="184">
        <v>0</v>
      </c>
      <c r="R38" s="184">
        <v>0</v>
      </c>
      <c r="S38" s="184">
        <v>0</v>
      </c>
      <c r="T38" s="184">
        <v>0</v>
      </c>
      <c r="U38" s="184">
        <v>0</v>
      </c>
      <c r="V38" s="184">
        <v>0</v>
      </c>
    </row>
    <row r="39" spans="1:22" x14ac:dyDescent="0.2">
      <c r="A39">
        <f>Summary!A47</f>
        <v>31</v>
      </c>
      <c r="B39" s="181" t="s">
        <v>84</v>
      </c>
      <c r="C39" s="183">
        <v>0</v>
      </c>
      <c r="D39" s="184">
        <v>0</v>
      </c>
      <c r="E39" s="184">
        <v>0</v>
      </c>
      <c r="F39" s="184">
        <v>0</v>
      </c>
      <c r="G39" s="184">
        <v>0</v>
      </c>
      <c r="H39" s="184">
        <v>0</v>
      </c>
      <c r="I39" s="184">
        <v>0</v>
      </c>
      <c r="J39" s="184">
        <v>0</v>
      </c>
      <c r="K39" s="184">
        <v>0</v>
      </c>
      <c r="L39" s="184">
        <v>0</v>
      </c>
      <c r="M39" s="184">
        <v>0</v>
      </c>
      <c r="N39" s="184">
        <v>0</v>
      </c>
      <c r="O39" s="184">
        <v>0</v>
      </c>
      <c r="P39" s="184">
        <v>0</v>
      </c>
      <c r="Q39" s="184">
        <v>0</v>
      </c>
      <c r="R39" s="184">
        <v>0</v>
      </c>
      <c r="S39" s="184">
        <v>0</v>
      </c>
      <c r="T39" s="184">
        <v>0</v>
      </c>
      <c r="U39" s="184">
        <v>0</v>
      </c>
      <c r="V39" s="184">
        <v>0</v>
      </c>
    </row>
    <row r="40" spans="1:22" x14ac:dyDescent="0.2">
      <c r="A40">
        <f>Summary!A48</f>
        <v>32</v>
      </c>
      <c r="B40" s="181" t="s">
        <v>85</v>
      </c>
      <c r="C40" s="183">
        <v>0</v>
      </c>
      <c r="D40" s="184">
        <v>0</v>
      </c>
      <c r="E40" s="184">
        <v>0</v>
      </c>
      <c r="F40" s="184">
        <v>0</v>
      </c>
      <c r="G40" s="184">
        <v>0</v>
      </c>
      <c r="H40" s="184">
        <v>0</v>
      </c>
      <c r="I40" s="184">
        <v>0</v>
      </c>
      <c r="J40" s="184">
        <v>0</v>
      </c>
      <c r="K40" s="184">
        <v>0</v>
      </c>
      <c r="L40" s="184">
        <v>0</v>
      </c>
      <c r="M40" s="184">
        <v>0</v>
      </c>
      <c r="N40" s="184">
        <v>0</v>
      </c>
      <c r="O40" s="184">
        <v>0</v>
      </c>
      <c r="P40" s="184">
        <v>0</v>
      </c>
      <c r="Q40" s="184">
        <v>0</v>
      </c>
      <c r="R40" s="184">
        <v>0</v>
      </c>
      <c r="S40" s="184">
        <v>0</v>
      </c>
      <c r="T40" s="184">
        <v>0</v>
      </c>
      <c r="U40" s="184">
        <v>0</v>
      </c>
      <c r="V40" s="184">
        <v>0</v>
      </c>
    </row>
    <row r="41" spans="1:22" x14ac:dyDescent="0.2">
      <c r="A41">
        <f>Summary!A49</f>
        <v>33</v>
      </c>
      <c r="B41" s="181" t="s">
        <v>181</v>
      </c>
      <c r="C41" s="183">
        <v>0</v>
      </c>
      <c r="D41" s="184">
        <v>0</v>
      </c>
      <c r="E41" s="184">
        <v>0</v>
      </c>
      <c r="F41" s="184">
        <v>0</v>
      </c>
      <c r="G41" s="184">
        <v>0</v>
      </c>
      <c r="H41" s="184">
        <v>0</v>
      </c>
      <c r="I41" s="184">
        <v>0</v>
      </c>
      <c r="J41" s="184">
        <v>0</v>
      </c>
      <c r="K41" s="184">
        <v>0</v>
      </c>
      <c r="L41" s="184">
        <v>0</v>
      </c>
      <c r="M41" s="184">
        <v>0</v>
      </c>
      <c r="N41" s="184">
        <v>0</v>
      </c>
      <c r="O41" s="184">
        <v>0</v>
      </c>
      <c r="P41" s="184">
        <v>0</v>
      </c>
      <c r="Q41" s="184">
        <v>0</v>
      </c>
      <c r="R41" s="184">
        <v>0</v>
      </c>
      <c r="S41" s="184">
        <v>0</v>
      </c>
      <c r="T41" s="184">
        <v>0</v>
      </c>
      <c r="U41" s="184">
        <v>0</v>
      </c>
      <c r="V41" s="184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42"/>
  <sheetViews>
    <sheetView workbookViewId="0"/>
  </sheetViews>
  <sheetFormatPr defaultRowHeight="12.75" x14ac:dyDescent="0.2"/>
  <cols>
    <col min="1" max="1" width="3.42578125" customWidth="1"/>
    <col min="2" max="2" width="15.42578125" customWidth="1"/>
    <col min="3" max="3" width="6.7109375" bestFit="1" customWidth="1"/>
    <col min="4" max="4" width="8.7109375" bestFit="1" customWidth="1"/>
    <col min="5" max="21" width="9.7109375" bestFit="1" customWidth="1"/>
    <col min="22" max="22" width="8.7109375" bestFit="1" customWidth="1"/>
  </cols>
  <sheetData>
    <row r="1" spans="1:22" x14ac:dyDescent="0.2">
      <c r="A1" s="138" t="s">
        <v>51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7" spans="1:22" x14ac:dyDescent="0.2">
      <c r="C7" s="12">
        <v>2000</v>
      </c>
      <c r="D7" s="12">
        <v>2001</v>
      </c>
      <c r="E7" s="12">
        <v>2002</v>
      </c>
      <c r="F7" s="12">
        <v>2003</v>
      </c>
      <c r="G7" s="12">
        <v>2004</v>
      </c>
      <c r="H7" s="12">
        <v>2005</v>
      </c>
      <c r="I7" s="12">
        <v>2006</v>
      </c>
      <c r="J7" s="12">
        <v>2007</v>
      </c>
      <c r="K7" s="12">
        <v>2008</v>
      </c>
      <c r="L7" s="12">
        <v>2009</v>
      </c>
      <c r="M7" s="12">
        <v>2010</v>
      </c>
      <c r="N7" s="12">
        <v>2011</v>
      </c>
      <c r="O7" s="12">
        <v>2012</v>
      </c>
      <c r="P7" s="12">
        <v>2013</v>
      </c>
      <c r="Q7" s="12">
        <v>2014</v>
      </c>
      <c r="R7" s="12">
        <v>2015</v>
      </c>
      <c r="S7" s="12">
        <v>2016</v>
      </c>
      <c r="T7" s="12">
        <v>2017</v>
      </c>
      <c r="U7" s="12">
        <v>2018</v>
      </c>
      <c r="V7" s="12">
        <v>2019</v>
      </c>
    </row>
    <row r="9" spans="1:22" x14ac:dyDescent="0.2">
      <c r="A9">
        <f>Summary!A17</f>
        <v>1</v>
      </c>
      <c r="B9" t="s">
        <v>55</v>
      </c>
      <c r="C9" s="211">
        <v>0</v>
      </c>
      <c r="D9" s="212">
        <v>381835.51400375203</v>
      </c>
      <c r="E9" s="212">
        <v>446848.79068212525</v>
      </c>
      <c r="F9" s="212">
        <v>457081.35811975488</v>
      </c>
      <c r="G9" s="212">
        <v>467545.18158147484</v>
      </c>
      <c r="H9" s="212">
        <v>478258.04404158378</v>
      </c>
      <c r="I9" s="212">
        <v>489735.03644411458</v>
      </c>
      <c r="J9" s="212">
        <v>500988.73183821165</v>
      </c>
      <c r="K9" s="212">
        <v>512527.28151932993</v>
      </c>
      <c r="L9" s="212">
        <v>524350.83337757189</v>
      </c>
      <c r="M9" s="212">
        <v>536475.88580819895</v>
      </c>
      <c r="N9" s="212">
        <v>548894.36450764723</v>
      </c>
      <c r="O9" s="212">
        <v>561625.78887032159</v>
      </c>
      <c r="P9" s="212">
        <v>574680.59141180781</v>
      </c>
      <c r="Q9" s="212">
        <v>588061.76401683118</v>
      </c>
      <c r="R9" s="212">
        <v>601778.8040542407</v>
      </c>
      <c r="S9" s="212">
        <v>615838.77009258547</v>
      </c>
      <c r="T9" s="212">
        <v>630247.4232886812</v>
      </c>
      <c r="U9" s="212">
        <v>645017.7336799989</v>
      </c>
      <c r="V9" s="212">
        <v>660158.77886213863</v>
      </c>
    </row>
    <row r="10" spans="1:22" x14ac:dyDescent="0.2">
      <c r="A10">
        <f>Summary!A18</f>
        <v>2</v>
      </c>
      <c r="B10" t="s">
        <v>56</v>
      </c>
      <c r="C10" s="211">
        <v>0</v>
      </c>
      <c r="D10" s="213">
        <v>597318.54938779096</v>
      </c>
      <c r="E10" s="213">
        <v>613373.92846706556</v>
      </c>
      <c r="F10" s="213">
        <v>629780.92034817627</v>
      </c>
      <c r="G10" s="213">
        <v>646558.71024579997</v>
      </c>
      <c r="H10" s="213">
        <v>663735.81154298712</v>
      </c>
      <c r="I10" s="213">
        <v>681343.37272552669</v>
      </c>
      <c r="J10" s="213">
        <v>699387.65047779877</v>
      </c>
      <c r="K10" s="213">
        <v>717888.66618981981</v>
      </c>
      <c r="L10" s="213">
        <v>736846.65698992775</v>
      </c>
      <c r="M10" s="213">
        <v>756288.07655543846</v>
      </c>
      <c r="N10" s="213">
        <v>776199.97847443458</v>
      </c>
      <c r="O10" s="213">
        <v>796613.66032178933</v>
      </c>
      <c r="P10" s="213">
        <v>817545.84968806687</v>
      </c>
      <c r="Q10" s="213">
        <v>839001.34378850134</v>
      </c>
      <c r="R10" s="213">
        <v>860995.37079085666</v>
      </c>
      <c r="S10" s="213">
        <v>883539.24846827099</v>
      </c>
      <c r="T10" s="213">
        <v>906642.21431208507</v>
      </c>
      <c r="U10" s="213">
        <v>930325.06459857896</v>
      </c>
      <c r="V10" s="213">
        <v>954602.35442726384</v>
      </c>
    </row>
    <row r="11" spans="1:22" x14ac:dyDescent="0.2">
      <c r="A11">
        <f>Summary!A19</f>
        <v>3</v>
      </c>
      <c r="B11" s="9" t="s">
        <v>57</v>
      </c>
      <c r="C11" s="211">
        <v>0</v>
      </c>
      <c r="D11" s="213">
        <v>388299.7921559058</v>
      </c>
      <c r="E11" s="213">
        <v>397276.51828614395</v>
      </c>
      <c r="F11" s="213">
        <v>406449.83471863432</v>
      </c>
      <c r="G11" s="213">
        <v>415830.46810249891</v>
      </c>
      <c r="H11" s="213">
        <v>425434.36056089948</v>
      </c>
      <c r="I11" s="213">
        <v>435680.84021321853</v>
      </c>
      <c r="J11" s="213">
        <v>445769.5798686521</v>
      </c>
      <c r="K11" s="213">
        <v>456535.8470507703</v>
      </c>
      <c r="L11" s="213">
        <v>467135.4529866915</v>
      </c>
      <c r="M11" s="213">
        <v>478005.34887397866</v>
      </c>
      <c r="N11" s="213">
        <v>489138.29624173819</v>
      </c>
      <c r="O11" s="213">
        <v>500551.79388316523</v>
      </c>
      <c r="P11" s="213">
        <v>512255.19436468452</v>
      </c>
      <c r="Q11" s="213">
        <v>524251.17985824175</v>
      </c>
      <c r="R11" s="213">
        <v>536548.26458768733</v>
      </c>
      <c r="S11" s="213">
        <v>549152.77643536904</v>
      </c>
      <c r="T11" s="213">
        <v>562069.88017687318</v>
      </c>
      <c r="U11" s="213">
        <v>575311.2032222891</v>
      </c>
      <c r="V11" s="213">
        <v>588884.88347614498</v>
      </c>
    </row>
    <row r="12" spans="1:22" x14ac:dyDescent="0.2">
      <c r="A12">
        <f>Summary!A20</f>
        <v>4</v>
      </c>
      <c r="B12" s="9" t="s">
        <v>58</v>
      </c>
      <c r="C12" s="211">
        <v>0</v>
      </c>
      <c r="D12" s="213">
        <v>388299.7921559058</v>
      </c>
      <c r="E12" s="213">
        <v>397276.51828614395</v>
      </c>
      <c r="F12" s="213">
        <v>406449.83471863432</v>
      </c>
      <c r="G12" s="213">
        <v>415830.46810249891</v>
      </c>
      <c r="H12" s="213">
        <v>425434.36056089948</v>
      </c>
      <c r="I12" s="213">
        <v>435680.84021321853</v>
      </c>
      <c r="J12" s="213">
        <v>445769.5798686521</v>
      </c>
      <c r="K12" s="213">
        <v>456535.8470507703</v>
      </c>
      <c r="L12" s="213">
        <v>467135.4529866915</v>
      </c>
      <c r="M12" s="213">
        <v>478005.34887397866</v>
      </c>
      <c r="N12" s="213">
        <v>489138.29624173819</v>
      </c>
      <c r="O12" s="213">
        <v>500551.79388316523</v>
      </c>
      <c r="P12" s="213">
        <v>512255.19436468452</v>
      </c>
      <c r="Q12" s="213">
        <v>524251.17985824175</v>
      </c>
      <c r="R12" s="213">
        <v>536548.26458768733</v>
      </c>
      <c r="S12" s="213">
        <v>549152.77643536904</v>
      </c>
      <c r="T12" s="213">
        <v>562069.88017687318</v>
      </c>
      <c r="U12" s="213">
        <v>575311.2032222891</v>
      </c>
      <c r="V12" s="213">
        <v>588884.88347614498</v>
      </c>
    </row>
    <row r="13" spans="1:22" x14ac:dyDescent="0.2">
      <c r="A13">
        <f>Summary!A21</f>
        <v>5</v>
      </c>
      <c r="B13" s="9" t="s">
        <v>59</v>
      </c>
      <c r="C13" s="211">
        <v>0</v>
      </c>
      <c r="D13" s="213">
        <v>388299.7921559058</v>
      </c>
      <c r="E13" s="213">
        <v>397276.51828614395</v>
      </c>
      <c r="F13" s="213">
        <v>406449.83471863432</v>
      </c>
      <c r="G13" s="213">
        <v>415830.46810249891</v>
      </c>
      <c r="H13" s="213">
        <v>425434.36056089948</v>
      </c>
      <c r="I13" s="213">
        <v>435680.84021321853</v>
      </c>
      <c r="J13" s="213">
        <v>445769.5798686521</v>
      </c>
      <c r="K13" s="213">
        <v>456535.8470507703</v>
      </c>
      <c r="L13" s="213">
        <v>467135.4529866915</v>
      </c>
      <c r="M13" s="213">
        <v>478005.34887397866</v>
      </c>
      <c r="N13" s="213">
        <v>489138.29624173819</v>
      </c>
      <c r="O13" s="213">
        <v>500551.79388316523</v>
      </c>
      <c r="P13" s="213">
        <v>512255.19436468452</v>
      </c>
      <c r="Q13" s="213">
        <v>524251.17985824175</v>
      </c>
      <c r="R13" s="213">
        <v>536548.26458768733</v>
      </c>
      <c r="S13" s="213">
        <v>549152.77643536904</v>
      </c>
      <c r="T13" s="213">
        <v>562069.88017687318</v>
      </c>
      <c r="U13" s="213">
        <v>575311.2032222891</v>
      </c>
      <c r="V13" s="213">
        <v>588884.88347614498</v>
      </c>
    </row>
    <row r="14" spans="1:22" x14ac:dyDescent="0.2">
      <c r="A14">
        <f>Summary!A22</f>
        <v>6</v>
      </c>
      <c r="B14" s="9" t="s">
        <v>60</v>
      </c>
      <c r="C14" s="211">
        <v>0</v>
      </c>
      <c r="D14" s="213">
        <v>388299.7921559058</v>
      </c>
      <c r="E14" s="213">
        <v>397276.51828614395</v>
      </c>
      <c r="F14" s="213">
        <v>406449.83471863432</v>
      </c>
      <c r="G14" s="213">
        <v>415830.46810249891</v>
      </c>
      <c r="H14" s="213">
        <v>425434.36056089948</v>
      </c>
      <c r="I14" s="213">
        <v>435680.84021321853</v>
      </c>
      <c r="J14" s="213">
        <v>445769.5798686521</v>
      </c>
      <c r="K14" s="213">
        <v>456535.8470507703</v>
      </c>
      <c r="L14" s="213">
        <v>467135.4529866915</v>
      </c>
      <c r="M14" s="213">
        <v>478005.34887397866</v>
      </c>
      <c r="N14" s="213">
        <v>489138.29624173819</v>
      </c>
      <c r="O14" s="213">
        <v>500551.79388316523</v>
      </c>
      <c r="P14" s="213">
        <v>512255.19436468452</v>
      </c>
      <c r="Q14" s="213">
        <v>524251.17985824175</v>
      </c>
      <c r="R14" s="213">
        <v>536548.26458768733</v>
      </c>
      <c r="S14" s="213">
        <v>549152.77643536904</v>
      </c>
      <c r="T14" s="213">
        <v>562069.88017687318</v>
      </c>
      <c r="U14" s="213">
        <v>575311.2032222891</v>
      </c>
      <c r="V14" s="213">
        <v>588884.88347614498</v>
      </c>
    </row>
    <row r="15" spans="1:22" x14ac:dyDescent="0.2">
      <c r="A15">
        <f>Summary!A23</f>
        <v>7</v>
      </c>
      <c r="B15" t="s">
        <v>61</v>
      </c>
      <c r="C15" s="211">
        <v>0</v>
      </c>
      <c r="D15" s="213">
        <v>784147.16871290235</v>
      </c>
      <c r="E15" s="213">
        <v>791825.82781056478</v>
      </c>
      <c r="F15" s="213">
        <v>799672.64954246604</v>
      </c>
      <c r="G15" s="213">
        <v>807696.80944550817</v>
      </c>
      <c r="H15" s="213">
        <v>815911.94435424276</v>
      </c>
      <c r="I15" s="213">
        <v>824678.59368557215</v>
      </c>
      <c r="J15" s="213">
        <v>833308.46513482928</v>
      </c>
      <c r="K15" s="213">
        <v>842519.83192443964</v>
      </c>
      <c r="L15" s="213">
        <v>851586.69654419599</v>
      </c>
      <c r="M15" s="213">
        <v>860884.76621175604</v>
      </c>
      <c r="N15" s="213">
        <v>870407.84916527104</v>
      </c>
      <c r="O15" s="213">
        <v>880170.9138092146</v>
      </c>
      <c r="P15" s="213">
        <v>890181.96029511432</v>
      </c>
      <c r="Q15" s="213">
        <v>900443.28294316155</v>
      </c>
      <c r="R15" s="213">
        <v>910962.1647896748</v>
      </c>
      <c r="S15" s="213">
        <v>921744.01868235087</v>
      </c>
      <c r="T15" s="213">
        <v>932793.26255156531</v>
      </c>
      <c r="U15" s="213">
        <v>944119.84244189702</v>
      </c>
      <c r="V15" s="213">
        <v>955730.71948747605</v>
      </c>
    </row>
    <row r="16" spans="1:22" x14ac:dyDescent="0.2">
      <c r="A16">
        <f>Summary!A24</f>
        <v>8</v>
      </c>
      <c r="B16" t="s">
        <v>62</v>
      </c>
      <c r="C16" s="211">
        <v>0</v>
      </c>
      <c r="D16" s="213">
        <v>200917.67593297298</v>
      </c>
      <c r="E16" s="213">
        <v>205641.43199241639</v>
      </c>
      <c r="F16" s="213">
        <v>218077.27806039757</v>
      </c>
      <c r="G16" s="213">
        <v>229740.23732528751</v>
      </c>
      <c r="H16" s="213">
        <v>277364.27038042538</v>
      </c>
      <c r="I16" s="213">
        <v>345386.73370678158</v>
      </c>
      <c r="J16" s="213">
        <v>385353.45526847139</v>
      </c>
      <c r="K16" s="213">
        <v>421308.50507779239</v>
      </c>
      <c r="L16" s="213">
        <v>452769.73269078415</v>
      </c>
      <c r="M16" s="213">
        <v>463724.02074573957</v>
      </c>
      <c r="N16" s="213">
        <v>469582.42912591412</v>
      </c>
      <c r="O16" s="213">
        <v>475922.50254742149</v>
      </c>
      <c r="P16" s="213">
        <v>482081.0962416688</v>
      </c>
      <c r="Q16" s="213">
        <v>488393.65477827226</v>
      </c>
      <c r="R16" s="213">
        <v>494864.65853414452</v>
      </c>
      <c r="S16" s="213">
        <v>501497.43738391355</v>
      </c>
      <c r="T16" s="213">
        <v>508294.70914915687</v>
      </c>
      <c r="U16" s="213">
        <v>515262.5924357078</v>
      </c>
      <c r="V16" s="213">
        <v>522405.36959275114</v>
      </c>
    </row>
    <row r="17" spans="1:22" x14ac:dyDescent="0.2">
      <c r="A17">
        <f>Summary!A25</f>
        <v>9</v>
      </c>
      <c r="B17" t="s">
        <v>63</v>
      </c>
      <c r="C17" s="211">
        <v>0</v>
      </c>
      <c r="D17" s="213">
        <v>408315.87348898494</v>
      </c>
      <c r="E17" s="213">
        <v>417397.215776205</v>
      </c>
      <c r="F17" s="213">
        <v>426677.43945951521</v>
      </c>
      <c r="G17" s="213">
        <v>445393.60991703469</v>
      </c>
      <c r="H17" s="213">
        <v>502785.0734297476</v>
      </c>
      <c r="I17" s="213">
        <v>638437.90786963713</v>
      </c>
      <c r="J17" s="213">
        <v>708139.9737642681</v>
      </c>
      <c r="K17" s="213">
        <v>779539.64570515463</v>
      </c>
      <c r="L17" s="213">
        <v>852788.96295934892</v>
      </c>
      <c r="M17" s="213">
        <v>895780.2172534219</v>
      </c>
      <c r="N17" s="213">
        <v>907042.90971450391</v>
      </c>
      <c r="O17" s="213">
        <v>918589.42202560499</v>
      </c>
      <c r="P17" s="213">
        <v>930429.21574940812</v>
      </c>
      <c r="Q17" s="213">
        <v>942565.00431630621</v>
      </c>
      <c r="R17" s="213">
        <v>955005.40117623354</v>
      </c>
      <c r="S17" s="213">
        <v>967756.80795765901</v>
      </c>
      <c r="T17" s="213">
        <v>980824.4496272637</v>
      </c>
      <c r="U17" s="213">
        <v>994220.08910277579</v>
      </c>
      <c r="V17" s="213">
        <v>1007951.959129123</v>
      </c>
    </row>
    <row r="18" spans="1:22" x14ac:dyDescent="0.2">
      <c r="A18">
        <f>Summary!A26</f>
        <v>10</v>
      </c>
      <c r="B18" t="s">
        <v>64</v>
      </c>
      <c r="C18" s="211">
        <v>0</v>
      </c>
      <c r="D18" s="213">
        <v>695592.31143923826</v>
      </c>
      <c r="E18" s="213">
        <v>709213.75904706703</v>
      </c>
      <c r="F18" s="213">
        <v>723133.51635750732</v>
      </c>
      <c r="G18" s="213">
        <v>737367.86018316343</v>
      </c>
      <c r="H18" s="213">
        <v>751940.98139187018</v>
      </c>
      <c r="I18" s="213">
        <v>767475.72838574066</v>
      </c>
      <c r="J18" s="213">
        <v>782784.56555551931</v>
      </c>
      <c r="K18" s="213">
        <v>799107.37012358126</v>
      </c>
      <c r="L18" s="213">
        <v>815191.40508521721</v>
      </c>
      <c r="M18" s="213">
        <v>831685.58293837484</v>
      </c>
      <c r="N18" s="213">
        <v>848578.91989557899</v>
      </c>
      <c r="O18" s="213">
        <v>865897.96894410462</v>
      </c>
      <c r="P18" s="213">
        <v>883656.92183846282</v>
      </c>
      <c r="Q18" s="213">
        <v>901859.84855517989</v>
      </c>
      <c r="R18" s="213">
        <v>920519.66873248655</v>
      </c>
      <c r="S18" s="213">
        <v>939645.98441422591</v>
      </c>
      <c r="T18" s="213">
        <v>959246.63272487244</v>
      </c>
      <c r="U18" s="213">
        <v>979339.25730811618</v>
      </c>
      <c r="V18" s="213">
        <v>999936.20676839934</v>
      </c>
    </row>
    <row r="19" spans="1:22" x14ac:dyDescent="0.2">
      <c r="A19">
        <f>Summary!A27</f>
        <v>11</v>
      </c>
      <c r="B19" t="s">
        <v>65</v>
      </c>
      <c r="C19" s="211">
        <v>0</v>
      </c>
      <c r="D19" s="213">
        <v>695592.31143923826</v>
      </c>
      <c r="E19" s="213">
        <v>709213.75904706703</v>
      </c>
      <c r="F19" s="213">
        <v>723133.51635750732</v>
      </c>
      <c r="G19" s="213">
        <v>737367.86018316343</v>
      </c>
      <c r="H19" s="213">
        <v>751940.98139187018</v>
      </c>
      <c r="I19" s="213">
        <v>767475.72838574066</v>
      </c>
      <c r="J19" s="213">
        <v>783396.23767347389</v>
      </c>
      <c r="K19" s="213">
        <v>799092.57314886758</v>
      </c>
      <c r="L19" s="213">
        <v>815819.43590521172</v>
      </c>
      <c r="M19" s="213">
        <v>832313.61375836935</v>
      </c>
      <c r="N19" s="213">
        <v>849206.9507155735</v>
      </c>
      <c r="O19" s="213">
        <v>866525.99976409914</v>
      </c>
      <c r="P19" s="213">
        <v>884284.95265845733</v>
      </c>
      <c r="Q19" s="213">
        <v>902487.87937517441</v>
      </c>
      <c r="R19" s="213">
        <v>921147.69955248106</v>
      </c>
      <c r="S19" s="213">
        <v>940274.01523422042</v>
      </c>
      <c r="T19" s="213">
        <v>959874.66354486695</v>
      </c>
      <c r="U19" s="213">
        <v>979967.2881281107</v>
      </c>
      <c r="V19" s="213">
        <v>1000564.2375883939</v>
      </c>
    </row>
    <row r="20" spans="1:22" x14ac:dyDescent="0.2">
      <c r="A20">
        <f>Summary!A28</f>
        <v>12</v>
      </c>
      <c r="B20" t="s">
        <v>66</v>
      </c>
      <c r="C20" s="211">
        <v>0</v>
      </c>
      <c r="D20" s="213">
        <v>246782.10002979756</v>
      </c>
      <c r="E20" s="213">
        <v>252279.40785605877</v>
      </c>
      <c r="F20" s="213">
        <v>258194.95159471416</v>
      </c>
      <c r="G20" s="213">
        <v>269260.24904317735</v>
      </c>
      <c r="H20" s="213">
        <v>319346.27472927398</v>
      </c>
      <c r="I20" s="213">
        <v>397860.88812231994</v>
      </c>
      <c r="J20" s="213">
        <v>444395.53228181263</v>
      </c>
      <c r="K20" s="213">
        <v>491727.39472005737</v>
      </c>
      <c r="L20" s="213">
        <v>528611.10408568254</v>
      </c>
      <c r="M20" s="213">
        <v>547568.39356061188</v>
      </c>
      <c r="N20" s="213">
        <v>554386.16184341395</v>
      </c>
      <c r="O20" s="213">
        <v>561746.13690852013</v>
      </c>
      <c r="P20" s="213">
        <v>568913.2481835545</v>
      </c>
      <c r="Q20" s="213">
        <v>576259.53724046471</v>
      </c>
      <c r="R20" s="213">
        <v>583790.21815270325</v>
      </c>
      <c r="S20" s="213">
        <v>591509.1660877479</v>
      </c>
      <c r="T20" s="213">
        <v>599419.54393158155</v>
      </c>
      <c r="U20" s="213">
        <v>607528.47225929552</v>
      </c>
      <c r="V20" s="213">
        <v>615840.93468803505</v>
      </c>
    </row>
    <row r="21" spans="1:22" x14ac:dyDescent="0.2">
      <c r="A21">
        <f>Summary!A29</f>
        <v>13</v>
      </c>
      <c r="B21" t="s">
        <v>67</v>
      </c>
      <c r="C21" s="211">
        <v>0</v>
      </c>
      <c r="D21" s="213">
        <v>246782.10002979756</v>
      </c>
      <c r="E21" s="213">
        <v>252279.40785605877</v>
      </c>
      <c r="F21" s="213">
        <v>257897.10672371511</v>
      </c>
      <c r="G21" s="213">
        <v>268962.4041721783</v>
      </c>
      <c r="H21" s="213">
        <v>318736.43470004259</v>
      </c>
      <c r="I21" s="213">
        <v>402826.88221865153</v>
      </c>
      <c r="J21" s="213">
        <v>443315.6150709971</v>
      </c>
      <c r="K21" s="213">
        <v>490647.4775092419</v>
      </c>
      <c r="L21" s="213">
        <v>533196.673363126</v>
      </c>
      <c r="M21" s="213">
        <v>552153.96283805545</v>
      </c>
      <c r="N21" s="213">
        <v>558971.73112085753</v>
      </c>
      <c r="O21" s="213">
        <v>565961.30716438626</v>
      </c>
      <c r="P21" s="213">
        <v>573128.41843942064</v>
      </c>
      <c r="Q21" s="213">
        <v>580474.70749633084</v>
      </c>
      <c r="R21" s="213">
        <v>588005.38840856939</v>
      </c>
      <c r="S21" s="213">
        <v>595724.33634361404</v>
      </c>
      <c r="T21" s="213">
        <v>603634.71418744768</v>
      </c>
      <c r="U21" s="213">
        <v>611743.64251516166</v>
      </c>
      <c r="V21" s="213">
        <v>620056.10494390118</v>
      </c>
    </row>
    <row r="22" spans="1:22" x14ac:dyDescent="0.2">
      <c r="A22">
        <f>Summary!A30</f>
        <v>14</v>
      </c>
      <c r="B22" t="s">
        <v>70</v>
      </c>
      <c r="C22" s="211">
        <v>0</v>
      </c>
      <c r="D22" s="213">
        <v>335704.19713303557</v>
      </c>
      <c r="E22" s="213">
        <v>343014.86407706462</v>
      </c>
      <c r="F22" s="213">
        <v>351211.64025173546</v>
      </c>
      <c r="G22" s="213">
        <v>366096.3750998766</v>
      </c>
      <c r="H22" s="213">
        <v>433641.92523250828</v>
      </c>
      <c r="I22" s="213">
        <v>540363.49130283296</v>
      </c>
      <c r="J22" s="213">
        <v>603486.29148456</v>
      </c>
      <c r="K22" s="213">
        <v>667736.49917744473</v>
      </c>
      <c r="L22" s="213">
        <v>717705.25558650738</v>
      </c>
      <c r="M22" s="213">
        <v>743736.79485686333</v>
      </c>
      <c r="N22" s="213">
        <v>752803.49346504896</v>
      </c>
      <c r="O22" s="213">
        <v>762550.10212738323</v>
      </c>
      <c r="P22" s="213">
        <v>772081.37909758824</v>
      </c>
      <c r="Q22" s="213">
        <v>781850.93799204845</v>
      </c>
      <c r="R22" s="213">
        <v>791865.71281475946</v>
      </c>
      <c r="S22" s="213">
        <v>802130.85700803844</v>
      </c>
      <c r="T22" s="213">
        <v>812650.57677731058</v>
      </c>
      <c r="U22" s="213">
        <v>823434.34151279158</v>
      </c>
      <c r="V22" s="213">
        <v>834488.77874313318</v>
      </c>
    </row>
    <row r="23" spans="1:22" x14ac:dyDescent="0.2">
      <c r="A23">
        <f>Summary!A31</f>
        <v>15</v>
      </c>
      <c r="B23" t="s">
        <v>68</v>
      </c>
      <c r="C23" s="211">
        <v>0</v>
      </c>
      <c r="D23" s="213">
        <v>393146.92768722383</v>
      </c>
      <c r="E23" s="213">
        <v>401581.91946863168</v>
      </c>
      <c r="F23" s="213">
        <v>410201.63757005235</v>
      </c>
      <c r="G23" s="213">
        <v>427506.54202354047</v>
      </c>
      <c r="H23" s="213">
        <v>480416.52607496188</v>
      </c>
      <c r="I23" s="213">
        <v>605335.88498421118</v>
      </c>
      <c r="J23" s="213">
        <v>670008.32549128286</v>
      </c>
      <c r="K23" s="213">
        <v>735803.34383301751</v>
      </c>
      <c r="L23" s="213">
        <v>803302.70779316197</v>
      </c>
      <c r="M23" s="213">
        <v>842959.57496671076</v>
      </c>
      <c r="N23" s="213">
        <v>854544.48888906196</v>
      </c>
      <c r="O23" s="213">
        <v>865269.19602680788</v>
      </c>
      <c r="P23" s="213">
        <v>876266.31072585238</v>
      </c>
      <c r="Q23" s="213">
        <v>887538.35329237324</v>
      </c>
      <c r="R23" s="213">
        <v>899093.32412731368</v>
      </c>
      <c r="S23" s="213">
        <v>910937.1692331275</v>
      </c>
      <c r="T23" s="213">
        <v>923074.74169756565</v>
      </c>
      <c r="U23" s="213">
        <v>935516.96723086108</v>
      </c>
      <c r="V23" s="213">
        <v>948271.49262504233</v>
      </c>
    </row>
    <row r="24" spans="1:22" x14ac:dyDescent="0.2">
      <c r="A24">
        <f>Summary!A32</f>
        <v>16</v>
      </c>
      <c r="B24" t="s">
        <v>69</v>
      </c>
      <c r="C24" s="211">
        <v>0</v>
      </c>
      <c r="D24" s="213">
        <v>622178.02254541276</v>
      </c>
      <c r="E24" s="213">
        <v>634728.91178321629</v>
      </c>
      <c r="F24" s="213">
        <v>647554.66549532767</v>
      </c>
      <c r="G24" s="213">
        <v>674141.68532178691</v>
      </c>
      <c r="H24" s="213">
        <v>757099.3386478126</v>
      </c>
      <c r="I24" s="213">
        <v>954391.59431861481</v>
      </c>
      <c r="J24" s="213">
        <v>1070440.8160466931</v>
      </c>
      <c r="K24" s="213">
        <v>1188704.8829434384</v>
      </c>
      <c r="L24" s="213">
        <v>1294820.7134243704</v>
      </c>
      <c r="M24" s="213">
        <v>1356734.7117486731</v>
      </c>
      <c r="N24" s="213">
        <v>1373610.2474642694</v>
      </c>
      <c r="O24" s="213">
        <v>1389568.1303978865</v>
      </c>
      <c r="P24" s="213">
        <v>1405931.3435580172</v>
      </c>
      <c r="Q24" s="213">
        <v>1422703.6370471516</v>
      </c>
      <c r="R24" s="213">
        <v>1439896.9151028628</v>
      </c>
      <c r="S24" s="213">
        <v>1457520.0251099672</v>
      </c>
      <c r="T24" s="213">
        <v>1475580.1882452476</v>
      </c>
      <c r="U24" s="213">
        <v>1494093.6614752237</v>
      </c>
      <c r="V24" s="213">
        <v>1513071.8228832721</v>
      </c>
    </row>
    <row r="25" spans="1:22" x14ac:dyDescent="0.2">
      <c r="A25">
        <f>Summary!A33</f>
        <v>17</v>
      </c>
      <c r="B25" t="s">
        <v>71</v>
      </c>
      <c r="C25" s="211">
        <v>0</v>
      </c>
      <c r="D25" s="213">
        <v>261504.61651770968</v>
      </c>
      <c r="E25" s="213">
        <v>268705.31722248165</v>
      </c>
      <c r="F25" s="213">
        <v>276063.71327268815</v>
      </c>
      <c r="G25" s="213">
        <v>283588.40907362924</v>
      </c>
      <c r="H25" s="213">
        <v>291597.99355411256</v>
      </c>
      <c r="I25" s="213">
        <v>299494.83470563003</v>
      </c>
      <c r="J25" s="213">
        <v>307908.54317454871</v>
      </c>
      <c r="K25" s="213">
        <v>316206.09106916783</v>
      </c>
      <c r="L25" s="213">
        <v>325045.9424579406</v>
      </c>
      <c r="M25" s="213">
        <v>334343.51653681166</v>
      </c>
      <c r="N25" s="213">
        <v>343867.42264738772</v>
      </c>
      <c r="O25" s="213">
        <v>354846.99860727746</v>
      </c>
      <c r="P25" s="213">
        <v>364234.90716913401</v>
      </c>
      <c r="Q25" s="213">
        <v>373857.51344503701</v>
      </c>
      <c r="R25" s="213">
        <v>383721.64713846514</v>
      </c>
      <c r="S25" s="213">
        <v>393832.384174229</v>
      </c>
      <c r="T25" s="213">
        <v>404193.86748847977</v>
      </c>
      <c r="U25" s="213">
        <v>414815.4240339183</v>
      </c>
      <c r="V25" s="213">
        <v>425703.58164864732</v>
      </c>
    </row>
    <row r="26" spans="1:22" x14ac:dyDescent="0.2">
      <c r="A26">
        <f>Summary!A34</f>
        <v>18</v>
      </c>
      <c r="B26" t="s">
        <v>72</v>
      </c>
      <c r="C26" s="211">
        <v>0</v>
      </c>
      <c r="D26" s="213">
        <v>3795503.9630393567</v>
      </c>
      <c r="E26" s="213">
        <v>3803753.9174171099</v>
      </c>
      <c r="F26" s="213">
        <v>3812184.5457957359</v>
      </c>
      <c r="G26" s="213">
        <v>3820805.7063757186</v>
      </c>
      <c r="H26" s="213">
        <v>3829632.050577505</v>
      </c>
      <c r="I26" s="213">
        <v>3838679.5838523163</v>
      </c>
      <c r="J26" s="213">
        <v>3847951.5211576093</v>
      </c>
      <c r="K26" s="213">
        <v>3857458.1503572459</v>
      </c>
      <c r="L26" s="213">
        <v>3867199.5932981134</v>
      </c>
      <c r="M26" s="213">
        <v>3877189.4430339732</v>
      </c>
      <c r="N26" s="213">
        <v>3887421.0471334406</v>
      </c>
      <c r="O26" s="213">
        <v>3897910.4876562147</v>
      </c>
      <c r="P26" s="213">
        <v>3908666.3599682674</v>
      </c>
      <c r="Q26" s="213">
        <v>3919691.1290881215</v>
      </c>
      <c r="R26" s="213">
        <v>3930992.6199128837</v>
      </c>
      <c r="S26" s="213">
        <v>3942576.6480082651</v>
      </c>
      <c r="T26" s="213">
        <v>3954447.9600004116</v>
      </c>
      <c r="U26" s="213">
        <v>3966617.2419235613</v>
      </c>
      <c r="V26" s="213">
        <v>3979091.9728229819</v>
      </c>
    </row>
    <row r="27" spans="1:22" x14ac:dyDescent="0.2">
      <c r="A27">
        <f>Summary!A35</f>
        <v>19</v>
      </c>
      <c r="B27" t="s">
        <v>73</v>
      </c>
      <c r="C27" s="211">
        <v>0</v>
      </c>
      <c r="D27" s="213">
        <v>71397.469478267958</v>
      </c>
      <c r="E27" s="213">
        <v>71397.469478267958</v>
      </c>
      <c r="F27" s="213">
        <v>71397.469478267958</v>
      </c>
      <c r="G27" s="213">
        <v>71397.469478267958</v>
      </c>
      <c r="H27" s="213">
        <v>71397.469478267958</v>
      </c>
      <c r="I27" s="213">
        <v>71397.469478267958</v>
      </c>
      <c r="J27" s="213">
        <v>71397.469478267958</v>
      </c>
      <c r="K27" s="213">
        <v>71397.469478267958</v>
      </c>
      <c r="L27" s="213">
        <v>71397.469478267958</v>
      </c>
      <c r="M27" s="213">
        <v>71397.469478267958</v>
      </c>
      <c r="N27" s="213">
        <v>71397.469478267958</v>
      </c>
      <c r="O27" s="213">
        <v>71397.469478267958</v>
      </c>
      <c r="P27" s="213">
        <v>71397.469478267958</v>
      </c>
      <c r="Q27" s="213">
        <v>71397.469478267958</v>
      </c>
      <c r="R27" s="213">
        <v>71397.469478267958</v>
      </c>
      <c r="S27" s="213">
        <v>71397.469478267958</v>
      </c>
      <c r="T27" s="213">
        <v>71397.469478267958</v>
      </c>
      <c r="U27" s="213">
        <v>71397.469478267958</v>
      </c>
      <c r="V27" s="213">
        <v>71397.469478267958</v>
      </c>
    </row>
    <row r="28" spans="1:22" x14ac:dyDescent="0.2">
      <c r="A28">
        <f>Summary!A36</f>
        <v>20</v>
      </c>
      <c r="B28" t="s">
        <v>74</v>
      </c>
      <c r="C28" s="211">
        <v>0</v>
      </c>
      <c r="D28" s="213">
        <v>11310.490214379086</v>
      </c>
      <c r="E28" s="213">
        <v>11310.490214379086</v>
      </c>
      <c r="F28" s="213">
        <v>11310.490214379086</v>
      </c>
      <c r="G28" s="213">
        <v>11310.490214379086</v>
      </c>
      <c r="H28" s="213">
        <v>11310.490214379086</v>
      </c>
      <c r="I28" s="213">
        <v>11310.490214379086</v>
      </c>
      <c r="J28" s="213">
        <v>11310.490214379086</v>
      </c>
      <c r="K28" s="213">
        <v>11310.490214379086</v>
      </c>
      <c r="L28" s="213">
        <v>11310.490214379086</v>
      </c>
      <c r="M28" s="213">
        <v>11310.490214379086</v>
      </c>
      <c r="N28" s="213">
        <v>11310.490214379086</v>
      </c>
      <c r="O28" s="213">
        <v>11310.490214379086</v>
      </c>
      <c r="P28" s="213">
        <v>11310.490214379086</v>
      </c>
      <c r="Q28" s="213">
        <v>11310.490214379086</v>
      </c>
      <c r="R28" s="213">
        <v>11310.490214379086</v>
      </c>
      <c r="S28" s="213">
        <v>11310.490214379086</v>
      </c>
      <c r="T28" s="213">
        <v>11310.490214379086</v>
      </c>
      <c r="U28" s="213">
        <v>11310.490214379086</v>
      </c>
      <c r="V28" s="213">
        <v>11310.490214379086</v>
      </c>
    </row>
    <row r="29" spans="1:22" x14ac:dyDescent="0.2">
      <c r="A29">
        <f>Summary!A37</f>
        <v>21</v>
      </c>
      <c r="B29" t="s">
        <v>75</v>
      </c>
      <c r="C29" s="211">
        <v>0</v>
      </c>
      <c r="D29" s="213">
        <v>25448.602982352939</v>
      </c>
      <c r="E29" s="213">
        <v>25448.602982352939</v>
      </c>
      <c r="F29" s="213">
        <v>25448.602982352939</v>
      </c>
      <c r="G29" s="213">
        <v>25448.602982352939</v>
      </c>
      <c r="H29" s="213">
        <v>25448.602982352939</v>
      </c>
      <c r="I29" s="213">
        <v>25448.602982352939</v>
      </c>
      <c r="J29" s="213">
        <v>25448.602982352939</v>
      </c>
      <c r="K29" s="213">
        <v>25448.602982352939</v>
      </c>
      <c r="L29" s="213">
        <v>25448.602982352939</v>
      </c>
      <c r="M29" s="213">
        <v>25448.602982352939</v>
      </c>
      <c r="N29" s="213">
        <v>25448.602982352939</v>
      </c>
      <c r="O29" s="213">
        <v>25448.602982352939</v>
      </c>
      <c r="P29" s="213">
        <v>25448.602982352939</v>
      </c>
      <c r="Q29" s="213">
        <v>25448.602982352939</v>
      </c>
      <c r="R29" s="213">
        <v>25448.602982352939</v>
      </c>
      <c r="S29" s="213">
        <v>25448.602982352939</v>
      </c>
      <c r="T29" s="213">
        <v>25448.602982352939</v>
      </c>
      <c r="U29" s="213">
        <v>25448.602982352939</v>
      </c>
      <c r="V29" s="213">
        <v>25448.602982352939</v>
      </c>
    </row>
    <row r="30" spans="1:22" x14ac:dyDescent="0.2">
      <c r="A30">
        <f>Summary!A38</f>
        <v>22</v>
      </c>
      <c r="B30" t="s">
        <v>86</v>
      </c>
      <c r="C30" s="211">
        <v>0</v>
      </c>
      <c r="D30" s="213">
        <v>59295.153725000004</v>
      </c>
      <c r="E30" s="213">
        <v>59295.153725000004</v>
      </c>
      <c r="F30" s="213">
        <v>59295.153725000004</v>
      </c>
      <c r="G30" s="213">
        <v>59295.153725000004</v>
      </c>
      <c r="H30" s="213">
        <v>59295.153725000004</v>
      </c>
      <c r="I30" s="213">
        <v>59295.153725000004</v>
      </c>
      <c r="J30" s="213">
        <v>59295.153725000004</v>
      </c>
      <c r="K30" s="213">
        <v>59295.153725000004</v>
      </c>
      <c r="L30" s="213">
        <v>59295.153725000004</v>
      </c>
      <c r="M30" s="213">
        <v>59295.153725000004</v>
      </c>
      <c r="N30" s="213">
        <v>59295.153725000004</v>
      </c>
      <c r="O30" s="213">
        <v>59295.153725000004</v>
      </c>
      <c r="P30" s="213">
        <v>59295.153725000004</v>
      </c>
      <c r="Q30" s="213">
        <v>59295.153725000004</v>
      </c>
      <c r="R30" s="213">
        <v>59295.153725000004</v>
      </c>
      <c r="S30" s="213">
        <v>59295.153725000004</v>
      </c>
      <c r="T30" s="213">
        <v>59295.153725000004</v>
      </c>
      <c r="U30" s="213">
        <v>59295.153725000004</v>
      </c>
      <c r="V30" s="213">
        <v>59295.153725000004</v>
      </c>
    </row>
    <row r="31" spans="1:22" x14ac:dyDescent="0.2">
      <c r="A31">
        <f>Summary!A39</f>
        <v>23</v>
      </c>
      <c r="B31" t="s">
        <v>76</v>
      </c>
      <c r="C31" s="211">
        <v>0</v>
      </c>
      <c r="D31" s="213">
        <v>45161.410471875002</v>
      </c>
      <c r="E31" s="213">
        <v>45161.410471875002</v>
      </c>
      <c r="F31" s="213">
        <v>45161.410471875002</v>
      </c>
      <c r="G31" s="213">
        <v>45161.410471875002</v>
      </c>
      <c r="H31" s="213">
        <v>45161.410471875002</v>
      </c>
      <c r="I31" s="213">
        <v>45161.410471875002</v>
      </c>
      <c r="J31" s="213">
        <v>45161.410471875002</v>
      </c>
      <c r="K31" s="213">
        <v>45161.410471875002</v>
      </c>
      <c r="L31" s="213">
        <v>45161.410471875002</v>
      </c>
      <c r="M31" s="213">
        <v>45161.410471875002</v>
      </c>
      <c r="N31" s="213">
        <v>45161.410471875002</v>
      </c>
      <c r="O31" s="213">
        <v>45161.410471875002</v>
      </c>
      <c r="P31" s="213">
        <v>45161.410471875002</v>
      </c>
      <c r="Q31" s="213">
        <v>45161.410471875002</v>
      </c>
      <c r="R31" s="213">
        <v>45161.410471875002</v>
      </c>
      <c r="S31" s="213">
        <v>45161.410471875002</v>
      </c>
      <c r="T31" s="213">
        <v>45161.410471875002</v>
      </c>
      <c r="U31" s="213">
        <v>45161.410471875002</v>
      </c>
      <c r="V31" s="213">
        <v>45161.410471875002</v>
      </c>
    </row>
    <row r="32" spans="1:22" x14ac:dyDescent="0.2">
      <c r="A32">
        <f>Summary!A40</f>
        <v>24</v>
      </c>
      <c r="B32" t="s">
        <v>77</v>
      </c>
      <c r="C32" s="211">
        <v>0</v>
      </c>
      <c r="D32" s="213">
        <v>45161.410471875002</v>
      </c>
      <c r="E32" s="213">
        <v>45161.410471875002</v>
      </c>
      <c r="F32" s="213">
        <v>45161.410471875002</v>
      </c>
      <c r="G32" s="213">
        <v>45161.410471875002</v>
      </c>
      <c r="H32" s="213">
        <v>45161.410471875002</v>
      </c>
      <c r="I32" s="213">
        <v>45161.410471875002</v>
      </c>
      <c r="J32" s="213">
        <v>45161.410471875002</v>
      </c>
      <c r="K32" s="213">
        <v>45161.410471875002</v>
      </c>
      <c r="L32" s="213">
        <v>45161.410471875002</v>
      </c>
      <c r="M32" s="213">
        <v>45161.410471875002</v>
      </c>
      <c r="N32" s="213">
        <v>45161.410471875002</v>
      </c>
      <c r="O32" s="213">
        <v>45161.410471875002</v>
      </c>
      <c r="P32" s="213">
        <v>45161.410471875002</v>
      </c>
      <c r="Q32" s="213">
        <v>45161.410471875002</v>
      </c>
      <c r="R32" s="213">
        <v>45161.410471875002</v>
      </c>
      <c r="S32" s="213">
        <v>45161.410471875002</v>
      </c>
      <c r="T32" s="213">
        <v>45161.410471875002</v>
      </c>
      <c r="U32" s="213">
        <v>45161.410471875002</v>
      </c>
      <c r="V32" s="213">
        <v>45161.410471875002</v>
      </c>
    </row>
    <row r="33" spans="1:22" x14ac:dyDescent="0.2">
      <c r="A33">
        <f>Summary!A41</f>
        <v>25</v>
      </c>
      <c r="B33" t="s">
        <v>78</v>
      </c>
      <c r="C33" s="211">
        <v>0</v>
      </c>
      <c r="D33" s="213">
        <v>45161.410471875002</v>
      </c>
      <c r="E33" s="213">
        <v>45161.410471875002</v>
      </c>
      <c r="F33" s="213">
        <v>45161.410471875002</v>
      </c>
      <c r="G33" s="213">
        <v>45161.410471875002</v>
      </c>
      <c r="H33" s="213">
        <v>45161.410471875002</v>
      </c>
      <c r="I33" s="213">
        <v>45161.410471875002</v>
      </c>
      <c r="J33" s="213">
        <v>45161.410471875002</v>
      </c>
      <c r="K33" s="213">
        <v>45161.410471875002</v>
      </c>
      <c r="L33" s="213">
        <v>45161.410471875002</v>
      </c>
      <c r="M33" s="213">
        <v>45161.410471875002</v>
      </c>
      <c r="N33" s="213">
        <v>45161.410471875002</v>
      </c>
      <c r="O33" s="213">
        <v>45161.410471875002</v>
      </c>
      <c r="P33" s="213">
        <v>45161.410471875002</v>
      </c>
      <c r="Q33" s="213">
        <v>45161.410471875002</v>
      </c>
      <c r="R33" s="213">
        <v>45161.410471875002</v>
      </c>
      <c r="S33" s="213">
        <v>45161.410471875002</v>
      </c>
      <c r="T33" s="213">
        <v>45161.410471875002</v>
      </c>
      <c r="U33" s="213">
        <v>45161.410471875002</v>
      </c>
      <c r="V33" s="213">
        <v>45161.410471875002</v>
      </c>
    </row>
    <row r="34" spans="1:22" x14ac:dyDescent="0.2">
      <c r="A34">
        <f>Summary!A42</f>
        <v>26</v>
      </c>
      <c r="B34" t="s">
        <v>79</v>
      </c>
      <c r="C34" s="211">
        <v>0</v>
      </c>
      <c r="D34" s="213">
        <v>45161.410471875002</v>
      </c>
      <c r="E34" s="213">
        <v>45161.410471875002</v>
      </c>
      <c r="F34" s="213">
        <v>45161.410471875002</v>
      </c>
      <c r="G34" s="213">
        <v>45161.410471875002</v>
      </c>
      <c r="H34" s="213">
        <v>45161.410471875002</v>
      </c>
      <c r="I34" s="213">
        <v>45161.410471875002</v>
      </c>
      <c r="J34" s="213">
        <v>45161.410471875002</v>
      </c>
      <c r="K34" s="213">
        <v>45161.410471875002</v>
      </c>
      <c r="L34" s="213">
        <v>45161.410471875002</v>
      </c>
      <c r="M34" s="213">
        <v>45161.410471875002</v>
      </c>
      <c r="N34" s="213">
        <v>45161.410471875002</v>
      </c>
      <c r="O34" s="213">
        <v>45161.410471875002</v>
      </c>
      <c r="P34" s="213">
        <v>45161.410471875002</v>
      </c>
      <c r="Q34" s="213">
        <v>45161.410471875002</v>
      </c>
      <c r="R34" s="213">
        <v>45161.410471875002</v>
      </c>
      <c r="S34" s="213">
        <v>45161.410471875002</v>
      </c>
      <c r="T34" s="213">
        <v>45161.410471875002</v>
      </c>
      <c r="U34" s="213">
        <v>45161.410471875002</v>
      </c>
      <c r="V34" s="213">
        <v>45161.410471875002</v>
      </c>
    </row>
    <row r="35" spans="1:22" x14ac:dyDescent="0.2">
      <c r="A35">
        <f>Summary!A43</f>
        <v>27</v>
      </c>
      <c r="B35" t="s">
        <v>80</v>
      </c>
      <c r="C35" s="211">
        <v>0</v>
      </c>
      <c r="D35" s="213">
        <v>171612.57929687499</v>
      </c>
      <c r="E35" s="213">
        <v>171612.57929687499</v>
      </c>
      <c r="F35" s="213">
        <v>171612.57929687499</v>
      </c>
      <c r="G35" s="213">
        <v>171612.57929687499</v>
      </c>
      <c r="H35" s="213">
        <v>171612.57929687499</v>
      </c>
      <c r="I35" s="213">
        <v>171612.57929687499</v>
      </c>
      <c r="J35" s="213">
        <v>171612.57929687499</v>
      </c>
      <c r="K35" s="213">
        <v>171612.57929687499</v>
      </c>
      <c r="L35" s="213">
        <v>171612.57929687499</v>
      </c>
      <c r="M35" s="213">
        <v>171612.57929687499</v>
      </c>
      <c r="N35" s="213">
        <v>171612.57929687499</v>
      </c>
      <c r="O35" s="213">
        <v>171612.57929687499</v>
      </c>
      <c r="P35" s="213">
        <v>171612.57929687499</v>
      </c>
      <c r="Q35" s="213">
        <v>171612.57929687499</v>
      </c>
      <c r="R35" s="213">
        <v>171612.57929687499</v>
      </c>
      <c r="S35" s="213">
        <v>171612.57929687499</v>
      </c>
      <c r="T35" s="213">
        <v>171612.57929687499</v>
      </c>
      <c r="U35" s="213">
        <v>171612.57929687499</v>
      </c>
      <c r="V35" s="213">
        <v>171612.57929687499</v>
      </c>
    </row>
    <row r="36" spans="1:22" x14ac:dyDescent="0.2">
      <c r="A36">
        <f>Summary!A44</f>
        <v>28</v>
      </c>
      <c r="B36" t="s">
        <v>81</v>
      </c>
      <c r="C36" s="211">
        <v>0</v>
      </c>
      <c r="D36" s="213">
        <v>171612.57929687499</v>
      </c>
      <c r="E36" s="213">
        <v>171612.57929687499</v>
      </c>
      <c r="F36" s="213">
        <v>171612.57929687499</v>
      </c>
      <c r="G36" s="213">
        <v>171612.57929687499</v>
      </c>
      <c r="H36" s="213">
        <v>171612.57929687499</v>
      </c>
      <c r="I36" s="213">
        <v>171612.57929687499</v>
      </c>
      <c r="J36" s="213">
        <v>171612.57929687499</v>
      </c>
      <c r="K36" s="213">
        <v>171612.57929687499</v>
      </c>
      <c r="L36" s="213">
        <v>171612.57929687499</v>
      </c>
      <c r="M36" s="213">
        <v>171612.57929687499</v>
      </c>
      <c r="N36" s="213">
        <v>171612.57929687499</v>
      </c>
      <c r="O36" s="213">
        <v>171612.57929687499</v>
      </c>
      <c r="P36" s="213">
        <v>171612.57929687499</v>
      </c>
      <c r="Q36" s="213">
        <v>171612.57929687499</v>
      </c>
      <c r="R36" s="213">
        <v>171612.57929687499</v>
      </c>
      <c r="S36" s="213">
        <v>171612.57929687499</v>
      </c>
      <c r="T36" s="213">
        <v>171612.57929687499</v>
      </c>
      <c r="U36" s="213">
        <v>171612.57929687499</v>
      </c>
      <c r="V36" s="213">
        <v>171612.57929687499</v>
      </c>
    </row>
    <row r="37" spans="1:22" x14ac:dyDescent="0.2">
      <c r="A37">
        <f>Summary!A45</f>
        <v>29</v>
      </c>
      <c r="B37" t="s">
        <v>82</v>
      </c>
      <c r="C37" s="211">
        <v>0</v>
      </c>
      <c r="D37" s="213">
        <v>171612.57929687499</v>
      </c>
      <c r="E37" s="213">
        <v>171612.57929687499</v>
      </c>
      <c r="F37" s="213">
        <v>171612.57929687499</v>
      </c>
      <c r="G37" s="213">
        <v>171612.57929687499</v>
      </c>
      <c r="H37" s="213">
        <v>171612.57929687499</v>
      </c>
      <c r="I37" s="213">
        <v>171612.57929687499</v>
      </c>
      <c r="J37" s="213">
        <v>171612.57929687499</v>
      </c>
      <c r="K37" s="213">
        <v>171612.57929687499</v>
      </c>
      <c r="L37" s="213">
        <v>171612.57929687499</v>
      </c>
      <c r="M37" s="213">
        <v>171612.57929687499</v>
      </c>
      <c r="N37" s="213">
        <v>171612.57929687499</v>
      </c>
      <c r="O37" s="213">
        <v>171612.57929687499</v>
      </c>
      <c r="P37" s="213">
        <v>171612.57929687499</v>
      </c>
      <c r="Q37" s="213">
        <v>171612.57929687499</v>
      </c>
      <c r="R37" s="213">
        <v>171612.57929687499</v>
      </c>
      <c r="S37" s="213">
        <v>171612.57929687499</v>
      </c>
      <c r="T37" s="213">
        <v>171612.57929687499</v>
      </c>
      <c r="U37" s="213">
        <v>171612.57929687499</v>
      </c>
      <c r="V37" s="213">
        <v>171612.57929687499</v>
      </c>
    </row>
    <row r="38" spans="1:22" x14ac:dyDescent="0.2">
      <c r="A38">
        <f>Summary!A46</f>
        <v>30</v>
      </c>
      <c r="B38" t="s">
        <v>83</v>
      </c>
      <c r="C38" s="211">
        <v>0</v>
      </c>
      <c r="D38" s="213">
        <v>171612.57929687499</v>
      </c>
      <c r="E38" s="213">
        <v>171612.57929687499</v>
      </c>
      <c r="F38" s="213">
        <v>171612.57929687499</v>
      </c>
      <c r="G38" s="213">
        <v>171612.57929687499</v>
      </c>
      <c r="H38" s="213">
        <v>171612.57929687499</v>
      </c>
      <c r="I38" s="213">
        <v>171612.57929687499</v>
      </c>
      <c r="J38" s="213">
        <v>171612.57929687499</v>
      </c>
      <c r="K38" s="213">
        <v>171612.57929687499</v>
      </c>
      <c r="L38" s="213">
        <v>171612.57929687499</v>
      </c>
      <c r="M38" s="213">
        <v>171612.57929687499</v>
      </c>
      <c r="N38" s="213">
        <v>171612.57929687499</v>
      </c>
      <c r="O38" s="213">
        <v>171612.57929687499</v>
      </c>
      <c r="P38" s="213">
        <v>171612.57929687499</v>
      </c>
      <c r="Q38" s="213">
        <v>171612.57929687499</v>
      </c>
      <c r="R38" s="213">
        <v>171612.57929687499</v>
      </c>
      <c r="S38" s="213">
        <v>171612.57929687499</v>
      </c>
      <c r="T38" s="213">
        <v>171612.57929687499</v>
      </c>
      <c r="U38" s="213">
        <v>171612.57929687499</v>
      </c>
      <c r="V38" s="213">
        <v>171612.57929687499</v>
      </c>
    </row>
    <row r="39" spans="1:22" x14ac:dyDescent="0.2">
      <c r="A39">
        <f>Summary!A47</f>
        <v>31</v>
      </c>
      <c r="B39" t="s">
        <v>84</v>
      </c>
      <c r="C39" s="211">
        <v>0</v>
      </c>
      <c r="D39" s="213">
        <v>171612.57929687499</v>
      </c>
      <c r="E39" s="213">
        <v>171612.57929687499</v>
      </c>
      <c r="F39" s="213">
        <v>171612.57929687499</v>
      </c>
      <c r="G39" s="213">
        <v>171612.57929687499</v>
      </c>
      <c r="H39" s="213">
        <v>171612.57929687499</v>
      </c>
      <c r="I39" s="213">
        <v>171612.57929687499</v>
      </c>
      <c r="J39" s="213">
        <v>171612.57929687499</v>
      </c>
      <c r="K39" s="213">
        <v>171612.57929687499</v>
      </c>
      <c r="L39" s="213">
        <v>171612.57929687499</v>
      </c>
      <c r="M39" s="213">
        <v>171612.57929687499</v>
      </c>
      <c r="N39" s="213">
        <v>171612.57929687499</v>
      </c>
      <c r="O39" s="213">
        <v>171612.57929687499</v>
      </c>
      <c r="P39" s="213">
        <v>171612.57929687499</v>
      </c>
      <c r="Q39" s="213">
        <v>171612.57929687499</v>
      </c>
      <c r="R39" s="213">
        <v>171612.57929687499</v>
      </c>
      <c r="S39" s="213">
        <v>171612.57929687499</v>
      </c>
      <c r="T39" s="213">
        <v>171612.57929687499</v>
      </c>
      <c r="U39" s="213">
        <v>171612.57929687499</v>
      </c>
      <c r="V39" s="213">
        <v>171612.57929687499</v>
      </c>
    </row>
    <row r="40" spans="1:22" x14ac:dyDescent="0.2">
      <c r="A40">
        <f>Summary!A48</f>
        <v>32</v>
      </c>
      <c r="B40" t="s">
        <v>85</v>
      </c>
      <c r="C40" s="211">
        <v>0</v>
      </c>
      <c r="D40" s="213">
        <v>171612.57929687499</v>
      </c>
      <c r="E40" s="213">
        <v>171612.57929687499</v>
      </c>
      <c r="F40" s="213">
        <v>171612.57929687499</v>
      </c>
      <c r="G40" s="213">
        <v>171612.57929687499</v>
      </c>
      <c r="H40" s="213">
        <v>171612.57929687499</v>
      </c>
      <c r="I40" s="213">
        <v>171612.57929687499</v>
      </c>
      <c r="J40" s="213">
        <v>171612.57929687499</v>
      </c>
      <c r="K40" s="213">
        <v>171612.57929687499</v>
      </c>
      <c r="L40" s="213">
        <v>171612.57929687499</v>
      </c>
      <c r="M40" s="213">
        <v>171612.57929687499</v>
      </c>
      <c r="N40" s="213">
        <v>171612.57929687499</v>
      </c>
      <c r="O40" s="213">
        <v>171612.57929687499</v>
      </c>
      <c r="P40" s="213">
        <v>171612.57929687499</v>
      </c>
      <c r="Q40" s="213">
        <v>171612.57929687499</v>
      </c>
      <c r="R40" s="213">
        <v>171612.57929687499</v>
      </c>
      <c r="S40" s="213">
        <v>171612.57929687499</v>
      </c>
      <c r="T40" s="213">
        <v>171612.57929687499</v>
      </c>
      <c r="U40" s="213">
        <v>171612.57929687499</v>
      </c>
      <c r="V40" s="213">
        <v>171612.57929687499</v>
      </c>
    </row>
    <row r="41" spans="1:22" ht="13.5" thickBot="1" x14ac:dyDescent="0.25">
      <c r="A41">
        <f>Summary!A49</f>
        <v>33</v>
      </c>
      <c r="B41" s="216" t="s">
        <v>181</v>
      </c>
      <c r="C41" s="211">
        <v>0</v>
      </c>
      <c r="D41" s="215">
        <v>0</v>
      </c>
      <c r="E41" s="215">
        <v>297895.53999999998</v>
      </c>
      <c r="F41" s="215">
        <v>625580.63399999996</v>
      </c>
      <c r="G41" s="215">
        <v>804317.95799999998</v>
      </c>
      <c r="H41" s="215">
        <v>913546.32266666705</v>
      </c>
      <c r="I41" s="215">
        <v>1191582.1599999999</v>
      </c>
      <c r="J41" s="215">
        <v>1519267.254</v>
      </c>
      <c r="K41" s="215">
        <v>1787373.24</v>
      </c>
      <c r="L41" s="215">
        <v>2085268.78</v>
      </c>
      <c r="M41" s="215">
        <v>2234216.5499999998</v>
      </c>
      <c r="N41" s="215">
        <v>2978955.4</v>
      </c>
      <c r="O41" s="215">
        <v>2978955.4</v>
      </c>
      <c r="P41" s="215">
        <v>2978955.4</v>
      </c>
      <c r="Q41" s="215">
        <v>2978955.4</v>
      </c>
      <c r="R41" s="215">
        <v>2978955.4</v>
      </c>
      <c r="S41" s="215">
        <v>2978955.4</v>
      </c>
      <c r="T41" s="215">
        <v>2978955.4</v>
      </c>
      <c r="U41" s="215">
        <v>2978955.4</v>
      </c>
      <c r="V41" s="215">
        <v>2978955.4</v>
      </c>
    </row>
    <row r="42" spans="1:22" ht="13.5" thickTop="1" x14ac:dyDescent="0.2">
      <c r="B42" t="s">
        <v>135</v>
      </c>
      <c r="C42" s="6">
        <f t="shared" ref="C42:V42" si="0">SUM(C9:C41)</f>
        <v>0</v>
      </c>
      <c r="D42" s="6">
        <f t="shared" si="0"/>
        <v>12596293.334079593</v>
      </c>
      <c r="E42" s="6">
        <f t="shared" si="0"/>
        <v>13114632.905716464</v>
      </c>
      <c r="F42" s="6">
        <f t="shared" si="0"/>
        <v>13620017.745892588</v>
      </c>
      <c r="G42" s="6">
        <f t="shared" si="0"/>
        <v>14027444.304470094</v>
      </c>
      <c r="H42" s="6">
        <f t="shared" si="0"/>
        <v>14665464.249027967</v>
      </c>
      <c r="I42" s="6">
        <f t="shared" si="0"/>
        <v>15865564.615629323</v>
      </c>
      <c r="J42" s="6">
        <f t="shared" si="0"/>
        <v>16760984.131963439</v>
      </c>
      <c r="K42" s="6">
        <f t="shared" si="0"/>
        <v>17611557.175570436</v>
      </c>
      <c r="L42" s="6">
        <f t="shared" si="0"/>
        <v>18450819.139576681</v>
      </c>
      <c r="M42" s="6">
        <f t="shared" si="0"/>
        <v>18955849.340377666</v>
      </c>
      <c r="N42" s="6">
        <f t="shared" si="0"/>
        <v>19908799.41319811</v>
      </c>
      <c r="O42" s="6">
        <f t="shared" si="0"/>
        <v>20122134.024772447</v>
      </c>
      <c r="P42" s="6">
        <f t="shared" si="0"/>
        <v>20337831.566552311</v>
      </c>
      <c r="Q42" s="6">
        <f t="shared" si="0"/>
        <v>20558921.546876676</v>
      </c>
      <c r="R42" s="6">
        <f t="shared" si="0"/>
        <v>20785560.885707177</v>
      </c>
      <c r="S42" s="6">
        <f t="shared" si="0"/>
        <v>21017866.20800845</v>
      </c>
      <c r="T42" s="6">
        <f t="shared" si="0"/>
        <v>21255932.70230278</v>
      </c>
      <c r="U42" s="6">
        <f t="shared" si="0"/>
        <v>21499974.665603906</v>
      </c>
      <c r="V42" s="6">
        <f t="shared" si="0"/>
        <v>21750142.082183894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Summary</vt:lpstr>
      <vt:lpstr>All Inc.</vt:lpstr>
      <vt:lpstr>IS</vt:lpstr>
      <vt:lpstr>UnitData</vt:lpstr>
      <vt:lpstr>Detail</vt:lpstr>
      <vt:lpstr>Assumptions</vt:lpstr>
      <vt:lpstr>PPA</vt:lpstr>
      <vt:lpstr>CoalPrice</vt:lpstr>
      <vt:lpstr>PTax</vt:lpstr>
      <vt:lpstr>A&amp;G</vt:lpstr>
      <vt:lpstr>FOM</vt:lpstr>
      <vt:lpstr>Tax Depr</vt:lpstr>
      <vt:lpstr>Book Depr</vt:lpstr>
      <vt:lpstr>GAAP Beg Depreciation</vt:lpstr>
      <vt:lpstr>CapAds</vt:lpstr>
      <vt:lpstr>EnvData</vt:lpstr>
      <vt:lpstr>BaseLoad</vt:lpstr>
      <vt:lpstr>Peak</vt:lpstr>
      <vt:lpstr>Base Revenue</vt:lpstr>
      <vt:lpstr>Peak Revenue</vt:lpstr>
      <vt:lpstr>Base Hours</vt:lpstr>
      <vt:lpstr>Peak Hours</vt:lpstr>
      <vt:lpstr>AGCost</vt:lpstr>
      <vt:lpstr>allotval</vt:lpstr>
      <vt:lpstr>Answer</vt:lpstr>
      <vt:lpstr>BookDep</vt:lpstr>
      <vt:lpstr>CapAds</vt:lpstr>
      <vt:lpstr>Coal</vt:lpstr>
      <vt:lpstr>Costs</vt:lpstr>
      <vt:lpstr>Depr</vt:lpstr>
      <vt:lpstr>EAValue</vt:lpstr>
      <vt:lpstr>ECapAds</vt:lpstr>
      <vt:lpstr>EnvFOM</vt:lpstr>
      <vt:lpstr>EnvVOM</vt:lpstr>
      <vt:lpstr>NOxRate</vt:lpstr>
      <vt:lpstr>'All Inc.'!Print_Area</vt:lpstr>
      <vt:lpstr>IS!Print_Area</vt:lpstr>
      <vt:lpstr>PTax</vt:lpstr>
      <vt:lpstr>SO2Rate</vt:lpstr>
      <vt:lpstr>UnitData</vt:lpstr>
    </vt:vector>
  </TitlesOfParts>
  <Company>Cinergy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Giffhorn</dc:creator>
  <cp:lastModifiedBy>Felienne</cp:lastModifiedBy>
  <cp:lastPrinted>2000-07-17T23:28:21Z</cp:lastPrinted>
  <dcterms:created xsi:type="dcterms:W3CDTF">2000-05-23T18:16:18Z</dcterms:created>
  <dcterms:modified xsi:type="dcterms:W3CDTF">2014-09-03T11:14:54Z</dcterms:modified>
</cp:coreProperties>
</file>